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E:\Assignments\Mahagenco\MYT FY26-30\MERC Proceedings\Revised Petition\Tariff formats\"/>
    </mc:Choice>
  </mc:AlternateContent>
  <xr:revisionPtr revIDLastSave="0" documentId="13_ncr:1_{C09A921A-7667-4BF2-8AA7-3936ECE4E1E7}" xr6:coauthVersionLast="47" xr6:coauthVersionMax="47" xr10:uidLastSave="{00000000-0000-0000-0000-000000000000}"/>
  <bookViews>
    <workbookView xWindow="-110" yWindow="-110" windowWidth="19420" windowHeight="10300" tabRatio="905" xr2:uid="{00000000-000D-0000-FFFF-FFFF00000000}"/>
  </bookViews>
  <sheets>
    <sheet name="Index" sheetId="57" r:id="rId1"/>
    <sheet name="AFC Reduction and AEC loss" sheetId="100" r:id="rId2"/>
    <sheet name="F1" sheetId="58" r:id="rId3"/>
    <sheet name="F1.1" sheetId="80" r:id="rId4"/>
    <sheet name="F2.1" sheetId="81" r:id="rId5"/>
    <sheet name="F2.2" sheetId="59" r:id="rId6"/>
    <sheet name="F2.3" sheetId="60" r:id="rId7"/>
    <sheet name="F2.4" sheetId="61" r:id="rId8"/>
    <sheet name="F2.5" sheetId="62" r:id="rId9"/>
    <sheet name="F2.6" sheetId="79" r:id="rId10"/>
    <sheet name="F2.7" sheetId="63" r:id="rId11"/>
    <sheet name="F2.8" sheetId="64" r:id="rId12"/>
    <sheet name="F3" sheetId="65" r:id="rId13"/>
    <sheet name="F3.1" sheetId="66" r:id="rId14"/>
    <sheet name="F3.2" sheetId="67" r:id="rId15"/>
    <sheet name="F3.3" sheetId="68" r:id="rId16"/>
    <sheet name="F3.4" sheetId="69" r:id="rId17"/>
    <sheet name="F4" sheetId="93" r:id="rId18"/>
    <sheet name="F4.1" sheetId="118" r:id="rId19"/>
    <sheet name="F4.2" sheetId="119" r:id="rId20"/>
    <sheet name="F4.3" sheetId="120" r:id="rId21"/>
    <sheet name="F5 (T)" sheetId="117" r:id="rId22"/>
    <sheet name="F5" sheetId="70" r:id="rId23"/>
    <sheet name="F5.1 (N)" sheetId="105" r:id="rId24"/>
    <sheet name="F6" sheetId="54" r:id="rId25"/>
    <sheet name="F7" sheetId="55" r:id="rId26"/>
    <sheet name="F8" sheetId="71" r:id="rId27"/>
    <sheet name="F9" sheetId="72" r:id="rId28"/>
    <sheet name="F9.1" sheetId="91" r:id="rId29"/>
    <sheet name="F9.2" sheetId="73" r:id="rId30"/>
    <sheet name="F9.3" sheetId="74" r:id="rId31"/>
    <sheet name="F10" sheetId="77" r:id="rId32"/>
    <sheet name="F11" sheetId="75" r:id="rId33"/>
    <sheet name="F12" sheetId="76" r:id="rId34"/>
    <sheet name="F13" sheetId="78" r:id="rId35"/>
    <sheet name="F14.1" sheetId="106" r:id="rId36"/>
    <sheet name="F14.2" sheetId="107" r:id="rId37"/>
    <sheet name="F14.3" sheetId="108" r:id="rId38"/>
    <sheet name="F14.4" sheetId="109" r:id="rId39"/>
    <sheet name="F14.5" sheetId="110" r:id="rId40"/>
    <sheet name="F14.6" sheetId="111" r:id="rId41"/>
    <sheet name="F14.7" sheetId="112" r:id="rId42"/>
    <sheet name="F14.8" sheetId="113" r:id="rId43"/>
    <sheet name="F14.9" sheetId="114" r:id="rId44"/>
    <sheet name="F15" sheetId="104" r:id="rId45"/>
    <sheet name="F16" sheetId="98" r:id="rId46"/>
    <sheet name="F17" sheetId="99" r:id="rId47"/>
    <sheet name="F18" sheetId="115" r:id="rId48"/>
    <sheet name="F19" sheetId="116"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a" localSheetId="21">#REF!</definedName>
    <definedName name="\a">#REF!</definedName>
    <definedName name="\b" localSheetId="21">#REF!</definedName>
    <definedName name="\b">#REF!</definedName>
    <definedName name="\c" localSheetId="21">#REF!</definedName>
    <definedName name="\c">#REF!</definedName>
    <definedName name="\d" localSheetId="21">#REF!</definedName>
    <definedName name="\d">#REF!</definedName>
    <definedName name="\e" localSheetId="21">#REF!</definedName>
    <definedName name="\e">#REF!</definedName>
    <definedName name="\f" localSheetId="21">#REF!</definedName>
    <definedName name="\f">#REF!</definedName>
    <definedName name="\g" localSheetId="21">#REF!</definedName>
    <definedName name="\g">#REF!</definedName>
    <definedName name="\j" localSheetId="21">#REF!</definedName>
    <definedName name="\j">#REF!</definedName>
    <definedName name="\k" localSheetId="21">#REF!</definedName>
    <definedName name="\k">#REF!</definedName>
    <definedName name="\m" localSheetId="21">#REF!</definedName>
    <definedName name="\m">#REF!</definedName>
    <definedName name="\n" localSheetId="21">#REF!</definedName>
    <definedName name="\n">#REF!</definedName>
    <definedName name="\o" localSheetId="21">#REF!</definedName>
    <definedName name="\o">#REF!</definedName>
    <definedName name="\p" localSheetId="21">#REF!</definedName>
    <definedName name="\p">#REF!</definedName>
    <definedName name="\s" localSheetId="21">#REF!</definedName>
    <definedName name="\s">#REF!</definedName>
    <definedName name="\t" localSheetId="21">#REF!</definedName>
    <definedName name="\t">#REF!</definedName>
    <definedName name="\w" localSheetId="21">#REF!</definedName>
    <definedName name="\w">#REF!</definedName>
    <definedName name="\x" localSheetId="21">#REF!</definedName>
    <definedName name="\x">#REF!</definedName>
    <definedName name="\z" localSheetId="21">#REF!</definedName>
    <definedName name="\z">#REF!</definedName>
    <definedName name="_" localSheetId="21">#REF!</definedName>
    <definedName name="_">#REF!</definedName>
    <definedName name="_.._D__D__D__D_" localSheetId="21">#REF!</definedName>
    <definedName name="_.._D__D__D__D_">#REF!</definedName>
    <definedName name="_________XL__ENTER_UNIT" localSheetId="21">#REF!</definedName>
    <definedName name="_________XL__ENTER_UNIT">#REF!</definedName>
    <definedName name="_______SCH6" localSheetId="21">'[1]04REL'!#REF!</definedName>
    <definedName name="_______SCH6">'[1]04REL'!#REF!</definedName>
    <definedName name="_______XL__ENTER_UNIT" localSheetId="21">#REF!</definedName>
    <definedName name="_______XL__ENTER_UNIT">#REF!</definedName>
    <definedName name="______SCH6" localSheetId="21">'[1]04REL'!#REF!</definedName>
    <definedName name="______SCH6">'[1]04REL'!#REF!</definedName>
    <definedName name="______XL__ENTER_UNIT" localSheetId="21">#REF!</definedName>
    <definedName name="______XL__ENTER_UNIT">#REF!</definedName>
    <definedName name="_____SCH6" localSheetId="21">'[1]04REL'!#REF!</definedName>
    <definedName name="_____SCH6">'[1]04REL'!#REF!</definedName>
    <definedName name="____SCH6" localSheetId="21">'[1]04REL'!#REF!</definedName>
    <definedName name="____SCH6">'[1]04REL'!#REF!</definedName>
    <definedName name="____XL__ENTER_UNIT" localSheetId="21">#REF!</definedName>
    <definedName name="____XL__ENTER_UNIT">#REF!</definedName>
    <definedName name="___INDEX_SHEET___ASAP_Utilities" localSheetId="21">#REF!</definedName>
    <definedName name="___INDEX_SHEET___ASAP_Utilities">#REF!</definedName>
    <definedName name="___SCH6" localSheetId="21">'[1]04REL'!#REF!</definedName>
    <definedName name="___SCH6">'[1]04REL'!#REF!</definedName>
    <definedName name="___XL__ENTER_UNIT" localSheetId="21">#REF!</definedName>
    <definedName name="___XL__ENTER_UNIT">#REF!</definedName>
    <definedName name="__123Graph_A" localSheetId="46" hidden="1">[2]CE!#REF!</definedName>
    <definedName name="__123Graph_A" localSheetId="17" hidden="1">[2]CE!#REF!</definedName>
    <definedName name="__123Graph_A" localSheetId="21" hidden="1">[2]CE!#REF!</definedName>
    <definedName name="__123Graph_A" hidden="1">[2]CE!#REF!</definedName>
    <definedName name="__123Graph_ASTNPLF" localSheetId="46" hidden="1">[2]CE!#REF!</definedName>
    <definedName name="__123Graph_ASTNPLF" localSheetId="17" hidden="1">[2]CE!#REF!</definedName>
    <definedName name="__123Graph_ASTNPLF" localSheetId="21" hidden="1">[2]CE!#REF!</definedName>
    <definedName name="__123Graph_ASTNPLF" hidden="1">[2]CE!#REF!</definedName>
    <definedName name="__123Graph_B" localSheetId="46" hidden="1">[2]CE!#REF!</definedName>
    <definedName name="__123Graph_B" localSheetId="17" hidden="1">[2]CE!#REF!</definedName>
    <definedName name="__123Graph_B" localSheetId="21" hidden="1">[2]CE!#REF!</definedName>
    <definedName name="__123Graph_B" hidden="1">[2]CE!#REF!</definedName>
    <definedName name="__123Graph_BSTNPLF" localSheetId="46" hidden="1">[2]CE!#REF!</definedName>
    <definedName name="__123Graph_BSTNPLF" localSheetId="17" hidden="1">[2]CE!#REF!</definedName>
    <definedName name="__123Graph_BSTNPLF" localSheetId="21" hidden="1">[2]CE!#REF!</definedName>
    <definedName name="__123Graph_BSTNPLF" hidden="1">[2]CE!#REF!</definedName>
    <definedName name="__123Graph_C" localSheetId="46" hidden="1">[2]CE!#REF!</definedName>
    <definedName name="__123Graph_C" localSheetId="17" hidden="1">[2]CE!#REF!</definedName>
    <definedName name="__123Graph_C" localSheetId="21" hidden="1">[2]CE!#REF!</definedName>
    <definedName name="__123Graph_C" hidden="1">[2]CE!#REF!</definedName>
    <definedName name="__123Graph_CSTNPLF" localSheetId="46" hidden="1">[2]CE!#REF!</definedName>
    <definedName name="__123Graph_CSTNPLF" localSheetId="17" hidden="1">[2]CE!#REF!</definedName>
    <definedName name="__123Graph_CSTNPLF" localSheetId="21" hidden="1">[2]CE!#REF!</definedName>
    <definedName name="__123Graph_CSTNPLF" hidden="1">[2]CE!#REF!</definedName>
    <definedName name="__123Graph_X" localSheetId="46" hidden="1">[2]CE!#REF!</definedName>
    <definedName name="__123Graph_X" localSheetId="17" hidden="1">[2]CE!#REF!</definedName>
    <definedName name="__123Graph_X" localSheetId="21" hidden="1">[2]CE!#REF!</definedName>
    <definedName name="__123Graph_X" hidden="1">[2]CE!#REF!</definedName>
    <definedName name="__123Graph_XSTNPLF" localSheetId="46" hidden="1">[2]CE!#REF!</definedName>
    <definedName name="__123Graph_XSTNPLF" localSheetId="17" hidden="1">[2]CE!#REF!</definedName>
    <definedName name="__123Graph_XSTNPLF" localSheetId="21" hidden="1">[2]CE!#REF!</definedName>
    <definedName name="__123Graph_XSTNPLF" hidden="1">[2]CE!#REF!</definedName>
    <definedName name="__DOWN_10__GOTO" localSheetId="21">#REF!</definedName>
    <definedName name="__DOWN_10__GOTO">#REF!</definedName>
    <definedName name="__ES84__EW84_0." localSheetId="21">#REF!</definedName>
    <definedName name="__ES84__EW84_0.">#REF!</definedName>
    <definedName name="__GOTO_EP84__AV" localSheetId="21">#REF!</definedName>
    <definedName name="__GOTO_EP84__AV">#REF!</definedName>
    <definedName name="__SCH6" localSheetId="21">'[1]04REL'!#REF!</definedName>
    <definedName name="__SCH6">'[1]04REL'!#REF!</definedName>
    <definedName name="__SUM_CS57..CS6" localSheetId="21">#REF!</definedName>
    <definedName name="__SUM_CS57..CS6">#REF!</definedName>
    <definedName name="__SUM_CS65..CS7" localSheetId="21">#REF!</definedName>
    <definedName name="__SUM_CS65..CS7">#REF!</definedName>
    <definedName name="__SUM_FQ20..FQ2" localSheetId="21">#REF!</definedName>
    <definedName name="__SUM_FQ20..FQ2">#REF!</definedName>
    <definedName name="__SUM_FQ28..FQ3" localSheetId="21">#REF!</definedName>
    <definedName name="__SUM_FQ28..FQ3">#REF!</definedName>
    <definedName name="__XL__ENTER_UNIT" localSheetId="21">#REF!</definedName>
    <definedName name="__XL__ENTER_UNIT">#REF!</definedName>
    <definedName name="_5" localSheetId="21">#REF!</definedName>
    <definedName name="_5">#REF!</definedName>
    <definedName name="_6" localSheetId="21">#REF!</definedName>
    <definedName name="_6">#REF!</definedName>
    <definedName name="_D___GOTO_GK112" localSheetId="21">#REF!</definedName>
    <definedName name="_D___GOTO_GK112">#REF!</definedName>
    <definedName name="_D___GOTO_GK56_" localSheetId="21">#REF!</definedName>
    <definedName name="_D___GOTO_GK56_">#REF!</definedName>
    <definedName name="_D__D___L___GOT" localSheetId="21">#REF!</definedName>
    <definedName name="_D__D___L___GOT">#REF!</definedName>
    <definedName name="_D__D__D___D__D" localSheetId="21">#REF!</definedName>
    <definedName name="_D__D__D___D__D">#REF!</definedName>
    <definedName name="_D_19__U_19_" localSheetId="21">#REF!</definedName>
    <definedName name="_D_19__U_19_">#REF!</definedName>
    <definedName name="_DOWN_9__RIGHT_" localSheetId="21">#REF!</definedName>
    <definedName name="_DOWN_9__RIGHT_">#REF!</definedName>
    <definedName name="_Fill" localSheetId="44" hidden="1">'F15'!#REF!</definedName>
    <definedName name="_Fill" localSheetId="46" hidden="1">#REF!</definedName>
    <definedName name="_Fill" localSheetId="17" hidden="1">#REF!</definedName>
    <definedName name="_Fill" localSheetId="21" hidden="1">#REF!</definedName>
    <definedName name="_Fill" hidden="1">#REF!</definedName>
    <definedName name="_xlnm._FilterDatabase" localSheetId="38" hidden="1">'F14.4'!$C$1:$C$60</definedName>
    <definedName name="_xlnm._FilterDatabase" localSheetId="4" hidden="1">'F2.1'!$A$10:$X$10</definedName>
    <definedName name="_xlnm._FilterDatabase" localSheetId="19" hidden="1">'F4.2'!$P$8:$BI$402</definedName>
    <definedName name="_FROM__R__R__08" localSheetId="21">#REF!</definedName>
    <definedName name="_FROM__R__R__08">#REF!</definedName>
    <definedName name="_FROM__R__R__16" localSheetId="21">#REF!</definedName>
    <definedName name="_FROM__R__R__16">#REF!</definedName>
    <definedName name="_GENERATION__R_" localSheetId="21">#REF!</definedName>
    <definedName name="_GENERATION__R_">#REF!</definedName>
    <definedName name="_GOTO_BT49__R__" localSheetId="21">#REF!</definedName>
    <definedName name="_GOTO_BT49__R__">#REF!</definedName>
    <definedName name="_GOTO_CF11__?__" localSheetId="21">#REF!</definedName>
    <definedName name="_GOTO_CF11__?__">#REF!</definedName>
    <definedName name="_GOTO_EO75__WEK" localSheetId="21">#REF!</definedName>
    <definedName name="_GOTO_EO75__WEK">#REF!</definedName>
    <definedName name="_GOTO_EP82__PEA" localSheetId="21">#REF!</definedName>
    <definedName name="_GOTO_EP82__PEA">#REF!</definedName>
    <definedName name="_GOTO_EP86__PER" localSheetId="21">#REF!</definedName>
    <definedName name="_GOTO_EP86__PER">#REF!</definedName>
    <definedName name="_GOTO_FO112__RV" localSheetId="21">#REF!</definedName>
    <definedName name="_GOTO_FO112__RV">#REF!</definedName>
    <definedName name="_GOTO_FO56__RV_" localSheetId="21">#REF!</definedName>
    <definedName name="_GOTO_FO56__RV_">#REF!</definedName>
    <definedName name="_HOME__GOTO_M14" localSheetId="21">#REF!</definedName>
    <definedName name="_HOME__GOTO_M14">#REF!</definedName>
    <definedName name="_Order1" hidden="1">255</definedName>
    <definedName name="_PLF__R__R___ES" localSheetId="21">#REF!</definedName>
    <definedName name="_PLF__R__R___ES">#REF!</definedName>
    <definedName name="_RV_DOWN_6__LEF" localSheetId="21">#REF!</definedName>
    <definedName name="_RV_DOWN_6__LEF">#REF!</definedName>
    <definedName name="_SCH6" localSheetId="21">'[1]04REL'!#REF!</definedName>
    <definedName name="_SCH6">'[1]04REL'!#REF!</definedName>
    <definedName name="_SUM_DI14..DI21" localSheetId="21">#REF!</definedName>
    <definedName name="_SUM_DI14..DI21">#REF!</definedName>
    <definedName name="_SUM_DI22..DI29" localSheetId="21">#REF!</definedName>
    <definedName name="_SUM_DI22..DI29">#REF!</definedName>
    <definedName name="_U__END__U__D__" localSheetId="21">#REF!</definedName>
    <definedName name="_U__END__U__D__">#REF!</definedName>
    <definedName name="_U__U__END__U__" localSheetId="21">#REF!</definedName>
    <definedName name="_U__U__END__U__">#REF!</definedName>
    <definedName name="_U__U__U__U__U_" localSheetId="21">#REF!</definedName>
    <definedName name="_U__U__U__U__U_">#REF!</definedName>
    <definedName name="_WGPD_GOTO_CO10" localSheetId="21">#REF!</definedName>
    <definedName name="_WGPD_GOTO_CO10">#REF!</definedName>
    <definedName name="A" localSheetId="21">#REF!</definedName>
    <definedName name="A">#REF!</definedName>
    <definedName name="ADL.63">[3]Addl.40!$A$38:$I$284</definedName>
    <definedName name="AuBhu0910">[4]Assumption_PwC!$D$7</definedName>
    <definedName name="AuBhu1011">[4]Assumption_PwC!$E$7</definedName>
    <definedName name="AuCha0910">[4]Assumption_PwC!$D$8</definedName>
    <definedName name="AV" localSheetId="21">#REF!</definedName>
    <definedName name="AV">#REF!</definedName>
    <definedName name="C_Data_1" localSheetId="21">'[5]2000-01'!#REF!</definedName>
    <definedName name="C_Data_1">'[5]2000-01'!#REF!</definedName>
    <definedName name="C_Data_2" localSheetId="21">'[5]2000-01'!#REF!</definedName>
    <definedName name="C_Data_2">'[5]2000-01'!#REF!</definedName>
    <definedName name="CM10_C_RIGHT___" localSheetId="21">#REF!</definedName>
    <definedName name="CM10_C_RIGHT___">#REF!</definedName>
    <definedName name="CV" localSheetId="21">#REF!</definedName>
    <definedName name="CV">#REF!</definedName>
    <definedName name="D">#N/A</definedName>
    <definedName name="Debt_Pct">[6]Assumptions!$B$13</definedName>
    <definedName name="dpc">'[7]dpc cost'!$D$1</definedName>
    <definedName name="E_315MVA_Addl_Page1" localSheetId="21">#REF!</definedName>
    <definedName name="E_315MVA_Addl_Page1">#REF!</definedName>
    <definedName name="E_315MVA_Addl_Page2" localSheetId="21">#REF!</definedName>
    <definedName name="E_315MVA_Addl_Page2">#REF!</definedName>
    <definedName name="Erai_level">[8]Level_qty!$B$8:$C$528</definedName>
    <definedName name="Esc_AGExp">[9]Assumptions!$B$4</definedName>
    <definedName name="Esc_Coal">[6]Assumptions!$B$6</definedName>
    <definedName name="Esc_DomGas">[6]Assumptions!$B$8</definedName>
    <definedName name="Esc_EmpExp">[6]Assumptions!$B$3</definedName>
    <definedName name="Esc_LNGas">[6]Assumptions!$B$9</definedName>
    <definedName name="Esc_Oil">[6]Assumptions!$B$7</definedName>
    <definedName name="Esc_OtherVarCharge">[6]Assumptions!$B$10</definedName>
    <definedName name="Esc_RMExp">[9]Assumptions!$B$5</definedName>
    <definedName name="EscAGExp" localSheetId="21">#REF!</definedName>
    <definedName name="EscAGExp">#REF!</definedName>
    <definedName name="EscCoal" localSheetId="21">#REF!</definedName>
    <definedName name="EscCoal">#REF!</definedName>
    <definedName name="EscDomGas" localSheetId="21">#REF!</definedName>
    <definedName name="EscDomGas">#REF!</definedName>
    <definedName name="EscEmpExp" localSheetId="21">#REF!</definedName>
    <definedName name="EscEmpExp">#REF!</definedName>
    <definedName name="EscLNGas" localSheetId="21">#REF!</definedName>
    <definedName name="EscLNGas">#REF!</definedName>
    <definedName name="EscOil" localSheetId="21">#REF!</definedName>
    <definedName name="EscOil">#REF!</definedName>
    <definedName name="EscOtherIncome" localSheetId="21">#REF!</definedName>
    <definedName name="EscOtherIncome">#REF!</definedName>
    <definedName name="EscOtherVarCharge" localSheetId="21">#REF!</definedName>
    <definedName name="EscOtherVarCharge">#REF!</definedName>
    <definedName name="EscRMExp" localSheetId="21">#REF!</definedName>
    <definedName name="EscRMExp">#REF!</definedName>
    <definedName name="FAX" localSheetId="21">#REF!</definedName>
    <definedName name="FAX">#REF!</definedName>
    <definedName name="FinCharge">[6]Assumptions!$B$25</definedName>
    <definedName name="Fuel_Exp_CY" localSheetId="21">#REF!</definedName>
    <definedName name="Fuel_Exp_CY">#REF!</definedName>
    <definedName name="Fuel_Exp_EY" localSheetId="21">#REF!</definedName>
    <definedName name="Fuel_Exp_EY">#REF!</definedName>
    <definedName name="Fuel_Exp_PY" localSheetId="21">#REF!</definedName>
    <definedName name="Fuel_Exp_PY">#REF!</definedName>
    <definedName name="GR" localSheetId="21">#REF!</definedName>
    <definedName name="GR">#REF!</definedName>
    <definedName name="IntRate_11">[6]Assumptions!$B$11</definedName>
    <definedName name="IntRate_12">[6]Assumptions!$B$12</definedName>
    <definedName name="IntRate_WC">[4]Assumptions!$B$16</definedName>
    <definedName name="IntRate_WC10">[6]Assumptions!$B$16</definedName>
    <definedName name="IntRate_WC11">[6]Assumptions!$B$17</definedName>
    <definedName name="IntRate_WC12">[6]Assumptions!$B$18</definedName>
    <definedName name="IntRate12" localSheetId="21">#REF!</definedName>
    <definedName name="IntRate12">#REF!</definedName>
    <definedName name="IntRate13" localSheetId="21">#REF!</definedName>
    <definedName name="IntRate13">#REF!</definedName>
    <definedName name="IntRateWC11" localSheetId="21">#REF!</definedName>
    <definedName name="IntRateWC11">#REF!</definedName>
    <definedName name="IntRateWC12" localSheetId="21">#REF!</definedName>
    <definedName name="IntRateWC12">#REF!</definedName>
    <definedName name="IntRateWC13" localSheetId="21">#REF!</definedName>
    <definedName name="IntRateWC13">#REF!</definedName>
    <definedName name="Intt_Charge_cY" localSheetId="21">#REF!,#REF!</definedName>
    <definedName name="Intt_Charge_cY">#REF!,#REF!</definedName>
    <definedName name="Intt_Charge_cy_1">'[10]A 3.7'!$H$35,'[10]A 3.7'!$H$44</definedName>
    <definedName name="Intt_Charge_eY" localSheetId="21">#REF!,#REF!</definedName>
    <definedName name="Intt_Charge_eY">#REF!,#REF!</definedName>
    <definedName name="Intt_Charge_ey_1">'[10]A 3.7'!$I$35,'[10]A 3.7'!$I$44</definedName>
    <definedName name="Intt_Charge_PY" localSheetId="21">#REF!,#REF!</definedName>
    <definedName name="Intt_Charge_PY">#REF!,#REF!</definedName>
    <definedName name="Intt_Charge_py_1">'[10]A 3.7'!$G$35,'[10]A 3.7'!$G$44</definedName>
    <definedName name="IsCircular" localSheetId="21">#REF!</definedName>
    <definedName name="IsCircular">#REF!</definedName>
    <definedName name="K2000_">#N/A</definedName>
    <definedName name="LTR_M_NEW" localSheetId="21">#REF!</definedName>
    <definedName name="LTR_M_NEW">#REF!</definedName>
    <definedName name="LTR_MOR" localSheetId="21">#REF!</definedName>
    <definedName name="LTR_MOR">#REF!</definedName>
    <definedName name="new" localSheetId="44" hidden="1">[11]CE!#REF!</definedName>
    <definedName name="new" localSheetId="46" hidden="1">[11]CE!#REF!</definedName>
    <definedName name="new" localSheetId="17" hidden="1">[11]CE!#REF!</definedName>
    <definedName name="new" localSheetId="21" hidden="1">[11]CE!#REF!</definedName>
    <definedName name="new" hidden="1">[11]CE!#REF!</definedName>
    <definedName name="O" localSheetId="21">#REF!</definedName>
    <definedName name="O">#REF!</definedName>
    <definedName name="p" localSheetId="21">#REF!</definedName>
    <definedName name="p">#REF!</definedName>
    <definedName name="PAGE1" localSheetId="21">#REF!</definedName>
    <definedName name="PAGE1">#REF!</definedName>
    <definedName name="page10" localSheetId="21">#REF!</definedName>
    <definedName name="page10">#REF!</definedName>
    <definedName name="PAGE10_6" localSheetId="21">#REF!</definedName>
    <definedName name="PAGE10_6">#REF!</definedName>
    <definedName name="PAGE11_6" localSheetId="21">#REF!</definedName>
    <definedName name="PAGE11_6">#REF!</definedName>
    <definedName name="PAGE12_6" localSheetId="21">#REF!</definedName>
    <definedName name="PAGE12_6">#REF!</definedName>
    <definedName name="PAGE14" localSheetId="21">#REF!</definedName>
    <definedName name="PAGE14">#REF!</definedName>
    <definedName name="PAGE15" localSheetId="21">#REF!</definedName>
    <definedName name="PAGE15">#REF!</definedName>
    <definedName name="PAGE16" localSheetId="21">#REF!</definedName>
    <definedName name="PAGE16">#REF!</definedName>
    <definedName name="PAGE17" localSheetId="21">#REF!</definedName>
    <definedName name="PAGE17">#REF!</definedName>
    <definedName name="PAGE18" localSheetId="21">#REF!</definedName>
    <definedName name="PAGE18">#REF!</definedName>
    <definedName name="PAGE19" localSheetId="21">#REF!</definedName>
    <definedName name="PAGE19">#REF!</definedName>
    <definedName name="PAGE2" localSheetId="21">#REF!</definedName>
    <definedName name="PAGE2">#REF!</definedName>
    <definedName name="PAGE2_6" localSheetId="21">#REF!</definedName>
    <definedName name="PAGE2_6">#REF!</definedName>
    <definedName name="PAGE20" localSheetId="21">#REF!</definedName>
    <definedName name="PAGE20">#REF!</definedName>
    <definedName name="PAGE21" localSheetId="21">#REF!</definedName>
    <definedName name="PAGE21">#REF!</definedName>
    <definedName name="PAGE210" localSheetId="21">#REF!</definedName>
    <definedName name="PAGE210">#REF!</definedName>
    <definedName name="PAGE22" localSheetId="21">#REF!</definedName>
    <definedName name="PAGE22">#REF!</definedName>
    <definedName name="PAGE23" localSheetId="21">#REF!</definedName>
    <definedName name="PAGE23">#REF!</definedName>
    <definedName name="PAGE24" localSheetId="21">#REF!</definedName>
    <definedName name="PAGE24">#REF!</definedName>
    <definedName name="PAGE25" localSheetId="21">#REF!</definedName>
    <definedName name="PAGE25">#REF!</definedName>
    <definedName name="PAGE26" localSheetId="21">#REF!</definedName>
    <definedName name="PAGE26">#REF!</definedName>
    <definedName name="PAGE27" localSheetId="21">#REF!</definedName>
    <definedName name="PAGE27">#REF!</definedName>
    <definedName name="PAGE28" localSheetId="21">#REF!</definedName>
    <definedName name="PAGE28">#REF!</definedName>
    <definedName name="PAGE29" localSheetId="21">#REF!</definedName>
    <definedName name="PAGE29">#REF!</definedName>
    <definedName name="PAGE3_6" localSheetId="21">#REF!</definedName>
    <definedName name="PAGE3_6">#REF!</definedName>
    <definedName name="page34" localSheetId="21">#REF!</definedName>
    <definedName name="page34">#REF!</definedName>
    <definedName name="Page35" localSheetId="21">#REF!</definedName>
    <definedName name="Page35">#REF!</definedName>
    <definedName name="PAGE4_6" localSheetId="21">#REF!</definedName>
    <definedName name="PAGE4_6">#REF!</definedName>
    <definedName name="PAGE5_6" localSheetId="21">#REF!</definedName>
    <definedName name="PAGE5_6">#REF!</definedName>
    <definedName name="page50" localSheetId="21">#REF!</definedName>
    <definedName name="page50">#REF!</definedName>
    <definedName name="page51" localSheetId="21">#REF!</definedName>
    <definedName name="page51">#REF!</definedName>
    <definedName name="page52" localSheetId="21">#REF!</definedName>
    <definedName name="page52">#REF!</definedName>
    <definedName name="PAGE6" localSheetId="21">#REF!</definedName>
    <definedName name="PAGE6">#REF!</definedName>
    <definedName name="PAGE6_6" localSheetId="21">#REF!</definedName>
    <definedName name="PAGE6_6">#REF!</definedName>
    <definedName name="PAGE7" localSheetId="21">#REF!</definedName>
    <definedName name="PAGE7">#REF!</definedName>
    <definedName name="PAGE7_6" localSheetId="21">#REF!</definedName>
    <definedName name="PAGE7_6">#REF!</definedName>
    <definedName name="PAGE8" localSheetId="21">#REF!</definedName>
    <definedName name="PAGE8">#REF!</definedName>
    <definedName name="PAGE8_6U1A" localSheetId="21">#REF!</definedName>
    <definedName name="PAGE8_6U1A">#REF!</definedName>
    <definedName name="PAGE8_6U1B" localSheetId="21">#REF!</definedName>
    <definedName name="PAGE8_6U1B">#REF!</definedName>
    <definedName name="PAGE8_6U2A" localSheetId="21">#REF!</definedName>
    <definedName name="PAGE8_6U2A">#REF!</definedName>
    <definedName name="PAGE8_6U2B" localSheetId="21">#REF!</definedName>
    <definedName name="PAGE8_6U2B">#REF!</definedName>
    <definedName name="PAGE8_6U3A" localSheetId="21">#REF!</definedName>
    <definedName name="PAGE8_6U3A">#REF!</definedName>
    <definedName name="PAGE8_6U3B" localSheetId="21">#REF!</definedName>
    <definedName name="PAGE8_6U3B">#REF!</definedName>
    <definedName name="PAGE9" localSheetId="21">#REF!</definedName>
    <definedName name="PAGE9">#REF!</definedName>
    <definedName name="PAGE9_6" localSheetId="21">#REF!</definedName>
    <definedName name="PAGE9_6">#REF!</definedName>
    <definedName name="Pop_Ratio" localSheetId="21">#REF!</definedName>
    <definedName name="Pop_Ratio">#REF!</definedName>
    <definedName name="PRF_1" localSheetId="21">#REF!</definedName>
    <definedName name="PRF_1">#REF!</definedName>
    <definedName name="PRF_2_P1" localSheetId="21">#REF!</definedName>
    <definedName name="PRF_2_P1">#REF!</definedName>
    <definedName name="PRF_2_P2" localSheetId="21">#REF!</definedName>
    <definedName name="PRF_2_P2">#REF!</definedName>
    <definedName name="PRF_3_AN1" localSheetId="21">#REF!</definedName>
    <definedName name="PRF_3_AN1">#REF!</definedName>
    <definedName name="PRF_3_AN2" localSheetId="21">#REF!</definedName>
    <definedName name="PRF_3_AN2">#REF!</definedName>
    <definedName name="PRF_3_AN3" localSheetId="21">#REF!</definedName>
    <definedName name="PRF_3_AN3">#REF!</definedName>
    <definedName name="_xlnm.Print_Area" localSheetId="2">'F1'!$A$1:$X$30</definedName>
    <definedName name="_xlnm.Print_Area" localSheetId="3">'F1.1'!$A$1:$Q$18</definedName>
    <definedName name="_xlnm.Print_Area" localSheetId="31">'F10'!$A$1:$T$31</definedName>
    <definedName name="_xlnm.Print_Area" localSheetId="32">'F11'!$A$1:$T$29</definedName>
    <definedName name="_xlnm.Print_Area" localSheetId="38">'F14.4'!$A$1:$N$16</definedName>
    <definedName name="_xlnm.Print_Area" localSheetId="40">'F14.6'!$A$1:$C$41</definedName>
    <definedName name="_xlnm.Print_Area" localSheetId="46">'F17'!$A$1:$J$69</definedName>
    <definedName name="_xlnm.Print_Area" localSheetId="47">'F18'!$A$1:$N$29</definedName>
    <definedName name="_xlnm.Print_Area" localSheetId="4">'F2.1'!$A$1:$X$62</definedName>
    <definedName name="_xlnm.Print_Area" localSheetId="5">'F2.2'!$A$1:$X$199</definedName>
    <definedName name="_xlnm.Print_Area" localSheetId="6">'F2.3'!$A$1:$U$141</definedName>
    <definedName name="_xlnm.Print_Area" localSheetId="7">'F2.4'!$A$1:$N$74</definedName>
    <definedName name="_xlnm.Print_Area" localSheetId="8">'F2.5'!$A$1:$T$19</definedName>
    <definedName name="_xlnm.Print_Area" localSheetId="9">'F2.6'!$A$1:$U$19</definedName>
    <definedName name="_xlnm.Print_Area" localSheetId="10">'F2.7'!$A$1:$N$36</definedName>
    <definedName name="_xlnm.Print_Area" localSheetId="11">'F2.8'!$A$1:$P$28</definedName>
    <definedName name="_xlnm.Print_Area" localSheetId="12">'F3'!$A$1:$X$26</definedName>
    <definedName name="_xlnm.Print_Area" localSheetId="13">'F3.1'!$A$1:$AG$69</definedName>
    <definedName name="_xlnm.Print_Area" localSheetId="14">'F3.2'!$A$1:$M$79</definedName>
    <definedName name="_xlnm.Print_Area" localSheetId="18">'F4.1'!$A$1:$S$16</definedName>
    <definedName name="_xlnm.Print_Area" localSheetId="19">'F4.2'!$A$1:$BD$402</definedName>
    <definedName name="_xlnm.Print_Area" localSheetId="20">'F4.3'!$A$1:$N$3150</definedName>
    <definedName name="_xlnm.Print_Area" localSheetId="22">'F5'!$A$1:$AG$166</definedName>
    <definedName name="_xlnm.Print_Area" localSheetId="21">#REF!</definedName>
    <definedName name="_xlnm.Print_Area" localSheetId="23">'F5.1 (N)'!$A$1:$AD$93</definedName>
    <definedName name="_xlnm.Print_Area" localSheetId="24">'F6'!$A$1:$R$325</definedName>
    <definedName name="_xlnm.Print_Area" localSheetId="25">'F7'!$A$1:$R$45</definedName>
    <definedName name="_xlnm.Print_Area" localSheetId="27">'F9'!$A$1:$N$31</definedName>
    <definedName name="_xlnm.Print_Area" localSheetId="0">Index!$A$1:$D$58</definedName>
    <definedName name="_xlnm.Print_Area">#REF!</definedName>
    <definedName name="PRINT_AREA_MI" localSheetId="21">#REF!</definedName>
    <definedName name="PRINT_AREA_MI">#REF!</definedName>
    <definedName name="_xlnm.Print_Titles" localSheetId="4">'F2.1'!$B:$D,'F2.1'!$1:$9</definedName>
    <definedName name="_xlnm.Print_Titles" localSheetId="5">'F2.2'!$B:$D,'F2.2'!$1:$8</definedName>
    <definedName name="_xlnm.Print_Titles" localSheetId="6">'F2.3'!$B:$D,'F2.3'!$1:$9</definedName>
    <definedName name="_xlnm.Print_Titles" localSheetId="7">'F2.4'!$2:$4</definedName>
    <definedName name="_xlnm.Print_Titles" localSheetId="8">'F2.5'!$B:$D,'F2.5'!$2:$4</definedName>
    <definedName name="q">'[12]A 3.7'!$I$35,'[12]A 3.7'!$I$44</definedName>
    <definedName name="S" localSheetId="21">#REF!</definedName>
    <definedName name="S">#REF!</definedName>
    <definedName name="SECOAL" localSheetId="21">#REF!</definedName>
    <definedName name="SECOAL">#REF!</definedName>
    <definedName name="SEOREP" localSheetId="21">#REF!</definedName>
    <definedName name="SEOREP">#REF!</definedName>
    <definedName name="SEREPORT" localSheetId="21">#REF!</definedName>
    <definedName name="SEREPORT">#REF!</definedName>
    <definedName name="shft1">[7]SUMMERY!$P$1</definedName>
    <definedName name="shftI">[13]SUMMERY!$P$1</definedName>
    <definedName name="t" localSheetId="21">#REF!</definedName>
    <definedName name="t">#REF!</definedName>
    <definedName name="TaxPaid10">[6]Assumptions!$B$22</definedName>
    <definedName name="TaxRate11">[6]Assumptions!$B$20</definedName>
    <definedName name="Taxrate12" localSheetId="21">#REF!</definedName>
    <definedName name="Taxrate12">#REF!</definedName>
    <definedName name="TotalRoE10">[6]Assumptions!$B$23</definedName>
    <definedName name="tripping" localSheetId="21">#REF!</definedName>
    <definedName name="tripping">#REF!</definedName>
    <definedName name="uNIT1" localSheetId="21">#REF!</definedName>
    <definedName name="uNIT1">#REF!</definedName>
    <definedName name="uNIT2" localSheetId="21">#REF!</definedName>
    <definedName name="uNIT2">#REF!</definedName>
    <definedName name="uNIT3" localSheetId="21">#REF!</definedName>
    <definedName name="uNIT3">#REF!</definedName>
    <definedName name="W" localSheetId="21">#REF!</definedName>
    <definedName name="W">#REF!</definedName>
    <definedName name="WEEK_1A" localSheetId="21">#REF!</definedName>
    <definedName name="WEEK_1A">#REF!</definedName>
    <definedName name="WEEK_1B" localSheetId="21">#REF!</definedName>
    <definedName name="WEEK_1B">#REF!</definedName>
    <definedName name="WEEK_2A" localSheetId="21">#REF!</definedName>
    <definedName name="WEEK_2A">#REF!</definedName>
    <definedName name="WEEK_2B" localSheetId="21">#REF!</definedName>
    <definedName name="WEEK_2B">#REF!</definedName>
    <definedName name="Working_capital_Rate_of_Interest_for_FY_10_11">[4]Assumption_PwC!$C$116</definedName>
    <definedName name="X1_" localSheetId="21">#REF!</definedName>
    <definedName name="X1_">#REF!</definedName>
    <definedName name="X11__?___QUIT_" localSheetId="21">#REF!</definedName>
    <definedName name="X11__?___QUIT_">#REF!</definedName>
    <definedName name="xxxx" localSheetId="46" hidden="1">[14]CE!#REF!</definedName>
    <definedName name="xxxx" localSheetId="17" hidden="1">[14]CE!#REF!</definedName>
    <definedName name="xxxx" localSheetId="21" hidden="1">[14]CE!#REF!</definedName>
    <definedName name="xxxx" hidden="1">[14]CE!#REF!</definedName>
    <definedName name="YEAR" localSheetId="21">#REF!</definedName>
    <definedName name="YEAR">#REF!</definedName>
    <definedName name="Year1" localSheetId="21">#REF!</definedName>
    <definedName name="Year1">#REF!</definedName>
    <definedName name="Z_A05A0254_2D25_4269_AA4F_D166F945C039_.wvu.PrintArea" localSheetId="3" hidden="1">'F1.1'!$A$1:$H$19</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0" i="93" l="1"/>
  <c r="R10" i="93"/>
  <c r="Q10" i="93"/>
  <c r="P10" i="93"/>
  <c r="O10" i="93"/>
  <c r="M10" i="93"/>
  <c r="H10" i="93"/>
  <c r="E10" i="93"/>
  <c r="G16" i="118"/>
  <c r="P16" i="118"/>
  <c r="S16" i="118" s="1"/>
  <c r="G15" i="118"/>
  <c r="P15" i="118"/>
  <c r="S15" i="118" s="1"/>
  <c r="P14" i="118"/>
  <c r="S14" i="118" s="1"/>
  <c r="G14" i="118"/>
  <c r="G13" i="118"/>
  <c r="P13" i="118"/>
  <c r="S13" i="118" s="1"/>
  <c r="G12" i="118"/>
  <c r="P12" i="118"/>
  <c r="S12" i="118" s="1"/>
  <c r="G11" i="118"/>
  <c r="P11" i="118"/>
  <c r="S11" i="118" s="1"/>
  <c r="G10" i="118"/>
  <c r="P10" i="118"/>
  <c r="S10" i="118" s="1"/>
  <c r="P9" i="118"/>
  <c r="S9" i="118" s="1"/>
  <c r="G9" i="118"/>
  <c r="G8" i="118"/>
  <c r="P8" i="118"/>
  <c r="S8" i="118" s="1"/>
  <c r="AV401" i="119"/>
  <c r="AU401" i="119"/>
  <c r="AT401" i="119"/>
  <c r="BB398" i="119"/>
  <c r="BA398" i="119"/>
  <c r="AZ398" i="119"/>
  <c r="AY398" i="119"/>
  <c r="AX398" i="119"/>
  <c r="AW398" i="119"/>
  <c r="AV398" i="119"/>
  <c r="AU398" i="119"/>
  <c r="AT398" i="119"/>
  <c r="AQ398" i="119"/>
  <c r="AB398" i="119"/>
  <c r="AA398" i="119"/>
  <c r="Z398" i="119"/>
  <c r="Y398" i="119"/>
  <c r="X398" i="119"/>
  <c r="W398" i="119"/>
  <c r="V398" i="119"/>
  <c r="BP396" i="119"/>
  <c r="BO396" i="119"/>
  <c r="BN396" i="119"/>
  <c r="BM396" i="119"/>
  <c r="BL396" i="119"/>
  <c r="BK396" i="119"/>
  <c r="BJ396" i="119"/>
  <c r="BH396" i="119"/>
  <c r="S396" i="119" s="1"/>
  <c r="BG396" i="119"/>
  <c r="R396" i="119" s="1"/>
  <c r="BF396" i="119"/>
  <c r="Q396" i="119" s="1"/>
  <c r="BE396" i="119"/>
  <c r="AR396" i="119"/>
  <c r="AQ396" i="119"/>
  <c r="AP396" i="119"/>
  <c r="AO396" i="119"/>
  <c r="AS396" i="119" s="1"/>
  <c r="AI396" i="119"/>
  <c r="AH396" i="119"/>
  <c r="P396" i="119"/>
  <c r="BP395" i="119"/>
  <c r="BO395" i="119"/>
  <c r="BN395" i="119"/>
  <c r="BM395" i="119"/>
  <c r="BL395" i="119"/>
  <c r="BK395" i="119"/>
  <c r="BJ395" i="119"/>
  <c r="BH395" i="119"/>
  <c r="S395" i="119" s="1"/>
  <c r="BG395" i="119"/>
  <c r="R395" i="119" s="1"/>
  <c r="BF395" i="119"/>
  <c r="Q395" i="119" s="1"/>
  <c r="BE395" i="119"/>
  <c r="P395" i="119" s="1"/>
  <c r="T395" i="119" s="1"/>
  <c r="AR395" i="119"/>
  <c r="AQ395" i="119"/>
  <c r="AP395" i="119"/>
  <c r="AO395" i="119"/>
  <c r="AO398" i="119" s="1"/>
  <c r="AI395" i="119"/>
  <c r="AH395" i="119"/>
  <c r="BP394" i="119"/>
  <c r="BO394" i="119"/>
  <c r="BN394" i="119"/>
  <c r="BM394" i="119"/>
  <c r="BL394" i="119"/>
  <c r="BK394" i="119"/>
  <c r="BJ394" i="119"/>
  <c r="BI394" i="119"/>
  <c r="U394" i="119" s="1"/>
  <c r="BH394" i="119"/>
  <c r="S394" i="119" s="1"/>
  <c r="BG394" i="119"/>
  <c r="R394" i="119" s="1"/>
  <c r="BF394" i="119"/>
  <c r="Q394" i="119" s="1"/>
  <c r="BE394" i="119"/>
  <c r="P394" i="119" s="1"/>
  <c r="T394" i="119" s="1"/>
  <c r="AS394" i="119"/>
  <c r="BP393" i="119"/>
  <c r="BO393" i="119"/>
  <c r="BN393" i="119"/>
  <c r="BM393" i="119"/>
  <c r="BL393" i="119"/>
  <c r="BK393" i="119"/>
  <c r="BJ393" i="119"/>
  <c r="BI393" i="119"/>
  <c r="U393" i="119" s="1"/>
  <c r="BH393" i="119"/>
  <c r="BG393" i="119"/>
  <c r="BE393" i="119"/>
  <c r="AS393" i="119"/>
  <c r="S393" i="119"/>
  <c r="R393" i="119"/>
  <c r="Q393" i="119"/>
  <c r="P393" i="119"/>
  <c r="BP392" i="119"/>
  <c r="BO392" i="119"/>
  <c r="BN392" i="119"/>
  <c r="BM392" i="119"/>
  <c r="BL392" i="119"/>
  <c r="BK392" i="119"/>
  <c r="BJ392" i="119"/>
  <c r="BI392" i="119"/>
  <c r="BH392" i="119"/>
  <c r="BG392" i="119"/>
  <c r="R392" i="119" s="1"/>
  <c r="BE392" i="119"/>
  <c r="P392" i="119" s="1"/>
  <c r="AS392" i="119"/>
  <c r="U392" i="119"/>
  <c r="T392" i="119"/>
  <c r="S392" i="119"/>
  <c r="Q392" i="119"/>
  <c r="BP391" i="119"/>
  <c r="BO391" i="119"/>
  <c r="BN391" i="119"/>
  <c r="BM391" i="119"/>
  <c r="BL391" i="119"/>
  <c r="BK391" i="119"/>
  <c r="BJ391" i="119"/>
  <c r="BI391" i="119"/>
  <c r="BH391" i="119"/>
  <c r="S391" i="119" s="1"/>
  <c r="BG391" i="119"/>
  <c r="R391" i="119" s="1"/>
  <c r="BE391" i="119"/>
  <c r="P391" i="119" s="1"/>
  <c r="T391" i="119" s="1"/>
  <c r="AS391" i="119"/>
  <c r="U391" i="119"/>
  <c r="Q391" i="119"/>
  <c r="BP390" i="119"/>
  <c r="BO390" i="119"/>
  <c r="BN390" i="119"/>
  <c r="BM390" i="119"/>
  <c r="BL390" i="119"/>
  <c r="BK390" i="119"/>
  <c r="BJ390" i="119"/>
  <c r="BI390" i="119"/>
  <c r="U390" i="119" s="1"/>
  <c r="BH390" i="119"/>
  <c r="S390" i="119" s="1"/>
  <c r="BG390" i="119"/>
  <c r="R390" i="119" s="1"/>
  <c r="BE390" i="119"/>
  <c r="AS390" i="119"/>
  <c r="Q390" i="119"/>
  <c r="P390" i="119"/>
  <c r="T390" i="119" s="1"/>
  <c r="BP389" i="119"/>
  <c r="BO389" i="119"/>
  <c r="BN389" i="119"/>
  <c r="BM389" i="119"/>
  <c r="BL389" i="119"/>
  <c r="BK389" i="119"/>
  <c r="BJ389" i="119"/>
  <c r="BI389" i="119"/>
  <c r="U389" i="119" s="1"/>
  <c r="BH389" i="119"/>
  <c r="S389" i="119" s="1"/>
  <c r="BG389" i="119"/>
  <c r="BF389" i="119"/>
  <c r="BE389" i="119"/>
  <c r="P389" i="119" s="1"/>
  <c r="AS389" i="119"/>
  <c r="R389" i="119"/>
  <c r="T389" i="119" s="1"/>
  <c r="Q389" i="119"/>
  <c r="BP388" i="119"/>
  <c r="BO388" i="119"/>
  <c r="BN388" i="119"/>
  <c r="BM388" i="119"/>
  <c r="BL388" i="119"/>
  <c r="BK388" i="119"/>
  <c r="BJ388" i="119"/>
  <c r="BI388" i="119"/>
  <c r="BH388" i="119"/>
  <c r="S388" i="119" s="1"/>
  <c r="T388" i="119" s="1"/>
  <c r="BG388" i="119"/>
  <c r="R388" i="119" s="1"/>
  <c r="BE388" i="119"/>
  <c r="P388" i="119" s="1"/>
  <c r="AS388" i="119"/>
  <c r="U388" i="119"/>
  <c r="Q388" i="119"/>
  <c r="BP387" i="119"/>
  <c r="BO387" i="119"/>
  <c r="BN387" i="119"/>
  <c r="BM387" i="119"/>
  <c r="BL387" i="119"/>
  <c r="BK387" i="119"/>
  <c r="BJ387" i="119"/>
  <c r="BI387" i="119"/>
  <c r="U387" i="119" s="1"/>
  <c r="BH387" i="119"/>
  <c r="S387" i="119" s="1"/>
  <c r="BG387" i="119"/>
  <c r="R387" i="119" s="1"/>
  <c r="BE387" i="119"/>
  <c r="AS387" i="119"/>
  <c r="Q387" i="119"/>
  <c r="P387" i="119"/>
  <c r="BP386" i="119"/>
  <c r="BO386" i="119"/>
  <c r="BN386" i="119"/>
  <c r="BM386" i="119"/>
  <c r="BL386" i="119"/>
  <c r="BK386" i="119"/>
  <c r="BJ386" i="119"/>
  <c r="BI386" i="119"/>
  <c r="U386" i="119" s="1"/>
  <c r="BH386" i="119"/>
  <c r="S386" i="119" s="1"/>
  <c r="BG386" i="119"/>
  <c r="R386" i="119" s="1"/>
  <c r="BE386" i="119"/>
  <c r="AS386" i="119"/>
  <c r="Q386" i="119"/>
  <c r="P386" i="119"/>
  <c r="BP385" i="119"/>
  <c r="BO385" i="119"/>
  <c r="BN385" i="119"/>
  <c r="BM385" i="119"/>
  <c r="BL385" i="119"/>
  <c r="BK385" i="119"/>
  <c r="BJ385" i="119"/>
  <c r="BI385" i="119"/>
  <c r="U385" i="119" s="1"/>
  <c r="BH385" i="119"/>
  <c r="BG385" i="119"/>
  <c r="BE385" i="119"/>
  <c r="P385" i="119" s="1"/>
  <c r="AS385" i="119"/>
  <c r="T385" i="119"/>
  <c r="S385" i="119"/>
  <c r="R385" i="119"/>
  <c r="Q385" i="119"/>
  <c r="BP384" i="119"/>
  <c r="BO384" i="119"/>
  <c r="BN384" i="119"/>
  <c r="BM384" i="119"/>
  <c r="BL384" i="119"/>
  <c r="BK384" i="119"/>
  <c r="BJ384" i="119"/>
  <c r="BI384" i="119"/>
  <c r="BH384" i="119"/>
  <c r="S384" i="119" s="1"/>
  <c r="BG384" i="119"/>
  <c r="R384" i="119" s="1"/>
  <c r="BE384" i="119"/>
  <c r="P384" i="119" s="1"/>
  <c r="T384" i="119" s="1"/>
  <c r="AS384" i="119"/>
  <c r="U384" i="119"/>
  <c r="Q384" i="119"/>
  <c r="BP383" i="119"/>
  <c r="BO383" i="119"/>
  <c r="BN383" i="119"/>
  <c r="BM383" i="119"/>
  <c r="BL383" i="119"/>
  <c r="BK383" i="119"/>
  <c r="BJ383" i="119"/>
  <c r="BI383" i="119"/>
  <c r="U383" i="119" s="1"/>
  <c r="BH383" i="119"/>
  <c r="S383" i="119" s="1"/>
  <c r="BG383" i="119"/>
  <c r="R383" i="119" s="1"/>
  <c r="BE383" i="119"/>
  <c r="AS383" i="119"/>
  <c r="Q383" i="119"/>
  <c r="P383" i="119"/>
  <c r="T383" i="119" s="1"/>
  <c r="BP382" i="119"/>
  <c r="BO382" i="119"/>
  <c r="BN382" i="119"/>
  <c r="BM382" i="119"/>
  <c r="BL382" i="119"/>
  <c r="BK382" i="119"/>
  <c r="BJ382" i="119"/>
  <c r="BI382" i="119"/>
  <c r="U382" i="119" s="1"/>
  <c r="BH382" i="119"/>
  <c r="S382" i="119" s="1"/>
  <c r="BG382" i="119"/>
  <c r="BE382" i="119"/>
  <c r="AS382" i="119"/>
  <c r="R382" i="119"/>
  <c r="Q382" i="119"/>
  <c r="P382" i="119"/>
  <c r="T382" i="119" s="1"/>
  <c r="BP381" i="119"/>
  <c r="BO381" i="119"/>
  <c r="BN381" i="119"/>
  <c r="BM381" i="119"/>
  <c r="BL381" i="119"/>
  <c r="BK381" i="119"/>
  <c r="BJ381" i="119"/>
  <c r="BI381" i="119"/>
  <c r="U381" i="119" s="1"/>
  <c r="BH381" i="119"/>
  <c r="BG381" i="119"/>
  <c r="BE381" i="119"/>
  <c r="P381" i="119" s="1"/>
  <c r="AS381" i="119"/>
  <c r="S381" i="119"/>
  <c r="R381" i="119"/>
  <c r="T381" i="119" s="1"/>
  <c r="Q381" i="119"/>
  <c r="BP380" i="119"/>
  <c r="BO380" i="119"/>
  <c r="BN380" i="119"/>
  <c r="BM380" i="119"/>
  <c r="BL380" i="119"/>
  <c r="BK380" i="119"/>
  <c r="BJ380" i="119"/>
  <c r="BI380" i="119"/>
  <c r="BH380" i="119"/>
  <c r="S380" i="119" s="1"/>
  <c r="T380" i="119" s="1"/>
  <c r="BG380" i="119"/>
  <c r="R380" i="119" s="1"/>
  <c r="BE380" i="119"/>
  <c r="P380" i="119" s="1"/>
  <c r="AS380" i="119"/>
  <c r="U380" i="119"/>
  <c r="Q380" i="119"/>
  <c r="BP379" i="119"/>
  <c r="BO379" i="119"/>
  <c r="BN379" i="119"/>
  <c r="BM379" i="119"/>
  <c r="BL379" i="119"/>
  <c r="BK379" i="119"/>
  <c r="BJ379" i="119"/>
  <c r="BI379" i="119"/>
  <c r="U379" i="119" s="1"/>
  <c r="BH379" i="119"/>
  <c r="S379" i="119" s="1"/>
  <c r="BG379" i="119"/>
  <c r="R379" i="119" s="1"/>
  <c r="BE379" i="119"/>
  <c r="AS379" i="119"/>
  <c r="Q379" i="119"/>
  <c r="P379" i="119"/>
  <c r="BP378" i="119"/>
  <c r="BO378" i="119"/>
  <c r="BN378" i="119"/>
  <c r="BM378" i="119"/>
  <c r="BL378" i="119"/>
  <c r="BK378" i="119"/>
  <c r="BJ378" i="119"/>
  <c r="BI378" i="119"/>
  <c r="U378" i="119" s="1"/>
  <c r="BH378" i="119"/>
  <c r="S378" i="119" s="1"/>
  <c r="BG378" i="119"/>
  <c r="R378" i="119" s="1"/>
  <c r="BE378" i="119"/>
  <c r="AS378" i="119"/>
  <c r="Q378" i="119"/>
  <c r="P378" i="119"/>
  <c r="BP377" i="119"/>
  <c r="BO377" i="119"/>
  <c r="BN377" i="119"/>
  <c r="BM377" i="119"/>
  <c r="BL377" i="119"/>
  <c r="BK377" i="119"/>
  <c r="BJ377" i="119"/>
  <c r="BI377" i="119"/>
  <c r="U377" i="119" s="1"/>
  <c r="BH377" i="119"/>
  <c r="BG377" i="119"/>
  <c r="BE377" i="119"/>
  <c r="P377" i="119" s="1"/>
  <c r="AS377" i="119"/>
  <c r="T377" i="119"/>
  <c r="S377" i="119"/>
  <c r="R377" i="119"/>
  <c r="Q377" i="119"/>
  <c r="BP376" i="119"/>
  <c r="BO376" i="119"/>
  <c r="BN376" i="119"/>
  <c r="BM376" i="119"/>
  <c r="BL376" i="119"/>
  <c r="BK376" i="119"/>
  <c r="BJ376" i="119"/>
  <c r="BI376" i="119"/>
  <c r="BH376" i="119"/>
  <c r="S376" i="119" s="1"/>
  <c r="BG376" i="119"/>
  <c r="R376" i="119" s="1"/>
  <c r="BE376" i="119"/>
  <c r="P376" i="119" s="1"/>
  <c r="T376" i="119" s="1"/>
  <c r="AS376" i="119"/>
  <c r="U376" i="119"/>
  <c r="Q376" i="119"/>
  <c r="BP375" i="119"/>
  <c r="BO375" i="119"/>
  <c r="BN375" i="119"/>
  <c r="BM375" i="119"/>
  <c r="BL375" i="119"/>
  <c r="BK375" i="119"/>
  <c r="BJ375" i="119"/>
  <c r="BI375" i="119"/>
  <c r="U375" i="119" s="1"/>
  <c r="BH375" i="119"/>
  <c r="S375" i="119" s="1"/>
  <c r="BG375" i="119"/>
  <c r="R375" i="119" s="1"/>
  <c r="BE375" i="119"/>
  <c r="AS375" i="119"/>
  <c r="Q375" i="119"/>
  <c r="P375" i="119"/>
  <c r="T375" i="119" s="1"/>
  <c r="BP374" i="119"/>
  <c r="BO374" i="119"/>
  <c r="BN374" i="119"/>
  <c r="BM374" i="119"/>
  <c r="BL374" i="119"/>
  <c r="BK374" i="119"/>
  <c r="BJ374" i="119"/>
  <c r="BI374" i="119"/>
  <c r="U374" i="119" s="1"/>
  <c r="BH374" i="119"/>
  <c r="S374" i="119" s="1"/>
  <c r="BG374" i="119"/>
  <c r="BE374" i="119"/>
  <c r="AS374" i="119"/>
  <c r="R374" i="119"/>
  <c r="Q374" i="119"/>
  <c r="P374" i="119"/>
  <c r="T374" i="119" s="1"/>
  <c r="BP373" i="119"/>
  <c r="BO373" i="119"/>
  <c r="BN373" i="119"/>
  <c r="BM373" i="119"/>
  <c r="BL373" i="119"/>
  <c r="BK373" i="119"/>
  <c r="BJ373" i="119"/>
  <c r="BI373" i="119"/>
  <c r="U373" i="119" s="1"/>
  <c r="BH373" i="119"/>
  <c r="BG373" i="119"/>
  <c r="BE373" i="119"/>
  <c r="P373" i="119" s="1"/>
  <c r="AS373" i="119"/>
  <c r="S373" i="119"/>
  <c r="R373" i="119"/>
  <c r="T373" i="119" s="1"/>
  <c r="Q373" i="119"/>
  <c r="BP372" i="119"/>
  <c r="BO372" i="119"/>
  <c r="BN372" i="119"/>
  <c r="BM372" i="119"/>
  <c r="BL372" i="119"/>
  <c r="BK372" i="119"/>
  <c r="BJ372" i="119"/>
  <c r="BI372" i="119"/>
  <c r="BH372" i="119"/>
  <c r="S372" i="119" s="1"/>
  <c r="T372" i="119" s="1"/>
  <c r="BG372" i="119"/>
  <c r="R372" i="119" s="1"/>
  <c r="BE372" i="119"/>
  <c r="P372" i="119" s="1"/>
  <c r="AS372" i="119"/>
  <c r="U372" i="119"/>
  <c r="Q372" i="119"/>
  <c r="BP371" i="119"/>
  <c r="BO371" i="119"/>
  <c r="BN371" i="119"/>
  <c r="BM371" i="119"/>
  <c r="BL371" i="119"/>
  <c r="BK371" i="119"/>
  <c r="BJ371" i="119"/>
  <c r="BI371" i="119"/>
  <c r="U371" i="119" s="1"/>
  <c r="BH371" i="119"/>
  <c r="S371" i="119" s="1"/>
  <c r="BG371" i="119"/>
  <c r="R371" i="119" s="1"/>
  <c r="BE371" i="119"/>
  <c r="AS371" i="119"/>
  <c r="Q371" i="119"/>
  <c r="P371" i="119"/>
  <c r="BP370" i="119"/>
  <c r="BO370" i="119"/>
  <c r="BN370" i="119"/>
  <c r="BM370" i="119"/>
  <c r="BL370" i="119"/>
  <c r="BK370" i="119"/>
  <c r="BJ370" i="119"/>
  <c r="BI370" i="119"/>
  <c r="U370" i="119" s="1"/>
  <c r="BH370" i="119"/>
  <c r="S370" i="119" s="1"/>
  <c r="BG370" i="119"/>
  <c r="R370" i="119" s="1"/>
  <c r="BE370" i="119"/>
  <c r="AS370" i="119"/>
  <c r="Q370" i="119"/>
  <c r="P370" i="119"/>
  <c r="BP369" i="119"/>
  <c r="BO369" i="119"/>
  <c r="BN369" i="119"/>
  <c r="BM369" i="119"/>
  <c r="BL369" i="119"/>
  <c r="BK369" i="119"/>
  <c r="BJ369" i="119"/>
  <c r="BI369" i="119"/>
  <c r="U369" i="119" s="1"/>
  <c r="BH369" i="119"/>
  <c r="BG369" i="119"/>
  <c r="BE369" i="119"/>
  <c r="AS369" i="119"/>
  <c r="T369" i="119"/>
  <c r="S369" i="119"/>
  <c r="R369" i="119"/>
  <c r="Q369" i="119"/>
  <c r="P369" i="119"/>
  <c r="BP368" i="119"/>
  <c r="BO368" i="119"/>
  <c r="BN368" i="119"/>
  <c r="BM368" i="119"/>
  <c r="BL368" i="119"/>
  <c r="BK368" i="119"/>
  <c r="BJ368" i="119"/>
  <c r="BI368" i="119"/>
  <c r="BH368" i="119"/>
  <c r="S368" i="119" s="1"/>
  <c r="BG368" i="119"/>
  <c r="R368" i="119" s="1"/>
  <c r="BE368" i="119"/>
  <c r="P368" i="119" s="1"/>
  <c r="T368" i="119" s="1"/>
  <c r="AS368" i="119"/>
  <c r="U368" i="119"/>
  <c r="Q368" i="119"/>
  <c r="BP367" i="119"/>
  <c r="BO367" i="119"/>
  <c r="BN367" i="119"/>
  <c r="BM367" i="119"/>
  <c r="BL367" i="119"/>
  <c r="BK367" i="119"/>
  <c r="BJ367" i="119"/>
  <c r="BI367" i="119"/>
  <c r="U367" i="119" s="1"/>
  <c r="BH367" i="119"/>
  <c r="S367" i="119" s="1"/>
  <c r="BG367" i="119"/>
  <c r="R367" i="119" s="1"/>
  <c r="BE367" i="119"/>
  <c r="P367" i="119" s="1"/>
  <c r="T367" i="119" s="1"/>
  <c r="AS367" i="119"/>
  <c r="Q367" i="119"/>
  <c r="BP366" i="119"/>
  <c r="BO366" i="119"/>
  <c r="BN366" i="119"/>
  <c r="BM366" i="119"/>
  <c r="BL366" i="119"/>
  <c r="BK366" i="119"/>
  <c r="BJ366" i="119"/>
  <c r="BI366" i="119"/>
  <c r="U366" i="119" s="1"/>
  <c r="BH366" i="119"/>
  <c r="S366" i="119" s="1"/>
  <c r="BG366" i="119"/>
  <c r="BE366" i="119"/>
  <c r="AS366" i="119"/>
  <c r="R366" i="119"/>
  <c r="Q366" i="119"/>
  <c r="P366" i="119"/>
  <c r="T366" i="119" s="1"/>
  <c r="BP365" i="119"/>
  <c r="BO365" i="119"/>
  <c r="BN365" i="119"/>
  <c r="BM365" i="119"/>
  <c r="BL365" i="119"/>
  <c r="BK365" i="119"/>
  <c r="BJ365" i="119"/>
  <c r="BI365" i="119"/>
  <c r="U365" i="119" s="1"/>
  <c r="BH365" i="119"/>
  <c r="BG365" i="119"/>
  <c r="BE365" i="119"/>
  <c r="AS365" i="119"/>
  <c r="S365" i="119"/>
  <c r="R365" i="119"/>
  <c r="T365" i="119" s="1"/>
  <c r="Q365" i="119"/>
  <c r="P365" i="119"/>
  <c r="BP364" i="119"/>
  <c r="BO364" i="119"/>
  <c r="BN364" i="119"/>
  <c r="BM364" i="119"/>
  <c r="BL364" i="119"/>
  <c r="BK364" i="119"/>
  <c r="BJ364" i="119"/>
  <c r="BI364" i="119"/>
  <c r="BH364" i="119"/>
  <c r="S364" i="119" s="1"/>
  <c r="BG364" i="119"/>
  <c r="R364" i="119" s="1"/>
  <c r="BE364" i="119"/>
  <c r="P364" i="119" s="1"/>
  <c r="AS364" i="119"/>
  <c r="U364" i="119"/>
  <c r="T364" i="119"/>
  <c r="Q364" i="119"/>
  <c r="BP363" i="119"/>
  <c r="BO363" i="119"/>
  <c r="BN363" i="119"/>
  <c r="BM363" i="119"/>
  <c r="BL363" i="119"/>
  <c r="BK363" i="119"/>
  <c r="BJ363" i="119"/>
  <c r="BI363" i="119"/>
  <c r="U363" i="119" s="1"/>
  <c r="BH363" i="119"/>
  <c r="S363" i="119" s="1"/>
  <c r="BG363" i="119"/>
  <c r="R363" i="119" s="1"/>
  <c r="BE363" i="119"/>
  <c r="AS363" i="119"/>
  <c r="Q363" i="119"/>
  <c r="P363" i="119"/>
  <c r="T363" i="119" s="1"/>
  <c r="BP362" i="119"/>
  <c r="BO362" i="119"/>
  <c r="BN362" i="119"/>
  <c r="BM362" i="119"/>
  <c r="BL362" i="119"/>
  <c r="BK362" i="119"/>
  <c r="BJ362" i="119"/>
  <c r="BI362" i="119"/>
  <c r="U362" i="119" s="1"/>
  <c r="BH362" i="119"/>
  <c r="S362" i="119" s="1"/>
  <c r="BG362" i="119"/>
  <c r="R362" i="119" s="1"/>
  <c r="BE362" i="119"/>
  <c r="AS362" i="119"/>
  <c r="Q362" i="119"/>
  <c r="P362" i="119"/>
  <c r="BP361" i="119"/>
  <c r="BO361" i="119"/>
  <c r="BN361" i="119"/>
  <c r="BM361" i="119"/>
  <c r="BL361" i="119"/>
  <c r="BK361" i="119"/>
  <c r="BJ361" i="119"/>
  <c r="BI361" i="119"/>
  <c r="U361" i="119" s="1"/>
  <c r="BH361" i="119"/>
  <c r="BG361" i="119"/>
  <c r="BE361" i="119"/>
  <c r="AS361" i="119"/>
  <c r="S361" i="119"/>
  <c r="R361" i="119"/>
  <c r="T361" i="119" s="1"/>
  <c r="Q361" i="119"/>
  <c r="P361" i="119"/>
  <c r="BP360" i="119"/>
  <c r="BO360" i="119"/>
  <c r="BN360" i="119"/>
  <c r="BM360" i="119"/>
  <c r="BL360" i="119"/>
  <c r="BK360" i="119"/>
  <c r="BJ360" i="119"/>
  <c r="BI360" i="119"/>
  <c r="BH360" i="119"/>
  <c r="S360" i="119" s="1"/>
  <c r="BG360" i="119"/>
  <c r="R360" i="119" s="1"/>
  <c r="T360" i="119" s="1"/>
  <c r="BE360" i="119"/>
  <c r="P360" i="119" s="1"/>
  <c r="AS360" i="119"/>
  <c r="U360" i="119"/>
  <c r="Q360" i="119"/>
  <c r="BP359" i="119"/>
  <c r="BO359" i="119"/>
  <c r="BN359" i="119"/>
  <c r="BM359" i="119"/>
  <c r="BL359" i="119"/>
  <c r="BK359" i="119"/>
  <c r="BJ359" i="119"/>
  <c r="BI359" i="119"/>
  <c r="U359" i="119" s="1"/>
  <c r="BH359" i="119"/>
  <c r="S359" i="119" s="1"/>
  <c r="BG359" i="119"/>
  <c r="R359" i="119" s="1"/>
  <c r="BE359" i="119"/>
  <c r="P359" i="119" s="1"/>
  <c r="T359" i="119" s="1"/>
  <c r="AS359" i="119"/>
  <c r="Q359" i="119"/>
  <c r="BP358" i="119"/>
  <c r="BO358" i="119"/>
  <c r="BN358" i="119"/>
  <c r="BM358" i="119"/>
  <c r="BL358" i="119"/>
  <c r="BK358" i="119"/>
  <c r="BJ358" i="119"/>
  <c r="BI358" i="119"/>
  <c r="U358" i="119" s="1"/>
  <c r="BH358" i="119"/>
  <c r="S358" i="119" s="1"/>
  <c r="BG358" i="119"/>
  <c r="BE358" i="119"/>
  <c r="AS358" i="119"/>
  <c r="R358" i="119"/>
  <c r="Q358" i="119"/>
  <c r="P358" i="119"/>
  <c r="BP357" i="119"/>
  <c r="BO357" i="119"/>
  <c r="BN357" i="119"/>
  <c r="BM357" i="119"/>
  <c r="BL357" i="119"/>
  <c r="BK357" i="119"/>
  <c r="BJ357" i="119"/>
  <c r="BI357" i="119"/>
  <c r="U357" i="119" s="1"/>
  <c r="BH357" i="119"/>
  <c r="BG357" i="119"/>
  <c r="BE357" i="119"/>
  <c r="AS357" i="119"/>
  <c r="S357" i="119"/>
  <c r="T357" i="119" s="1"/>
  <c r="R357" i="119"/>
  <c r="Q357" i="119"/>
  <c r="P357" i="119"/>
  <c r="BP356" i="119"/>
  <c r="BO356" i="119"/>
  <c r="BN356" i="119"/>
  <c r="BM356" i="119"/>
  <c r="BL356" i="119"/>
  <c r="BK356" i="119"/>
  <c r="BJ356" i="119"/>
  <c r="BI356" i="119"/>
  <c r="BH356" i="119"/>
  <c r="S356" i="119" s="1"/>
  <c r="BG356" i="119"/>
  <c r="R356" i="119" s="1"/>
  <c r="BE356" i="119"/>
  <c r="P356" i="119" s="1"/>
  <c r="T356" i="119" s="1"/>
  <c r="AS356" i="119"/>
  <c r="U356" i="119"/>
  <c r="Q356" i="119"/>
  <c r="BP355" i="119"/>
  <c r="BO355" i="119"/>
  <c r="BN355" i="119"/>
  <c r="BM355" i="119"/>
  <c r="BL355" i="119"/>
  <c r="BK355" i="119"/>
  <c r="BJ355" i="119"/>
  <c r="BI355" i="119"/>
  <c r="U355" i="119" s="1"/>
  <c r="BH355" i="119"/>
  <c r="S355" i="119" s="1"/>
  <c r="BG355" i="119"/>
  <c r="R355" i="119" s="1"/>
  <c r="BE355" i="119"/>
  <c r="AS355" i="119"/>
  <c r="Q355" i="119"/>
  <c r="P355" i="119"/>
  <c r="T355" i="119" s="1"/>
  <c r="BP354" i="119"/>
  <c r="BO354" i="119"/>
  <c r="BN354" i="119"/>
  <c r="BM354" i="119"/>
  <c r="BL354" i="119"/>
  <c r="BK354" i="119"/>
  <c r="BJ354" i="119"/>
  <c r="BI354" i="119"/>
  <c r="U354" i="119" s="1"/>
  <c r="BH354" i="119"/>
  <c r="S354" i="119" s="1"/>
  <c r="BG354" i="119"/>
  <c r="BE354" i="119"/>
  <c r="AS354" i="119"/>
  <c r="R354" i="119"/>
  <c r="Q354" i="119"/>
  <c r="P354" i="119"/>
  <c r="T354" i="119" s="1"/>
  <c r="BP353" i="119"/>
  <c r="BO353" i="119"/>
  <c r="BN353" i="119"/>
  <c r="BM353" i="119"/>
  <c r="BL353" i="119"/>
  <c r="BK353" i="119"/>
  <c r="BJ353" i="119"/>
  <c r="BI353" i="119"/>
  <c r="U353" i="119" s="1"/>
  <c r="BH353" i="119"/>
  <c r="BG353" i="119"/>
  <c r="BE353" i="119"/>
  <c r="AS353" i="119"/>
  <c r="S353" i="119"/>
  <c r="R353" i="119"/>
  <c r="T353" i="119" s="1"/>
  <c r="Q353" i="119"/>
  <c r="P353" i="119"/>
  <c r="BP352" i="119"/>
  <c r="BO352" i="119"/>
  <c r="BN352" i="119"/>
  <c r="BM352" i="119"/>
  <c r="BL352" i="119"/>
  <c r="BK352" i="119"/>
  <c r="BJ352" i="119"/>
  <c r="BI352" i="119"/>
  <c r="BH352" i="119"/>
  <c r="S352" i="119" s="1"/>
  <c r="BG352" i="119"/>
  <c r="R352" i="119" s="1"/>
  <c r="BE352" i="119"/>
  <c r="P352" i="119" s="1"/>
  <c r="AS352" i="119"/>
  <c r="U352" i="119"/>
  <c r="T352" i="119"/>
  <c r="Q352" i="119"/>
  <c r="BP351" i="119"/>
  <c r="BO351" i="119"/>
  <c r="BN351" i="119"/>
  <c r="BM351" i="119"/>
  <c r="BL351" i="119"/>
  <c r="BK351" i="119"/>
  <c r="BJ351" i="119"/>
  <c r="BI351" i="119"/>
  <c r="U351" i="119" s="1"/>
  <c r="BH351" i="119"/>
  <c r="S351" i="119" s="1"/>
  <c r="BG351" i="119"/>
  <c r="R351" i="119" s="1"/>
  <c r="BE351" i="119"/>
  <c r="AS351" i="119"/>
  <c r="Q351" i="119"/>
  <c r="P351" i="119"/>
  <c r="BP350" i="119"/>
  <c r="BO350" i="119"/>
  <c r="BN350" i="119"/>
  <c r="BM350" i="119"/>
  <c r="BL350" i="119"/>
  <c r="BK350" i="119"/>
  <c r="BJ350" i="119"/>
  <c r="BI350" i="119"/>
  <c r="U350" i="119" s="1"/>
  <c r="BH350" i="119"/>
  <c r="S350" i="119" s="1"/>
  <c r="BG350" i="119"/>
  <c r="R350" i="119" s="1"/>
  <c r="BE350" i="119"/>
  <c r="AS350" i="119"/>
  <c r="Q350" i="119"/>
  <c r="P350" i="119"/>
  <c r="BP349" i="119"/>
  <c r="BO349" i="119"/>
  <c r="BN349" i="119"/>
  <c r="BM349" i="119"/>
  <c r="BL349" i="119"/>
  <c r="BK349" i="119"/>
  <c r="BJ349" i="119"/>
  <c r="BI349" i="119"/>
  <c r="U349" i="119" s="1"/>
  <c r="BH349" i="119"/>
  <c r="BG349" i="119"/>
  <c r="BE349" i="119"/>
  <c r="AS349" i="119"/>
  <c r="S349" i="119"/>
  <c r="T349" i="119" s="1"/>
  <c r="R349" i="119"/>
  <c r="Q349" i="119"/>
  <c r="P349" i="119"/>
  <c r="BP348" i="119"/>
  <c r="BO348" i="119"/>
  <c r="BN348" i="119"/>
  <c r="BM348" i="119"/>
  <c r="BL348" i="119"/>
  <c r="BK348" i="119"/>
  <c r="BJ348" i="119"/>
  <c r="BI348" i="119"/>
  <c r="BH348" i="119"/>
  <c r="S348" i="119" s="1"/>
  <c r="BG348" i="119"/>
  <c r="R348" i="119" s="1"/>
  <c r="BE348" i="119"/>
  <c r="P348" i="119" s="1"/>
  <c r="T348" i="119" s="1"/>
  <c r="AS348" i="119"/>
  <c r="U348" i="119"/>
  <c r="Q348" i="119"/>
  <c r="BP347" i="119"/>
  <c r="BO347" i="119"/>
  <c r="BN347" i="119"/>
  <c r="BM347" i="119"/>
  <c r="BL347" i="119"/>
  <c r="BK347" i="119"/>
  <c r="BJ347" i="119"/>
  <c r="BI347" i="119"/>
  <c r="U347" i="119" s="1"/>
  <c r="BH347" i="119"/>
  <c r="S347" i="119" s="1"/>
  <c r="BG347" i="119"/>
  <c r="R347" i="119" s="1"/>
  <c r="BE347" i="119"/>
  <c r="P347" i="119" s="1"/>
  <c r="T347" i="119" s="1"/>
  <c r="AS347" i="119"/>
  <c r="Q347" i="119"/>
  <c r="BP346" i="119"/>
  <c r="BO346" i="119"/>
  <c r="BN346" i="119"/>
  <c r="BM346" i="119"/>
  <c r="BL346" i="119"/>
  <c r="BK346" i="119"/>
  <c r="BJ346" i="119"/>
  <c r="BI346" i="119"/>
  <c r="U346" i="119" s="1"/>
  <c r="BH346" i="119"/>
  <c r="S346" i="119" s="1"/>
  <c r="BG346" i="119"/>
  <c r="BE346" i="119"/>
  <c r="AS346" i="119"/>
  <c r="R346" i="119"/>
  <c r="Q346" i="119"/>
  <c r="P346" i="119"/>
  <c r="BP345" i="119"/>
  <c r="BO345" i="119"/>
  <c r="BN345" i="119"/>
  <c r="BM345" i="119"/>
  <c r="BL345" i="119"/>
  <c r="BK345" i="119"/>
  <c r="BJ345" i="119"/>
  <c r="BI345" i="119"/>
  <c r="U345" i="119" s="1"/>
  <c r="BH345" i="119"/>
  <c r="BG345" i="119"/>
  <c r="BE345" i="119"/>
  <c r="AS345" i="119"/>
  <c r="S345" i="119"/>
  <c r="R345" i="119"/>
  <c r="T345" i="119" s="1"/>
  <c r="Q345" i="119"/>
  <c r="P345" i="119"/>
  <c r="BP344" i="119"/>
  <c r="BO344" i="119"/>
  <c r="BN344" i="119"/>
  <c r="BM344" i="119"/>
  <c r="BL344" i="119"/>
  <c r="BK344" i="119"/>
  <c r="BJ344" i="119"/>
  <c r="BI344" i="119"/>
  <c r="BH344" i="119"/>
  <c r="S344" i="119" s="1"/>
  <c r="BG344" i="119"/>
  <c r="R344" i="119" s="1"/>
  <c r="BE344" i="119"/>
  <c r="P344" i="119" s="1"/>
  <c r="AS344" i="119"/>
  <c r="U344" i="119"/>
  <c r="T344" i="119"/>
  <c r="Q344" i="119"/>
  <c r="BP343" i="119"/>
  <c r="BO343" i="119"/>
  <c r="BN343" i="119"/>
  <c r="BM343" i="119"/>
  <c r="BL343" i="119"/>
  <c r="BK343" i="119"/>
  <c r="BJ343" i="119"/>
  <c r="BI343" i="119"/>
  <c r="U343" i="119" s="1"/>
  <c r="BH343" i="119"/>
  <c r="S343" i="119" s="1"/>
  <c r="BG343" i="119"/>
  <c r="R343" i="119" s="1"/>
  <c r="BE343" i="119"/>
  <c r="AS343" i="119"/>
  <c r="Q343" i="119"/>
  <c r="P343" i="119"/>
  <c r="T343" i="119" s="1"/>
  <c r="BP342" i="119"/>
  <c r="BO342" i="119"/>
  <c r="BN342" i="119"/>
  <c r="BM342" i="119"/>
  <c r="BL342" i="119"/>
  <c r="BK342" i="119"/>
  <c r="BJ342" i="119"/>
  <c r="BI342" i="119"/>
  <c r="U342" i="119" s="1"/>
  <c r="BH342" i="119"/>
  <c r="S342" i="119" s="1"/>
  <c r="BG342" i="119"/>
  <c r="BE342" i="119"/>
  <c r="AS342" i="119"/>
  <c r="R342" i="119"/>
  <c r="Q342" i="119"/>
  <c r="P342" i="119"/>
  <c r="BP341" i="119"/>
  <c r="BO341" i="119"/>
  <c r="BN341" i="119"/>
  <c r="BM341" i="119"/>
  <c r="BL341" i="119"/>
  <c r="BK341" i="119"/>
  <c r="BJ341" i="119"/>
  <c r="BI341" i="119"/>
  <c r="U341" i="119" s="1"/>
  <c r="BH341" i="119"/>
  <c r="BG341" i="119"/>
  <c r="BE341" i="119"/>
  <c r="AS341" i="119"/>
  <c r="S341" i="119"/>
  <c r="R341" i="119"/>
  <c r="T341" i="119" s="1"/>
  <c r="Q341" i="119"/>
  <c r="P341" i="119"/>
  <c r="BP340" i="119"/>
  <c r="BO340" i="119"/>
  <c r="BN340" i="119"/>
  <c r="BM340" i="119"/>
  <c r="BL340" i="119"/>
  <c r="BK340" i="119"/>
  <c r="BJ340" i="119"/>
  <c r="BI340" i="119"/>
  <c r="BH340" i="119"/>
  <c r="S340" i="119" s="1"/>
  <c r="T340" i="119" s="1"/>
  <c r="BG340" i="119"/>
  <c r="R340" i="119" s="1"/>
  <c r="BE340" i="119"/>
  <c r="P340" i="119" s="1"/>
  <c r="AS340" i="119"/>
  <c r="U340" i="119"/>
  <c r="Q340" i="119"/>
  <c r="BP339" i="119"/>
  <c r="BO339" i="119"/>
  <c r="BN339" i="119"/>
  <c r="BM339" i="119"/>
  <c r="BL339" i="119"/>
  <c r="BK339" i="119"/>
  <c r="BJ339" i="119"/>
  <c r="BI339" i="119"/>
  <c r="U339" i="119" s="1"/>
  <c r="BH339" i="119"/>
  <c r="S339" i="119" s="1"/>
  <c r="BG339" i="119"/>
  <c r="R339" i="119" s="1"/>
  <c r="BE339" i="119"/>
  <c r="AS339" i="119"/>
  <c r="Q339" i="119"/>
  <c r="P339" i="119"/>
  <c r="BP338" i="119"/>
  <c r="BO338" i="119"/>
  <c r="BN338" i="119"/>
  <c r="BM338" i="119"/>
  <c r="BL338" i="119"/>
  <c r="BK338" i="119"/>
  <c r="BJ338" i="119"/>
  <c r="BI338" i="119"/>
  <c r="U338" i="119" s="1"/>
  <c r="BH338" i="119"/>
  <c r="S338" i="119" s="1"/>
  <c r="BG338" i="119"/>
  <c r="R338" i="119" s="1"/>
  <c r="BE338" i="119"/>
  <c r="AS338" i="119"/>
  <c r="Q338" i="119"/>
  <c r="P338" i="119"/>
  <c r="BP337" i="119"/>
  <c r="BO337" i="119"/>
  <c r="BN337" i="119"/>
  <c r="BM337" i="119"/>
  <c r="BL337" i="119"/>
  <c r="BK337" i="119"/>
  <c r="BJ337" i="119"/>
  <c r="BI337" i="119"/>
  <c r="U337" i="119" s="1"/>
  <c r="BH337" i="119"/>
  <c r="BG337" i="119"/>
  <c r="BE337" i="119"/>
  <c r="AS337" i="119"/>
  <c r="T337" i="119"/>
  <c r="S337" i="119"/>
  <c r="R337" i="119"/>
  <c r="Q337" i="119"/>
  <c r="P337" i="119"/>
  <c r="BP336" i="119"/>
  <c r="BO336" i="119"/>
  <c r="BN336" i="119"/>
  <c r="BM336" i="119"/>
  <c r="BL336" i="119"/>
  <c r="BK336" i="119"/>
  <c r="BJ336" i="119"/>
  <c r="BI336" i="119"/>
  <c r="BH336" i="119"/>
  <c r="S336" i="119" s="1"/>
  <c r="BG336" i="119"/>
  <c r="R336" i="119" s="1"/>
  <c r="BE336" i="119"/>
  <c r="P336" i="119" s="1"/>
  <c r="T336" i="119" s="1"/>
  <c r="AS336" i="119"/>
  <c r="U336" i="119"/>
  <c r="Q336" i="119"/>
  <c r="BP335" i="119"/>
  <c r="BO335" i="119"/>
  <c r="BN335" i="119"/>
  <c r="BM335" i="119"/>
  <c r="BL335" i="119"/>
  <c r="BK335" i="119"/>
  <c r="BJ335" i="119"/>
  <c r="BI335" i="119"/>
  <c r="U335" i="119" s="1"/>
  <c r="BH335" i="119"/>
  <c r="S335" i="119" s="1"/>
  <c r="BG335" i="119"/>
  <c r="R335" i="119" s="1"/>
  <c r="BE335" i="119"/>
  <c r="P335" i="119" s="1"/>
  <c r="T335" i="119" s="1"/>
  <c r="AS335" i="119"/>
  <c r="Q335" i="119"/>
  <c r="BP334" i="119"/>
  <c r="BO334" i="119"/>
  <c r="BN334" i="119"/>
  <c r="BM334" i="119"/>
  <c r="BL334" i="119"/>
  <c r="BK334" i="119"/>
  <c r="BJ334" i="119"/>
  <c r="BI334" i="119"/>
  <c r="U334" i="119" s="1"/>
  <c r="BH334" i="119"/>
  <c r="S334" i="119" s="1"/>
  <c r="BG334" i="119"/>
  <c r="BE334" i="119"/>
  <c r="AS334" i="119"/>
  <c r="R334" i="119"/>
  <c r="Q334" i="119"/>
  <c r="P334" i="119"/>
  <c r="T334" i="119" s="1"/>
  <c r="BP333" i="119"/>
  <c r="BO333" i="119"/>
  <c r="BN333" i="119"/>
  <c r="BM333" i="119"/>
  <c r="BL333" i="119"/>
  <c r="BK333" i="119"/>
  <c r="BJ333" i="119"/>
  <c r="BI333" i="119"/>
  <c r="U333" i="119" s="1"/>
  <c r="BH333" i="119"/>
  <c r="BG333" i="119"/>
  <c r="BE333" i="119"/>
  <c r="AS333" i="119"/>
  <c r="S333" i="119"/>
  <c r="R333" i="119"/>
  <c r="T333" i="119" s="1"/>
  <c r="Q333" i="119"/>
  <c r="P333" i="119"/>
  <c r="BP332" i="119"/>
  <c r="BO332" i="119"/>
  <c r="BN332" i="119"/>
  <c r="BM332" i="119"/>
  <c r="BL332" i="119"/>
  <c r="BK332" i="119"/>
  <c r="BJ332" i="119"/>
  <c r="BI332" i="119"/>
  <c r="BH332" i="119"/>
  <c r="S332" i="119" s="1"/>
  <c r="BG332" i="119"/>
  <c r="R332" i="119" s="1"/>
  <c r="BE332" i="119"/>
  <c r="P332" i="119" s="1"/>
  <c r="AS332" i="119"/>
  <c r="U332" i="119"/>
  <c r="T332" i="119"/>
  <c r="Q332" i="119"/>
  <c r="BP331" i="119"/>
  <c r="BO331" i="119"/>
  <c r="BN331" i="119"/>
  <c r="BM331" i="119"/>
  <c r="BL331" i="119"/>
  <c r="BK331" i="119"/>
  <c r="BJ331" i="119"/>
  <c r="BI331" i="119"/>
  <c r="U331" i="119" s="1"/>
  <c r="BH331" i="119"/>
  <c r="S331" i="119" s="1"/>
  <c r="BG331" i="119"/>
  <c r="R331" i="119" s="1"/>
  <c r="BE331" i="119"/>
  <c r="AS331" i="119"/>
  <c r="Q331" i="119"/>
  <c r="P331" i="119"/>
  <c r="T331" i="119" s="1"/>
  <c r="BP330" i="119"/>
  <c r="BO330" i="119"/>
  <c r="BN330" i="119"/>
  <c r="BM330" i="119"/>
  <c r="BL330" i="119"/>
  <c r="BK330" i="119"/>
  <c r="BJ330" i="119"/>
  <c r="BI330" i="119"/>
  <c r="U330" i="119" s="1"/>
  <c r="BH330" i="119"/>
  <c r="S330" i="119" s="1"/>
  <c r="BG330" i="119"/>
  <c r="R330" i="119" s="1"/>
  <c r="BE330" i="119"/>
  <c r="AS330" i="119"/>
  <c r="Q330" i="119"/>
  <c r="P330" i="119"/>
  <c r="BP329" i="119"/>
  <c r="BO329" i="119"/>
  <c r="BN329" i="119"/>
  <c r="BM329" i="119"/>
  <c r="BL329" i="119"/>
  <c r="BK329" i="119"/>
  <c r="BJ329" i="119"/>
  <c r="BI329" i="119"/>
  <c r="U329" i="119" s="1"/>
  <c r="BH329" i="119"/>
  <c r="BG329" i="119"/>
  <c r="BE329" i="119"/>
  <c r="AS329" i="119"/>
  <c r="S329" i="119"/>
  <c r="R329" i="119"/>
  <c r="T329" i="119" s="1"/>
  <c r="Q329" i="119"/>
  <c r="P329" i="119"/>
  <c r="BP328" i="119"/>
  <c r="BO328" i="119"/>
  <c r="BN328" i="119"/>
  <c r="BM328" i="119"/>
  <c r="BL328" i="119"/>
  <c r="BK328" i="119"/>
  <c r="BJ328" i="119"/>
  <c r="BI328" i="119"/>
  <c r="BH328" i="119"/>
  <c r="S328" i="119" s="1"/>
  <c r="BG328" i="119"/>
  <c r="R328" i="119" s="1"/>
  <c r="T328" i="119" s="1"/>
  <c r="BE328" i="119"/>
  <c r="AS328" i="119"/>
  <c r="U328" i="119"/>
  <c r="Q328" i="119"/>
  <c r="P328" i="119"/>
  <c r="BP327" i="119"/>
  <c r="BO327" i="119"/>
  <c r="BN327" i="119"/>
  <c r="BM327" i="119"/>
  <c r="BL327" i="119"/>
  <c r="BK327" i="119"/>
  <c r="BJ327" i="119"/>
  <c r="BI327" i="119"/>
  <c r="U327" i="119" s="1"/>
  <c r="BH327" i="119"/>
  <c r="S327" i="119" s="1"/>
  <c r="BG327" i="119"/>
  <c r="R327" i="119" s="1"/>
  <c r="BE327" i="119"/>
  <c r="AS327" i="119"/>
  <c r="Q327" i="119"/>
  <c r="P327" i="119"/>
  <c r="BP326" i="119"/>
  <c r="BO326" i="119"/>
  <c r="BN326" i="119"/>
  <c r="BM326" i="119"/>
  <c r="BL326" i="119"/>
  <c r="BK326" i="119"/>
  <c r="BJ326" i="119"/>
  <c r="BI326" i="119"/>
  <c r="U326" i="119" s="1"/>
  <c r="BH326" i="119"/>
  <c r="S326" i="119" s="1"/>
  <c r="BG326" i="119"/>
  <c r="R326" i="119" s="1"/>
  <c r="BE326" i="119"/>
  <c r="AS326" i="119"/>
  <c r="Q326" i="119"/>
  <c r="P326" i="119"/>
  <c r="BP325" i="119"/>
  <c r="BO325" i="119"/>
  <c r="BN325" i="119"/>
  <c r="BM325" i="119"/>
  <c r="BL325" i="119"/>
  <c r="BK325" i="119"/>
  <c r="BJ325" i="119"/>
  <c r="BI325" i="119"/>
  <c r="U325" i="119" s="1"/>
  <c r="BH325" i="119"/>
  <c r="BG325" i="119"/>
  <c r="BE325" i="119"/>
  <c r="AS325" i="119"/>
  <c r="T325" i="119"/>
  <c r="S325" i="119"/>
  <c r="R325" i="119"/>
  <c r="Q325" i="119"/>
  <c r="P325" i="119"/>
  <c r="BP324" i="119"/>
  <c r="BO324" i="119"/>
  <c r="BN324" i="119"/>
  <c r="BM324" i="119"/>
  <c r="BL324" i="119"/>
  <c r="BK324" i="119"/>
  <c r="BJ324" i="119"/>
  <c r="BI324" i="119"/>
  <c r="BH324" i="119"/>
  <c r="S324" i="119" s="1"/>
  <c r="BG324" i="119"/>
  <c r="R324" i="119" s="1"/>
  <c r="T324" i="119" s="1"/>
  <c r="BE324" i="119"/>
  <c r="AS324" i="119"/>
  <c r="U324" i="119"/>
  <c r="Q324" i="119"/>
  <c r="P324" i="119"/>
  <c r="BP323" i="119"/>
  <c r="BO323" i="119"/>
  <c r="BN323" i="119"/>
  <c r="BM323" i="119"/>
  <c r="BL323" i="119"/>
  <c r="BK323" i="119"/>
  <c r="BJ323" i="119"/>
  <c r="BI323" i="119"/>
  <c r="U323" i="119" s="1"/>
  <c r="BH323" i="119"/>
  <c r="S323" i="119" s="1"/>
  <c r="BG323" i="119"/>
  <c r="R323" i="119" s="1"/>
  <c r="BE323" i="119"/>
  <c r="P323" i="119" s="1"/>
  <c r="T323" i="119" s="1"/>
  <c r="AS323" i="119"/>
  <c r="Q323" i="119"/>
  <c r="BP322" i="119"/>
  <c r="BO322" i="119"/>
  <c r="BN322" i="119"/>
  <c r="BM322" i="119"/>
  <c r="BL322" i="119"/>
  <c r="BK322" i="119"/>
  <c r="BJ322" i="119"/>
  <c r="BI322" i="119"/>
  <c r="U322" i="119" s="1"/>
  <c r="BH322" i="119"/>
  <c r="S322" i="119" s="1"/>
  <c r="BG322" i="119"/>
  <c r="BE322" i="119"/>
  <c r="AS322" i="119"/>
  <c r="R322" i="119"/>
  <c r="Q322" i="119"/>
  <c r="P322" i="119"/>
  <c r="BP321" i="119"/>
  <c r="BO321" i="119"/>
  <c r="BN321" i="119"/>
  <c r="BM321" i="119"/>
  <c r="BL321" i="119"/>
  <c r="BK321" i="119"/>
  <c r="BJ321" i="119"/>
  <c r="BI321" i="119"/>
  <c r="U321" i="119" s="1"/>
  <c r="BH321" i="119"/>
  <c r="BG321" i="119"/>
  <c r="BE321" i="119"/>
  <c r="AS321" i="119"/>
  <c r="S321" i="119"/>
  <c r="R321" i="119"/>
  <c r="T321" i="119" s="1"/>
  <c r="Q321" i="119"/>
  <c r="P321" i="119"/>
  <c r="BP320" i="119"/>
  <c r="BO320" i="119"/>
  <c r="BN320" i="119"/>
  <c r="BM320" i="119"/>
  <c r="BL320" i="119"/>
  <c r="BK320" i="119"/>
  <c r="BJ320" i="119"/>
  <c r="BI320" i="119"/>
  <c r="BH320" i="119"/>
  <c r="S320" i="119" s="1"/>
  <c r="BG320" i="119"/>
  <c r="R320" i="119" s="1"/>
  <c r="BE320" i="119"/>
  <c r="AS320" i="119"/>
  <c r="U320" i="119"/>
  <c r="T320" i="119"/>
  <c r="Q320" i="119"/>
  <c r="P320" i="119"/>
  <c r="BP319" i="119"/>
  <c r="BO319" i="119"/>
  <c r="BN319" i="119"/>
  <c r="BM319" i="119"/>
  <c r="BL319" i="119"/>
  <c r="BK319" i="119"/>
  <c r="BJ319" i="119"/>
  <c r="BI319" i="119"/>
  <c r="U319" i="119" s="1"/>
  <c r="BH319" i="119"/>
  <c r="S319" i="119" s="1"/>
  <c r="BG319" i="119"/>
  <c r="R319" i="119" s="1"/>
  <c r="BE319" i="119"/>
  <c r="AS319" i="119"/>
  <c r="Q319" i="119"/>
  <c r="P319" i="119"/>
  <c r="T319" i="119" s="1"/>
  <c r="BP318" i="119"/>
  <c r="BO318" i="119"/>
  <c r="BN318" i="119"/>
  <c r="BM318" i="119"/>
  <c r="BL318" i="119"/>
  <c r="BK318" i="119"/>
  <c r="BJ318" i="119"/>
  <c r="BI318" i="119"/>
  <c r="U318" i="119" s="1"/>
  <c r="BH318" i="119"/>
  <c r="S318" i="119" s="1"/>
  <c r="BG318" i="119"/>
  <c r="BE318" i="119"/>
  <c r="AS318" i="119"/>
  <c r="R318" i="119"/>
  <c r="Q318" i="119"/>
  <c r="P318" i="119"/>
  <c r="T318" i="119" s="1"/>
  <c r="BP317" i="119"/>
  <c r="BO317" i="119"/>
  <c r="BN317" i="119"/>
  <c r="BM317" i="119"/>
  <c r="BL317" i="119"/>
  <c r="BK317" i="119"/>
  <c r="BJ317" i="119"/>
  <c r="BI317" i="119"/>
  <c r="U317" i="119" s="1"/>
  <c r="BH317" i="119"/>
  <c r="BG317" i="119"/>
  <c r="BE317" i="119"/>
  <c r="AS317" i="119"/>
  <c r="S317" i="119"/>
  <c r="R317" i="119"/>
  <c r="T317" i="119" s="1"/>
  <c r="Q317" i="119"/>
  <c r="P317" i="119"/>
  <c r="BP316" i="119"/>
  <c r="BO316" i="119"/>
  <c r="BN316" i="119"/>
  <c r="BM316" i="119"/>
  <c r="BL316" i="119"/>
  <c r="BK316" i="119"/>
  <c r="BJ316" i="119"/>
  <c r="BI316" i="119"/>
  <c r="BH316" i="119"/>
  <c r="S316" i="119" s="1"/>
  <c r="BG316" i="119"/>
  <c r="R316" i="119" s="1"/>
  <c r="BE316" i="119"/>
  <c r="AS316" i="119"/>
  <c r="U316" i="119"/>
  <c r="T316" i="119"/>
  <c r="Q316" i="119"/>
  <c r="P316" i="119"/>
  <c r="BP315" i="119"/>
  <c r="BO315" i="119"/>
  <c r="BN315" i="119"/>
  <c r="BM315" i="119"/>
  <c r="BL315" i="119"/>
  <c r="BK315" i="119"/>
  <c r="BJ315" i="119"/>
  <c r="BI315" i="119"/>
  <c r="U315" i="119" s="1"/>
  <c r="BH315" i="119"/>
  <c r="S315" i="119" s="1"/>
  <c r="BG315" i="119"/>
  <c r="R315" i="119" s="1"/>
  <c r="BE315" i="119"/>
  <c r="AS315" i="119"/>
  <c r="Q315" i="119"/>
  <c r="P315" i="119"/>
  <c r="T315" i="119" s="1"/>
  <c r="BP314" i="119"/>
  <c r="BO314" i="119"/>
  <c r="BN314" i="119"/>
  <c r="BM314" i="119"/>
  <c r="BL314" i="119"/>
  <c r="BK314" i="119"/>
  <c r="BJ314" i="119"/>
  <c r="BI314" i="119"/>
  <c r="U314" i="119" s="1"/>
  <c r="BH314" i="119"/>
  <c r="S314" i="119" s="1"/>
  <c r="BG314" i="119"/>
  <c r="R314" i="119" s="1"/>
  <c r="BE314" i="119"/>
  <c r="AS314" i="119"/>
  <c r="Q314" i="119"/>
  <c r="P314" i="119"/>
  <c r="BP313" i="119"/>
  <c r="BO313" i="119"/>
  <c r="BN313" i="119"/>
  <c r="BM313" i="119"/>
  <c r="BL313" i="119"/>
  <c r="BK313" i="119"/>
  <c r="BJ313" i="119"/>
  <c r="BI313" i="119"/>
  <c r="U313" i="119" s="1"/>
  <c r="BH313" i="119"/>
  <c r="BG313" i="119"/>
  <c r="BE313" i="119"/>
  <c r="AS313" i="119"/>
  <c r="S313" i="119"/>
  <c r="R313" i="119"/>
  <c r="T313" i="119" s="1"/>
  <c r="Q313" i="119"/>
  <c r="P313" i="119"/>
  <c r="BP312" i="119"/>
  <c r="BO312" i="119"/>
  <c r="BN312" i="119"/>
  <c r="BM312" i="119"/>
  <c r="BL312" i="119"/>
  <c r="BK312" i="119"/>
  <c r="BJ312" i="119"/>
  <c r="BI312" i="119"/>
  <c r="BH312" i="119"/>
  <c r="S312" i="119" s="1"/>
  <c r="BG312" i="119"/>
  <c r="R312" i="119" s="1"/>
  <c r="T312" i="119" s="1"/>
  <c r="BE312" i="119"/>
  <c r="AS312" i="119"/>
  <c r="U312" i="119"/>
  <c r="Q312" i="119"/>
  <c r="P312" i="119"/>
  <c r="BP311" i="119"/>
  <c r="BO311" i="119"/>
  <c r="BN311" i="119"/>
  <c r="BM311" i="119"/>
  <c r="BL311" i="119"/>
  <c r="BK311" i="119"/>
  <c r="BJ311" i="119"/>
  <c r="BI311" i="119"/>
  <c r="U311" i="119" s="1"/>
  <c r="BH311" i="119"/>
  <c r="S311" i="119" s="1"/>
  <c r="BG311" i="119"/>
  <c r="R311" i="119" s="1"/>
  <c r="BE311" i="119"/>
  <c r="AS311" i="119"/>
  <c r="Q311" i="119"/>
  <c r="P311" i="119"/>
  <c r="BP310" i="119"/>
  <c r="BO310" i="119"/>
  <c r="BN310" i="119"/>
  <c r="BM310" i="119"/>
  <c r="BL310" i="119"/>
  <c r="BK310" i="119"/>
  <c r="BJ310" i="119"/>
  <c r="BI310" i="119"/>
  <c r="U310" i="119" s="1"/>
  <c r="BH310" i="119"/>
  <c r="S310" i="119" s="1"/>
  <c r="BG310" i="119"/>
  <c r="R310" i="119" s="1"/>
  <c r="BE310" i="119"/>
  <c r="AS310" i="119"/>
  <c r="Q310" i="119"/>
  <c r="P310" i="119"/>
  <c r="BP309" i="119"/>
  <c r="BO309" i="119"/>
  <c r="BN309" i="119"/>
  <c r="BM309" i="119"/>
  <c r="BL309" i="119"/>
  <c r="BK309" i="119"/>
  <c r="BJ309" i="119"/>
  <c r="BI309" i="119"/>
  <c r="U309" i="119" s="1"/>
  <c r="BH309" i="119"/>
  <c r="BG309" i="119"/>
  <c r="BE309" i="119"/>
  <c r="AS309" i="119"/>
  <c r="T309" i="119"/>
  <c r="S309" i="119"/>
  <c r="R309" i="119"/>
  <c r="Q309" i="119"/>
  <c r="P309" i="119"/>
  <c r="BP308" i="119"/>
  <c r="BO308" i="119"/>
  <c r="BN308" i="119"/>
  <c r="BM308" i="119"/>
  <c r="BL308" i="119"/>
  <c r="BK308" i="119"/>
  <c r="BJ308" i="119"/>
  <c r="BI308" i="119"/>
  <c r="BH308" i="119"/>
  <c r="S308" i="119" s="1"/>
  <c r="BG308" i="119"/>
  <c r="R308" i="119" s="1"/>
  <c r="T308" i="119" s="1"/>
  <c r="BE308" i="119"/>
  <c r="AS308" i="119"/>
  <c r="U308" i="119"/>
  <c r="Q308" i="119"/>
  <c r="P308" i="119"/>
  <c r="BP307" i="119"/>
  <c r="BO307" i="119"/>
  <c r="BN307" i="119"/>
  <c r="BM307" i="119"/>
  <c r="BL307" i="119"/>
  <c r="BK307" i="119"/>
  <c r="BJ307" i="119"/>
  <c r="BI307" i="119"/>
  <c r="U307" i="119" s="1"/>
  <c r="BH307" i="119"/>
  <c r="S307" i="119" s="1"/>
  <c r="BG307" i="119"/>
  <c r="R307" i="119" s="1"/>
  <c r="BE307" i="119"/>
  <c r="P307" i="119" s="1"/>
  <c r="T307" i="119" s="1"/>
  <c r="AS307" i="119"/>
  <c r="Q307" i="119"/>
  <c r="BP306" i="119"/>
  <c r="BO306" i="119"/>
  <c r="BN306" i="119"/>
  <c r="BM306" i="119"/>
  <c r="BL306" i="119"/>
  <c r="BK306" i="119"/>
  <c r="BJ306" i="119"/>
  <c r="BI306" i="119"/>
  <c r="U306" i="119" s="1"/>
  <c r="BH306" i="119"/>
  <c r="S306" i="119" s="1"/>
  <c r="BG306" i="119"/>
  <c r="BE306" i="119"/>
  <c r="AS306" i="119"/>
  <c r="R306" i="119"/>
  <c r="Q306" i="119"/>
  <c r="P306" i="119"/>
  <c r="BP305" i="119"/>
  <c r="BO305" i="119"/>
  <c r="BN305" i="119"/>
  <c r="BM305" i="119"/>
  <c r="BL305" i="119"/>
  <c r="BK305" i="119"/>
  <c r="BJ305" i="119"/>
  <c r="BI305" i="119"/>
  <c r="U305" i="119" s="1"/>
  <c r="BH305" i="119"/>
  <c r="BG305" i="119"/>
  <c r="BE305" i="119"/>
  <c r="AS305" i="119"/>
  <c r="S305" i="119"/>
  <c r="R305" i="119"/>
  <c r="T305" i="119" s="1"/>
  <c r="Q305" i="119"/>
  <c r="P305" i="119"/>
  <c r="BP304" i="119"/>
  <c r="BO304" i="119"/>
  <c r="BN304" i="119"/>
  <c r="BM304" i="119"/>
  <c r="BL304" i="119"/>
  <c r="BK304" i="119"/>
  <c r="BJ304" i="119"/>
  <c r="BI304" i="119"/>
  <c r="BH304" i="119"/>
  <c r="S304" i="119" s="1"/>
  <c r="BG304" i="119"/>
  <c r="R304" i="119" s="1"/>
  <c r="BE304" i="119"/>
  <c r="AS304" i="119"/>
  <c r="U304" i="119"/>
  <c r="T304" i="119"/>
  <c r="Q304" i="119"/>
  <c r="P304" i="119"/>
  <c r="BP303" i="119"/>
  <c r="BO303" i="119"/>
  <c r="BN303" i="119"/>
  <c r="BM303" i="119"/>
  <c r="BL303" i="119"/>
  <c r="BK303" i="119"/>
  <c r="BJ303" i="119"/>
  <c r="BI303" i="119"/>
  <c r="U303" i="119" s="1"/>
  <c r="BH303" i="119"/>
  <c r="S303" i="119" s="1"/>
  <c r="BG303" i="119"/>
  <c r="R303" i="119" s="1"/>
  <c r="BE303" i="119"/>
  <c r="AS303" i="119"/>
  <c r="Q303" i="119"/>
  <c r="P303" i="119"/>
  <c r="T303" i="119" s="1"/>
  <c r="BP302" i="119"/>
  <c r="BO302" i="119"/>
  <c r="BN302" i="119"/>
  <c r="BM302" i="119"/>
  <c r="BL302" i="119"/>
  <c r="BK302" i="119"/>
  <c r="BJ302" i="119"/>
  <c r="BI302" i="119"/>
  <c r="U302" i="119" s="1"/>
  <c r="BH302" i="119"/>
  <c r="S302" i="119" s="1"/>
  <c r="BG302" i="119"/>
  <c r="BE302" i="119"/>
  <c r="AS302" i="119"/>
  <c r="R302" i="119"/>
  <c r="Q302" i="119"/>
  <c r="P302" i="119"/>
  <c r="T302" i="119" s="1"/>
  <c r="BP301" i="119"/>
  <c r="BO301" i="119"/>
  <c r="BN301" i="119"/>
  <c r="BM301" i="119"/>
  <c r="BL301" i="119"/>
  <c r="BK301" i="119"/>
  <c r="BJ301" i="119"/>
  <c r="BI301" i="119"/>
  <c r="U301" i="119" s="1"/>
  <c r="BH301" i="119"/>
  <c r="BG301" i="119"/>
  <c r="BE301" i="119"/>
  <c r="AS301" i="119"/>
  <c r="S301" i="119"/>
  <c r="R301" i="119"/>
  <c r="T301" i="119" s="1"/>
  <c r="Q301" i="119"/>
  <c r="P301" i="119"/>
  <c r="BP300" i="119"/>
  <c r="BO300" i="119"/>
  <c r="BN300" i="119"/>
  <c r="BM300" i="119"/>
  <c r="BL300" i="119"/>
  <c r="BK300" i="119"/>
  <c r="BJ300" i="119"/>
  <c r="BI300" i="119"/>
  <c r="BH300" i="119"/>
  <c r="S300" i="119" s="1"/>
  <c r="BG300" i="119"/>
  <c r="R300" i="119" s="1"/>
  <c r="BE300" i="119"/>
  <c r="AS300" i="119"/>
  <c r="U300" i="119"/>
  <c r="T300" i="119"/>
  <c r="Q300" i="119"/>
  <c r="P300" i="119"/>
  <c r="BP299" i="119"/>
  <c r="BO299" i="119"/>
  <c r="BN299" i="119"/>
  <c r="BM299" i="119"/>
  <c r="BL299" i="119"/>
  <c r="BK299" i="119"/>
  <c r="BJ299" i="119"/>
  <c r="BI299" i="119"/>
  <c r="U299" i="119" s="1"/>
  <c r="BH299" i="119"/>
  <c r="S299" i="119" s="1"/>
  <c r="BG299" i="119"/>
  <c r="R299" i="119" s="1"/>
  <c r="BE299" i="119"/>
  <c r="AS299" i="119"/>
  <c r="Q299" i="119"/>
  <c r="P299" i="119"/>
  <c r="T299" i="119" s="1"/>
  <c r="BP298" i="119"/>
  <c r="BO298" i="119"/>
  <c r="BN298" i="119"/>
  <c r="BM298" i="119"/>
  <c r="BL298" i="119"/>
  <c r="BK298" i="119"/>
  <c r="BJ298" i="119"/>
  <c r="BI298" i="119"/>
  <c r="U298" i="119" s="1"/>
  <c r="BH298" i="119"/>
  <c r="S298" i="119" s="1"/>
  <c r="BG298" i="119"/>
  <c r="R298" i="119" s="1"/>
  <c r="BE298" i="119"/>
  <c r="AS298" i="119"/>
  <c r="Q298" i="119"/>
  <c r="P298" i="119"/>
  <c r="BP297" i="119"/>
  <c r="BO297" i="119"/>
  <c r="BN297" i="119"/>
  <c r="BM297" i="119"/>
  <c r="BL297" i="119"/>
  <c r="BK297" i="119"/>
  <c r="BJ297" i="119"/>
  <c r="BI297" i="119"/>
  <c r="U297" i="119" s="1"/>
  <c r="BH297" i="119"/>
  <c r="BG297" i="119"/>
  <c r="BE297" i="119"/>
  <c r="AS297" i="119"/>
  <c r="S297" i="119"/>
  <c r="R297" i="119"/>
  <c r="T297" i="119" s="1"/>
  <c r="Q297" i="119"/>
  <c r="P297" i="119"/>
  <c r="BP296" i="119"/>
  <c r="BO296" i="119"/>
  <c r="BN296" i="119"/>
  <c r="BM296" i="119"/>
  <c r="BL296" i="119"/>
  <c r="BK296" i="119"/>
  <c r="BJ296" i="119"/>
  <c r="BI296" i="119"/>
  <c r="BH296" i="119"/>
  <c r="S296" i="119" s="1"/>
  <c r="BG296" i="119"/>
  <c r="R296" i="119" s="1"/>
  <c r="T296" i="119" s="1"/>
  <c r="BE296" i="119"/>
  <c r="AS296" i="119"/>
  <c r="U296" i="119"/>
  <c r="Q296" i="119"/>
  <c r="P296" i="119"/>
  <c r="BP295" i="119"/>
  <c r="BO295" i="119"/>
  <c r="BN295" i="119"/>
  <c r="BM295" i="119"/>
  <c r="BL295" i="119"/>
  <c r="BK295" i="119"/>
  <c r="BJ295" i="119"/>
  <c r="BI295" i="119"/>
  <c r="U295" i="119" s="1"/>
  <c r="BH295" i="119"/>
  <c r="BG295" i="119"/>
  <c r="R295" i="119" s="1"/>
  <c r="BF295" i="119"/>
  <c r="BE295" i="119"/>
  <c r="AS295" i="119"/>
  <c r="S295" i="119"/>
  <c r="Q295" i="119"/>
  <c r="P295" i="119"/>
  <c r="BP294" i="119"/>
  <c r="BO294" i="119"/>
  <c r="BN294" i="119"/>
  <c r="BM294" i="119"/>
  <c r="BL294" i="119"/>
  <c r="BK294" i="119"/>
  <c r="BJ294" i="119"/>
  <c r="BI294" i="119"/>
  <c r="U294" i="119" s="1"/>
  <c r="BH294" i="119"/>
  <c r="S294" i="119" s="1"/>
  <c r="BF294" i="119"/>
  <c r="BE294" i="119"/>
  <c r="P294" i="119" s="1"/>
  <c r="AS294" i="119"/>
  <c r="R294" i="119"/>
  <c r="Q294" i="119"/>
  <c r="BP293" i="119"/>
  <c r="BO293" i="119"/>
  <c r="BN293" i="119"/>
  <c r="BM293" i="119"/>
  <c r="BL293" i="119"/>
  <c r="BK293" i="119"/>
  <c r="BJ293" i="119"/>
  <c r="BI293" i="119"/>
  <c r="BH293" i="119"/>
  <c r="BF293" i="119"/>
  <c r="BE293" i="119"/>
  <c r="P293" i="119" s="1"/>
  <c r="T293" i="119" s="1"/>
  <c r="AS293" i="119"/>
  <c r="U293" i="119"/>
  <c r="S293" i="119"/>
  <c r="R293" i="119"/>
  <c r="Q293" i="119"/>
  <c r="BP292" i="119"/>
  <c r="BO292" i="119"/>
  <c r="BN292" i="119"/>
  <c r="BM292" i="119"/>
  <c r="BL292" i="119"/>
  <c r="BK292" i="119"/>
  <c r="BJ292" i="119"/>
  <c r="BI292" i="119"/>
  <c r="BH292" i="119"/>
  <c r="S292" i="119" s="1"/>
  <c r="BF292" i="119"/>
  <c r="BE292" i="119"/>
  <c r="P292" i="119" s="1"/>
  <c r="AS292" i="119"/>
  <c r="U292" i="119"/>
  <c r="R292" i="119"/>
  <c r="Q292" i="119"/>
  <c r="BP291" i="119"/>
  <c r="BO291" i="119"/>
  <c r="BN291" i="119"/>
  <c r="BM291" i="119"/>
  <c r="BL291" i="119"/>
  <c r="BK291" i="119"/>
  <c r="BJ291" i="119"/>
  <c r="BI291" i="119"/>
  <c r="BH291" i="119"/>
  <c r="S291" i="119" s="1"/>
  <c r="BF291" i="119"/>
  <c r="Q291" i="119" s="1"/>
  <c r="BE291" i="119"/>
  <c r="P291" i="119" s="1"/>
  <c r="T291" i="119" s="1"/>
  <c r="AS291" i="119"/>
  <c r="U291" i="119"/>
  <c r="R291" i="119"/>
  <c r="BP290" i="119"/>
  <c r="BO290" i="119"/>
  <c r="BN290" i="119"/>
  <c r="BM290" i="119"/>
  <c r="BL290" i="119"/>
  <c r="BK290" i="119"/>
  <c r="BJ290" i="119"/>
  <c r="BI290" i="119"/>
  <c r="U290" i="119" s="1"/>
  <c r="BH290" i="119"/>
  <c r="S290" i="119" s="1"/>
  <c r="BF290" i="119"/>
  <c r="BE290" i="119"/>
  <c r="P290" i="119" s="1"/>
  <c r="AS290" i="119"/>
  <c r="R290" i="119"/>
  <c r="Q290" i="119"/>
  <c r="BP289" i="119"/>
  <c r="BO289" i="119"/>
  <c r="BN289" i="119"/>
  <c r="BM289" i="119"/>
  <c r="BL289" i="119"/>
  <c r="BK289" i="119"/>
  <c r="BJ289" i="119"/>
  <c r="BI289" i="119"/>
  <c r="BH289" i="119"/>
  <c r="BF289" i="119"/>
  <c r="BE289" i="119"/>
  <c r="P289" i="119" s="1"/>
  <c r="T289" i="119" s="1"/>
  <c r="AS289" i="119"/>
  <c r="U289" i="119"/>
  <c r="S289" i="119"/>
  <c r="R289" i="119"/>
  <c r="Q289" i="119"/>
  <c r="BP288" i="119"/>
  <c r="BO288" i="119"/>
  <c r="BN288" i="119"/>
  <c r="BM288" i="119"/>
  <c r="BL288" i="119"/>
  <c r="BK288" i="119"/>
  <c r="BJ288" i="119"/>
  <c r="BI288" i="119"/>
  <c r="BH288" i="119"/>
  <c r="S288" i="119" s="1"/>
  <c r="BF288" i="119"/>
  <c r="BE288" i="119"/>
  <c r="P288" i="119" s="1"/>
  <c r="T288" i="119" s="1"/>
  <c r="AS288" i="119"/>
  <c r="U288" i="119"/>
  <c r="R288" i="119"/>
  <c r="Q288" i="119"/>
  <c r="BP287" i="119"/>
  <c r="BO287" i="119"/>
  <c r="BN287" i="119"/>
  <c r="BM287" i="119"/>
  <c r="BL287" i="119"/>
  <c r="BK287" i="119"/>
  <c r="BJ287" i="119"/>
  <c r="BI287" i="119"/>
  <c r="BH287" i="119"/>
  <c r="S287" i="119" s="1"/>
  <c r="BF287" i="119"/>
  <c r="Q287" i="119" s="1"/>
  <c r="BE287" i="119"/>
  <c r="P287" i="119" s="1"/>
  <c r="T287" i="119" s="1"/>
  <c r="AS287" i="119"/>
  <c r="U287" i="119"/>
  <c r="R287" i="119"/>
  <c r="BP286" i="119"/>
  <c r="BO286" i="119"/>
  <c r="BN286" i="119"/>
  <c r="BM286" i="119"/>
  <c r="BL286" i="119"/>
  <c r="BK286" i="119"/>
  <c r="BJ286" i="119"/>
  <c r="BI286" i="119"/>
  <c r="U286" i="119" s="1"/>
  <c r="BH286" i="119"/>
  <c r="S286" i="119" s="1"/>
  <c r="BF286" i="119"/>
  <c r="BE286" i="119"/>
  <c r="P286" i="119" s="1"/>
  <c r="AS286" i="119"/>
  <c r="R286" i="119"/>
  <c r="Q286" i="119"/>
  <c r="BP285" i="119"/>
  <c r="BO285" i="119"/>
  <c r="BN285" i="119"/>
  <c r="BM285" i="119"/>
  <c r="BL285" i="119"/>
  <c r="BK285" i="119"/>
  <c r="BJ285" i="119"/>
  <c r="BI285" i="119"/>
  <c r="BH285" i="119"/>
  <c r="BF285" i="119"/>
  <c r="BE285" i="119"/>
  <c r="P285" i="119" s="1"/>
  <c r="T285" i="119" s="1"/>
  <c r="AS285" i="119"/>
  <c r="U285" i="119"/>
  <c r="S285" i="119"/>
  <c r="R285" i="119"/>
  <c r="Q285" i="119"/>
  <c r="BP284" i="119"/>
  <c r="BO284" i="119"/>
  <c r="BN284" i="119"/>
  <c r="BM284" i="119"/>
  <c r="BL284" i="119"/>
  <c r="BK284" i="119"/>
  <c r="BJ284" i="119"/>
  <c r="BI284" i="119"/>
  <c r="BH284" i="119"/>
  <c r="S284" i="119" s="1"/>
  <c r="BF284" i="119"/>
  <c r="BE284" i="119"/>
  <c r="P284" i="119" s="1"/>
  <c r="AS284" i="119"/>
  <c r="U284" i="119"/>
  <c r="R284" i="119"/>
  <c r="Q284" i="119"/>
  <c r="BP283" i="119"/>
  <c r="BO283" i="119"/>
  <c r="BN283" i="119"/>
  <c r="BM283" i="119"/>
  <c r="BL283" i="119"/>
  <c r="BK283" i="119"/>
  <c r="BJ283" i="119"/>
  <c r="BI283" i="119"/>
  <c r="BH283" i="119"/>
  <c r="S283" i="119" s="1"/>
  <c r="BF283" i="119"/>
  <c r="Q283" i="119" s="1"/>
  <c r="BE283" i="119"/>
  <c r="AS283" i="119"/>
  <c r="U283" i="119"/>
  <c r="R283" i="119"/>
  <c r="P283" i="119"/>
  <c r="BP282" i="119"/>
  <c r="BO282" i="119"/>
  <c r="BN282" i="119"/>
  <c r="BM282" i="119"/>
  <c r="BL282" i="119"/>
  <c r="BK282" i="119"/>
  <c r="BJ282" i="119"/>
  <c r="BI282" i="119"/>
  <c r="U282" i="119" s="1"/>
  <c r="BH282" i="119"/>
  <c r="S282" i="119" s="1"/>
  <c r="BF282" i="119"/>
  <c r="BE282" i="119"/>
  <c r="P282" i="119" s="1"/>
  <c r="AS282" i="119"/>
  <c r="R282" i="119"/>
  <c r="Q282" i="119"/>
  <c r="BP281" i="119"/>
  <c r="BO281" i="119"/>
  <c r="BN281" i="119"/>
  <c r="BM281" i="119"/>
  <c r="BL281" i="119"/>
  <c r="BK281" i="119"/>
  <c r="BJ281" i="119"/>
  <c r="BI281" i="119"/>
  <c r="BH281" i="119"/>
  <c r="S281" i="119" s="1"/>
  <c r="BF281" i="119"/>
  <c r="BE281" i="119"/>
  <c r="P281" i="119" s="1"/>
  <c r="AS281" i="119"/>
  <c r="U281" i="119"/>
  <c r="R281" i="119"/>
  <c r="Q281" i="119"/>
  <c r="T281" i="119" s="1"/>
  <c r="BP280" i="119"/>
  <c r="BO280" i="119"/>
  <c r="BN280" i="119"/>
  <c r="BM280" i="119"/>
  <c r="BL280" i="119"/>
  <c r="BK280" i="119"/>
  <c r="BJ280" i="119"/>
  <c r="BI280" i="119"/>
  <c r="BH280" i="119"/>
  <c r="BF280" i="119"/>
  <c r="BE280" i="119"/>
  <c r="P280" i="119" s="1"/>
  <c r="AS280" i="119"/>
  <c r="U280" i="119"/>
  <c r="S280" i="119"/>
  <c r="R280" i="119"/>
  <c r="Q280" i="119"/>
  <c r="BP279" i="119"/>
  <c r="BO279" i="119"/>
  <c r="BN279" i="119"/>
  <c r="BM279" i="119"/>
  <c r="BL279" i="119"/>
  <c r="BK279" i="119"/>
  <c r="BJ279" i="119"/>
  <c r="BI279" i="119"/>
  <c r="BH279" i="119"/>
  <c r="BF279" i="119"/>
  <c r="BE279" i="119"/>
  <c r="AS279" i="119"/>
  <c r="U279" i="119"/>
  <c r="S279" i="119"/>
  <c r="R279" i="119"/>
  <c r="Q279" i="119"/>
  <c r="P279" i="119"/>
  <c r="BP278" i="119"/>
  <c r="BO278" i="119"/>
  <c r="BN278" i="119"/>
  <c r="BM278" i="119"/>
  <c r="BL278" i="119"/>
  <c r="BK278" i="119"/>
  <c r="BJ278" i="119"/>
  <c r="BI278" i="119"/>
  <c r="BH278" i="119"/>
  <c r="BF278" i="119"/>
  <c r="BE278" i="119"/>
  <c r="P278" i="119" s="1"/>
  <c r="AS278" i="119"/>
  <c r="U278" i="119"/>
  <c r="S278" i="119"/>
  <c r="R278" i="119"/>
  <c r="Q278" i="119"/>
  <c r="BP277" i="119"/>
  <c r="BO277" i="119"/>
  <c r="BN277" i="119"/>
  <c r="BM277" i="119"/>
  <c r="BL277" i="119"/>
  <c r="BK277" i="119"/>
  <c r="BJ277" i="119"/>
  <c r="BI277" i="119"/>
  <c r="BH277" i="119"/>
  <c r="BF277" i="119"/>
  <c r="BE277" i="119"/>
  <c r="P277" i="119" s="1"/>
  <c r="AS277" i="119"/>
  <c r="U277" i="119"/>
  <c r="S277" i="119"/>
  <c r="T277" i="119" s="1"/>
  <c r="R277" i="119"/>
  <c r="Q277" i="119"/>
  <c r="BP276" i="119"/>
  <c r="BO276" i="119"/>
  <c r="BN276" i="119"/>
  <c r="BM276" i="119"/>
  <c r="BL276" i="119"/>
  <c r="BK276" i="119"/>
  <c r="BJ276" i="119"/>
  <c r="BI276" i="119"/>
  <c r="BH276" i="119"/>
  <c r="BF276" i="119"/>
  <c r="BE276" i="119"/>
  <c r="P276" i="119" s="1"/>
  <c r="AS276" i="119"/>
  <c r="U276" i="119"/>
  <c r="S276" i="119"/>
  <c r="R276" i="119"/>
  <c r="Q276" i="119"/>
  <c r="BP275" i="119"/>
  <c r="BO275" i="119"/>
  <c r="BN275" i="119"/>
  <c r="BM275" i="119"/>
  <c r="BL275" i="119"/>
  <c r="BK275" i="119"/>
  <c r="BJ275" i="119"/>
  <c r="BI275" i="119"/>
  <c r="BH275" i="119"/>
  <c r="BF275" i="119"/>
  <c r="Q275" i="119" s="1"/>
  <c r="BE275" i="119"/>
  <c r="P275" i="119" s="1"/>
  <c r="T275" i="119" s="1"/>
  <c r="AS275" i="119"/>
  <c r="U275" i="119"/>
  <c r="S275" i="119"/>
  <c r="R275" i="119"/>
  <c r="BP274" i="119"/>
  <c r="BO274" i="119"/>
  <c r="BN274" i="119"/>
  <c r="BM274" i="119"/>
  <c r="BL274" i="119"/>
  <c r="BK274" i="119"/>
  <c r="BJ274" i="119"/>
  <c r="BI274" i="119"/>
  <c r="BH274" i="119"/>
  <c r="S274" i="119" s="1"/>
  <c r="BF274" i="119"/>
  <c r="BE274" i="119"/>
  <c r="P274" i="119" s="1"/>
  <c r="AS274" i="119"/>
  <c r="U274" i="119"/>
  <c r="R274" i="119"/>
  <c r="Q274" i="119"/>
  <c r="BP273" i="119"/>
  <c r="BO273" i="119"/>
  <c r="BN273" i="119"/>
  <c r="BM273" i="119"/>
  <c r="BL273" i="119"/>
  <c r="BK273" i="119"/>
  <c r="BJ273" i="119"/>
  <c r="BI273" i="119"/>
  <c r="BH273" i="119"/>
  <c r="S273" i="119" s="1"/>
  <c r="BF273" i="119"/>
  <c r="BE273" i="119"/>
  <c r="P273" i="119" s="1"/>
  <c r="AS273" i="119"/>
  <c r="U273" i="119"/>
  <c r="R273" i="119"/>
  <c r="Q273" i="119"/>
  <c r="BP272" i="119"/>
  <c r="BO272" i="119"/>
  <c r="BN272" i="119"/>
  <c r="BM272" i="119"/>
  <c r="BL272" i="119"/>
  <c r="BK272" i="119"/>
  <c r="BJ272" i="119"/>
  <c r="BI272" i="119"/>
  <c r="BH272" i="119"/>
  <c r="S272" i="119" s="1"/>
  <c r="BF272" i="119"/>
  <c r="Q272" i="119" s="1"/>
  <c r="BE272" i="119"/>
  <c r="P272" i="119" s="1"/>
  <c r="T272" i="119" s="1"/>
  <c r="AS272" i="119"/>
  <c r="U272" i="119"/>
  <c r="R272" i="119"/>
  <c r="BP271" i="119"/>
  <c r="BO271" i="119"/>
  <c r="BN271" i="119"/>
  <c r="BM271" i="119"/>
  <c r="BL271" i="119"/>
  <c r="BK271" i="119"/>
  <c r="BJ271" i="119"/>
  <c r="BI271" i="119"/>
  <c r="U271" i="119" s="1"/>
  <c r="BH271" i="119"/>
  <c r="S271" i="119" s="1"/>
  <c r="BF271" i="119"/>
  <c r="Q271" i="119" s="1"/>
  <c r="BE271" i="119"/>
  <c r="AS271" i="119"/>
  <c r="R271" i="119"/>
  <c r="P271" i="119"/>
  <c r="BP270" i="119"/>
  <c r="BO270" i="119"/>
  <c r="BN270" i="119"/>
  <c r="BM270" i="119"/>
  <c r="BL270" i="119"/>
  <c r="BK270" i="119"/>
  <c r="BJ270" i="119"/>
  <c r="BI270" i="119"/>
  <c r="U270" i="119" s="1"/>
  <c r="BH270" i="119"/>
  <c r="S270" i="119" s="1"/>
  <c r="BF270" i="119"/>
  <c r="BE270" i="119"/>
  <c r="P270" i="119" s="1"/>
  <c r="AS270" i="119"/>
  <c r="R270" i="119"/>
  <c r="Q270" i="119"/>
  <c r="BP269" i="119"/>
  <c r="BO269" i="119"/>
  <c r="BN269" i="119"/>
  <c r="BM269" i="119"/>
  <c r="BL269" i="119"/>
  <c r="BK269" i="119"/>
  <c r="BJ269" i="119"/>
  <c r="BI269" i="119"/>
  <c r="BH269" i="119"/>
  <c r="BF269" i="119"/>
  <c r="BE269" i="119"/>
  <c r="P269" i="119" s="1"/>
  <c r="AS269" i="119"/>
  <c r="U269" i="119"/>
  <c r="S269" i="119"/>
  <c r="T269" i="119" s="1"/>
  <c r="R269" i="119"/>
  <c r="Q269" i="119"/>
  <c r="BP268" i="119"/>
  <c r="BO268" i="119"/>
  <c r="BN268" i="119"/>
  <c r="BM268" i="119"/>
  <c r="BL268" i="119"/>
  <c r="BK268" i="119"/>
  <c r="BJ268" i="119"/>
  <c r="BI268" i="119"/>
  <c r="BH268" i="119"/>
  <c r="BF268" i="119"/>
  <c r="BE268" i="119"/>
  <c r="P268" i="119" s="1"/>
  <c r="T268" i="119" s="1"/>
  <c r="AS268" i="119"/>
  <c r="U268" i="119"/>
  <c r="S268" i="119"/>
  <c r="R268" i="119"/>
  <c r="Q268" i="119"/>
  <c r="BP267" i="119"/>
  <c r="BO267" i="119"/>
  <c r="BN267" i="119"/>
  <c r="BM267" i="119"/>
  <c r="BL267" i="119"/>
  <c r="BK267" i="119"/>
  <c r="BJ267" i="119"/>
  <c r="BI267" i="119"/>
  <c r="BH267" i="119"/>
  <c r="BF267" i="119"/>
  <c r="Q267" i="119" s="1"/>
  <c r="BE267" i="119"/>
  <c r="P267" i="119" s="1"/>
  <c r="T267" i="119" s="1"/>
  <c r="AS267" i="119"/>
  <c r="U267" i="119"/>
  <c r="S267" i="119"/>
  <c r="R267" i="119"/>
  <c r="BP266" i="119"/>
  <c r="BO266" i="119"/>
  <c r="BN266" i="119"/>
  <c r="BM266" i="119"/>
  <c r="BL266" i="119"/>
  <c r="BK266" i="119"/>
  <c r="BJ266" i="119"/>
  <c r="BI266" i="119"/>
  <c r="BH266" i="119"/>
  <c r="S266" i="119" s="1"/>
  <c r="BF266" i="119"/>
  <c r="BE266" i="119"/>
  <c r="P266" i="119" s="1"/>
  <c r="AS266" i="119"/>
  <c r="U266" i="119"/>
  <c r="R266" i="119"/>
  <c r="Q266" i="119"/>
  <c r="BP265" i="119"/>
  <c r="BO265" i="119"/>
  <c r="BN265" i="119"/>
  <c r="BM265" i="119"/>
  <c r="BL265" i="119"/>
  <c r="BK265" i="119"/>
  <c r="BJ265" i="119"/>
  <c r="BI265" i="119"/>
  <c r="BH265" i="119"/>
  <c r="S265" i="119" s="1"/>
  <c r="BF265" i="119"/>
  <c r="BE265" i="119"/>
  <c r="P265" i="119" s="1"/>
  <c r="T265" i="119" s="1"/>
  <c r="AS265" i="119"/>
  <c r="U265" i="119"/>
  <c r="R265" i="119"/>
  <c r="Q265" i="119"/>
  <c r="BP264" i="119"/>
  <c r="BO264" i="119"/>
  <c r="BN264" i="119"/>
  <c r="BM264" i="119"/>
  <c r="BL264" i="119"/>
  <c r="BK264" i="119"/>
  <c r="BJ264" i="119"/>
  <c r="BI264" i="119"/>
  <c r="BH264" i="119"/>
  <c r="S264" i="119" s="1"/>
  <c r="BF264" i="119"/>
  <c r="Q264" i="119" s="1"/>
  <c r="BE264" i="119"/>
  <c r="P264" i="119" s="1"/>
  <c r="T264" i="119" s="1"/>
  <c r="AS264" i="119"/>
  <c r="U264" i="119"/>
  <c r="R264" i="119"/>
  <c r="BP263" i="119"/>
  <c r="BO263" i="119"/>
  <c r="BN263" i="119"/>
  <c r="BM263" i="119"/>
  <c r="BL263" i="119"/>
  <c r="BK263" i="119"/>
  <c r="BJ263" i="119"/>
  <c r="BI263" i="119"/>
  <c r="U263" i="119" s="1"/>
  <c r="BH263" i="119"/>
  <c r="S263" i="119" s="1"/>
  <c r="BF263" i="119"/>
  <c r="Q263" i="119" s="1"/>
  <c r="BE263" i="119"/>
  <c r="AS263" i="119"/>
  <c r="R263" i="119"/>
  <c r="P263" i="119"/>
  <c r="BP262" i="119"/>
  <c r="BO262" i="119"/>
  <c r="BN262" i="119"/>
  <c r="BM262" i="119"/>
  <c r="BL262" i="119"/>
  <c r="BK262" i="119"/>
  <c r="BJ262" i="119"/>
  <c r="BI262" i="119"/>
  <c r="U262" i="119" s="1"/>
  <c r="BH262" i="119"/>
  <c r="S262" i="119" s="1"/>
  <c r="BF262" i="119"/>
  <c r="BE262" i="119"/>
  <c r="P262" i="119" s="1"/>
  <c r="AS262" i="119"/>
  <c r="R262" i="119"/>
  <c r="Q262" i="119"/>
  <c r="T262" i="119" s="1"/>
  <c r="BP261" i="119"/>
  <c r="BO261" i="119"/>
  <c r="BN261" i="119"/>
  <c r="BM261" i="119"/>
  <c r="BL261" i="119"/>
  <c r="BK261" i="119"/>
  <c r="BJ261" i="119"/>
  <c r="BI261" i="119"/>
  <c r="BH261" i="119"/>
  <c r="BF261" i="119"/>
  <c r="BE261" i="119"/>
  <c r="P261" i="119" s="1"/>
  <c r="AS261" i="119"/>
  <c r="U261" i="119"/>
  <c r="S261" i="119"/>
  <c r="T261" i="119" s="1"/>
  <c r="R261" i="119"/>
  <c r="Q261" i="119"/>
  <c r="BP260" i="119"/>
  <c r="BO260" i="119"/>
  <c r="BN260" i="119"/>
  <c r="BM260" i="119"/>
  <c r="BL260" i="119"/>
  <c r="BK260" i="119"/>
  <c r="BJ260" i="119"/>
  <c r="BI260" i="119"/>
  <c r="BH260" i="119"/>
  <c r="BF260" i="119"/>
  <c r="BE260" i="119"/>
  <c r="P260" i="119" s="1"/>
  <c r="T260" i="119" s="1"/>
  <c r="AS260" i="119"/>
  <c r="U260" i="119"/>
  <c r="S260" i="119"/>
  <c r="R260" i="119"/>
  <c r="Q260" i="119"/>
  <c r="BP259" i="119"/>
  <c r="BO259" i="119"/>
  <c r="BN259" i="119"/>
  <c r="BM259" i="119"/>
  <c r="BL259" i="119"/>
  <c r="BK259" i="119"/>
  <c r="BJ259" i="119"/>
  <c r="BI259" i="119"/>
  <c r="BH259" i="119"/>
  <c r="BF259" i="119"/>
  <c r="Q259" i="119" s="1"/>
  <c r="BE259" i="119"/>
  <c r="P259" i="119" s="1"/>
  <c r="AS259" i="119"/>
  <c r="U259" i="119"/>
  <c r="S259" i="119"/>
  <c r="R259" i="119"/>
  <c r="BP258" i="119"/>
  <c r="BO258" i="119"/>
  <c r="BN258" i="119"/>
  <c r="BM258" i="119"/>
  <c r="BL258" i="119"/>
  <c r="BK258" i="119"/>
  <c r="BJ258" i="119"/>
  <c r="BI258" i="119"/>
  <c r="BH258" i="119"/>
  <c r="S258" i="119" s="1"/>
  <c r="BF258" i="119"/>
  <c r="BE258" i="119"/>
  <c r="P258" i="119" s="1"/>
  <c r="T258" i="119" s="1"/>
  <c r="AS258" i="119"/>
  <c r="U258" i="119"/>
  <c r="R258" i="119"/>
  <c r="Q258" i="119"/>
  <c r="BP257" i="119"/>
  <c r="BO257" i="119"/>
  <c r="BN257" i="119"/>
  <c r="BM257" i="119"/>
  <c r="BL257" i="119"/>
  <c r="BK257" i="119"/>
  <c r="BJ257" i="119"/>
  <c r="BI257" i="119"/>
  <c r="BH257" i="119"/>
  <c r="S257" i="119" s="1"/>
  <c r="BF257" i="119"/>
  <c r="BE257" i="119"/>
  <c r="P257" i="119" s="1"/>
  <c r="T257" i="119" s="1"/>
  <c r="AS257" i="119"/>
  <c r="U257" i="119"/>
  <c r="R257" i="119"/>
  <c r="Q257" i="119"/>
  <c r="BP256" i="119"/>
  <c r="BO256" i="119"/>
  <c r="BN256" i="119"/>
  <c r="BM256" i="119"/>
  <c r="BL256" i="119"/>
  <c r="BK256" i="119"/>
  <c r="BJ256" i="119"/>
  <c r="BI256" i="119"/>
  <c r="BH256" i="119"/>
  <c r="S256" i="119" s="1"/>
  <c r="BG256" i="119"/>
  <c r="R256" i="119" s="1"/>
  <c r="BF256" i="119"/>
  <c r="Q256" i="119" s="1"/>
  <c r="BE256" i="119"/>
  <c r="AS256" i="119"/>
  <c r="U256" i="119"/>
  <c r="P256" i="119"/>
  <c r="T256" i="119" s="1"/>
  <c r="BP255" i="119"/>
  <c r="BO255" i="119"/>
  <c r="BN255" i="119"/>
  <c r="BM255" i="119"/>
  <c r="BL255" i="119"/>
  <c r="BK255" i="119"/>
  <c r="BJ255" i="119"/>
  <c r="BI255" i="119"/>
  <c r="U255" i="119" s="1"/>
  <c r="BH255" i="119"/>
  <c r="S255" i="119" s="1"/>
  <c r="BF255" i="119"/>
  <c r="BE255" i="119"/>
  <c r="AS255" i="119"/>
  <c r="R255" i="119"/>
  <c r="Q255" i="119"/>
  <c r="P255" i="119"/>
  <c r="BP254" i="119"/>
  <c r="BO254" i="119"/>
  <c r="BN254" i="119"/>
  <c r="BM254" i="119"/>
  <c r="BL254" i="119"/>
  <c r="BK254" i="119"/>
  <c r="BJ254" i="119"/>
  <c r="BI254" i="119"/>
  <c r="U254" i="119" s="1"/>
  <c r="BH254" i="119"/>
  <c r="BF254" i="119"/>
  <c r="Q254" i="119" s="1"/>
  <c r="BE254" i="119"/>
  <c r="AS254" i="119"/>
  <c r="S254" i="119"/>
  <c r="R254" i="119"/>
  <c r="T254" i="119" s="1"/>
  <c r="P254" i="119"/>
  <c r="BP253" i="119"/>
  <c r="BO253" i="119"/>
  <c r="BN253" i="119"/>
  <c r="BM253" i="119"/>
  <c r="BL253" i="119"/>
  <c r="BK253" i="119"/>
  <c r="BJ253" i="119"/>
  <c r="BI253" i="119"/>
  <c r="BH253" i="119"/>
  <c r="BF253" i="119"/>
  <c r="Q253" i="119" s="1"/>
  <c r="BE253" i="119"/>
  <c r="P253" i="119" s="1"/>
  <c r="T253" i="119" s="1"/>
  <c r="AS253" i="119"/>
  <c r="U253" i="119"/>
  <c r="S253" i="119"/>
  <c r="R253" i="119"/>
  <c r="BP252" i="119"/>
  <c r="BO252" i="119"/>
  <c r="BN252" i="119"/>
  <c r="BM252" i="119"/>
  <c r="BL252" i="119"/>
  <c r="BK252" i="119"/>
  <c r="BJ252" i="119"/>
  <c r="BI252" i="119"/>
  <c r="U252" i="119" s="1"/>
  <c r="BH252" i="119"/>
  <c r="S252" i="119" s="1"/>
  <c r="BF252" i="119"/>
  <c r="Q252" i="119" s="1"/>
  <c r="BE252" i="119"/>
  <c r="P252" i="119" s="1"/>
  <c r="T252" i="119" s="1"/>
  <c r="AS252" i="119"/>
  <c r="R252" i="119"/>
  <c r="BP251" i="119"/>
  <c r="BO251" i="119"/>
  <c r="BN251" i="119"/>
  <c r="BM251" i="119"/>
  <c r="BL251" i="119"/>
  <c r="BK251" i="119"/>
  <c r="BJ251" i="119"/>
  <c r="BI251" i="119"/>
  <c r="U251" i="119" s="1"/>
  <c r="BH251" i="119"/>
  <c r="BF251" i="119"/>
  <c r="Q251" i="119" s="1"/>
  <c r="T251" i="119" s="1"/>
  <c r="BE251" i="119"/>
  <c r="AS251" i="119"/>
  <c r="S251" i="119"/>
  <c r="R251" i="119"/>
  <c r="P251" i="119"/>
  <c r="BP250" i="119"/>
  <c r="BO250" i="119"/>
  <c r="BN250" i="119"/>
  <c r="BM250" i="119"/>
  <c r="BL250" i="119"/>
  <c r="BK250" i="119"/>
  <c r="BJ250" i="119"/>
  <c r="BI250" i="119"/>
  <c r="BH250" i="119"/>
  <c r="BF250" i="119"/>
  <c r="Q250" i="119" s="1"/>
  <c r="BE250" i="119"/>
  <c r="AS250" i="119"/>
  <c r="U250" i="119"/>
  <c r="S250" i="119"/>
  <c r="R250" i="119"/>
  <c r="P250" i="119"/>
  <c r="T250" i="119" s="1"/>
  <c r="BP249" i="119"/>
  <c r="BO249" i="119"/>
  <c r="BN249" i="119"/>
  <c r="BM249" i="119"/>
  <c r="BL249" i="119"/>
  <c r="BK249" i="119"/>
  <c r="BJ249" i="119"/>
  <c r="BI249" i="119"/>
  <c r="U249" i="119" s="1"/>
  <c r="BH249" i="119"/>
  <c r="BF249" i="119"/>
  <c r="Q249" i="119" s="1"/>
  <c r="BE249" i="119"/>
  <c r="P249" i="119" s="1"/>
  <c r="T249" i="119" s="1"/>
  <c r="AS249" i="119"/>
  <c r="S249" i="119"/>
  <c r="R249" i="119"/>
  <c r="BP248" i="119"/>
  <c r="BO248" i="119"/>
  <c r="BN248" i="119"/>
  <c r="BM248" i="119"/>
  <c r="BL248" i="119"/>
  <c r="BK248" i="119"/>
  <c r="BJ248" i="119"/>
  <c r="BI248" i="119"/>
  <c r="U248" i="119" s="1"/>
  <c r="BH248" i="119"/>
  <c r="S248" i="119" s="1"/>
  <c r="BF248" i="119"/>
  <c r="Q248" i="119" s="1"/>
  <c r="BE248" i="119"/>
  <c r="P248" i="119" s="1"/>
  <c r="T248" i="119" s="1"/>
  <c r="AS248" i="119"/>
  <c r="R248" i="119"/>
  <c r="BP247" i="119"/>
  <c r="BO247" i="119"/>
  <c r="BN247" i="119"/>
  <c r="BM247" i="119"/>
  <c r="BL247" i="119"/>
  <c r="BK247" i="119"/>
  <c r="BJ247" i="119"/>
  <c r="BI247" i="119"/>
  <c r="U247" i="119" s="1"/>
  <c r="BH247" i="119"/>
  <c r="S247" i="119" s="1"/>
  <c r="BF247" i="119"/>
  <c r="Q247" i="119" s="1"/>
  <c r="BE247" i="119"/>
  <c r="AS247" i="119"/>
  <c r="R247" i="119"/>
  <c r="P247" i="119"/>
  <c r="T247" i="119" s="1"/>
  <c r="BP246" i="119"/>
  <c r="BO246" i="119"/>
  <c r="BN246" i="119"/>
  <c r="BM246" i="119"/>
  <c r="BL246" i="119"/>
  <c r="BK246" i="119"/>
  <c r="BJ246" i="119"/>
  <c r="BI246" i="119"/>
  <c r="U246" i="119" s="1"/>
  <c r="BH246" i="119"/>
  <c r="BF246" i="119"/>
  <c r="Q246" i="119" s="1"/>
  <c r="BE246" i="119"/>
  <c r="AS246" i="119"/>
  <c r="S246" i="119"/>
  <c r="R246" i="119"/>
  <c r="P246" i="119"/>
  <c r="T246" i="119" s="1"/>
  <c r="BP245" i="119"/>
  <c r="BO245" i="119"/>
  <c r="BN245" i="119"/>
  <c r="BM245" i="119"/>
  <c r="BL245" i="119"/>
  <c r="BK245" i="119"/>
  <c r="BJ245" i="119"/>
  <c r="BI245" i="119"/>
  <c r="U245" i="119" s="1"/>
  <c r="BH245" i="119"/>
  <c r="BF245" i="119"/>
  <c r="Q245" i="119" s="1"/>
  <c r="BE245" i="119"/>
  <c r="AS245" i="119"/>
  <c r="S245" i="119"/>
  <c r="R245" i="119"/>
  <c r="P245" i="119"/>
  <c r="T245" i="119" s="1"/>
  <c r="BP244" i="119"/>
  <c r="BO244" i="119"/>
  <c r="BN244" i="119"/>
  <c r="BM244" i="119"/>
  <c r="BL244" i="119"/>
  <c r="BK244" i="119"/>
  <c r="BJ244" i="119"/>
  <c r="BI244" i="119"/>
  <c r="U244" i="119" s="1"/>
  <c r="BH244" i="119"/>
  <c r="S244" i="119" s="1"/>
  <c r="BF244" i="119"/>
  <c r="BE244" i="119"/>
  <c r="AS244" i="119"/>
  <c r="R244" i="119"/>
  <c r="Q244" i="119"/>
  <c r="P244" i="119"/>
  <c r="T244" i="119" s="1"/>
  <c r="BP243" i="119"/>
  <c r="BO243" i="119"/>
  <c r="BN243" i="119"/>
  <c r="BM243" i="119"/>
  <c r="BL243" i="119"/>
  <c r="BK243" i="119"/>
  <c r="BJ243" i="119"/>
  <c r="BI243" i="119"/>
  <c r="U243" i="119" s="1"/>
  <c r="BH243" i="119"/>
  <c r="BF243" i="119"/>
  <c r="BE243" i="119"/>
  <c r="AS243" i="119"/>
  <c r="S243" i="119"/>
  <c r="R243" i="119"/>
  <c r="Q243" i="119"/>
  <c r="T243" i="119" s="1"/>
  <c r="P243" i="119"/>
  <c r="BP242" i="119"/>
  <c r="BO242" i="119"/>
  <c r="BN242" i="119"/>
  <c r="BM242" i="119"/>
  <c r="BL242" i="119"/>
  <c r="BK242" i="119"/>
  <c r="BJ242" i="119"/>
  <c r="BI242" i="119"/>
  <c r="BH242" i="119"/>
  <c r="BF242" i="119"/>
  <c r="Q242" i="119" s="1"/>
  <c r="BE242" i="119"/>
  <c r="AS242" i="119"/>
  <c r="U242" i="119"/>
  <c r="S242" i="119"/>
  <c r="T242" i="119" s="1"/>
  <c r="R242" i="119"/>
  <c r="P242" i="119"/>
  <c r="BP241" i="119"/>
  <c r="BO241" i="119"/>
  <c r="BN241" i="119"/>
  <c r="BM241" i="119"/>
  <c r="BL241" i="119"/>
  <c r="BK241" i="119"/>
  <c r="BJ241" i="119"/>
  <c r="BI241" i="119"/>
  <c r="BH241" i="119"/>
  <c r="BF241" i="119"/>
  <c r="Q241" i="119" s="1"/>
  <c r="BE241" i="119"/>
  <c r="P241" i="119" s="1"/>
  <c r="AS241" i="119"/>
  <c r="U241" i="119"/>
  <c r="S241" i="119"/>
  <c r="R241" i="119"/>
  <c r="BP240" i="119"/>
  <c r="BO240" i="119"/>
  <c r="BN240" i="119"/>
  <c r="BM240" i="119"/>
  <c r="BL240" i="119"/>
  <c r="BK240" i="119"/>
  <c r="BJ240" i="119"/>
  <c r="BI240" i="119"/>
  <c r="BH240" i="119"/>
  <c r="AS240" i="119"/>
  <c r="U240" i="119"/>
  <c r="S240" i="119"/>
  <c r="T240" i="119" s="1"/>
  <c r="R240" i="119"/>
  <c r="Q240" i="119"/>
  <c r="P240" i="119"/>
  <c r="BP239" i="119"/>
  <c r="BO239" i="119"/>
  <c r="BN239" i="119"/>
  <c r="BM239" i="119"/>
  <c r="BL239" i="119"/>
  <c r="BK239" i="119"/>
  <c r="BJ239" i="119"/>
  <c r="BI239" i="119"/>
  <c r="BH239" i="119"/>
  <c r="AS239" i="119"/>
  <c r="U239" i="119"/>
  <c r="S239" i="119"/>
  <c r="T239" i="119" s="1"/>
  <c r="R239" i="119"/>
  <c r="Q239" i="119"/>
  <c r="P239" i="119"/>
  <c r="BP238" i="119"/>
  <c r="BO238" i="119"/>
  <c r="BN238" i="119"/>
  <c r="BM238" i="119"/>
  <c r="BL238" i="119"/>
  <c r="BK238" i="119"/>
  <c r="BJ238" i="119"/>
  <c r="BI238" i="119"/>
  <c r="BH238" i="119"/>
  <c r="AS238" i="119"/>
  <c r="U238" i="119"/>
  <c r="S238" i="119"/>
  <c r="T238" i="119" s="1"/>
  <c r="R238" i="119"/>
  <c r="Q238" i="119"/>
  <c r="P238" i="119"/>
  <c r="BP237" i="119"/>
  <c r="BO237" i="119"/>
  <c r="BN237" i="119"/>
  <c r="BM237" i="119"/>
  <c r="BL237" i="119"/>
  <c r="BK237" i="119"/>
  <c r="BJ237" i="119"/>
  <c r="BI237" i="119"/>
  <c r="BH237" i="119"/>
  <c r="AS237" i="119"/>
  <c r="U237" i="119"/>
  <c r="S237" i="119"/>
  <c r="T237" i="119" s="1"/>
  <c r="R237" i="119"/>
  <c r="Q237" i="119"/>
  <c r="P237" i="119"/>
  <c r="BP236" i="119"/>
  <c r="BO236" i="119"/>
  <c r="BN236" i="119"/>
  <c r="BM236" i="119"/>
  <c r="BL236" i="119"/>
  <c r="BK236" i="119"/>
  <c r="BJ236" i="119"/>
  <c r="BI236" i="119"/>
  <c r="BH236" i="119"/>
  <c r="AS236" i="119"/>
  <c r="U236" i="119"/>
  <c r="S236" i="119"/>
  <c r="T236" i="119" s="1"/>
  <c r="R236" i="119"/>
  <c r="Q236" i="119"/>
  <c r="P236" i="119"/>
  <c r="BP235" i="119"/>
  <c r="BO235" i="119"/>
  <c r="BN235" i="119"/>
  <c r="BM235" i="119"/>
  <c r="BL235" i="119"/>
  <c r="BK235" i="119"/>
  <c r="BJ235" i="119"/>
  <c r="BI235" i="119"/>
  <c r="BH235" i="119"/>
  <c r="AS235" i="119"/>
  <c r="U235" i="119"/>
  <c r="S235" i="119"/>
  <c r="T235" i="119" s="1"/>
  <c r="R235" i="119"/>
  <c r="Q235" i="119"/>
  <c r="P235" i="119"/>
  <c r="AS234" i="119"/>
  <c r="T234" i="119"/>
  <c r="AS233" i="119"/>
  <c r="T233" i="119"/>
  <c r="AS232" i="119"/>
  <c r="T232" i="119"/>
  <c r="AS231" i="119"/>
  <c r="T231" i="119"/>
  <c r="AS230" i="119"/>
  <c r="T230" i="119"/>
  <c r="AS229" i="119"/>
  <c r="T229" i="119"/>
  <c r="AS228" i="119"/>
  <c r="T228" i="119"/>
  <c r="AS227" i="119"/>
  <c r="T227" i="119"/>
  <c r="G227" i="119"/>
  <c r="AS226" i="119"/>
  <c r="T226" i="119"/>
  <c r="G226" i="119"/>
  <c r="AS225" i="119"/>
  <c r="T225" i="119"/>
  <c r="G225" i="119"/>
  <c r="AS224" i="119"/>
  <c r="T224" i="119"/>
  <c r="G224" i="119"/>
  <c r="AS223" i="119"/>
  <c r="T223" i="119"/>
  <c r="AS222" i="119"/>
  <c r="T222" i="119"/>
  <c r="AS221" i="119"/>
  <c r="T221" i="119"/>
  <c r="AS220" i="119"/>
  <c r="T220" i="119"/>
  <c r="AS219" i="119"/>
  <c r="T219" i="119"/>
  <c r="AS218" i="119"/>
  <c r="T218" i="119"/>
  <c r="AS217" i="119"/>
  <c r="T217" i="119"/>
  <c r="AS216" i="119"/>
  <c r="T216" i="119"/>
  <c r="AS215" i="119"/>
  <c r="T215" i="119"/>
  <c r="AS214" i="119"/>
  <c r="T214" i="119"/>
  <c r="AS213" i="119"/>
  <c r="T213" i="119"/>
  <c r="AS212" i="119"/>
  <c r="T212" i="119"/>
  <c r="AS211" i="119"/>
  <c r="T211" i="119"/>
  <c r="AS210" i="119"/>
  <c r="T210" i="119"/>
  <c r="AS209" i="119"/>
  <c r="T209" i="119"/>
  <c r="AS208" i="119"/>
  <c r="T208" i="119"/>
  <c r="AS207" i="119"/>
  <c r="T207" i="119"/>
  <c r="AS206" i="119"/>
  <c r="T206" i="119"/>
  <c r="AS205" i="119"/>
  <c r="T205" i="119"/>
  <c r="AS204" i="119"/>
  <c r="T204" i="119"/>
  <c r="AS203" i="119"/>
  <c r="T203" i="119"/>
  <c r="AS202" i="119"/>
  <c r="T202" i="119"/>
  <c r="AS201" i="119"/>
  <c r="T201" i="119"/>
  <c r="AS200" i="119"/>
  <c r="T200" i="119"/>
  <c r="AS199" i="119"/>
  <c r="T199" i="119"/>
  <c r="AS198" i="119"/>
  <c r="T198" i="119"/>
  <c r="AS197" i="119"/>
  <c r="T197" i="119"/>
  <c r="AS196" i="119"/>
  <c r="T196" i="119"/>
  <c r="AS195" i="119"/>
  <c r="T195" i="119"/>
  <c r="AS194" i="119"/>
  <c r="T194" i="119"/>
  <c r="AS193" i="119"/>
  <c r="T193" i="119"/>
  <c r="AS192" i="119"/>
  <c r="T192" i="119"/>
  <c r="AS191" i="119"/>
  <c r="T191" i="119"/>
  <c r="AS190" i="119"/>
  <c r="T190" i="119"/>
  <c r="AS189" i="119"/>
  <c r="T189" i="119"/>
  <c r="AS188" i="119"/>
  <c r="T188" i="119"/>
  <c r="AS187" i="119"/>
  <c r="T187" i="119"/>
  <c r="AS186" i="119"/>
  <c r="T186" i="119"/>
  <c r="AS185" i="119"/>
  <c r="T185" i="119"/>
  <c r="AS184" i="119"/>
  <c r="T184" i="119"/>
  <c r="AS183" i="119"/>
  <c r="T183" i="119"/>
  <c r="AS182" i="119"/>
  <c r="T182" i="119"/>
  <c r="AS181" i="119"/>
  <c r="T181" i="119"/>
  <c r="AS180" i="119"/>
  <c r="T180" i="119"/>
  <c r="AS179" i="119"/>
  <c r="T179" i="119"/>
  <c r="AS178" i="119"/>
  <c r="T178" i="119"/>
  <c r="AS177" i="119"/>
  <c r="T177" i="119"/>
  <c r="AS176" i="119"/>
  <c r="T176" i="119"/>
  <c r="AS175" i="119"/>
  <c r="T175" i="119"/>
  <c r="AS174" i="119"/>
  <c r="T174" i="119"/>
  <c r="AS173" i="119"/>
  <c r="T173" i="119"/>
  <c r="AS172" i="119"/>
  <c r="T172" i="119"/>
  <c r="AS171" i="119"/>
  <c r="T171" i="119"/>
  <c r="AS170" i="119"/>
  <c r="T170" i="119"/>
  <c r="AS169" i="119"/>
  <c r="T169" i="119"/>
  <c r="AS168" i="119"/>
  <c r="T168" i="119"/>
  <c r="AS167" i="119"/>
  <c r="T167" i="119"/>
  <c r="AS166" i="119"/>
  <c r="T166" i="119"/>
  <c r="AS165" i="119"/>
  <c r="T165" i="119"/>
  <c r="AS164" i="119"/>
  <c r="T164" i="119"/>
  <c r="AS163" i="119"/>
  <c r="T163" i="119"/>
  <c r="AS162" i="119"/>
  <c r="T162" i="119"/>
  <c r="AS161" i="119"/>
  <c r="T161" i="119"/>
  <c r="AS160" i="119"/>
  <c r="T160" i="119"/>
  <c r="AS159" i="119"/>
  <c r="T159" i="119"/>
  <c r="AS158" i="119"/>
  <c r="T158" i="119"/>
  <c r="AS157" i="119"/>
  <c r="T157" i="119"/>
  <c r="AS156" i="119"/>
  <c r="T156" i="119"/>
  <c r="AS155" i="119"/>
  <c r="T155" i="119"/>
  <c r="AS154" i="119"/>
  <c r="T154" i="119"/>
  <c r="AS153" i="119"/>
  <c r="T153" i="119"/>
  <c r="AS152" i="119"/>
  <c r="T152" i="119"/>
  <c r="AS151" i="119"/>
  <c r="T151" i="119"/>
  <c r="AS150" i="119"/>
  <c r="T150" i="119"/>
  <c r="AS149" i="119"/>
  <c r="T149" i="119"/>
  <c r="AS148" i="119"/>
  <c r="T148" i="119"/>
  <c r="AS147" i="119"/>
  <c r="T147" i="119"/>
  <c r="AS146" i="119"/>
  <c r="T146" i="119"/>
  <c r="AS145" i="119"/>
  <c r="T145" i="119"/>
  <c r="AS144" i="119"/>
  <c r="T144" i="119"/>
  <c r="AS143" i="119"/>
  <c r="T143" i="119"/>
  <c r="AS142" i="119"/>
  <c r="T142" i="119"/>
  <c r="AS141" i="119"/>
  <c r="T141" i="119"/>
  <c r="AS140" i="119"/>
  <c r="T140" i="119"/>
  <c r="AS139" i="119"/>
  <c r="T139" i="119"/>
  <c r="K139" i="119"/>
  <c r="AS138" i="119"/>
  <c r="T138" i="119"/>
  <c r="AS137" i="119"/>
  <c r="T137" i="119"/>
  <c r="AS136" i="119"/>
  <c r="T136" i="119"/>
  <c r="AS135" i="119"/>
  <c r="T135" i="119"/>
  <c r="AS134" i="119"/>
  <c r="T134" i="119"/>
  <c r="AS133" i="119"/>
  <c r="T133" i="119"/>
  <c r="AS132" i="119"/>
  <c r="T132" i="119"/>
  <c r="AS131" i="119"/>
  <c r="T131" i="119"/>
  <c r="AS130" i="119"/>
  <c r="T130" i="119"/>
  <c r="AS129" i="119"/>
  <c r="T129" i="119"/>
  <c r="K129" i="119"/>
  <c r="AS128" i="119"/>
  <c r="T128" i="119"/>
  <c r="AS127" i="119"/>
  <c r="T127" i="119"/>
  <c r="AS126" i="119"/>
  <c r="T126" i="119"/>
  <c r="AS125" i="119"/>
  <c r="T125" i="119"/>
  <c r="AS124" i="119"/>
  <c r="T124" i="119"/>
  <c r="AS123" i="119"/>
  <c r="T123" i="119"/>
  <c r="AS122" i="119"/>
  <c r="T122" i="119"/>
  <c r="AS121" i="119"/>
  <c r="T121" i="119"/>
  <c r="H121" i="119"/>
  <c r="G121" i="119"/>
  <c r="F121" i="119"/>
  <c r="K121" i="119" s="1"/>
  <c r="E121" i="119"/>
  <c r="E122" i="119" s="1"/>
  <c r="D121" i="119"/>
  <c r="D122" i="119" s="1"/>
  <c r="AS120" i="119"/>
  <c r="T120" i="119"/>
  <c r="K120" i="119"/>
  <c r="H120" i="119"/>
  <c r="G120" i="119"/>
  <c r="AS119" i="119"/>
  <c r="T119" i="119"/>
  <c r="K119" i="119"/>
  <c r="AS118" i="119"/>
  <c r="T118" i="119"/>
  <c r="K118" i="119"/>
  <c r="G118" i="119"/>
  <c r="AS117" i="119"/>
  <c r="T117" i="119"/>
  <c r="K117" i="119"/>
  <c r="G117" i="119"/>
  <c r="AS116" i="119"/>
  <c r="AR116" i="119"/>
  <c r="S116" i="119"/>
  <c r="R116" i="119"/>
  <c r="Q116" i="119"/>
  <c r="T116" i="119" s="1"/>
  <c r="K116" i="119"/>
  <c r="G116" i="119"/>
  <c r="AS115" i="119"/>
  <c r="T115" i="119"/>
  <c r="K115" i="119"/>
  <c r="G115" i="119"/>
  <c r="AS114" i="119"/>
  <c r="T114" i="119"/>
  <c r="K114" i="119"/>
  <c r="G114" i="119"/>
  <c r="AS113" i="119"/>
  <c r="T113" i="119"/>
  <c r="K113" i="119"/>
  <c r="G113" i="119"/>
  <c r="AS112" i="119"/>
  <c r="T112" i="119"/>
  <c r="K112" i="119"/>
  <c r="G112" i="119"/>
  <c r="AS111" i="119"/>
  <c r="T111" i="119"/>
  <c r="K111" i="119"/>
  <c r="G111" i="119"/>
  <c r="AS110" i="119"/>
  <c r="S110" i="119"/>
  <c r="R110" i="119"/>
  <c r="Q110" i="119"/>
  <c r="T110" i="119" s="1"/>
  <c r="K110" i="119"/>
  <c r="G110" i="119"/>
  <c r="AS109" i="119"/>
  <c r="S109" i="119"/>
  <c r="R109" i="119"/>
  <c r="Q109" i="119"/>
  <c r="T109" i="119" s="1"/>
  <c r="K109" i="119"/>
  <c r="H109" i="119"/>
  <c r="G109" i="119" s="1"/>
  <c r="AS108" i="119"/>
  <c r="T108" i="119"/>
  <c r="K108" i="119"/>
  <c r="G108" i="119"/>
  <c r="AS107" i="119"/>
  <c r="T107" i="119"/>
  <c r="AS106" i="119"/>
  <c r="U106" i="119"/>
  <c r="T106" i="119"/>
  <c r="K106" i="119"/>
  <c r="G106" i="119"/>
  <c r="AS105" i="119"/>
  <c r="S105" i="119"/>
  <c r="R105" i="119"/>
  <c r="Q105" i="119"/>
  <c r="T105" i="119" s="1"/>
  <c r="K105" i="119"/>
  <c r="G105" i="119"/>
  <c r="AS104" i="119"/>
  <c r="S104" i="119"/>
  <c r="R104" i="119"/>
  <c r="Q104" i="119"/>
  <c r="T104" i="119" s="1"/>
  <c r="K104" i="119"/>
  <c r="G104" i="119"/>
  <c r="D104" i="119"/>
  <c r="D105" i="119" s="1"/>
  <c r="D106" i="119" s="1"/>
  <c r="D108" i="119" s="1"/>
  <c r="D88" i="119" s="1"/>
  <c r="D89" i="119" s="1"/>
  <c r="D90" i="119" s="1"/>
  <c r="D91" i="119" s="1"/>
  <c r="D92" i="119" s="1"/>
  <c r="D93" i="119" s="1"/>
  <c r="D94" i="119" s="1"/>
  <c r="D95" i="119" s="1"/>
  <c r="D109" i="119" s="1"/>
  <c r="D110" i="119" s="1"/>
  <c r="D111" i="119" s="1"/>
  <c r="D112" i="119" s="1"/>
  <c r="D96" i="119" s="1"/>
  <c r="D97" i="119" s="1"/>
  <c r="D98" i="119" s="1"/>
  <c r="D99" i="119" s="1"/>
  <c r="D100" i="119" s="1"/>
  <c r="D116" i="119" s="1"/>
  <c r="D101" i="119" s="1"/>
  <c r="D113" i="119" s="1"/>
  <c r="D114" i="119" s="1"/>
  <c r="D115" i="119" s="1"/>
  <c r="D102" i="119" s="1"/>
  <c r="D103" i="119" s="1"/>
  <c r="D117" i="119" s="1"/>
  <c r="D118" i="119" s="1"/>
  <c r="D8" i="119" s="1"/>
  <c r="D9" i="119" s="1"/>
  <c r="D10" i="119" s="1"/>
  <c r="D11" i="119" s="1"/>
  <c r="D12" i="119" s="1"/>
  <c r="D13" i="119" s="1"/>
  <c r="D14" i="119" s="1"/>
  <c r="D15" i="119" s="1"/>
  <c r="D16" i="119" s="1"/>
  <c r="D17" i="119" s="1"/>
  <c r="D18" i="119" s="1"/>
  <c r="D19" i="119" s="1"/>
  <c r="D20" i="119" s="1"/>
  <c r="D21" i="119" s="1"/>
  <c r="D22" i="119" s="1"/>
  <c r="D23" i="119" s="1"/>
  <c r="D24" i="119" s="1"/>
  <c r="D25" i="119" s="1"/>
  <c r="D26" i="119" s="1"/>
  <c r="D27" i="119" s="1"/>
  <c r="D28" i="119" s="1"/>
  <c r="D29" i="119" s="1"/>
  <c r="D30" i="119" s="1"/>
  <c r="D31" i="119" s="1"/>
  <c r="D32" i="119" s="1"/>
  <c r="D33" i="119" s="1"/>
  <c r="D34" i="119" s="1"/>
  <c r="D35" i="119" s="1"/>
  <c r="D36" i="119" s="1"/>
  <c r="D37" i="119" s="1"/>
  <c r="D38" i="119" s="1"/>
  <c r="D39" i="119" s="1"/>
  <c r="D40" i="119" s="1"/>
  <c r="D41" i="119" s="1"/>
  <c r="D42" i="119" s="1"/>
  <c r="D43" i="119" s="1"/>
  <c r="D44" i="119" s="1"/>
  <c r="D45" i="119" s="1"/>
  <c r="D46" i="119" s="1"/>
  <c r="D47" i="119" s="1"/>
  <c r="D48" i="119" s="1"/>
  <c r="D49" i="119" s="1"/>
  <c r="D50" i="119" s="1"/>
  <c r="D51" i="119" s="1"/>
  <c r="D52" i="119" s="1"/>
  <c r="D53" i="119" s="1"/>
  <c r="AS103" i="119"/>
  <c r="S103" i="119"/>
  <c r="R103" i="119"/>
  <c r="Q103" i="119"/>
  <c r="T103" i="119" s="1"/>
  <c r="K103" i="119"/>
  <c r="AS102" i="119"/>
  <c r="S102" i="119"/>
  <c r="R102" i="119"/>
  <c r="Q102" i="119"/>
  <c r="T102" i="119" s="1"/>
  <c r="K102" i="119"/>
  <c r="G102" i="119"/>
  <c r="AP101" i="119"/>
  <c r="AS101" i="119" s="1"/>
  <c r="S101" i="119"/>
  <c r="R101" i="119"/>
  <c r="Q101" i="119"/>
  <c r="T101" i="119" s="1"/>
  <c r="K101" i="119"/>
  <c r="G101" i="119"/>
  <c r="AS100" i="119"/>
  <c r="T100" i="119"/>
  <c r="K100" i="119"/>
  <c r="G100" i="119"/>
  <c r="AS99" i="119"/>
  <c r="T99" i="119"/>
  <c r="S99" i="119"/>
  <c r="R99" i="119"/>
  <c r="Q99" i="119"/>
  <c r="K99" i="119"/>
  <c r="G99" i="119"/>
  <c r="AR98" i="119"/>
  <c r="S98" i="119" s="1"/>
  <c r="R98" i="119"/>
  <c r="Q98" i="119"/>
  <c r="T98" i="119" s="1"/>
  <c r="K98" i="119"/>
  <c r="G98" i="119"/>
  <c r="AS97" i="119"/>
  <c r="S97" i="119"/>
  <c r="R97" i="119"/>
  <c r="Q97" i="119"/>
  <c r="T97" i="119" s="1"/>
  <c r="G97" i="119"/>
  <c r="AP96" i="119"/>
  <c r="AP398" i="119" s="1"/>
  <c r="S96" i="119"/>
  <c r="R96" i="119"/>
  <c r="K96" i="119"/>
  <c r="G96" i="119"/>
  <c r="AS95" i="119"/>
  <c r="AR95" i="119"/>
  <c r="S95" i="119" s="1"/>
  <c r="R95" i="119"/>
  <c r="Q95" i="119"/>
  <c r="T95" i="119" s="1"/>
  <c r="K95" i="119"/>
  <c r="G95" i="119"/>
  <c r="AS94" i="119"/>
  <c r="S94" i="119"/>
  <c r="R94" i="119"/>
  <c r="Q94" i="119"/>
  <c r="T94" i="119" s="1"/>
  <c r="K94" i="119"/>
  <c r="G94" i="119"/>
  <c r="AS93" i="119"/>
  <c r="T93" i="119"/>
  <c r="K93" i="119"/>
  <c r="G93" i="119"/>
  <c r="AS92" i="119"/>
  <c r="T92" i="119"/>
  <c r="K92" i="119"/>
  <c r="G92" i="119"/>
  <c r="AP91" i="119"/>
  <c r="AS91" i="119" s="1"/>
  <c r="S91" i="119"/>
  <c r="R91" i="119"/>
  <c r="Q91" i="119"/>
  <c r="T91" i="119" s="1"/>
  <c r="K91" i="119"/>
  <c r="G91" i="119"/>
  <c r="AR90" i="119"/>
  <c r="AS90" i="119" s="1"/>
  <c r="S90" i="119"/>
  <c r="R90" i="119"/>
  <c r="T90" i="119" s="1"/>
  <c r="Q90" i="119"/>
  <c r="K90" i="119"/>
  <c r="G90" i="119"/>
  <c r="AS89" i="119"/>
  <c r="S89" i="119"/>
  <c r="R89" i="119"/>
  <c r="T89" i="119" s="1"/>
  <c r="Q89" i="119"/>
  <c r="K89" i="119"/>
  <c r="G89" i="119"/>
  <c r="AS88" i="119"/>
  <c r="T88" i="119"/>
  <c r="K88" i="119"/>
  <c r="G88" i="119"/>
  <c r="AS87" i="119"/>
  <c r="T87" i="119"/>
  <c r="AS86" i="119"/>
  <c r="R86" i="119"/>
  <c r="T86" i="119" s="1"/>
  <c r="AS85" i="119"/>
  <c r="T85" i="119"/>
  <c r="R85" i="119"/>
  <c r="AS84" i="119"/>
  <c r="R84" i="119"/>
  <c r="T84" i="119" s="1"/>
  <c r="AS83" i="119"/>
  <c r="U83" i="119"/>
  <c r="T83" i="119"/>
  <c r="AS82" i="119"/>
  <c r="T82" i="119"/>
  <c r="AS81" i="119"/>
  <c r="T81" i="119"/>
  <c r="AS80" i="119"/>
  <c r="R80" i="119"/>
  <c r="T80" i="119" s="1"/>
  <c r="AS79" i="119"/>
  <c r="T79" i="119"/>
  <c r="H79" i="119"/>
  <c r="AS78" i="119"/>
  <c r="T78" i="119"/>
  <c r="G78" i="119"/>
  <c r="AS77" i="119"/>
  <c r="T77" i="119"/>
  <c r="G77" i="119"/>
  <c r="AS76" i="119"/>
  <c r="T76" i="119"/>
  <c r="G76" i="119"/>
  <c r="AS75" i="119"/>
  <c r="T75" i="119"/>
  <c r="G75" i="119"/>
  <c r="AS74" i="119"/>
  <c r="T74" i="119"/>
  <c r="G74" i="119"/>
  <c r="AS73" i="119"/>
  <c r="T73" i="119"/>
  <c r="G73" i="119"/>
  <c r="AS72" i="119"/>
  <c r="T72" i="119"/>
  <c r="G72" i="119"/>
  <c r="AS71" i="119"/>
  <c r="T71" i="119"/>
  <c r="G71" i="119"/>
  <c r="AS70" i="119"/>
  <c r="T70" i="119"/>
  <c r="G70" i="119"/>
  <c r="AS69" i="119"/>
  <c r="T69" i="119"/>
  <c r="G69" i="119"/>
  <c r="AS68" i="119"/>
  <c r="T68" i="119"/>
  <c r="G68" i="119"/>
  <c r="AS67" i="119"/>
  <c r="T67" i="119"/>
  <c r="G67" i="119"/>
  <c r="AS66" i="119"/>
  <c r="T66" i="119"/>
  <c r="G66" i="119"/>
  <c r="AS65" i="119"/>
  <c r="T65" i="119"/>
  <c r="G65" i="119"/>
  <c r="AS64" i="119"/>
  <c r="T64" i="119"/>
  <c r="G64" i="119"/>
  <c r="AS63" i="119"/>
  <c r="T63" i="119"/>
  <c r="G63" i="119"/>
  <c r="AS62" i="119"/>
  <c r="T62" i="119"/>
  <c r="G62" i="119"/>
  <c r="AS61" i="119"/>
  <c r="T61" i="119"/>
  <c r="G61" i="119"/>
  <c r="AS60" i="119"/>
  <c r="T60" i="119"/>
  <c r="G60" i="119"/>
  <c r="AS59" i="119"/>
  <c r="T59" i="119"/>
  <c r="G59" i="119"/>
  <c r="AS58" i="119"/>
  <c r="T58" i="119"/>
  <c r="G58" i="119"/>
  <c r="AS57" i="119"/>
  <c r="T57" i="119"/>
  <c r="AS56" i="119"/>
  <c r="T56" i="119"/>
  <c r="H56" i="119"/>
  <c r="AS55" i="119"/>
  <c r="T55" i="119"/>
  <c r="K55" i="119"/>
  <c r="AS54" i="119"/>
  <c r="T54" i="119"/>
  <c r="AS53" i="119"/>
  <c r="U53" i="119"/>
  <c r="S53" i="119"/>
  <c r="R53" i="119"/>
  <c r="Q53" i="119"/>
  <c r="T53" i="119" s="1"/>
  <c r="AS52" i="119"/>
  <c r="S52" i="119"/>
  <c r="R52" i="119"/>
  <c r="Q52" i="119"/>
  <c r="T52" i="119" s="1"/>
  <c r="AS51" i="119"/>
  <c r="S51" i="119"/>
  <c r="R51" i="119"/>
  <c r="Q51" i="119"/>
  <c r="T51" i="119" s="1"/>
  <c r="AS50" i="119"/>
  <c r="S50" i="119"/>
  <c r="T50" i="119" s="1"/>
  <c r="R50" i="119"/>
  <c r="Q50" i="119"/>
  <c r="AS49" i="119"/>
  <c r="S49" i="119"/>
  <c r="R49" i="119"/>
  <c r="Q49" i="119"/>
  <c r="T49" i="119" s="1"/>
  <c r="AS48" i="119"/>
  <c r="S48" i="119"/>
  <c r="R48" i="119"/>
  <c r="Q48" i="119"/>
  <c r="T48" i="119" s="1"/>
  <c r="AS47" i="119"/>
  <c r="S47" i="119"/>
  <c r="R47" i="119"/>
  <c r="Q47" i="119"/>
  <c r="T47" i="119" s="1"/>
  <c r="AR46" i="119"/>
  <c r="S46" i="119" s="1"/>
  <c r="T46" i="119" s="1"/>
  <c r="R46" i="119"/>
  <c r="Q46" i="119"/>
  <c r="AS45" i="119"/>
  <c r="S45" i="119"/>
  <c r="R45" i="119"/>
  <c r="T45" i="119" s="1"/>
  <c r="Q45" i="119"/>
  <c r="AS44" i="119"/>
  <c r="T44" i="119"/>
  <c r="AS43" i="119"/>
  <c r="S43" i="119"/>
  <c r="T43" i="119" s="1"/>
  <c r="R43" i="119"/>
  <c r="Q43" i="119"/>
  <c r="AS42" i="119"/>
  <c r="S42" i="119"/>
  <c r="R42" i="119"/>
  <c r="Q42" i="119"/>
  <c r="T42" i="119" s="1"/>
  <c r="AS41" i="119"/>
  <c r="S41" i="119"/>
  <c r="R41" i="119"/>
  <c r="Q41" i="119"/>
  <c r="T41" i="119" s="1"/>
  <c r="AS40" i="119"/>
  <c r="S40" i="119"/>
  <c r="R40" i="119"/>
  <c r="Q40" i="119"/>
  <c r="T40" i="119" s="1"/>
  <c r="AR39" i="119"/>
  <c r="S39" i="119" s="1"/>
  <c r="T39" i="119" s="1"/>
  <c r="R39" i="119"/>
  <c r="Q39" i="119"/>
  <c r="AS38" i="119"/>
  <c r="S38" i="119"/>
  <c r="R38" i="119"/>
  <c r="T38" i="119" s="1"/>
  <c r="Q38" i="119"/>
  <c r="AS37" i="119"/>
  <c r="S37" i="119"/>
  <c r="R37" i="119"/>
  <c r="Q37" i="119"/>
  <c r="T37" i="119" s="1"/>
  <c r="AS36" i="119"/>
  <c r="S36" i="119"/>
  <c r="R36" i="119"/>
  <c r="Q36" i="119"/>
  <c r="T36" i="119" s="1"/>
  <c r="AS35" i="119"/>
  <c r="T35" i="119"/>
  <c r="S35" i="119"/>
  <c r="R35" i="119"/>
  <c r="Q35" i="119"/>
  <c r="AS34" i="119"/>
  <c r="S34" i="119"/>
  <c r="R34" i="119"/>
  <c r="T34" i="119" s="1"/>
  <c r="Q34" i="119"/>
  <c r="AS33" i="119"/>
  <c r="T33" i="119"/>
  <c r="AS32" i="119"/>
  <c r="S32" i="119"/>
  <c r="T32" i="119" s="1"/>
  <c r="R32" i="119"/>
  <c r="Q32" i="119"/>
  <c r="AS31" i="119"/>
  <c r="S31" i="119"/>
  <c r="R31" i="119"/>
  <c r="Q31" i="119"/>
  <c r="T31" i="119" s="1"/>
  <c r="AS30" i="119"/>
  <c r="S30" i="119"/>
  <c r="R30" i="119"/>
  <c r="Q30" i="119"/>
  <c r="T30" i="119" s="1"/>
  <c r="AS29" i="119"/>
  <c r="AR29" i="119"/>
  <c r="S29" i="119" s="1"/>
  <c r="R29" i="119"/>
  <c r="Q29" i="119"/>
  <c r="T29" i="119" s="1"/>
  <c r="AS28" i="119"/>
  <c r="T28" i="119"/>
  <c r="S28" i="119"/>
  <c r="R28" i="119"/>
  <c r="Q28" i="119"/>
  <c r="AS27" i="119"/>
  <c r="S27" i="119"/>
  <c r="R27" i="119"/>
  <c r="T27" i="119" s="1"/>
  <c r="Q27" i="119"/>
  <c r="AS26" i="119"/>
  <c r="S26" i="119"/>
  <c r="R26" i="119"/>
  <c r="Q26" i="119"/>
  <c r="T26" i="119" s="1"/>
  <c r="AS25" i="119"/>
  <c r="S25" i="119"/>
  <c r="R25" i="119"/>
  <c r="Q25" i="119"/>
  <c r="T25" i="119" s="1"/>
  <c r="AS24" i="119"/>
  <c r="T24" i="119"/>
  <c r="S24" i="119"/>
  <c r="R24" i="119"/>
  <c r="Q24" i="119"/>
  <c r="AS23" i="119"/>
  <c r="T23" i="119"/>
  <c r="AS22" i="119"/>
  <c r="S22" i="119"/>
  <c r="R22" i="119"/>
  <c r="Q22" i="119"/>
  <c r="T22" i="119" s="1"/>
  <c r="AS21" i="119"/>
  <c r="S21" i="119"/>
  <c r="T21" i="119" s="1"/>
  <c r="R21" i="119"/>
  <c r="Q21" i="119"/>
  <c r="AS20" i="119"/>
  <c r="S20" i="119"/>
  <c r="R20" i="119"/>
  <c r="Q20" i="119"/>
  <c r="T20" i="119" s="1"/>
  <c r="AS19" i="119"/>
  <c r="S19" i="119"/>
  <c r="R19" i="119"/>
  <c r="Q19" i="119"/>
  <c r="T19" i="119" s="1"/>
  <c r="AS18" i="119"/>
  <c r="S18" i="119"/>
  <c r="R18" i="119"/>
  <c r="Q18" i="119"/>
  <c r="T18" i="119" s="1"/>
  <c r="AS17" i="119"/>
  <c r="S17" i="119"/>
  <c r="T17" i="119" s="1"/>
  <c r="R17" i="119"/>
  <c r="Q17" i="119"/>
  <c r="AS16" i="119"/>
  <c r="S16" i="119"/>
  <c r="R16" i="119"/>
  <c r="Q16" i="119"/>
  <c r="T16" i="119" s="1"/>
  <c r="AS15" i="119"/>
  <c r="S15" i="119"/>
  <c r="R15" i="119"/>
  <c r="Q15" i="119"/>
  <c r="T15" i="119" s="1"/>
  <c r="AS14" i="119"/>
  <c r="T14" i="119"/>
  <c r="AS13" i="119"/>
  <c r="S13" i="119"/>
  <c r="R13" i="119"/>
  <c r="Q13" i="119"/>
  <c r="T13" i="119" s="1"/>
  <c r="AS12" i="119"/>
  <c r="S12" i="119"/>
  <c r="R12" i="119"/>
  <c r="Q12" i="119"/>
  <c r="T12" i="119" s="1"/>
  <c r="AS11" i="119"/>
  <c r="T11" i="119"/>
  <c r="S11" i="119"/>
  <c r="R11" i="119"/>
  <c r="Q11" i="119"/>
  <c r="AS10" i="119"/>
  <c r="T10" i="119"/>
  <c r="K8" i="119"/>
  <c r="L3149" i="120"/>
  <c r="K3149" i="120"/>
  <c r="M3148" i="120"/>
  <c r="M3147" i="120"/>
  <c r="M3146" i="120"/>
  <c r="M3145" i="120"/>
  <c r="M3144" i="120"/>
  <c r="M3143" i="120"/>
  <c r="M3142" i="120"/>
  <c r="M3141" i="120"/>
  <c r="M3140" i="120"/>
  <c r="M3139" i="120"/>
  <c r="M3138" i="120"/>
  <c r="M3137" i="120"/>
  <c r="M3136" i="120"/>
  <c r="M3135" i="120"/>
  <c r="M3134" i="120"/>
  <c r="M3133" i="120"/>
  <c r="M3132" i="120"/>
  <c r="M3131" i="120"/>
  <c r="M3130" i="120"/>
  <c r="M3129" i="120"/>
  <c r="M3128" i="120"/>
  <c r="M3127" i="120"/>
  <c r="M3126" i="120"/>
  <c r="M3125" i="120"/>
  <c r="M3124" i="120"/>
  <c r="M3123" i="120"/>
  <c r="M3122" i="120"/>
  <c r="M3121" i="120"/>
  <c r="M3120" i="120"/>
  <c r="M3119" i="120"/>
  <c r="M3118" i="120"/>
  <c r="M3117" i="120"/>
  <c r="M3116" i="120"/>
  <c r="M3115" i="120"/>
  <c r="M3114" i="120"/>
  <c r="M3113" i="120"/>
  <c r="M3112" i="120"/>
  <c r="M3111" i="120"/>
  <c r="M3110" i="120"/>
  <c r="M3109" i="120"/>
  <c r="M3108" i="120"/>
  <c r="M3107" i="120"/>
  <c r="M3106" i="120"/>
  <c r="M3105" i="120"/>
  <c r="M3104" i="120"/>
  <c r="M3103" i="120"/>
  <c r="M3102" i="120"/>
  <c r="M3101" i="120"/>
  <c r="M3100" i="120"/>
  <c r="M3099" i="120"/>
  <c r="M3098" i="120"/>
  <c r="M3097" i="120"/>
  <c r="M3096" i="120"/>
  <c r="M3095" i="120"/>
  <c r="M3094" i="120"/>
  <c r="M3093" i="120"/>
  <c r="M3092" i="120"/>
  <c r="M3091" i="120"/>
  <c r="M3090" i="120"/>
  <c r="M3089" i="120"/>
  <c r="M3088" i="120"/>
  <c r="M3087" i="120"/>
  <c r="M3086" i="120"/>
  <c r="M3085" i="120"/>
  <c r="M3084" i="120"/>
  <c r="M3083" i="120"/>
  <c r="M3082" i="120"/>
  <c r="M3081" i="120"/>
  <c r="M3080" i="120"/>
  <c r="M3079" i="120"/>
  <c r="M3078" i="120"/>
  <c r="M3077" i="120"/>
  <c r="M3076" i="120"/>
  <c r="M3075" i="120"/>
  <c r="M3074" i="120"/>
  <c r="M3073" i="120"/>
  <c r="M3072" i="120"/>
  <c r="M3071" i="120"/>
  <c r="M3070" i="120"/>
  <c r="M3069" i="120"/>
  <c r="M3068" i="120"/>
  <c r="M3067" i="120"/>
  <c r="M3066" i="120"/>
  <c r="M3065" i="120"/>
  <c r="M3064" i="120"/>
  <c r="M3063" i="120"/>
  <c r="M3062" i="120"/>
  <c r="M3061" i="120"/>
  <c r="M3060" i="120"/>
  <c r="M3059" i="120"/>
  <c r="M3058" i="120"/>
  <c r="M3057" i="120"/>
  <c r="M3056" i="120"/>
  <c r="M3055" i="120"/>
  <c r="M3054" i="120"/>
  <c r="M3053" i="120"/>
  <c r="M3052" i="120"/>
  <c r="M3051" i="120"/>
  <c r="M3050" i="120"/>
  <c r="M3049" i="120"/>
  <c r="M3048" i="120"/>
  <c r="M3047" i="120"/>
  <c r="M3046" i="120"/>
  <c r="M3045" i="120"/>
  <c r="M3044" i="120"/>
  <c r="M3043" i="120"/>
  <c r="M3042" i="120"/>
  <c r="M3041" i="120"/>
  <c r="M3040" i="120"/>
  <c r="M3039" i="120"/>
  <c r="M3038" i="120"/>
  <c r="M3037" i="120"/>
  <c r="M3036" i="120"/>
  <c r="M3035" i="120"/>
  <c r="M3034" i="120"/>
  <c r="M3033" i="120"/>
  <c r="M3032" i="120"/>
  <c r="M3031" i="120"/>
  <c r="M3030" i="120"/>
  <c r="M3029" i="120"/>
  <c r="M3028" i="120"/>
  <c r="M3027" i="120"/>
  <c r="M3026" i="120"/>
  <c r="M3025" i="120"/>
  <c r="M3024" i="120"/>
  <c r="M3023" i="120"/>
  <c r="M3022" i="120"/>
  <c r="M3021" i="120"/>
  <c r="M3020" i="120"/>
  <c r="M3019" i="120"/>
  <c r="M3018" i="120"/>
  <c r="M3017" i="120"/>
  <c r="M3016" i="120"/>
  <c r="M3015" i="120"/>
  <c r="M3014" i="120"/>
  <c r="M3013" i="120"/>
  <c r="M3012" i="120"/>
  <c r="M3011" i="120"/>
  <c r="M3010" i="120"/>
  <c r="M3009" i="120"/>
  <c r="M3008" i="120"/>
  <c r="M3007" i="120"/>
  <c r="M3006" i="120"/>
  <c r="M3005" i="120"/>
  <c r="M3004" i="120"/>
  <c r="M3003" i="120"/>
  <c r="M3002" i="120"/>
  <c r="M3001" i="120"/>
  <c r="M3000" i="120"/>
  <c r="M2999" i="120"/>
  <c r="M2998" i="120"/>
  <c r="M2997" i="120"/>
  <c r="M2996" i="120"/>
  <c r="M2995" i="120"/>
  <c r="M2994" i="120"/>
  <c r="M2993" i="120"/>
  <c r="M2992" i="120"/>
  <c r="M2991" i="120"/>
  <c r="M2990" i="120"/>
  <c r="M2989" i="120"/>
  <c r="M2988" i="120"/>
  <c r="M2987" i="120"/>
  <c r="M2986" i="120"/>
  <c r="M2985" i="120"/>
  <c r="M2984" i="120"/>
  <c r="M2983" i="120"/>
  <c r="M2982" i="120"/>
  <c r="M2981" i="120"/>
  <c r="M2980" i="120"/>
  <c r="M2979" i="120"/>
  <c r="M2978" i="120"/>
  <c r="M2977" i="120"/>
  <c r="M2976" i="120"/>
  <c r="M2975" i="120"/>
  <c r="M2974" i="120"/>
  <c r="M2973" i="120"/>
  <c r="M2972" i="120"/>
  <c r="M2971" i="120"/>
  <c r="M2970" i="120"/>
  <c r="M2969" i="120"/>
  <c r="M2968" i="120"/>
  <c r="M2967" i="120"/>
  <c r="M2966" i="120"/>
  <c r="M2965" i="120"/>
  <c r="M2964" i="120"/>
  <c r="M2963" i="120"/>
  <c r="M2962" i="120"/>
  <c r="M2961" i="120"/>
  <c r="M2960" i="120"/>
  <c r="M2959" i="120"/>
  <c r="M2958" i="120"/>
  <c r="M2957" i="120"/>
  <c r="M2956" i="120"/>
  <c r="M2955" i="120"/>
  <c r="M2954" i="120"/>
  <c r="M2953" i="120"/>
  <c r="M2952" i="120"/>
  <c r="M2951" i="120"/>
  <c r="M2950" i="120"/>
  <c r="M2949" i="120"/>
  <c r="M2948" i="120"/>
  <c r="M2947" i="120"/>
  <c r="M2946" i="120"/>
  <c r="M2945" i="120"/>
  <c r="M2944" i="120"/>
  <c r="M2943" i="120"/>
  <c r="M2942" i="120"/>
  <c r="M2941" i="120"/>
  <c r="M2940" i="120"/>
  <c r="M2939" i="120"/>
  <c r="M2938" i="120"/>
  <c r="M2937" i="120"/>
  <c r="M2936" i="120"/>
  <c r="M2935" i="120"/>
  <c r="M2934" i="120"/>
  <c r="M2933" i="120"/>
  <c r="M2932" i="120"/>
  <c r="M2931" i="120"/>
  <c r="M2930" i="120"/>
  <c r="M2929" i="120"/>
  <c r="M2928" i="120"/>
  <c r="M2927" i="120"/>
  <c r="M2926" i="120"/>
  <c r="M2925" i="120"/>
  <c r="M2924" i="120"/>
  <c r="M2923" i="120"/>
  <c r="M2922" i="120"/>
  <c r="M2921" i="120"/>
  <c r="M2920" i="120"/>
  <c r="M2919" i="120"/>
  <c r="M2918" i="120"/>
  <c r="M2917" i="120"/>
  <c r="M2916" i="120"/>
  <c r="M2915" i="120"/>
  <c r="M2914" i="120"/>
  <c r="M2913" i="120"/>
  <c r="M2912" i="120"/>
  <c r="M2911" i="120"/>
  <c r="M2910" i="120"/>
  <c r="M2909" i="120"/>
  <c r="M2908" i="120"/>
  <c r="M2907" i="120"/>
  <c r="M2906" i="120"/>
  <c r="M2905" i="120"/>
  <c r="M2904" i="120"/>
  <c r="M2903" i="120"/>
  <c r="M2902" i="120"/>
  <c r="M2901" i="120"/>
  <c r="M2900" i="120"/>
  <c r="M2899" i="120"/>
  <c r="M2898" i="120"/>
  <c r="M2897" i="120"/>
  <c r="M2896" i="120"/>
  <c r="M2895" i="120"/>
  <c r="M2894" i="120"/>
  <c r="M2893" i="120"/>
  <c r="M2892" i="120"/>
  <c r="M2891" i="120"/>
  <c r="M2890" i="120"/>
  <c r="M2889" i="120"/>
  <c r="M2888" i="120"/>
  <c r="M2887" i="120"/>
  <c r="M2886" i="120"/>
  <c r="M2885" i="120"/>
  <c r="M2884" i="120"/>
  <c r="M2883" i="120"/>
  <c r="M2882" i="120"/>
  <c r="M2881" i="120"/>
  <c r="M2880" i="120"/>
  <c r="M2879" i="120"/>
  <c r="M2878" i="120"/>
  <c r="M2877" i="120"/>
  <c r="M2876" i="120"/>
  <c r="M2875" i="120"/>
  <c r="M2874" i="120"/>
  <c r="M2873" i="120"/>
  <c r="M2872" i="120"/>
  <c r="M2871" i="120"/>
  <c r="M2870" i="120"/>
  <c r="M2869" i="120"/>
  <c r="M2868" i="120"/>
  <c r="M2867" i="120"/>
  <c r="M2866" i="120"/>
  <c r="M2865" i="120"/>
  <c r="M2864" i="120"/>
  <c r="M2863" i="120"/>
  <c r="M2862" i="120"/>
  <c r="M2861" i="120"/>
  <c r="M2860" i="120"/>
  <c r="M2859" i="120"/>
  <c r="M2858" i="120"/>
  <c r="M2857" i="120"/>
  <c r="M2856" i="120"/>
  <c r="M2855" i="120"/>
  <c r="M2854" i="120"/>
  <c r="M2853" i="120"/>
  <c r="M2852" i="120"/>
  <c r="M2851" i="120"/>
  <c r="M2850" i="120"/>
  <c r="O2849" i="120"/>
  <c r="P2849" i="120" s="1"/>
  <c r="M2849" i="120"/>
  <c r="M2848" i="120"/>
  <c r="M2847" i="120"/>
  <c r="M2846" i="120"/>
  <c r="M2845" i="120"/>
  <c r="M2844" i="120"/>
  <c r="M2843" i="120"/>
  <c r="M2842" i="120"/>
  <c r="M2841" i="120"/>
  <c r="M2840" i="120"/>
  <c r="M2839" i="120"/>
  <c r="M2838" i="120"/>
  <c r="M2837" i="120"/>
  <c r="M2836" i="120"/>
  <c r="M2835" i="120"/>
  <c r="M2834" i="120"/>
  <c r="M2833" i="120"/>
  <c r="M2832" i="120"/>
  <c r="M2831" i="120"/>
  <c r="M2830" i="120"/>
  <c r="M2829" i="120"/>
  <c r="M2828" i="120"/>
  <c r="M2827" i="120"/>
  <c r="M2826" i="120"/>
  <c r="M2825" i="120"/>
  <c r="M2824" i="120"/>
  <c r="M2823" i="120"/>
  <c r="M2822" i="120"/>
  <c r="M2821" i="120"/>
  <c r="M2820" i="120"/>
  <c r="M2819" i="120"/>
  <c r="M2818" i="120"/>
  <c r="M2817" i="120"/>
  <c r="M2816" i="120"/>
  <c r="M2815" i="120"/>
  <c r="M2814" i="120"/>
  <c r="M2813" i="120"/>
  <c r="M2812" i="120"/>
  <c r="M2811" i="120"/>
  <c r="M2810" i="120"/>
  <c r="M2809" i="120"/>
  <c r="M2808" i="120"/>
  <c r="M2807" i="120"/>
  <c r="M2806" i="120"/>
  <c r="M2805" i="120"/>
  <c r="M2804" i="120"/>
  <c r="M2803" i="120"/>
  <c r="M2802" i="120"/>
  <c r="M2801" i="120"/>
  <c r="M2800" i="120"/>
  <c r="M2799" i="120"/>
  <c r="M2798" i="120"/>
  <c r="M2797" i="120"/>
  <c r="M2796" i="120"/>
  <c r="M2795" i="120"/>
  <c r="M2794" i="120"/>
  <c r="M2793" i="120"/>
  <c r="M2792" i="120"/>
  <c r="M2791" i="120"/>
  <c r="M2790" i="120"/>
  <c r="M2789" i="120"/>
  <c r="M2788" i="120"/>
  <c r="M2787" i="120"/>
  <c r="M2786" i="120"/>
  <c r="M2785" i="120"/>
  <c r="M2784" i="120"/>
  <c r="M2783" i="120"/>
  <c r="M2782" i="120"/>
  <c r="M2781" i="120"/>
  <c r="M2780" i="120"/>
  <c r="M2779" i="120"/>
  <c r="M2778" i="120"/>
  <c r="M2777" i="120"/>
  <c r="M2776" i="120"/>
  <c r="M2775" i="120"/>
  <c r="M2774" i="120"/>
  <c r="M2773" i="120"/>
  <c r="M2772" i="120"/>
  <c r="M2771" i="120"/>
  <c r="M2770" i="120"/>
  <c r="M2769" i="120"/>
  <c r="M2768" i="120"/>
  <c r="M2767" i="120"/>
  <c r="M2766" i="120"/>
  <c r="M2765" i="120"/>
  <c r="M2764" i="120"/>
  <c r="M2763" i="120"/>
  <c r="M2762" i="120"/>
  <c r="L2756" i="120"/>
  <c r="K2756" i="120"/>
  <c r="M2755" i="120"/>
  <c r="M2754" i="120"/>
  <c r="M2753" i="120"/>
  <c r="M2752" i="120"/>
  <c r="M2751" i="120"/>
  <c r="M2750" i="120"/>
  <c r="M2749" i="120"/>
  <c r="M2748" i="120"/>
  <c r="M2747" i="120"/>
  <c r="M2746" i="120"/>
  <c r="M2745" i="120"/>
  <c r="M2744" i="120"/>
  <c r="M2743" i="120"/>
  <c r="M2742" i="120"/>
  <c r="M2741" i="120"/>
  <c r="M2740" i="120"/>
  <c r="M2739" i="120"/>
  <c r="M2738" i="120"/>
  <c r="M2737" i="120"/>
  <c r="M2736" i="120"/>
  <c r="M2735" i="120"/>
  <c r="M2734" i="120"/>
  <c r="M2733" i="120"/>
  <c r="M2732" i="120"/>
  <c r="M2731" i="120"/>
  <c r="M2730" i="120"/>
  <c r="M2729" i="120"/>
  <c r="M2728" i="120"/>
  <c r="M2727" i="120"/>
  <c r="M2726" i="120"/>
  <c r="M2725" i="120"/>
  <c r="M2724" i="120"/>
  <c r="M2723" i="120"/>
  <c r="M2722" i="120"/>
  <c r="M2721" i="120"/>
  <c r="M2720" i="120"/>
  <c r="M2719" i="120"/>
  <c r="M2718" i="120"/>
  <c r="M2717" i="120"/>
  <c r="M2716" i="120"/>
  <c r="M2715" i="120"/>
  <c r="M2714" i="120"/>
  <c r="M2713" i="120"/>
  <c r="M2712" i="120"/>
  <c r="M2711" i="120"/>
  <c r="M2710" i="120"/>
  <c r="M2709" i="120"/>
  <c r="M2708" i="120"/>
  <c r="M2707" i="120"/>
  <c r="M2706" i="120"/>
  <c r="M2705" i="120"/>
  <c r="M2704" i="120"/>
  <c r="M2703" i="120"/>
  <c r="M2702" i="120"/>
  <c r="M2701" i="120"/>
  <c r="M2700" i="120"/>
  <c r="M2699" i="120"/>
  <c r="M2698" i="120"/>
  <c r="M2697" i="120"/>
  <c r="M2696" i="120"/>
  <c r="M2695" i="120"/>
  <c r="M2694" i="120"/>
  <c r="M2693" i="120"/>
  <c r="M2692" i="120"/>
  <c r="M2691" i="120"/>
  <c r="M2690" i="120"/>
  <c r="M2689" i="120"/>
  <c r="M2688" i="120"/>
  <c r="M2687" i="120"/>
  <c r="M2686" i="120"/>
  <c r="M2685" i="120"/>
  <c r="M2684" i="120"/>
  <c r="M2683" i="120"/>
  <c r="M2682" i="120"/>
  <c r="M2681" i="120"/>
  <c r="M2680" i="120"/>
  <c r="M2679" i="120"/>
  <c r="M2678" i="120"/>
  <c r="M2677" i="120"/>
  <c r="M2676" i="120"/>
  <c r="M2675" i="120"/>
  <c r="M2674" i="120"/>
  <c r="M2673" i="120"/>
  <c r="M2672" i="120"/>
  <c r="M2671" i="120"/>
  <c r="M2670" i="120"/>
  <c r="M2669" i="120"/>
  <c r="M2668" i="120"/>
  <c r="M2667" i="120"/>
  <c r="M2666" i="120"/>
  <c r="M2665" i="120"/>
  <c r="M2664" i="120"/>
  <c r="M2663" i="120"/>
  <c r="M2662" i="120"/>
  <c r="M2661" i="120"/>
  <c r="M2660" i="120"/>
  <c r="M2659" i="120"/>
  <c r="M2658" i="120"/>
  <c r="M2657" i="120"/>
  <c r="M2656" i="120"/>
  <c r="M2655" i="120"/>
  <c r="M2654" i="120"/>
  <c r="M2653" i="120"/>
  <c r="M2652" i="120"/>
  <c r="M2651" i="120"/>
  <c r="M2650" i="120"/>
  <c r="M2649" i="120"/>
  <c r="M2648" i="120"/>
  <c r="M2647" i="120"/>
  <c r="M2646" i="120"/>
  <c r="M2645" i="120"/>
  <c r="M2644" i="120"/>
  <c r="M2643" i="120"/>
  <c r="M2642" i="120"/>
  <c r="M2641" i="120"/>
  <c r="M2640" i="120"/>
  <c r="M2639" i="120"/>
  <c r="M2638" i="120"/>
  <c r="M2637" i="120"/>
  <c r="M2636" i="120"/>
  <c r="M2635" i="120"/>
  <c r="M2634" i="120"/>
  <c r="M2633" i="120"/>
  <c r="M2632" i="120"/>
  <c r="M2631" i="120"/>
  <c r="M2630" i="120"/>
  <c r="M2629" i="120"/>
  <c r="M2628" i="120"/>
  <c r="M2627" i="120"/>
  <c r="M2626" i="120"/>
  <c r="M2625" i="120"/>
  <c r="M2624" i="120"/>
  <c r="M2623" i="120"/>
  <c r="M2622" i="120"/>
  <c r="M2621" i="120"/>
  <c r="M2620" i="120"/>
  <c r="M2619" i="120"/>
  <c r="M2618" i="120"/>
  <c r="M2617" i="120"/>
  <c r="M2616" i="120"/>
  <c r="M2615" i="120"/>
  <c r="M2614" i="120"/>
  <c r="M2613" i="120"/>
  <c r="M2612" i="120"/>
  <c r="M2611" i="120"/>
  <c r="M2610" i="120"/>
  <c r="M2609" i="120"/>
  <c r="M2608" i="120"/>
  <c r="M2607" i="120"/>
  <c r="M2606" i="120"/>
  <c r="M2605" i="120"/>
  <c r="M2604" i="120"/>
  <c r="M2603" i="120"/>
  <c r="M2602" i="120"/>
  <c r="M2601" i="120"/>
  <c r="M2600" i="120"/>
  <c r="M2599" i="120"/>
  <c r="M2598" i="120"/>
  <c r="M2597" i="120"/>
  <c r="M2596" i="120"/>
  <c r="M2595" i="120"/>
  <c r="M2594" i="120"/>
  <c r="M2593" i="120"/>
  <c r="M2592" i="120"/>
  <c r="M2591" i="120"/>
  <c r="M2590" i="120"/>
  <c r="M2589" i="120"/>
  <c r="M2588" i="120"/>
  <c r="M2587" i="120"/>
  <c r="M2586" i="120"/>
  <c r="M2585" i="120"/>
  <c r="M2584" i="120"/>
  <c r="M2583" i="120"/>
  <c r="M2582" i="120"/>
  <c r="M2581" i="120"/>
  <c r="M2580" i="120"/>
  <c r="M2579" i="120"/>
  <c r="M2578" i="120"/>
  <c r="M2577" i="120"/>
  <c r="M2576" i="120"/>
  <c r="M2575" i="120"/>
  <c r="M2574" i="120"/>
  <c r="M2573" i="120"/>
  <c r="M2572" i="120"/>
  <c r="M2571" i="120"/>
  <c r="M2570" i="120"/>
  <c r="M2569" i="120"/>
  <c r="M2568" i="120"/>
  <c r="M2567" i="120"/>
  <c r="M2566" i="120"/>
  <c r="M2565" i="120"/>
  <c r="M2564" i="120"/>
  <c r="M2563" i="120"/>
  <c r="M2562" i="120"/>
  <c r="M2561" i="120"/>
  <c r="M2560" i="120"/>
  <c r="M2559" i="120"/>
  <c r="M2558" i="120"/>
  <c r="M2557" i="120"/>
  <c r="M2556" i="120"/>
  <c r="M2555" i="120"/>
  <c r="M2554" i="120"/>
  <c r="M2553" i="120"/>
  <c r="M2552" i="120"/>
  <c r="M2551" i="120"/>
  <c r="M2550" i="120"/>
  <c r="M2549" i="120"/>
  <c r="M2548" i="120"/>
  <c r="M2547" i="120"/>
  <c r="M2546" i="120"/>
  <c r="M2545" i="120"/>
  <c r="M2544" i="120"/>
  <c r="M2543" i="120"/>
  <c r="M2542" i="120"/>
  <c r="M2541" i="120"/>
  <c r="M2540" i="120"/>
  <c r="M2539" i="120"/>
  <c r="M2538" i="120"/>
  <c r="M2537" i="120"/>
  <c r="M2536" i="120"/>
  <c r="M2535" i="120"/>
  <c r="M2534" i="120"/>
  <c r="M2533" i="120"/>
  <c r="M2532" i="120"/>
  <c r="M2531" i="120"/>
  <c r="M2530" i="120"/>
  <c r="M2529" i="120"/>
  <c r="M2528" i="120"/>
  <c r="M2527" i="120"/>
  <c r="M2526" i="120"/>
  <c r="M2525" i="120"/>
  <c r="M2524" i="120"/>
  <c r="M2523" i="120"/>
  <c r="M2522" i="120"/>
  <c r="M2521" i="120"/>
  <c r="M2520" i="120"/>
  <c r="M2519" i="120"/>
  <c r="M2518" i="120"/>
  <c r="M2517" i="120"/>
  <c r="M2516" i="120"/>
  <c r="M2515" i="120"/>
  <c r="M2514" i="120"/>
  <c r="M2513" i="120"/>
  <c r="M2512" i="120"/>
  <c r="M2511" i="120"/>
  <c r="M2510" i="120"/>
  <c r="M2509" i="120"/>
  <c r="M2508" i="120"/>
  <c r="M2507" i="120"/>
  <c r="M2506" i="120"/>
  <c r="M2505" i="120"/>
  <c r="M2504" i="120"/>
  <c r="M2503" i="120"/>
  <c r="M2502" i="120"/>
  <c r="M2501" i="120"/>
  <c r="M2500" i="120"/>
  <c r="M2499" i="120"/>
  <c r="M2498" i="120"/>
  <c r="M2497" i="120"/>
  <c r="M2496" i="120"/>
  <c r="M2495" i="120"/>
  <c r="M2494" i="120"/>
  <c r="M2493" i="120"/>
  <c r="M2492" i="120"/>
  <c r="M2491" i="120"/>
  <c r="M2490" i="120"/>
  <c r="M2489" i="120"/>
  <c r="M2488" i="120"/>
  <c r="M2487" i="120"/>
  <c r="M2486" i="120"/>
  <c r="M2485" i="120"/>
  <c r="M2484" i="120"/>
  <c r="M2483" i="120"/>
  <c r="M2482" i="120"/>
  <c r="M2481" i="120"/>
  <c r="M2480" i="120"/>
  <c r="M2479" i="120"/>
  <c r="M2478" i="120"/>
  <c r="M2477" i="120"/>
  <c r="M2476" i="120"/>
  <c r="M2475" i="120"/>
  <c r="M2474" i="120"/>
  <c r="M2473" i="120"/>
  <c r="M2472" i="120"/>
  <c r="M2471" i="120"/>
  <c r="M2470" i="120"/>
  <c r="M2469" i="120"/>
  <c r="M2468" i="120"/>
  <c r="M2467" i="120"/>
  <c r="M2466" i="120"/>
  <c r="M2465" i="120"/>
  <c r="M2464" i="120"/>
  <c r="M2463" i="120"/>
  <c r="M2462" i="120"/>
  <c r="M2461" i="120"/>
  <c r="M2460" i="120"/>
  <c r="M2459" i="120"/>
  <c r="M2458" i="120"/>
  <c r="M2457" i="120"/>
  <c r="M2456" i="120"/>
  <c r="M2455" i="120"/>
  <c r="M2454" i="120"/>
  <c r="M2453" i="120"/>
  <c r="M2452" i="120"/>
  <c r="M2451" i="120"/>
  <c r="M2450" i="120"/>
  <c r="M2449" i="120"/>
  <c r="M2448" i="120"/>
  <c r="M2447" i="120"/>
  <c r="M2446" i="120"/>
  <c r="M2445" i="120"/>
  <c r="M2444" i="120"/>
  <c r="M2443" i="120"/>
  <c r="M2442" i="120"/>
  <c r="M2441" i="120"/>
  <c r="M2440" i="120"/>
  <c r="M2439" i="120"/>
  <c r="M2438" i="120"/>
  <c r="M2437" i="120"/>
  <c r="M2436" i="120"/>
  <c r="M2435" i="120"/>
  <c r="M2434" i="120"/>
  <c r="M2433" i="120"/>
  <c r="M2432" i="120"/>
  <c r="M2431" i="120"/>
  <c r="M2430" i="120"/>
  <c r="M2429" i="120"/>
  <c r="M2428" i="120"/>
  <c r="M2427" i="120"/>
  <c r="M2426" i="120"/>
  <c r="M2425" i="120"/>
  <c r="M2424" i="120"/>
  <c r="M2423" i="120"/>
  <c r="M2422" i="120"/>
  <c r="M2421" i="120"/>
  <c r="M2420" i="120"/>
  <c r="M2419" i="120"/>
  <c r="M2418" i="120"/>
  <c r="M2417" i="120"/>
  <c r="M2416" i="120"/>
  <c r="M2415" i="120"/>
  <c r="M2414" i="120"/>
  <c r="M2413" i="120"/>
  <c r="M2412" i="120"/>
  <c r="M2411" i="120"/>
  <c r="M2410" i="120"/>
  <c r="M2409" i="120"/>
  <c r="M2408" i="120"/>
  <c r="M2407" i="120"/>
  <c r="M2406" i="120"/>
  <c r="M2405" i="120"/>
  <c r="M2404" i="120"/>
  <c r="M2403" i="120"/>
  <c r="M2402" i="120"/>
  <c r="M2401" i="120"/>
  <c r="M2400" i="120"/>
  <c r="M2399" i="120"/>
  <c r="M2398" i="120"/>
  <c r="M2397" i="120"/>
  <c r="M2396" i="120"/>
  <c r="M2395" i="120"/>
  <c r="M2394" i="120"/>
  <c r="M2393" i="120"/>
  <c r="M2392" i="120"/>
  <c r="M2391" i="120"/>
  <c r="M2390" i="120"/>
  <c r="M2389" i="120"/>
  <c r="M2388" i="120"/>
  <c r="M2387" i="120"/>
  <c r="M2386" i="120"/>
  <c r="M2385" i="120"/>
  <c r="M2384" i="120"/>
  <c r="M2383" i="120"/>
  <c r="M2382" i="120"/>
  <c r="M2381" i="120"/>
  <c r="M2380" i="120"/>
  <c r="M2379" i="120"/>
  <c r="M2378" i="120"/>
  <c r="M2377" i="120"/>
  <c r="M2376" i="120"/>
  <c r="M2375" i="120"/>
  <c r="M2374" i="120"/>
  <c r="M2373" i="120"/>
  <c r="M2372" i="120"/>
  <c r="M2371" i="120"/>
  <c r="M2370" i="120"/>
  <c r="M2369" i="120"/>
  <c r="L2363" i="120"/>
  <c r="K2363" i="120"/>
  <c r="M2362" i="120"/>
  <c r="M2361" i="120"/>
  <c r="M2360" i="120"/>
  <c r="M2359" i="120"/>
  <c r="M2358" i="120"/>
  <c r="M2357" i="120"/>
  <c r="M2356" i="120"/>
  <c r="M2355" i="120"/>
  <c r="M2354" i="120"/>
  <c r="M2353" i="120"/>
  <c r="M2352" i="120"/>
  <c r="M2351" i="120"/>
  <c r="M2350" i="120"/>
  <c r="M2349" i="120"/>
  <c r="M2348" i="120"/>
  <c r="M2347" i="120"/>
  <c r="M2346" i="120"/>
  <c r="M2345" i="120"/>
  <c r="M2344" i="120"/>
  <c r="M2343" i="120"/>
  <c r="M2342" i="120"/>
  <c r="M2341" i="120"/>
  <c r="M2340" i="120"/>
  <c r="M2339" i="120"/>
  <c r="M2338" i="120"/>
  <c r="M2337" i="120"/>
  <c r="M2336" i="120"/>
  <c r="M2335" i="120"/>
  <c r="M2334" i="120"/>
  <c r="M2333" i="120"/>
  <c r="M2332" i="120"/>
  <c r="M2331" i="120"/>
  <c r="M2330" i="120"/>
  <c r="M2329" i="120"/>
  <c r="M2328" i="120"/>
  <c r="M2327" i="120"/>
  <c r="M2326" i="120"/>
  <c r="M2325" i="120"/>
  <c r="M2324" i="120"/>
  <c r="M2323" i="120"/>
  <c r="M2322" i="120"/>
  <c r="M2321" i="120"/>
  <c r="M2320" i="120"/>
  <c r="M2319" i="120"/>
  <c r="M2318" i="120"/>
  <c r="M2317" i="120"/>
  <c r="M2316" i="120"/>
  <c r="M2315" i="120"/>
  <c r="M2314" i="120"/>
  <c r="M2313" i="120"/>
  <c r="M2312" i="120"/>
  <c r="M2311" i="120"/>
  <c r="M2310" i="120"/>
  <c r="M2309" i="120"/>
  <c r="M2308" i="120"/>
  <c r="M2307" i="120"/>
  <c r="M2306" i="120"/>
  <c r="M2305" i="120"/>
  <c r="M2304" i="120"/>
  <c r="M2303" i="120"/>
  <c r="M2302" i="120"/>
  <c r="M2301" i="120"/>
  <c r="M2300" i="120"/>
  <c r="M2299" i="120"/>
  <c r="M2298" i="120"/>
  <c r="M2297" i="120"/>
  <c r="M2296" i="120"/>
  <c r="M2295" i="120"/>
  <c r="M2294" i="120"/>
  <c r="M2293" i="120"/>
  <c r="M2292" i="120"/>
  <c r="M2291" i="120"/>
  <c r="M2290" i="120"/>
  <c r="M2289" i="120"/>
  <c r="M2288" i="120"/>
  <c r="M2287" i="120"/>
  <c r="M2286" i="120"/>
  <c r="M2285" i="120"/>
  <c r="M2284" i="120"/>
  <c r="M2283" i="120"/>
  <c r="M2282" i="120"/>
  <c r="M2281" i="120"/>
  <c r="M2280" i="120"/>
  <c r="M2279" i="120"/>
  <c r="M2278" i="120"/>
  <c r="M2277" i="120"/>
  <c r="M2276" i="120"/>
  <c r="M2275" i="120"/>
  <c r="M2274" i="120"/>
  <c r="M2273" i="120"/>
  <c r="M2272" i="120"/>
  <c r="M2271" i="120"/>
  <c r="M2270" i="120"/>
  <c r="M2269" i="120"/>
  <c r="M2268" i="120"/>
  <c r="M2267" i="120"/>
  <c r="M2266" i="120"/>
  <c r="M2265" i="120"/>
  <c r="M2264" i="120"/>
  <c r="M2263" i="120"/>
  <c r="M2262" i="120"/>
  <c r="M2261" i="120"/>
  <c r="M2260" i="120"/>
  <c r="M2259" i="120"/>
  <c r="M2258" i="120"/>
  <c r="M2257" i="120"/>
  <c r="M2256" i="120"/>
  <c r="M2255" i="120"/>
  <c r="M2254" i="120"/>
  <c r="M2253" i="120"/>
  <c r="M2252" i="120"/>
  <c r="M2251" i="120"/>
  <c r="M2250" i="120"/>
  <c r="M2249" i="120"/>
  <c r="M2248" i="120"/>
  <c r="M2247" i="120"/>
  <c r="M2246" i="120"/>
  <c r="M2245" i="120"/>
  <c r="M2244" i="120"/>
  <c r="M2243" i="120"/>
  <c r="M2242" i="120"/>
  <c r="M2241" i="120"/>
  <c r="M2240" i="120"/>
  <c r="M2239" i="120"/>
  <c r="M2238" i="120"/>
  <c r="M2237" i="120"/>
  <c r="M2236" i="120"/>
  <c r="M2235" i="120"/>
  <c r="M2234" i="120"/>
  <c r="M2233" i="120"/>
  <c r="M2232" i="120"/>
  <c r="M2231" i="120"/>
  <c r="M2230" i="120"/>
  <c r="M2229" i="120"/>
  <c r="M2228" i="120"/>
  <c r="M2227" i="120"/>
  <c r="M2226" i="120"/>
  <c r="M2225" i="120"/>
  <c r="M2224" i="120"/>
  <c r="M2223" i="120"/>
  <c r="M2222" i="120"/>
  <c r="M2221" i="120"/>
  <c r="M2220" i="120"/>
  <c r="M2219" i="120"/>
  <c r="M2218" i="120"/>
  <c r="M2217" i="120"/>
  <c r="M2216" i="120"/>
  <c r="M2215" i="120"/>
  <c r="M2214" i="120"/>
  <c r="M2213" i="120"/>
  <c r="M2212" i="120"/>
  <c r="M2211" i="120"/>
  <c r="M2210" i="120"/>
  <c r="M2209" i="120"/>
  <c r="M2208" i="120"/>
  <c r="M2207" i="120"/>
  <c r="M2206" i="120"/>
  <c r="M2205" i="120"/>
  <c r="M2204" i="120"/>
  <c r="M2203" i="120"/>
  <c r="M2202" i="120"/>
  <c r="M2201" i="120"/>
  <c r="M2200" i="120"/>
  <c r="M2199" i="120"/>
  <c r="M2198" i="120"/>
  <c r="M2197" i="120"/>
  <c r="M2196" i="120"/>
  <c r="M2195" i="120"/>
  <c r="M2194" i="120"/>
  <c r="M2193" i="120"/>
  <c r="M2192" i="120"/>
  <c r="M2191" i="120"/>
  <c r="M2190" i="120"/>
  <c r="M2189" i="120"/>
  <c r="M2188" i="120"/>
  <c r="M2187" i="120"/>
  <c r="M2186" i="120"/>
  <c r="M2185" i="120"/>
  <c r="M2184" i="120"/>
  <c r="M2183" i="120"/>
  <c r="M2182" i="120"/>
  <c r="M2181" i="120"/>
  <c r="M2180" i="120"/>
  <c r="M2179" i="120"/>
  <c r="M2178" i="120"/>
  <c r="M2177" i="120"/>
  <c r="M2176" i="120"/>
  <c r="M2175" i="120"/>
  <c r="M2174" i="120"/>
  <c r="M2173" i="120"/>
  <c r="M2172" i="120"/>
  <c r="M2171" i="120"/>
  <c r="M2170" i="120"/>
  <c r="M2169" i="120"/>
  <c r="M2168" i="120"/>
  <c r="M2167" i="120"/>
  <c r="M2166" i="120"/>
  <c r="M2165" i="120"/>
  <c r="M2164" i="120"/>
  <c r="M2163" i="120"/>
  <c r="M2162" i="120"/>
  <c r="M2161" i="120"/>
  <c r="M2160" i="120"/>
  <c r="M2159" i="120"/>
  <c r="M2158" i="120"/>
  <c r="M2157" i="120"/>
  <c r="M2156" i="120"/>
  <c r="M2155" i="120"/>
  <c r="M2154" i="120"/>
  <c r="M2153" i="120"/>
  <c r="M2152" i="120"/>
  <c r="M2151" i="120"/>
  <c r="M2150" i="120"/>
  <c r="M2149" i="120"/>
  <c r="M2148" i="120"/>
  <c r="M2147" i="120"/>
  <c r="M2146" i="120"/>
  <c r="M2145" i="120"/>
  <c r="M2144" i="120"/>
  <c r="M2143" i="120"/>
  <c r="M2142" i="120"/>
  <c r="M2141" i="120"/>
  <c r="M2140" i="120"/>
  <c r="M2139" i="120"/>
  <c r="M2138" i="120"/>
  <c r="M2137" i="120"/>
  <c r="M2136" i="120"/>
  <c r="M2135" i="120"/>
  <c r="M2134" i="120"/>
  <c r="M2133" i="120"/>
  <c r="M2132" i="120"/>
  <c r="M2131" i="120"/>
  <c r="M2130" i="120"/>
  <c r="M2129" i="120"/>
  <c r="M2128" i="120"/>
  <c r="M2127" i="120"/>
  <c r="M2126" i="120"/>
  <c r="M2125" i="120"/>
  <c r="M2124" i="120"/>
  <c r="M2123" i="120"/>
  <c r="M2122" i="120"/>
  <c r="M2121" i="120"/>
  <c r="M2120" i="120"/>
  <c r="M2119" i="120"/>
  <c r="M2118" i="120"/>
  <c r="M2117" i="120"/>
  <c r="M2116" i="120"/>
  <c r="M2115" i="120"/>
  <c r="M2114" i="120"/>
  <c r="M2113" i="120"/>
  <c r="M2112" i="120"/>
  <c r="M2111" i="120"/>
  <c r="M2110" i="120"/>
  <c r="M2109" i="120"/>
  <c r="M2108" i="120"/>
  <c r="M2107" i="120"/>
  <c r="M2106" i="120"/>
  <c r="M2105" i="120"/>
  <c r="M2104" i="120"/>
  <c r="M2103" i="120"/>
  <c r="M2102" i="120"/>
  <c r="M2101" i="120"/>
  <c r="M2100" i="120"/>
  <c r="M2099" i="120"/>
  <c r="M2098" i="120"/>
  <c r="M2097" i="120"/>
  <c r="M2096" i="120"/>
  <c r="M2095" i="120"/>
  <c r="M2094" i="120"/>
  <c r="M2093" i="120"/>
  <c r="M2092" i="120"/>
  <c r="M2091" i="120"/>
  <c r="M2090" i="120"/>
  <c r="M2089" i="120"/>
  <c r="M2088" i="120"/>
  <c r="M2087" i="120"/>
  <c r="M2086" i="120"/>
  <c r="M2085" i="120"/>
  <c r="M2084" i="120"/>
  <c r="M2083" i="120"/>
  <c r="M2082" i="120"/>
  <c r="M2081" i="120"/>
  <c r="M2080" i="120"/>
  <c r="M2079" i="120"/>
  <c r="M2078" i="120"/>
  <c r="M2077" i="120"/>
  <c r="M2076" i="120"/>
  <c r="M2075" i="120"/>
  <c r="M2074" i="120"/>
  <c r="M2073" i="120"/>
  <c r="M2072" i="120"/>
  <c r="M2071" i="120"/>
  <c r="M2070" i="120"/>
  <c r="M2069" i="120"/>
  <c r="M2068" i="120"/>
  <c r="M2067" i="120"/>
  <c r="M2066" i="120"/>
  <c r="M2065" i="120"/>
  <c r="M2064" i="120"/>
  <c r="M2063" i="120"/>
  <c r="O2063" i="120" s="1"/>
  <c r="P2063" i="120" s="1"/>
  <c r="M2062" i="120"/>
  <c r="M2061" i="120"/>
  <c r="M2060" i="120"/>
  <c r="M2059" i="120"/>
  <c r="M2058" i="120"/>
  <c r="M2057" i="120"/>
  <c r="M2056" i="120"/>
  <c r="M2055" i="120"/>
  <c r="M2054" i="120"/>
  <c r="M2053" i="120"/>
  <c r="M2052" i="120"/>
  <c r="M2051" i="120"/>
  <c r="M2050" i="120"/>
  <c r="M2049" i="120"/>
  <c r="M2048" i="120"/>
  <c r="M2047" i="120"/>
  <c r="M2046" i="120"/>
  <c r="M2045" i="120"/>
  <c r="M2044" i="120"/>
  <c r="M2043" i="120"/>
  <c r="M2042" i="120"/>
  <c r="M2041" i="120"/>
  <c r="M2040" i="120"/>
  <c r="M2039" i="120"/>
  <c r="M2038" i="120"/>
  <c r="M2037" i="120"/>
  <c r="M2036" i="120"/>
  <c r="M2035" i="120"/>
  <c r="M2034" i="120"/>
  <c r="M2033" i="120"/>
  <c r="M2032" i="120"/>
  <c r="M2031" i="120"/>
  <c r="M2030" i="120"/>
  <c r="M2029" i="120"/>
  <c r="M2028" i="120"/>
  <c r="M2027" i="120"/>
  <c r="M2026" i="120"/>
  <c r="M2025" i="120"/>
  <c r="M2024" i="120"/>
  <c r="M2023" i="120"/>
  <c r="M2022" i="120"/>
  <c r="M2021" i="120"/>
  <c r="M2020" i="120"/>
  <c r="M2019" i="120"/>
  <c r="M2018" i="120"/>
  <c r="M2017" i="120"/>
  <c r="M2016" i="120"/>
  <c r="M2015" i="120"/>
  <c r="M2014" i="120"/>
  <c r="M2013" i="120"/>
  <c r="M2012" i="120"/>
  <c r="M2011" i="120"/>
  <c r="M2010" i="120"/>
  <c r="M2009" i="120"/>
  <c r="M2008" i="120"/>
  <c r="M2007" i="120"/>
  <c r="M2006" i="120"/>
  <c r="M2005" i="120"/>
  <c r="M2004" i="120"/>
  <c r="M2003" i="120"/>
  <c r="M2002" i="120"/>
  <c r="M2001" i="120"/>
  <c r="M2000" i="120"/>
  <c r="M1999" i="120"/>
  <c r="M1998" i="120"/>
  <c r="M1997" i="120"/>
  <c r="M1996" i="120"/>
  <c r="M1995" i="120"/>
  <c r="M1994" i="120"/>
  <c r="M1993" i="120"/>
  <c r="M1992" i="120"/>
  <c r="M1991" i="120"/>
  <c r="M1990" i="120"/>
  <c r="M1989" i="120"/>
  <c r="M1988" i="120"/>
  <c r="M1987" i="120"/>
  <c r="M1986" i="120"/>
  <c r="M1985" i="120"/>
  <c r="M1984" i="120"/>
  <c r="M1983" i="120"/>
  <c r="M1982" i="120"/>
  <c r="M1981" i="120"/>
  <c r="M1980" i="120"/>
  <c r="M1979" i="120"/>
  <c r="M1978" i="120"/>
  <c r="M1977" i="120"/>
  <c r="L1970" i="120"/>
  <c r="K1970" i="120"/>
  <c r="M1969" i="120"/>
  <c r="M1968" i="120"/>
  <c r="M1967" i="120"/>
  <c r="M1966" i="120"/>
  <c r="M1965" i="120"/>
  <c r="M1964" i="120"/>
  <c r="M1963" i="120"/>
  <c r="M1962" i="120"/>
  <c r="M1961" i="120"/>
  <c r="M1960" i="120"/>
  <c r="M1959" i="120"/>
  <c r="M1958" i="120"/>
  <c r="M1957" i="120"/>
  <c r="M1956" i="120"/>
  <c r="M1955" i="120"/>
  <c r="M1954" i="120"/>
  <c r="M1953" i="120"/>
  <c r="M1952" i="120"/>
  <c r="M1951" i="120"/>
  <c r="M1950" i="120"/>
  <c r="M1949" i="120"/>
  <c r="M1948" i="120"/>
  <c r="M1947" i="120"/>
  <c r="M1946" i="120"/>
  <c r="M1945" i="120"/>
  <c r="M1944" i="120"/>
  <c r="M1943" i="120"/>
  <c r="M1942" i="120"/>
  <c r="M1941" i="120"/>
  <c r="M1940" i="120"/>
  <c r="M1939" i="120"/>
  <c r="M1938" i="120"/>
  <c r="M1937" i="120"/>
  <c r="M1936" i="120"/>
  <c r="M1935" i="120"/>
  <c r="M1934" i="120"/>
  <c r="M1933" i="120"/>
  <c r="M1932" i="120"/>
  <c r="M1931" i="120"/>
  <c r="M1930" i="120"/>
  <c r="M1929" i="120"/>
  <c r="M1928" i="120"/>
  <c r="M1927" i="120"/>
  <c r="M1926" i="120"/>
  <c r="M1925" i="120"/>
  <c r="M1924" i="120"/>
  <c r="M1923" i="120"/>
  <c r="M1922" i="120"/>
  <c r="M1921" i="120"/>
  <c r="M1920" i="120"/>
  <c r="M1919" i="120"/>
  <c r="M1918" i="120"/>
  <c r="M1917" i="120"/>
  <c r="M1916" i="120"/>
  <c r="M1915" i="120"/>
  <c r="M1914" i="120"/>
  <c r="M1913" i="120"/>
  <c r="M1912" i="120"/>
  <c r="M1911" i="120"/>
  <c r="M1910" i="120"/>
  <c r="M1909" i="120"/>
  <c r="M1908" i="120"/>
  <c r="M1907" i="120"/>
  <c r="M1906" i="120"/>
  <c r="M1905" i="120"/>
  <c r="M1904" i="120"/>
  <c r="M1903" i="120"/>
  <c r="M1902" i="120"/>
  <c r="M1901" i="120"/>
  <c r="M1900" i="120"/>
  <c r="M1899" i="120"/>
  <c r="M1898" i="120"/>
  <c r="M1897" i="120"/>
  <c r="M1896" i="120"/>
  <c r="M1895" i="120"/>
  <c r="M1894" i="120"/>
  <c r="M1893" i="120"/>
  <c r="M1892" i="120"/>
  <c r="M1891" i="120"/>
  <c r="M1890" i="120"/>
  <c r="M1889" i="120"/>
  <c r="M1888" i="120"/>
  <c r="M1887" i="120"/>
  <c r="M1886" i="120"/>
  <c r="M1885" i="120"/>
  <c r="M1884" i="120"/>
  <c r="M1883" i="120"/>
  <c r="M1882" i="120"/>
  <c r="M1881" i="120"/>
  <c r="M1880" i="120"/>
  <c r="M1879" i="120"/>
  <c r="M1878" i="120"/>
  <c r="M1877" i="120"/>
  <c r="M1876" i="120"/>
  <c r="M1875" i="120"/>
  <c r="M1874" i="120"/>
  <c r="M1873" i="120"/>
  <c r="M1872" i="120"/>
  <c r="M1871" i="120"/>
  <c r="M1870" i="120"/>
  <c r="M1869" i="120"/>
  <c r="M1868" i="120"/>
  <c r="M1867" i="120"/>
  <c r="M1866" i="120"/>
  <c r="M1865" i="120"/>
  <c r="M1864" i="120"/>
  <c r="M1863" i="120"/>
  <c r="M1862" i="120"/>
  <c r="M1861" i="120"/>
  <c r="M1860" i="120"/>
  <c r="M1859" i="120"/>
  <c r="M1858" i="120"/>
  <c r="M1857" i="120"/>
  <c r="M1856" i="120"/>
  <c r="M1855" i="120"/>
  <c r="M1854" i="120"/>
  <c r="M1853" i="120"/>
  <c r="M1852" i="120"/>
  <c r="M1851" i="120"/>
  <c r="M1850" i="120"/>
  <c r="M1849" i="120"/>
  <c r="M1848" i="120"/>
  <c r="M1847" i="120"/>
  <c r="M1846" i="120"/>
  <c r="M1845" i="120"/>
  <c r="M1844" i="120"/>
  <c r="M1843" i="120"/>
  <c r="M1842" i="120"/>
  <c r="M1841" i="120"/>
  <c r="M1840" i="120"/>
  <c r="M1839" i="120"/>
  <c r="M1838" i="120"/>
  <c r="M1837" i="120"/>
  <c r="M1836" i="120"/>
  <c r="M1835" i="120"/>
  <c r="M1834" i="120"/>
  <c r="M1833" i="120"/>
  <c r="M1832" i="120"/>
  <c r="M1831" i="120"/>
  <c r="M1830" i="120"/>
  <c r="M1829" i="120"/>
  <c r="M1828" i="120"/>
  <c r="M1827" i="120"/>
  <c r="M1826" i="120"/>
  <c r="M1825" i="120"/>
  <c r="M1824" i="120"/>
  <c r="M1823" i="120"/>
  <c r="M1822" i="120"/>
  <c r="M1821" i="120"/>
  <c r="M1820" i="120"/>
  <c r="M1819" i="120"/>
  <c r="M1818" i="120"/>
  <c r="M1817" i="120"/>
  <c r="M1816" i="120"/>
  <c r="M1815" i="120"/>
  <c r="M1814" i="120"/>
  <c r="M1813" i="120"/>
  <c r="M1812" i="120"/>
  <c r="M1811" i="120"/>
  <c r="M1810" i="120"/>
  <c r="M1809" i="120"/>
  <c r="M1808" i="120"/>
  <c r="M1807" i="120"/>
  <c r="M1806" i="120"/>
  <c r="M1805" i="120"/>
  <c r="M1804" i="120"/>
  <c r="M1803" i="120"/>
  <c r="M1802" i="120"/>
  <c r="M1801" i="120"/>
  <c r="M1800" i="120"/>
  <c r="M1799" i="120"/>
  <c r="M1798" i="120"/>
  <c r="M1797" i="120"/>
  <c r="M1796" i="120"/>
  <c r="M1795" i="120"/>
  <c r="M1794" i="120"/>
  <c r="M1793" i="120"/>
  <c r="M1792" i="120"/>
  <c r="M1791" i="120"/>
  <c r="M1790" i="120"/>
  <c r="M1789" i="120"/>
  <c r="M1788" i="120"/>
  <c r="M1787" i="120"/>
  <c r="M1786" i="120"/>
  <c r="M1785" i="120"/>
  <c r="M1784" i="120"/>
  <c r="M1783" i="120"/>
  <c r="M1782" i="120"/>
  <c r="M1781" i="120"/>
  <c r="M1780" i="120"/>
  <c r="M1779" i="120"/>
  <c r="M1778" i="120"/>
  <c r="M1777" i="120"/>
  <c r="M1776" i="120"/>
  <c r="M1775" i="120"/>
  <c r="M1774" i="120"/>
  <c r="M1773" i="120"/>
  <c r="M1772" i="120"/>
  <c r="M1771" i="120"/>
  <c r="M1770" i="120"/>
  <c r="M1769" i="120"/>
  <c r="M1768" i="120"/>
  <c r="M1767" i="120"/>
  <c r="M1766" i="120"/>
  <c r="M1765" i="120"/>
  <c r="M1764" i="120"/>
  <c r="M1763" i="120"/>
  <c r="M1762" i="120"/>
  <c r="M1761" i="120"/>
  <c r="M1760" i="120"/>
  <c r="M1759" i="120"/>
  <c r="M1758" i="120"/>
  <c r="M1757" i="120"/>
  <c r="M1756" i="120"/>
  <c r="M1755" i="120"/>
  <c r="M1754" i="120"/>
  <c r="M1753" i="120"/>
  <c r="M1752" i="120"/>
  <c r="M1751" i="120"/>
  <c r="M1750" i="120"/>
  <c r="M1749" i="120"/>
  <c r="M1748" i="120"/>
  <c r="M1747" i="120"/>
  <c r="M1746" i="120"/>
  <c r="M1745" i="120"/>
  <c r="M1744" i="120"/>
  <c r="M1743" i="120"/>
  <c r="M1742" i="120"/>
  <c r="M1741" i="120"/>
  <c r="M1740" i="120"/>
  <c r="M1739" i="120"/>
  <c r="M1738" i="120"/>
  <c r="M1737" i="120"/>
  <c r="M1736" i="120"/>
  <c r="M1735" i="120"/>
  <c r="M1734" i="120"/>
  <c r="M1733" i="120"/>
  <c r="M1732" i="120"/>
  <c r="M1731" i="120"/>
  <c r="M1730" i="120"/>
  <c r="M1729" i="120"/>
  <c r="M1728" i="120"/>
  <c r="M1727" i="120"/>
  <c r="M1726" i="120"/>
  <c r="M1725" i="120"/>
  <c r="M1724" i="120"/>
  <c r="M1723" i="120"/>
  <c r="M1722" i="120"/>
  <c r="M1721" i="120"/>
  <c r="M1720" i="120"/>
  <c r="M1719" i="120"/>
  <c r="M1718" i="120"/>
  <c r="M1717" i="120"/>
  <c r="M1716" i="120"/>
  <c r="M1715" i="120"/>
  <c r="M1714" i="120"/>
  <c r="M1713" i="120"/>
  <c r="M1712" i="120"/>
  <c r="M1711" i="120"/>
  <c r="M1710" i="120"/>
  <c r="M1709" i="120"/>
  <c r="M1708" i="120"/>
  <c r="M1707" i="120"/>
  <c r="M1706" i="120"/>
  <c r="M1705" i="120"/>
  <c r="M1704" i="120"/>
  <c r="M1703" i="120"/>
  <c r="M1702" i="120"/>
  <c r="M1701" i="120"/>
  <c r="M1700" i="120"/>
  <c r="M1699" i="120"/>
  <c r="M1698" i="120"/>
  <c r="M1697" i="120"/>
  <c r="M1696" i="120"/>
  <c r="M1695" i="120"/>
  <c r="M1694" i="120"/>
  <c r="M1693" i="120"/>
  <c r="M1692" i="120"/>
  <c r="M1691" i="120"/>
  <c r="M1690" i="120"/>
  <c r="M1689" i="120"/>
  <c r="M1688" i="120"/>
  <c r="M1687" i="120"/>
  <c r="M1686" i="120"/>
  <c r="M1685" i="120"/>
  <c r="M1684" i="120"/>
  <c r="M1683" i="120"/>
  <c r="M1682" i="120"/>
  <c r="M1681" i="120"/>
  <c r="M1680" i="120"/>
  <c r="M1679" i="120"/>
  <c r="M1678" i="120"/>
  <c r="M1677" i="120"/>
  <c r="M1676" i="120"/>
  <c r="M1675" i="120"/>
  <c r="M1674" i="120"/>
  <c r="M1673" i="120"/>
  <c r="M1672" i="120"/>
  <c r="M1671" i="120"/>
  <c r="M1670" i="120"/>
  <c r="O1669" i="120"/>
  <c r="P1669" i="120" s="1"/>
  <c r="M1669" i="120"/>
  <c r="M1668" i="120"/>
  <c r="M1667" i="120"/>
  <c r="M1666" i="120"/>
  <c r="M1665" i="120"/>
  <c r="M1664" i="120"/>
  <c r="M1663" i="120"/>
  <c r="M1662" i="120"/>
  <c r="M1661" i="120"/>
  <c r="M1660" i="120"/>
  <c r="M1659" i="120"/>
  <c r="M1658" i="120"/>
  <c r="M1657" i="120"/>
  <c r="M1656" i="120"/>
  <c r="M1655" i="120"/>
  <c r="M1654" i="120"/>
  <c r="M1653" i="120"/>
  <c r="M1652" i="120"/>
  <c r="M1651" i="120"/>
  <c r="M1650" i="120"/>
  <c r="M1649" i="120"/>
  <c r="M1648" i="120"/>
  <c r="M1647" i="120"/>
  <c r="M1646" i="120"/>
  <c r="M1645" i="120"/>
  <c r="M1644" i="120"/>
  <c r="M1643" i="120"/>
  <c r="M1642" i="120"/>
  <c r="M1641" i="120"/>
  <c r="M1640" i="120"/>
  <c r="M1639" i="120"/>
  <c r="M1638" i="120"/>
  <c r="M1637" i="120"/>
  <c r="M1636" i="120"/>
  <c r="M1635" i="120"/>
  <c r="M1634" i="120"/>
  <c r="M1633" i="120"/>
  <c r="M1632" i="120"/>
  <c r="M1631" i="120"/>
  <c r="M1630" i="120"/>
  <c r="M1629" i="120"/>
  <c r="M1628" i="120"/>
  <c r="M1627" i="120"/>
  <c r="M1626" i="120"/>
  <c r="M1625" i="120"/>
  <c r="M1624" i="120"/>
  <c r="M1623" i="120"/>
  <c r="M1622" i="120"/>
  <c r="M1621" i="120"/>
  <c r="M1620" i="120"/>
  <c r="M1619" i="120"/>
  <c r="M1618" i="120"/>
  <c r="M1617" i="120"/>
  <c r="M1616" i="120"/>
  <c r="M1615" i="120"/>
  <c r="M1614" i="120"/>
  <c r="M1613" i="120"/>
  <c r="M1612" i="120"/>
  <c r="M1611" i="120"/>
  <c r="M1610" i="120"/>
  <c r="M1609" i="120"/>
  <c r="M1608" i="120"/>
  <c r="M1607" i="120"/>
  <c r="M1606" i="120"/>
  <c r="M1605" i="120"/>
  <c r="M1604" i="120"/>
  <c r="M1603" i="120"/>
  <c r="M1602" i="120"/>
  <c r="M1601" i="120"/>
  <c r="M1600" i="120"/>
  <c r="M1599" i="120"/>
  <c r="M1598" i="120"/>
  <c r="M1597" i="120"/>
  <c r="M1596" i="120"/>
  <c r="M1595" i="120"/>
  <c r="M1594" i="120"/>
  <c r="M1593" i="120"/>
  <c r="M1592" i="120"/>
  <c r="M1591" i="120"/>
  <c r="M1590" i="120"/>
  <c r="M1589" i="120"/>
  <c r="M1588" i="120"/>
  <c r="M1587" i="120"/>
  <c r="M1586" i="120"/>
  <c r="M1585" i="120"/>
  <c r="M1584" i="120"/>
  <c r="L1577" i="120"/>
  <c r="K1577" i="120"/>
  <c r="M1576" i="120"/>
  <c r="M1575" i="120"/>
  <c r="E1575" i="120"/>
  <c r="E1968" i="120" s="1"/>
  <c r="E2361" i="120" s="1"/>
  <c r="E2754" i="120" s="1"/>
  <c r="E3147" i="120" s="1"/>
  <c r="M1574" i="120"/>
  <c r="M1573" i="120"/>
  <c r="M1572" i="120"/>
  <c r="M1571" i="120"/>
  <c r="M1570" i="120"/>
  <c r="M1569" i="120"/>
  <c r="M1568" i="120"/>
  <c r="M1567" i="120"/>
  <c r="M1566" i="120"/>
  <c r="M1565" i="120"/>
  <c r="M1564" i="120"/>
  <c r="M1563" i="120"/>
  <c r="M1562" i="120"/>
  <c r="M1561" i="120"/>
  <c r="M1560" i="120"/>
  <c r="M1559" i="120"/>
  <c r="M1558" i="120"/>
  <c r="M1557" i="120"/>
  <c r="M1556" i="120"/>
  <c r="M1555" i="120"/>
  <c r="M1554" i="120"/>
  <c r="M1553" i="120"/>
  <c r="M1552" i="120"/>
  <c r="M1551" i="120"/>
  <c r="M1550" i="120"/>
  <c r="M1549" i="120"/>
  <c r="M1548" i="120"/>
  <c r="M1547" i="120"/>
  <c r="M1546" i="120"/>
  <c r="M1545" i="120"/>
  <c r="M1544" i="120"/>
  <c r="M1543" i="120"/>
  <c r="M1542" i="120"/>
  <c r="M1541" i="120"/>
  <c r="M1540" i="120"/>
  <c r="M1539" i="120"/>
  <c r="M1538" i="120"/>
  <c r="M1537" i="120"/>
  <c r="M1536" i="120"/>
  <c r="M1535" i="120"/>
  <c r="M1534" i="120"/>
  <c r="M1533" i="120"/>
  <c r="M1532" i="120"/>
  <c r="M1531" i="120"/>
  <c r="M1530" i="120"/>
  <c r="M1529" i="120"/>
  <c r="M1528" i="120"/>
  <c r="M1527" i="120"/>
  <c r="M1526" i="120"/>
  <c r="M1525" i="120"/>
  <c r="M1524" i="120"/>
  <c r="M1523" i="120"/>
  <c r="M1522" i="120"/>
  <c r="M1521" i="120"/>
  <c r="M1520" i="120"/>
  <c r="M1519" i="120"/>
  <c r="M1518" i="120"/>
  <c r="M1517" i="120"/>
  <c r="M1516" i="120"/>
  <c r="M1515" i="120"/>
  <c r="M1514" i="120"/>
  <c r="M1513" i="120"/>
  <c r="M1512" i="120"/>
  <c r="M1511" i="120"/>
  <c r="M1510" i="120"/>
  <c r="M1509" i="120"/>
  <c r="M1508" i="120"/>
  <c r="B1508" i="120"/>
  <c r="B1901" i="120" s="1"/>
  <c r="B2294" i="120" s="1"/>
  <c r="B2687" i="120" s="1"/>
  <c r="B3080" i="120" s="1"/>
  <c r="M1507" i="120"/>
  <c r="M1506" i="120"/>
  <c r="M1505" i="120"/>
  <c r="M1504" i="120"/>
  <c r="M1503" i="120"/>
  <c r="M1502" i="120"/>
  <c r="M1501" i="120"/>
  <c r="M1500" i="120"/>
  <c r="M1499" i="120"/>
  <c r="M1498" i="120"/>
  <c r="M1497" i="120"/>
  <c r="M1496" i="120"/>
  <c r="M1495" i="120"/>
  <c r="M1494" i="120"/>
  <c r="M1493" i="120"/>
  <c r="M1492" i="120"/>
  <c r="M1491" i="120"/>
  <c r="M1490" i="120"/>
  <c r="M1489" i="120"/>
  <c r="M1488" i="120"/>
  <c r="M1487" i="120"/>
  <c r="M1486" i="120"/>
  <c r="M1485" i="120"/>
  <c r="M1484" i="120"/>
  <c r="M1483" i="120"/>
  <c r="M1482" i="120"/>
  <c r="M1481" i="120"/>
  <c r="M1480" i="120"/>
  <c r="M1479" i="120"/>
  <c r="M1478" i="120"/>
  <c r="M1477" i="120"/>
  <c r="M1476" i="120"/>
  <c r="M1475" i="120"/>
  <c r="M1474" i="120"/>
  <c r="M1473" i="120"/>
  <c r="M1472" i="120"/>
  <c r="M1471" i="120"/>
  <c r="M1470" i="120"/>
  <c r="M1469" i="120"/>
  <c r="M1468" i="120"/>
  <c r="M1467" i="120"/>
  <c r="M1466" i="120"/>
  <c r="M1465" i="120"/>
  <c r="M1464" i="120"/>
  <c r="M1463" i="120"/>
  <c r="M1462" i="120"/>
  <c r="M1461" i="120"/>
  <c r="M1460" i="120"/>
  <c r="M1459" i="120"/>
  <c r="M1458" i="120"/>
  <c r="M1457" i="120"/>
  <c r="M1456" i="120"/>
  <c r="M1455" i="120"/>
  <c r="M1454" i="120"/>
  <c r="M1453" i="120"/>
  <c r="M1452" i="120"/>
  <c r="M1451" i="120"/>
  <c r="M1450" i="120"/>
  <c r="M1449" i="120"/>
  <c r="M1448" i="120"/>
  <c r="M1447" i="120"/>
  <c r="M1446" i="120"/>
  <c r="M1445" i="120"/>
  <c r="M1444" i="120"/>
  <c r="M1443" i="120"/>
  <c r="M1442" i="120"/>
  <c r="M1441" i="120"/>
  <c r="M1440" i="120"/>
  <c r="M1439" i="120"/>
  <c r="M1438" i="120"/>
  <c r="M1437" i="120"/>
  <c r="M1436" i="120"/>
  <c r="M1435" i="120"/>
  <c r="M1434" i="120"/>
  <c r="M1433" i="120"/>
  <c r="M1432" i="120"/>
  <c r="M1431" i="120"/>
  <c r="M1430" i="120"/>
  <c r="M1429" i="120"/>
  <c r="M1428" i="120"/>
  <c r="M1427" i="120"/>
  <c r="C1427" i="120"/>
  <c r="C1820" i="120" s="1"/>
  <c r="C2213" i="120" s="1"/>
  <c r="C2606" i="120" s="1"/>
  <c r="C2999" i="120" s="1"/>
  <c r="M1426" i="120"/>
  <c r="M1425" i="120"/>
  <c r="M1424" i="120"/>
  <c r="M1423" i="120"/>
  <c r="M1422" i="120"/>
  <c r="M1421" i="120"/>
  <c r="M1420" i="120"/>
  <c r="M1419" i="120"/>
  <c r="M1418" i="120"/>
  <c r="M1417" i="120"/>
  <c r="M1416" i="120"/>
  <c r="M1415" i="120"/>
  <c r="M1414" i="120"/>
  <c r="M1413" i="120"/>
  <c r="M1412" i="120"/>
  <c r="M1411" i="120"/>
  <c r="M1410" i="120"/>
  <c r="M1409" i="120"/>
  <c r="M1408" i="120"/>
  <c r="M1407" i="120"/>
  <c r="M1406" i="120"/>
  <c r="M1405" i="120"/>
  <c r="M1404" i="120"/>
  <c r="M1403" i="120"/>
  <c r="M1402" i="120"/>
  <c r="M1401" i="120"/>
  <c r="M1400" i="120"/>
  <c r="M1399" i="120"/>
  <c r="M1398" i="120"/>
  <c r="M1397" i="120"/>
  <c r="M1396" i="120"/>
  <c r="M1395" i="120"/>
  <c r="M1394" i="120"/>
  <c r="M1393" i="120"/>
  <c r="M1392" i="120"/>
  <c r="M1391" i="120"/>
  <c r="M1390" i="120"/>
  <c r="M1389" i="120"/>
  <c r="M1388" i="120"/>
  <c r="M1387" i="120"/>
  <c r="M1386" i="120"/>
  <c r="M1385" i="120"/>
  <c r="M1384" i="120"/>
  <c r="M1383" i="120"/>
  <c r="M1382" i="120"/>
  <c r="M1381" i="120"/>
  <c r="M1380" i="120"/>
  <c r="M1379" i="120"/>
  <c r="M1378" i="120"/>
  <c r="M1377" i="120"/>
  <c r="M1376" i="120"/>
  <c r="M1375" i="120"/>
  <c r="M1374" i="120"/>
  <c r="M1373" i="120"/>
  <c r="M1372" i="120"/>
  <c r="M1371" i="120"/>
  <c r="M1370" i="120"/>
  <c r="M1369" i="120"/>
  <c r="M1368" i="120"/>
  <c r="M1367" i="120"/>
  <c r="M1366" i="120"/>
  <c r="M1365" i="120"/>
  <c r="M1364" i="120"/>
  <c r="M1363" i="120"/>
  <c r="M1362" i="120"/>
  <c r="M1361" i="120"/>
  <c r="M1360" i="120"/>
  <c r="M1359" i="120"/>
  <c r="M1358" i="120"/>
  <c r="M1357" i="120"/>
  <c r="M1356" i="120"/>
  <c r="M1355" i="120"/>
  <c r="M1354" i="120"/>
  <c r="M1353" i="120"/>
  <c r="M1352" i="120"/>
  <c r="M1351" i="120"/>
  <c r="M1350" i="120"/>
  <c r="M1349" i="120"/>
  <c r="M1348" i="120"/>
  <c r="M1347" i="120"/>
  <c r="M1346" i="120"/>
  <c r="M1345" i="120"/>
  <c r="M1344" i="120"/>
  <c r="M1343" i="120"/>
  <c r="M1342" i="120"/>
  <c r="M1341" i="120"/>
  <c r="C1341" i="120"/>
  <c r="C1734" i="120" s="1"/>
  <c r="C2127" i="120" s="1"/>
  <c r="C2520" i="120" s="1"/>
  <c r="C2913" i="120" s="1"/>
  <c r="M1340" i="120"/>
  <c r="M1339" i="120"/>
  <c r="M1338" i="120"/>
  <c r="M1337" i="120"/>
  <c r="M1336" i="120"/>
  <c r="M1335" i="120"/>
  <c r="M1334" i="120"/>
  <c r="M1333" i="120"/>
  <c r="M1332" i="120"/>
  <c r="M1331" i="120"/>
  <c r="M1330" i="120"/>
  <c r="M1329" i="120"/>
  <c r="M1328" i="120"/>
  <c r="M1327" i="120"/>
  <c r="M1326" i="120"/>
  <c r="M1325" i="120"/>
  <c r="M1324" i="120"/>
  <c r="M1323" i="120"/>
  <c r="M1322" i="120"/>
  <c r="M1321" i="120"/>
  <c r="M1320" i="120"/>
  <c r="M1319" i="120"/>
  <c r="M1318" i="120"/>
  <c r="M1317" i="120"/>
  <c r="M1316" i="120"/>
  <c r="M1315" i="120"/>
  <c r="M1314" i="120"/>
  <c r="M1313" i="120"/>
  <c r="M1312" i="120"/>
  <c r="M1311" i="120"/>
  <c r="M1310" i="120"/>
  <c r="M1309" i="120"/>
  <c r="M1308" i="120"/>
  <c r="M1307" i="120"/>
  <c r="M1306" i="120"/>
  <c r="M1305" i="120"/>
  <c r="M1304" i="120"/>
  <c r="M1303" i="120"/>
  <c r="M1302" i="120"/>
  <c r="M1301" i="120"/>
  <c r="M1300" i="120"/>
  <c r="M1299" i="120"/>
  <c r="M1298" i="120"/>
  <c r="M1297" i="120"/>
  <c r="M1296" i="120"/>
  <c r="M1295" i="120"/>
  <c r="M1294" i="120"/>
  <c r="M1293" i="120"/>
  <c r="M1292" i="120"/>
  <c r="M1291" i="120"/>
  <c r="M1290" i="120"/>
  <c r="M1289" i="120"/>
  <c r="M1288" i="120"/>
  <c r="M1287" i="120"/>
  <c r="M1286" i="120"/>
  <c r="M1285" i="120"/>
  <c r="M1284" i="120"/>
  <c r="M1283" i="120"/>
  <c r="M1282" i="120"/>
  <c r="M1281" i="120"/>
  <c r="M1280" i="120"/>
  <c r="M1279" i="120"/>
  <c r="M1278" i="120"/>
  <c r="M1277" i="120"/>
  <c r="M1276" i="120"/>
  <c r="M1275" i="120"/>
  <c r="M1274" i="120"/>
  <c r="M1273" i="120"/>
  <c r="M1272" i="120"/>
  <c r="M1271" i="120"/>
  <c r="M1270" i="120"/>
  <c r="M1269" i="120"/>
  <c r="M1268" i="120"/>
  <c r="M1267" i="120"/>
  <c r="M1266" i="120"/>
  <c r="M1265" i="120"/>
  <c r="M1264" i="120"/>
  <c r="M1263" i="120"/>
  <c r="M1262" i="120"/>
  <c r="M1261" i="120"/>
  <c r="M1260" i="120"/>
  <c r="M1259" i="120"/>
  <c r="M1258" i="120"/>
  <c r="M1257" i="120"/>
  <c r="M1256" i="120"/>
  <c r="M1255" i="120"/>
  <c r="M1254" i="120"/>
  <c r="M1253" i="120"/>
  <c r="M1252" i="120"/>
  <c r="M1251" i="120"/>
  <c r="M1250" i="120"/>
  <c r="M1249" i="120"/>
  <c r="M1248" i="120"/>
  <c r="M1247" i="120"/>
  <c r="M1246" i="120"/>
  <c r="M1245" i="120"/>
  <c r="M1244" i="120"/>
  <c r="M1243" i="120"/>
  <c r="M1242" i="120"/>
  <c r="M1241" i="120"/>
  <c r="M1240" i="120"/>
  <c r="M1239" i="120"/>
  <c r="M1238" i="120"/>
  <c r="M1237" i="120"/>
  <c r="M1236" i="120"/>
  <c r="M1235" i="120"/>
  <c r="M1234" i="120"/>
  <c r="M1233" i="120"/>
  <c r="M1232" i="120"/>
  <c r="M1231" i="120"/>
  <c r="M1230" i="120"/>
  <c r="M1229" i="120"/>
  <c r="M1228" i="120"/>
  <c r="M1227" i="120"/>
  <c r="M1226" i="120"/>
  <c r="M1225" i="120"/>
  <c r="M1224" i="120"/>
  <c r="M1223" i="120"/>
  <c r="M1222" i="120"/>
  <c r="M1221" i="120"/>
  <c r="M1220" i="120"/>
  <c r="M1219" i="120"/>
  <c r="M1218" i="120"/>
  <c r="M1217" i="120"/>
  <c r="M1216" i="120"/>
  <c r="M1215" i="120"/>
  <c r="M1214" i="120"/>
  <c r="M1213" i="120"/>
  <c r="M1212" i="120"/>
  <c r="M1211" i="120"/>
  <c r="M1210" i="120"/>
  <c r="M1209" i="120"/>
  <c r="M1208" i="120"/>
  <c r="M1207" i="120"/>
  <c r="M1206" i="120"/>
  <c r="M1205" i="120"/>
  <c r="M1204" i="120"/>
  <c r="M1203" i="120"/>
  <c r="M1202" i="120"/>
  <c r="M1201" i="120"/>
  <c r="M1200" i="120"/>
  <c r="M1199" i="120"/>
  <c r="M1198" i="120"/>
  <c r="M1197" i="120"/>
  <c r="M1196" i="120"/>
  <c r="M1195" i="120"/>
  <c r="M1194" i="120"/>
  <c r="M1193" i="120"/>
  <c r="M1192" i="120"/>
  <c r="M1190" i="120"/>
  <c r="L1184" i="120"/>
  <c r="K1184" i="120"/>
  <c r="B1184" i="120"/>
  <c r="B1577" i="120" s="1"/>
  <c r="M1183" i="120"/>
  <c r="M1182" i="120"/>
  <c r="M1181" i="120"/>
  <c r="M1180" i="120"/>
  <c r="M1179" i="120"/>
  <c r="M1178" i="120"/>
  <c r="M1177" i="120"/>
  <c r="M1176" i="120"/>
  <c r="M1175" i="120"/>
  <c r="M1174" i="120"/>
  <c r="M1173" i="120"/>
  <c r="M1172" i="120"/>
  <c r="M1171" i="120"/>
  <c r="M1170" i="120"/>
  <c r="M1169" i="120"/>
  <c r="M1168" i="120"/>
  <c r="M1167" i="120"/>
  <c r="M1166" i="120"/>
  <c r="M1165" i="120"/>
  <c r="M1164" i="120"/>
  <c r="M1163" i="120"/>
  <c r="M1162" i="120"/>
  <c r="M1161" i="120"/>
  <c r="M1160" i="120"/>
  <c r="M1159" i="120"/>
  <c r="M1158" i="120"/>
  <c r="M1157" i="120"/>
  <c r="M1156" i="120"/>
  <c r="M1155" i="120"/>
  <c r="M1154" i="120"/>
  <c r="M1153" i="120"/>
  <c r="M1152" i="120"/>
  <c r="M1151" i="120"/>
  <c r="M1150" i="120"/>
  <c r="M1149" i="120"/>
  <c r="M1148" i="120"/>
  <c r="M1147" i="120"/>
  <c r="M1146" i="120"/>
  <c r="M1145" i="120"/>
  <c r="M1144" i="120"/>
  <c r="M1143" i="120"/>
  <c r="M1142" i="120"/>
  <c r="M1141" i="120"/>
  <c r="M1140" i="120"/>
  <c r="M1139" i="120"/>
  <c r="M1138" i="120"/>
  <c r="M1137" i="120"/>
  <c r="M1136" i="120"/>
  <c r="M1135" i="120"/>
  <c r="M1134" i="120"/>
  <c r="M1133" i="120"/>
  <c r="M1132" i="120"/>
  <c r="M1131" i="120"/>
  <c r="M1130" i="120"/>
  <c r="M1129" i="120"/>
  <c r="M1128" i="120"/>
  <c r="M1127" i="120"/>
  <c r="M1126" i="120"/>
  <c r="M1125" i="120"/>
  <c r="M1124" i="120"/>
  <c r="M1123" i="120"/>
  <c r="M1122" i="120"/>
  <c r="M1121" i="120"/>
  <c r="M1120" i="120"/>
  <c r="M1119" i="120"/>
  <c r="M1118" i="120"/>
  <c r="M1117" i="120"/>
  <c r="M1116" i="120"/>
  <c r="M1115" i="120"/>
  <c r="M1114" i="120"/>
  <c r="M1113" i="120"/>
  <c r="M1112" i="120"/>
  <c r="M1111" i="120"/>
  <c r="M1110" i="120"/>
  <c r="M1109" i="120"/>
  <c r="M1108" i="120"/>
  <c r="M1107" i="120"/>
  <c r="M1106" i="120"/>
  <c r="M1105" i="120"/>
  <c r="M1104" i="120"/>
  <c r="M1103" i="120"/>
  <c r="M1102" i="120"/>
  <c r="M1101" i="120"/>
  <c r="A1101" i="120"/>
  <c r="A1494" i="120" s="1"/>
  <c r="A1887" i="120" s="1"/>
  <c r="A2280" i="120" s="1"/>
  <c r="A2673" i="120" s="1"/>
  <c r="A3066" i="120" s="1"/>
  <c r="M1100" i="120"/>
  <c r="M1099" i="120"/>
  <c r="M1098" i="120"/>
  <c r="M1097" i="120"/>
  <c r="M1096" i="120"/>
  <c r="M1095" i="120"/>
  <c r="M1094" i="120"/>
  <c r="M1093" i="120"/>
  <c r="M1092" i="120"/>
  <c r="M1091" i="120"/>
  <c r="M1090" i="120"/>
  <c r="M1089" i="120"/>
  <c r="M1088" i="120"/>
  <c r="M1087" i="120"/>
  <c r="M1086" i="120"/>
  <c r="M1085" i="120"/>
  <c r="M1084" i="120"/>
  <c r="M1083" i="120"/>
  <c r="M1082" i="120"/>
  <c r="M1081" i="120"/>
  <c r="M1080" i="120"/>
  <c r="M1079" i="120"/>
  <c r="M1078" i="120"/>
  <c r="M1077" i="120"/>
  <c r="M1076" i="120"/>
  <c r="M1075" i="120"/>
  <c r="M1074" i="120"/>
  <c r="M1073" i="120"/>
  <c r="M1072" i="120"/>
  <c r="M1071" i="120"/>
  <c r="M1070" i="120"/>
  <c r="M1069" i="120"/>
  <c r="M1068" i="120"/>
  <c r="M1067" i="120"/>
  <c r="M1066" i="120"/>
  <c r="M1065" i="120"/>
  <c r="M1064" i="120"/>
  <c r="M1063" i="120"/>
  <c r="M1062" i="120"/>
  <c r="M1061" i="120"/>
  <c r="M1060" i="120"/>
  <c r="M1059" i="120"/>
  <c r="M1058" i="120"/>
  <c r="M1057" i="120"/>
  <c r="M1056" i="120"/>
  <c r="M1055" i="120"/>
  <c r="M1054" i="120"/>
  <c r="M1053" i="120"/>
  <c r="M1052" i="120"/>
  <c r="M1051" i="120"/>
  <c r="M1050" i="120"/>
  <c r="M1049" i="120"/>
  <c r="M1048" i="120"/>
  <c r="M1047" i="120"/>
  <c r="M1046" i="120"/>
  <c r="M1045" i="120"/>
  <c r="M1044" i="120"/>
  <c r="M1043" i="120"/>
  <c r="M1042" i="120"/>
  <c r="M1041" i="120"/>
  <c r="M1040" i="120"/>
  <c r="M1039" i="120"/>
  <c r="M1038" i="120"/>
  <c r="M1037" i="120"/>
  <c r="M1036" i="120"/>
  <c r="M1035" i="120"/>
  <c r="M1034" i="120"/>
  <c r="M1033" i="120"/>
  <c r="M1032" i="120"/>
  <c r="M1031" i="120"/>
  <c r="M1030" i="120"/>
  <c r="M1029" i="120"/>
  <c r="M1028" i="120"/>
  <c r="M1027" i="120"/>
  <c r="M1026" i="120"/>
  <c r="M1025" i="120"/>
  <c r="M1024" i="120"/>
  <c r="M1023" i="120"/>
  <c r="M1022" i="120"/>
  <c r="M1021" i="120"/>
  <c r="M1020" i="120"/>
  <c r="M1019" i="120"/>
  <c r="M1018" i="120"/>
  <c r="M1017" i="120"/>
  <c r="M1016" i="120"/>
  <c r="M1015" i="120"/>
  <c r="M1014" i="120"/>
  <c r="M1013" i="120"/>
  <c r="M1012" i="120"/>
  <c r="M1011" i="120"/>
  <c r="M1010" i="120"/>
  <c r="M1009" i="120"/>
  <c r="M1008" i="120"/>
  <c r="M1007" i="120"/>
  <c r="M1006" i="120"/>
  <c r="M1005" i="120"/>
  <c r="M1004" i="120"/>
  <c r="M1003" i="120"/>
  <c r="M1002" i="120"/>
  <c r="M1001" i="120"/>
  <c r="M1000" i="120"/>
  <c r="M999" i="120"/>
  <c r="M998" i="120"/>
  <c r="M997" i="120"/>
  <c r="M996" i="120"/>
  <c r="M995" i="120"/>
  <c r="M994" i="120"/>
  <c r="M993" i="120"/>
  <c r="M992" i="120"/>
  <c r="M991" i="120"/>
  <c r="M990" i="120"/>
  <c r="M989" i="120"/>
  <c r="M988" i="120"/>
  <c r="M987" i="120"/>
  <c r="M986" i="120"/>
  <c r="M985" i="120"/>
  <c r="M984" i="120"/>
  <c r="M983" i="120"/>
  <c r="M982" i="120"/>
  <c r="M981" i="120"/>
  <c r="M980" i="120"/>
  <c r="M979" i="120"/>
  <c r="M978" i="120"/>
  <c r="M977" i="120"/>
  <c r="M976" i="120"/>
  <c r="M975" i="120"/>
  <c r="M974" i="120"/>
  <c r="M973" i="120"/>
  <c r="M972" i="120"/>
  <c r="M971" i="120"/>
  <c r="B971" i="120"/>
  <c r="B1364" i="120" s="1"/>
  <c r="B1757" i="120" s="1"/>
  <c r="B2150" i="120" s="1"/>
  <c r="B2543" i="120" s="1"/>
  <c r="B2936" i="120" s="1"/>
  <c r="A971" i="120"/>
  <c r="A1364" i="120" s="1"/>
  <c r="A1757" i="120" s="1"/>
  <c r="A2150" i="120" s="1"/>
  <c r="A2543" i="120" s="1"/>
  <c r="A2936" i="120" s="1"/>
  <c r="M970" i="120"/>
  <c r="M969" i="120"/>
  <c r="M968" i="120"/>
  <c r="M967" i="120"/>
  <c r="M966" i="120"/>
  <c r="M965" i="120"/>
  <c r="M964" i="120"/>
  <c r="M963" i="120"/>
  <c r="M962" i="120"/>
  <c r="M961" i="120"/>
  <c r="M960" i="120"/>
  <c r="M959" i="120"/>
  <c r="M958" i="120"/>
  <c r="M957" i="120"/>
  <c r="M956" i="120"/>
  <c r="M955" i="120"/>
  <c r="M954" i="120"/>
  <c r="M953" i="120"/>
  <c r="M952" i="120"/>
  <c r="M951" i="120"/>
  <c r="M950" i="120"/>
  <c r="M949" i="120"/>
  <c r="M948" i="120"/>
  <c r="M947" i="120"/>
  <c r="M946" i="120"/>
  <c r="M945" i="120"/>
  <c r="M944" i="120"/>
  <c r="M943" i="120"/>
  <c r="M942" i="120"/>
  <c r="M941" i="120"/>
  <c r="M940" i="120"/>
  <c r="M939" i="120"/>
  <c r="M938" i="120"/>
  <c r="M937" i="120"/>
  <c r="M936" i="120"/>
  <c r="M935" i="120"/>
  <c r="M934" i="120"/>
  <c r="M933" i="120"/>
  <c r="M932" i="120"/>
  <c r="M931" i="120"/>
  <c r="M930" i="120"/>
  <c r="M929" i="120"/>
  <c r="M928" i="120"/>
  <c r="M927" i="120"/>
  <c r="M926" i="120"/>
  <c r="M925" i="120"/>
  <c r="M924" i="120"/>
  <c r="M923" i="120"/>
  <c r="M922" i="120"/>
  <c r="M921" i="120"/>
  <c r="M920" i="120"/>
  <c r="M919" i="120"/>
  <c r="M918" i="120"/>
  <c r="M917" i="120"/>
  <c r="M916" i="120"/>
  <c r="M915" i="120"/>
  <c r="M914" i="120"/>
  <c r="M913" i="120"/>
  <c r="M912" i="120"/>
  <c r="M911" i="120"/>
  <c r="M910" i="120"/>
  <c r="M909" i="120"/>
  <c r="M908" i="120"/>
  <c r="M907" i="120"/>
  <c r="M906" i="120"/>
  <c r="M905" i="120"/>
  <c r="M904" i="120"/>
  <c r="M903" i="120"/>
  <c r="M902" i="120"/>
  <c r="M901" i="120"/>
  <c r="M900" i="120"/>
  <c r="M899" i="120"/>
  <c r="M898" i="120"/>
  <c r="M897" i="120"/>
  <c r="M896" i="120"/>
  <c r="M895" i="120"/>
  <c r="M894" i="120"/>
  <c r="M893" i="120"/>
  <c r="M892" i="120"/>
  <c r="M891" i="120"/>
  <c r="M890" i="120"/>
  <c r="M889" i="120"/>
  <c r="M888" i="120"/>
  <c r="M887" i="120"/>
  <c r="M886" i="120"/>
  <c r="M885" i="120"/>
  <c r="P884" i="120"/>
  <c r="M884" i="120"/>
  <c r="O884" i="120" s="1"/>
  <c r="P883" i="120"/>
  <c r="O883" i="120"/>
  <c r="M883" i="120"/>
  <c r="M882" i="120"/>
  <c r="M881" i="120"/>
  <c r="M880" i="120"/>
  <c r="M879" i="120"/>
  <c r="M878" i="120"/>
  <c r="M877" i="120"/>
  <c r="M876" i="120"/>
  <c r="M875" i="120"/>
  <c r="M874" i="120"/>
  <c r="M873" i="120"/>
  <c r="M872" i="120"/>
  <c r="M871" i="120"/>
  <c r="M870" i="120"/>
  <c r="M869" i="120"/>
  <c r="M868" i="120"/>
  <c r="M867" i="120"/>
  <c r="M866" i="120"/>
  <c r="M865" i="120"/>
  <c r="M864" i="120"/>
  <c r="M863" i="120"/>
  <c r="M862" i="120"/>
  <c r="M861" i="120"/>
  <c r="M860" i="120"/>
  <c r="M859" i="120"/>
  <c r="M858" i="120"/>
  <c r="M857" i="120"/>
  <c r="M856" i="120"/>
  <c r="M855" i="120"/>
  <c r="M854" i="120"/>
  <c r="M853" i="120"/>
  <c r="M852" i="120"/>
  <c r="M851" i="120"/>
  <c r="M850" i="120"/>
  <c r="M849" i="120"/>
  <c r="M848" i="120"/>
  <c r="M847" i="120"/>
  <c r="M846" i="120"/>
  <c r="M845" i="120"/>
  <c r="M844" i="120"/>
  <c r="M843" i="120"/>
  <c r="M842" i="120"/>
  <c r="M841" i="120"/>
  <c r="M840" i="120"/>
  <c r="M839" i="120"/>
  <c r="M838" i="120"/>
  <c r="M837" i="120"/>
  <c r="M836" i="120"/>
  <c r="M835" i="120"/>
  <c r="M834" i="120"/>
  <c r="M833" i="120"/>
  <c r="M832" i="120"/>
  <c r="M831" i="120"/>
  <c r="M830" i="120"/>
  <c r="M829" i="120"/>
  <c r="M828" i="120"/>
  <c r="M827" i="120"/>
  <c r="M826" i="120"/>
  <c r="M825" i="120"/>
  <c r="M824" i="120"/>
  <c r="M823" i="120"/>
  <c r="M822" i="120"/>
  <c r="M821" i="120"/>
  <c r="M820" i="120"/>
  <c r="M819" i="120"/>
  <c r="M818" i="120"/>
  <c r="M817" i="120"/>
  <c r="M816" i="120"/>
  <c r="M815" i="120"/>
  <c r="M814" i="120"/>
  <c r="M813" i="120"/>
  <c r="M812" i="120"/>
  <c r="M811" i="120"/>
  <c r="M810" i="120"/>
  <c r="M809" i="120"/>
  <c r="M808" i="120"/>
  <c r="M807" i="120"/>
  <c r="M806" i="120"/>
  <c r="M805" i="120"/>
  <c r="M804" i="120"/>
  <c r="M803" i="120"/>
  <c r="M802" i="120"/>
  <c r="M801" i="120"/>
  <c r="M800" i="120"/>
  <c r="M799" i="120"/>
  <c r="M798" i="120"/>
  <c r="L791" i="120"/>
  <c r="K791" i="120"/>
  <c r="M790" i="120"/>
  <c r="B790" i="120"/>
  <c r="B1183" i="120" s="1"/>
  <c r="B1576" i="120" s="1"/>
  <c r="B1969" i="120" s="1"/>
  <c r="B2362" i="120" s="1"/>
  <c r="B2755" i="120" s="1"/>
  <c r="B3148" i="120" s="1"/>
  <c r="M789" i="120"/>
  <c r="M788" i="120"/>
  <c r="M787" i="120"/>
  <c r="E787" i="120"/>
  <c r="E1180" i="120" s="1"/>
  <c r="E1573" i="120" s="1"/>
  <c r="E1966" i="120" s="1"/>
  <c r="E2359" i="120" s="1"/>
  <c r="E2752" i="120" s="1"/>
  <c r="E3145" i="120" s="1"/>
  <c r="D787" i="120"/>
  <c r="D1180" i="120" s="1"/>
  <c r="D1573" i="120" s="1"/>
  <c r="D1966" i="120" s="1"/>
  <c r="D2359" i="120" s="1"/>
  <c r="D2752" i="120" s="1"/>
  <c r="D3145" i="120" s="1"/>
  <c r="M786" i="120"/>
  <c r="M785" i="120"/>
  <c r="M784" i="120"/>
  <c r="M783" i="120"/>
  <c r="M782" i="120"/>
  <c r="A782" i="120"/>
  <c r="A1175" i="120" s="1"/>
  <c r="A1568" i="120" s="1"/>
  <c r="A1961" i="120" s="1"/>
  <c r="A2354" i="120" s="1"/>
  <c r="A2747" i="120" s="1"/>
  <c r="A3140" i="120" s="1"/>
  <c r="M781" i="120"/>
  <c r="M780" i="120"/>
  <c r="M779" i="120"/>
  <c r="M778" i="120"/>
  <c r="M777" i="120"/>
  <c r="M776" i="120"/>
  <c r="M775" i="120"/>
  <c r="M774" i="120"/>
  <c r="M773" i="120"/>
  <c r="M772" i="120"/>
  <c r="M771" i="120"/>
  <c r="E771" i="120"/>
  <c r="E1164" i="120" s="1"/>
  <c r="E1557" i="120" s="1"/>
  <c r="E1950" i="120" s="1"/>
  <c r="E2343" i="120" s="1"/>
  <c r="E2736" i="120" s="1"/>
  <c r="E3129" i="120" s="1"/>
  <c r="M770" i="120"/>
  <c r="M769" i="120"/>
  <c r="E769" i="120"/>
  <c r="E1162" i="120" s="1"/>
  <c r="E1555" i="120" s="1"/>
  <c r="E1948" i="120" s="1"/>
  <c r="E2341" i="120" s="1"/>
  <c r="E2734" i="120" s="1"/>
  <c r="E3127" i="120" s="1"/>
  <c r="M768" i="120"/>
  <c r="M767" i="120"/>
  <c r="M766" i="120"/>
  <c r="A766" i="120"/>
  <c r="A1159" i="120" s="1"/>
  <c r="A1552" i="120" s="1"/>
  <c r="A1945" i="120" s="1"/>
  <c r="A2338" i="120" s="1"/>
  <c r="A2731" i="120" s="1"/>
  <c r="A3124" i="120" s="1"/>
  <c r="M765" i="120"/>
  <c r="M764" i="120"/>
  <c r="M763" i="120"/>
  <c r="M762" i="120"/>
  <c r="M761" i="120"/>
  <c r="M760" i="120"/>
  <c r="B760" i="120"/>
  <c r="B1153" i="120" s="1"/>
  <c r="B1546" i="120" s="1"/>
  <c r="B1939" i="120" s="1"/>
  <c r="B2332" i="120" s="1"/>
  <c r="B2725" i="120" s="1"/>
  <c r="B3118" i="120" s="1"/>
  <c r="M759" i="120"/>
  <c r="D759" i="120"/>
  <c r="D1152" i="120" s="1"/>
  <c r="D1545" i="120" s="1"/>
  <c r="D1938" i="120" s="1"/>
  <c r="D2331" i="120" s="1"/>
  <c r="D2724" i="120" s="1"/>
  <c r="D3117" i="120" s="1"/>
  <c r="M758" i="120"/>
  <c r="M757" i="120"/>
  <c r="M756" i="120"/>
  <c r="M755" i="120"/>
  <c r="M754" i="120"/>
  <c r="M753" i="120"/>
  <c r="E753" i="120"/>
  <c r="E1146" i="120" s="1"/>
  <c r="E1539" i="120" s="1"/>
  <c r="E1932" i="120" s="1"/>
  <c r="E2325" i="120" s="1"/>
  <c r="E2718" i="120" s="1"/>
  <c r="E3111" i="120" s="1"/>
  <c r="M752" i="120"/>
  <c r="M751" i="120"/>
  <c r="M750" i="120"/>
  <c r="A750" i="120"/>
  <c r="A1143" i="120" s="1"/>
  <c r="A1536" i="120" s="1"/>
  <c r="A1929" i="120" s="1"/>
  <c r="A2322" i="120" s="1"/>
  <c r="A2715" i="120" s="1"/>
  <c r="A3108" i="120" s="1"/>
  <c r="M749" i="120"/>
  <c r="M748" i="120"/>
  <c r="M747" i="120"/>
  <c r="M746" i="120"/>
  <c r="M745" i="120"/>
  <c r="M744" i="120"/>
  <c r="A744" i="120"/>
  <c r="A1137" i="120" s="1"/>
  <c r="A1530" i="120" s="1"/>
  <c r="A1923" i="120" s="1"/>
  <c r="A2316" i="120" s="1"/>
  <c r="A2709" i="120" s="1"/>
  <c r="A3102" i="120" s="1"/>
  <c r="M743" i="120"/>
  <c r="M742" i="120"/>
  <c r="M741" i="120"/>
  <c r="M740" i="120"/>
  <c r="M739" i="120"/>
  <c r="M738" i="120"/>
  <c r="M737" i="120"/>
  <c r="M736" i="120"/>
  <c r="M735" i="120"/>
  <c r="M734" i="120"/>
  <c r="M733" i="120"/>
  <c r="M732" i="120"/>
  <c r="M731" i="120"/>
  <c r="E731" i="120"/>
  <c r="E1124" i="120" s="1"/>
  <c r="E1517" i="120" s="1"/>
  <c r="E1910" i="120" s="1"/>
  <c r="E2303" i="120" s="1"/>
  <c r="E2696" i="120" s="1"/>
  <c r="E3089" i="120" s="1"/>
  <c r="M730" i="120"/>
  <c r="M729" i="120"/>
  <c r="D729" i="120"/>
  <c r="D1122" i="120" s="1"/>
  <c r="D1515" i="120" s="1"/>
  <c r="D1908" i="120" s="1"/>
  <c r="D2301" i="120" s="1"/>
  <c r="D2694" i="120" s="1"/>
  <c r="D3087" i="120" s="1"/>
  <c r="C729" i="120"/>
  <c r="C1122" i="120" s="1"/>
  <c r="C1515" i="120" s="1"/>
  <c r="C1908" i="120" s="1"/>
  <c r="C2301" i="120" s="1"/>
  <c r="C2694" i="120" s="1"/>
  <c r="C3087" i="120" s="1"/>
  <c r="M728" i="120"/>
  <c r="M727" i="120"/>
  <c r="E727" i="120"/>
  <c r="E1120" i="120" s="1"/>
  <c r="E1513" i="120" s="1"/>
  <c r="E1906" i="120" s="1"/>
  <c r="E2299" i="120" s="1"/>
  <c r="E2692" i="120" s="1"/>
  <c r="E3085" i="120" s="1"/>
  <c r="D727" i="120"/>
  <c r="D1120" i="120" s="1"/>
  <c r="D1513" i="120" s="1"/>
  <c r="D1906" i="120" s="1"/>
  <c r="D2299" i="120" s="1"/>
  <c r="D2692" i="120" s="1"/>
  <c r="D3085" i="120" s="1"/>
  <c r="M726" i="120"/>
  <c r="M725" i="120"/>
  <c r="D725" i="120"/>
  <c r="D1118" i="120" s="1"/>
  <c r="D1511" i="120" s="1"/>
  <c r="D1904" i="120" s="1"/>
  <c r="D2297" i="120" s="1"/>
  <c r="D2690" i="120" s="1"/>
  <c r="D3083" i="120" s="1"/>
  <c r="M724" i="120"/>
  <c r="M723" i="120"/>
  <c r="M722" i="120"/>
  <c r="M721" i="120"/>
  <c r="M720" i="120"/>
  <c r="M719" i="120"/>
  <c r="M718" i="120"/>
  <c r="M717" i="120"/>
  <c r="M716" i="120"/>
  <c r="M715" i="120"/>
  <c r="M714" i="120"/>
  <c r="M713" i="120"/>
  <c r="M712" i="120"/>
  <c r="M711" i="120"/>
  <c r="M710" i="120"/>
  <c r="M709" i="120"/>
  <c r="M708" i="120"/>
  <c r="M707" i="120"/>
  <c r="M706" i="120"/>
  <c r="M705" i="120"/>
  <c r="M704" i="120"/>
  <c r="M703" i="120"/>
  <c r="M702" i="120"/>
  <c r="M701" i="120"/>
  <c r="M700" i="120"/>
  <c r="M699" i="120"/>
  <c r="D699" i="120"/>
  <c r="D1092" i="120" s="1"/>
  <c r="D1485" i="120" s="1"/>
  <c r="D1878" i="120" s="1"/>
  <c r="D2271" i="120" s="1"/>
  <c r="D2664" i="120" s="1"/>
  <c r="D3057" i="120" s="1"/>
  <c r="M698" i="120"/>
  <c r="M697" i="120"/>
  <c r="M696" i="120"/>
  <c r="M695" i="120"/>
  <c r="M694" i="120"/>
  <c r="M693" i="120"/>
  <c r="M692" i="120"/>
  <c r="M691" i="120"/>
  <c r="M690" i="120"/>
  <c r="M689" i="120"/>
  <c r="M688" i="120"/>
  <c r="M687" i="120"/>
  <c r="M686" i="120"/>
  <c r="M685" i="120"/>
  <c r="M684" i="120"/>
  <c r="A684" i="120"/>
  <c r="A1077" i="120" s="1"/>
  <c r="A1470" i="120" s="1"/>
  <c r="A1863" i="120" s="1"/>
  <c r="A2256" i="120" s="1"/>
  <c r="A2649" i="120" s="1"/>
  <c r="A3042" i="120" s="1"/>
  <c r="M683" i="120"/>
  <c r="M682" i="120"/>
  <c r="M681" i="120"/>
  <c r="M680" i="120"/>
  <c r="M679" i="120"/>
  <c r="M678" i="120"/>
  <c r="M677" i="120"/>
  <c r="M676" i="120"/>
  <c r="M675" i="120"/>
  <c r="M674" i="120"/>
  <c r="M673" i="120"/>
  <c r="M672" i="120"/>
  <c r="M671" i="120"/>
  <c r="M670" i="120"/>
  <c r="M669" i="120"/>
  <c r="M668" i="120"/>
  <c r="M667" i="120"/>
  <c r="M666" i="120"/>
  <c r="M665" i="120"/>
  <c r="M664" i="120"/>
  <c r="M663" i="120"/>
  <c r="M662" i="120"/>
  <c r="M661" i="120"/>
  <c r="M660" i="120"/>
  <c r="M659" i="120"/>
  <c r="M658" i="120"/>
  <c r="M657" i="120"/>
  <c r="M656" i="120"/>
  <c r="M655" i="120"/>
  <c r="M654" i="120"/>
  <c r="M653" i="120"/>
  <c r="M652" i="120"/>
  <c r="M651" i="120"/>
  <c r="C651" i="120"/>
  <c r="C1044" i="120" s="1"/>
  <c r="C1437" i="120" s="1"/>
  <c r="C1830" i="120" s="1"/>
  <c r="C2223" i="120" s="1"/>
  <c r="C2616" i="120" s="1"/>
  <c r="C3009" i="120" s="1"/>
  <c r="M650" i="120"/>
  <c r="M649" i="120"/>
  <c r="D649" i="120"/>
  <c r="D1042" i="120" s="1"/>
  <c r="D1435" i="120" s="1"/>
  <c r="D1828" i="120" s="1"/>
  <c r="D2221" i="120" s="1"/>
  <c r="D2614" i="120" s="1"/>
  <c r="D3007" i="120" s="1"/>
  <c r="M648" i="120"/>
  <c r="M647" i="120"/>
  <c r="M646" i="120"/>
  <c r="M645" i="120"/>
  <c r="M644" i="120"/>
  <c r="M643" i="120"/>
  <c r="M642" i="120"/>
  <c r="M641" i="120"/>
  <c r="M640" i="120"/>
  <c r="M639" i="120"/>
  <c r="M638" i="120"/>
  <c r="M637" i="120"/>
  <c r="M636" i="120"/>
  <c r="M635" i="120"/>
  <c r="M634" i="120"/>
  <c r="M633" i="120"/>
  <c r="M632" i="120"/>
  <c r="M631" i="120"/>
  <c r="E631" i="120"/>
  <c r="E1024" i="120" s="1"/>
  <c r="E1417" i="120" s="1"/>
  <c r="E1810" i="120" s="1"/>
  <c r="E2203" i="120" s="1"/>
  <c r="E2596" i="120" s="1"/>
  <c r="E2989" i="120" s="1"/>
  <c r="M630" i="120"/>
  <c r="M629" i="120"/>
  <c r="M628" i="120"/>
  <c r="M627" i="120"/>
  <c r="E627" i="120"/>
  <c r="E1020" i="120" s="1"/>
  <c r="E1413" i="120" s="1"/>
  <c r="E1806" i="120" s="1"/>
  <c r="E2199" i="120" s="1"/>
  <c r="E2592" i="120" s="1"/>
  <c r="E2985" i="120" s="1"/>
  <c r="M626" i="120"/>
  <c r="M625" i="120"/>
  <c r="M624" i="120"/>
  <c r="M623" i="120"/>
  <c r="M622" i="120"/>
  <c r="A622" i="120"/>
  <c r="A1015" i="120" s="1"/>
  <c r="A1408" i="120" s="1"/>
  <c r="A1801" i="120" s="1"/>
  <c r="A2194" i="120" s="1"/>
  <c r="A2587" i="120" s="1"/>
  <c r="A2980" i="120" s="1"/>
  <c r="M621" i="120"/>
  <c r="M620" i="120"/>
  <c r="M619" i="120"/>
  <c r="M618" i="120"/>
  <c r="M617" i="120"/>
  <c r="M616" i="120"/>
  <c r="M615" i="120"/>
  <c r="M614" i="120"/>
  <c r="M613" i="120"/>
  <c r="M612" i="120"/>
  <c r="M611" i="120"/>
  <c r="M610" i="120"/>
  <c r="M609" i="120"/>
  <c r="M608" i="120"/>
  <c r="M607" i="120"/>
  <c r="M606" i="120"/>
  <c r="M605" i="120"/>
  <c r="M604" i="120"/>
  <c r="M603" i="120"/>
  <c r="D603" i="120"/>
  <c r="D996" i="120" s="1"/>
  <c r="D1389" i="120" s="1"/>
  <c r="D1782" i="120" s="1"/>
  <c r="D2175" i="120" s="1"/>
  <c r="D2568" i="120" s="1"/>
  <c r="D2961" i="120" s="1"/>
  <c r="M602" i="120"/>
  <c r="M601" i="120"/>
  <c r="M600" i="120"/>
  <c r="M599" i="120"/>
  <c r="M598" i="120"/>
  <c r="M597" i="120"/>
  <c r="C597" i="120"/>
  <c r="C990" i="120" s="1"/>
  <c r="C1383" i="120" s="1"/>
  <c r="C1776" i="120" s="1"/>
  <c r="C2169" i="120" s="1"/>
  <c r="C2562" i="120" s="1"/>
  <c r="C2955" i="120" s="1"/>
  <c r="M596" i="120"/>
  <c r="M595" i="120"/>
  <c r="M594" i="120"/>
  <c r="M593" i="120"/>
  <c r="M592" i="120"/>
  <c r="M591" i="120"/>
  <c r="M590" i="120"/>
  <c r="M589" i="120"/>
  <c r="M588" i="120"/>
  <c r="M587" i="120"/>
  <c r="M586" i="120"/>
  <c r="M585" i="120"/>
  <c r="C585" i="120"/>
  <c r="C978" i="120" s="1"/>
  <c r="C1371" i="120" s="1"/>
  <c r="C1764" i="120" s="1"/>
  <c r="C2157" i="120" s="1"/>
  <c r="C2550" i="120" s="1"/>
  <c r="C2943" i="120" s="1"/>
  <c r="M584" i="120"/>
  <c r="M583" i="120"/>
  <c r="M582" i="120"/>
  <c r="M581" i="120"/>
  <c r="D581" i="120"/>
  <c r="D974" i="120" s="1"/>
  <c r="D1367" i="120" s="1"/>
  <c r="D1760" i="120" s="1"/>
  <c r="D2153" i="120" s="1"/>
  <c r="D2546" i="120" s="1"/>
  <c r="D2939" i="120" s="1"/>
  <c r="M580" i="120"/>
  <c r="M579" i="120"/>
  <c r="M578" i="120"/>
  <c r="M577" i="120"/>
  <c r="M576" i="120"/>
  <c r="M575" i="120"/>
  <c r="M574" i="120"/>
  <c r="D574" i="120"/>
  <c r="D967" i="120" s="1"/>
  <c r="D1360" i="120" s="1"/>
  <c r="D1753" i="120" s="1"/>
  <c r="D2146" i="120" s="1"/>
  <c r="D2539" i="120" s="1"/>
  <c r="D2932" i="120" s="1"/>
  <c r="M573" i="120"/>
  <c r="M572" i="120"/>
  <c r="A572" i="120"/>
  <c r="A965" i="120" s="1"/>
  <c r="A1358" i="120" s="1"/>
  <c r="A1751" i="120" s="1"/>
  <c r="A2144" i="120" s="1"/>
  <c r="A2537" i="120" s="1"/>
  <c r="A2930" i="120" s="1"/>
  <c r="M571" i="120"/>
  <c r="M570" i="120"/>
  <c r="M569" i="120"/>
  <c r="M568" i="120"/>
  <c r="M567" i="120"/>
  <c r="M566" i="120"/>
  <c r="M565" i="120"/>
  <c r="D565" i="120"/>
  <c r="D958" i="120" s="1"/>
  <c r="D1351" i="120" s="1"/>
  <c r="D1744" i="120" s="1"/>
  <c r="D2137" i="120" s="1"/>
  <c r="D2530" i="120" s="1"/>
  <c r="D2923" i="120" s="1"/>
  <c r="M564" i="120"/>
  <c r="M563" i="120"/>
  <c r="M562" i="120"/>
  <c r="M561" i="120"/>
  <c r="M560" i="120"/>
  <c r="M559" i="120"/>
  <c r="M558" i="120"/>
  <c r="M557" i="120"/>
  <c r="M556" i="120"/>
  <c r="M555" i="120"/>
  <c r="M554" i="120"/>
  <c r="M553" i="120"/>
  <c r="M552" i="120"/>
  <c r="M551" i="120"/>
  <c r="M550" i="120"/>
  <c r="M549" i="120"/>
  <c r="M548" i="120"/>
  <c r="M547" i="120"/>
  <c r="M546" i="120"/>
  <c r="M545" i="120"/>
  <c r="M544" i="120"/>
  <c r="M543" i="120"/>
  <c r="M542" i="120"/>
  <c r="M541" i="120"/>
  <c r="M540" i="120"/>
  <c r="M539" i="120"/>
  <c r="E539" i="120"/>
  <c r="E932" i="120" s="1"/>
  <c r="E1325" i="120" s="1"/>
  <c r="E1718" i="120" s="1"/>
  <c r="E2111" i="120" s="1"/>
  <c r="E2504" i="120" s="1"/>
  <c r="E2897" i="120" s="1"/>
  <c r="M538" i="120"/>
  <c r="M537" i="120"/>
  <c r="D537" i="120"/>
  <c r="D930" i="120" s="1"/>
  <c r="D1323" i="120" s="1"/>
  <c r="D1716" i="120" s="1"/>
  <c r="D2109" i="120" s="1"/>
  <c r="D2502" i="120" s="1"/>
  <c r="D2895" i="120" s="1"/>
  <c r="M536" i="120"/>
  <c r="M535" i="120"/>
  <c r="E535" i="120"/>
  <c r="E928" i="120" s="1"/>
  <c r="E1321" i="120" s="1"/>
  <c r="E1714" i="120" s="1"/>
  <c r="E2107" i="120" s="1"/>
  <c r="E2500" i="120" s="1"/>
  <c r="E2893" i="120" s="1"/>
  <c r="D535" i="120"/>
  <c r="D928" i="120" s="1"/>
  <c r="D1321" i="120" s="1"/>
  <c r="D1714" i="120" s="1"/>
  <c r="D2107" i="120" s="1"/>
  <c r="D2500" i="120" s="1"/>
  <c r="D2893" i="120" s="1"/>
  <c r="M534" i="120"/>
  <c r="M533" i="120"/>
  <c r="M532" i="120"/>
  <c r="M531" i="120"/>
  <c r="M530" i="120"/>
  <c r="M529" i="120"/>
  <c r="M528" i="120"/>
  <c r="M527" i="120"/>
  <c r="M526" i="120"/>
  <c r="M525" i="120"/>
  <c r="M524" i="120"/>
  <c r="M523" i="120"/>
  <c r="M522" i="120"/>
  <c r="M521" i="120"/>
  <c r="M520" i="120"/>
  <c r="M519" i="120"/>
  <c r="M518" i="120"/>
  <c r="M517" i="120"/>
  <c r="M516" i="120"/>
  <c r="B516" i="120"/>
  <c r="B909" i="120" s="1"/>
  <c r="B1302" i="120" s="1"/>
  <c r="B1695" i="120" s="1"/>
  <c r="B2088" i="120" s="1"/>
  <c r="B2481" i="120" s="1"/>
  <c r="B2874" i="120" s="1"/>
  <c r="M515" i="120"/>
  <c r="M514" i="120"/>
  <c r="M513" i="120"/>
  <c r="M512" i="120"/>
  <c r="M511" i="120"/>
  <c r="M510" i="120"/>
  <c r="M509" i="120"/>
  <c r="M508" i="120"/>
  <c r="M507" i="120"/>
  <c r="M506" i="120"/>
  <c r="M505" i="120"/>
  <c r="M504" i="120"/>
  <c r="B504" i="120"/>
  <c r="B897" i="120" s="1"/>
  <c r="B1290" i="120" s="1"/>
  <c r="B1683" i="120" s="1"/>
  <c r="B2076" i="120" s="1"/>
  <c r="B2469" i="120" s="1"/>
  <c r="B2862" i="120" s="1"/>
  <c r="M503" i="120"/>
  <c r="M502" i="120"/>
  <c r="M501" i="120"/>
  <c r="M500" i="120"/>
  <c r="M499" i="120"/>
  <c r="M498" i="120"/>
  <c r="M497" i="120"/>
  <c r="M496" i="120"/>
  <c r="M495" i="120"/>
  <c r="M494" i="120"/>
  <c r="M493" i="120"/>
  <c r="M492" i="120"/>
  <c r="M491" i="120"/>
  <c r="M490" i="120"/>
  <c r="M489" i="120"/>
  <c r="O489" i="120" s="1"/>
  <c r="P489" i="120" s="1"/>
  <c r="M488" i="120"/>
  <c r="M487" i="120"/>
  <c r="M486" i="120"/>
  <c r="M485" i="120"/>
  <c r="M484" i="120"/>
  <c r="M483" i="120"/>
  <c r="M482" i="120"/>
  <c r="M481" i="120"/>
  <c r="M480" i="120"/>
  <c r="M479" i="120"/>
  <c r="M478" i="120"/>
  <c r="M477" i="120"/>
  <c r="M476" i="120"/>
  <c r="M475" i="120"/>
  <c r="M474" i="120"/>
  <c r="M473" i="120"/>
  <c r="M472" i="120"/>
  <c r="M471" i="120"/>
  <c r="M470" i="120"/>
  <c r="M469" i="120"/>
  <c r="M468" i="120"/>
  <c r="M467" i="120"/>
  <c r="M466" i="120"/>
  <c r="M465" i="120"/>
  <c r="M464" i="120"/>
  <c r="M463" i="120"/>
  <c r="M462" i="120"/>
  <c r="M461" i="120"/>
  <c r="M460" i="120"/>
  <c r="M459" i="120"/>
  <c r="M458" i="120"/>
  <c r="M457" i="120"/>
  <c r="M456" i="120"/>
  <c r="M455" i="120"/>
  <c r="M454" i="120"/>
  <c r="M453" i="120"/>
  <c r="M452" i="120"/>
  <c r="M451" i="120"/>
  <c r="M450" i="120"/>
  <c r="M449" i="120"/>
  <c r="M448" i="120"/>
  <c r="M447" i="120"/>
  <c r="E447" i="120"/>
  <c r="E840" i="120" s="1"/>
  <c r="E1233" i="120" s="1"/>
  <c r="E1626" i="120" s="1"/>
  <c r="E2019" i="120" s="1"/>
  <c r="E2412" i="120" s="1"/>
  <c r="E2805" i="120" s="1"/>
  <c r="M446" i="120"/>
  <c r="M445" i="120"/>
  <c r="M444" i="120"/>
  <c r="M443" i="120"/>
  <c r="M442" i="120"/>
  <c r="M441" i="120"/>
  <c r="M440" i="120"/>
  <c r="M439" i="120"/>
  <c r="M438" i="120"/>
  <c r="M437" i="120"/>
  <c r="D437" i="120"/>
  <c r="D830" i="120" s="1"/>
  <c r="D1223" i="120" s="1"/>
  <c r="D1616" i="120" s="1"/>
  <c r="D2009" i="120" s="1"/>
  <c r="D2402" i="120" s="1"/>
  <c r="D2795" i="120" s="1"/>
  <c r="M436" i="120"/>
  <c r="M435" i="120"/>
  <c r="M434" i="120"/>
  <c r="M433" i="120"/>
  <c r="M432" i="120"/>
  <c r="M431" i="120"/>
  <c r="M430" i="120"/>
  <c r="M429" i="120"/>
  <c r="M428" i="120"/>
  <c r="M427" i="120"/>
  <c r="M426" i="120"/>
  <c r="M425" i="120"/>
  <c r="M424" i="120"/>
  <c r="M423" i="120"/>
  <c r="M422" i="120"/>
  <c r="M421" i="120"/>
  <c r="M420" i="120"/>
  <c r="M419" i="120"/>
  <c r="M418" i="120"/>
  <c r="M417" i="120"/>
  <c r="M416" i="120"/>
  <c r="M415" i="120"/>
  <c r="M414" i="120"/>
  <c r="M413" i="120"/>
  <c r="M412" i="120"/>
  <c r="M411" i="120"/>
  <c r="M410" i="120"/>
  <c r="M409" i="120"/>
  <c r="M408" i="120"/>
  <c r="M407" i="120"/>
  <c r="M406" i="120"/>
  <c r="M405" i="120"/>
  <c r="M404" i="120"/>
  <c r="E404" i="120"/>
  <c r="E797" i="120" s="1"/>
  <c r="E1190" i="120" s="1"/>
  <c r="E1583" i="120" s="1"/>
  <c r="E1976" i="120" s="1"/>
  <c r="E2369" i="120" s="1"/>
  <c r="E2762" i="120" s="1"/>
  <c r="D404" i="120"/>
  <c r="D797" i="120" s="1"/>
  <c r="D1190" i="120" s="1"/>
  <c r="D1583" i="120" s="1"/>
  <c r="D1976" i="120" s="1"/>
  <c r="D2369" i="120" s="1"/>
  <c r="D2762" i="120" s="1"/>
  <c r="M403" i="120"/>
  <c r="M402" i="120"/>
  <c r="B402" i="120"/>
  <c r="B795" i="120" s="1"/>
  <c r="B1188" i="120" s="1"/>
  <c r="B1581" i="120" s="1"/>
  <c r="B1974" i="120" s="1"/>
  <c r="B2367" i="120" s="1"/>
  <c r="B2760" i="120" s="1"/>
  <c r="M401" i="120"/>
  <c r="M397" i="120"/>
  <c r="E790" i="120"/>
  <c r="E1183" i="120" s="1"/>
  <c r="E1576" i="120" s="1"/>
  <c r="E1969" i="120" s="1"/>
  <c r="E2362" i="120" s="1"/>
  <c r="E2755" i="120" s="1"/>
  <c r="E3148" i="120" s="1"/>
  <c r="D790" i="120"/>
  <c r="D1183" i="120" s="1"/>
  <c r="D1576" i="120" s="1"/>
  <c r="D1969" i="120" s="1"/>
  <c r="D2362" i="120" s="1"/>
  <c r="D2755" i="120" s="1"/>
  <c r="D3148" i="120" s="1"/>
  <c r="C790" i="120"/>
  <c r="C1183" i="120" s="1"/>
  <c r="C1576" i="120" s="1"/>
  <c r="C1969" i="120" s="1"/>
  <c r="C2362" i="120" s="1"/>
  <c r="C2755" i="120" s="1"/>
  <c r="C3148" i="120" s="1"/>
  <c r="A790" i="120"/>
  <c r="A1183" i="120" s="1"/>
  <c r="A1576" i="120" s="1"/>
  <c r="A1969" i="120" s="1"/>
  <c r="A2362" i="120" s="1"/>
  <c r="A2755" i="120" s="1"/>
  <c r="A3148" i="120" s="1"/>
  <c r="M396" i="120"/>
  <c r="E789" i="120"/>
  <c r="E1182" i="120" s="1"/>
  <c r="D789" i="120"/>
  <c r="D1182" i="120" s="1"/>
  <c r="D1575" i="120" s="1"/>
  <c r="D1968" i="120" s="1"/>
  <c r="D2361" i="120" s="1"/>
  <c r="D2754" i="120" s="1"/>
  <c r="D3147" i="120" s="1"/>
  <c r="C789" i="120"/>
  <c r="C1182" i="120" s="1"/>
  <c r="C1575" i="120" s="1"/>
  <c r="C1968" i="120" s="1"/>
  <c r="C2361" i="120" s="1"/>
  <c r="C2754" i="120" s="1"/>
  <c r="C3147" i="120" s="1"/>
  <c r="B789" i="120"/>
  <c r="B1182" i="120" s="1"/>
  <c r="B1575" i="120" s="1"/>
  <c r="B1968" i="120" s="1"/>
  <c r="B2361" i="120" s="1"/>
  <c r="B2754" i="120" s="1"/>
  <c r="B3147" i="120" s="1"/>
  <c r="A789" i="120"/>
  <c r="A1182" i="120" s="1"/>
  <c r="A1575" i="120" s="1"/>
  <c r="A1968" i="120" s="1"/>
  <c r="A2361" i="120" s="1"/>
  <c r="A2754" i="120" s="1"/>
  <c r="A3147" i="120" s="1"/>
  <c r="M395" i="120"/>
  <c r="E788" i="120"/>
  <c r="E1181" i="120" s="1"/>
  <c r="E1574" i="120" s="1"/>
  <c r="E1967" i="120" s="1"/>
  <c r="E2360" i="120" s="1"/>
  <c r="E2753" i="120" s="1"/>
  <c r="E3146" i="120" s="1"/>
  <c r="D788" i="120"/>
  <c r="D1181" i="120" s="1"/>
  <c r="D1574" i="120" s="1"/>
  <c r="D1967" i="120" s="1"/>
  <c r="D2360" i="120" s="1"/>
  <c r="D2753" i="120" s="1"/>
  <c r="D3146" i="120" s="1"/>
  <c r="C788" i="120"/>
  <c r="C1181" i="120" s="1"/>
  <c r="C1574" i="120" s="1"/>
  <c r="C1967" i="120" s="1"/>
  <c r="C2360" i="120" s="1"/>
  <c r="C2753" i="120" s="1"/>
  <c r="C3146" i="120" s="1"/>
  <c r="B788" i="120"/>
  <c r="B1181" i="120" s="1"/>
  <c r="B1574" i="120" s="1"/>
  <c r="B1967" i="120" s="1"/>
  <c r="B2360" i="120" s="1"/>
  <c r="B2753" i="120" s="1"/>
  <c r="B3146" i="120" s="1"/>
  <c r="A788" i="120"/>
  <c r="A1181" i="120" s="1"/>
  <c r="A1574" i="120" s="1"/>
  <c r="A1967" i="120" s="1"/>
  <c r="A2360" i="120" s="1"/>
  <c r="A2753" i="120" s="1"/>
  <c r="A3146" i="120" s="1"/>
  <c r="M394" i="120"/>
  <c r="C787" i="120"/>
  <c r="C1180" i="120" s="1"/>
  <c r="C1573" i="120" s="1"/>
  <c r="C1966" i="120" s="1"/>
  <c r="C2359" i="120" s="1"/>
  <c r="C2752" i="120" s="1"/>
  <c r="C3145" i="120" s="1"/>
  <c r="B787" i="120"/>
  <c r="B1180" i="120" s="1"/>
  <c r="B1573" i="120" s="1"/>
  <c r="B1966" i="120" s="1"/>
  <c r="B2359" i="120" s="1"/>
  <c r="B2752" i="120" s="1"/>
  <c r="B3145" i="120" s="1"/>
  <c r="A787" i="120"/>
  <c r="A1180" i="120" s="1"/>
  <c r="A1573" i="120" s="1"/>
  <c r="A1966" i="120" s="1"/>
  <c r="A2359" i="120" s="1"/>
  <c r="A2752" i="120" s="1"/>
  <c r="A3145" i="120" s="1"/>
  <c r="M393" i="120"/>
  <c r="E786" i="120"/>
  <c r="E1179" i="120" s="1"/>
  <c r="E1572" i="120" s="1"/>
  <c r="E1965" i="120" s="1"/>
  <c r="E2358" i="120" s="1"/>
  <c r="E2751" i="120" s="1"/>
  <c r="E3144" i="120" s="1"/>
  <c r="D786" i="120"/>
  <c r="D1179" i="120" s="1"/>
  <c r="D1572" i="120" s="1"/>
  <c r="D1965" i="120" s="1"/>
  <c r="D2358" i="120" s="1"/>
  <c r="D2751" i="120" s="1"/>
  <c r="D3144" i="120" s="1"/>
  <c r="C786" i="120"/>
  <c r="C1179" i="120" s="1"/>
  <c r="C1572" i="120" s="1"/>
  <c r="C1965" i="120" s="1"/>
  <c r="C2358" i="120" s="1"/>
  <c r="C2751" i="120" s="1"/>
  <c r="C3144" i="120" s="1"/>
  <c r="B786" i="120"/>
  <c r="B1179" i="120" s="1"/>
  <c r="B1572" i="120" s="1"/>
  <c r="B1965" i="120" s="1"/>
  <c r="B2358" i="120" s="1"/>
  <c r="B2751" i="120" s="1"/>
  <c r="B3144" i="120" s="1"/>
  <c r="A786" i="120"/>
  <c r="A1179" i="120" s="1"/>
  <c r="A1572" i="120" s="1"/>
  <c r="A1965" i="120" s="1"/>
  <c r="A2358" i="120" s="1"/>
  <c r="A2751" i="120" s="1"/>
  <c r="A3144" i="120" s="1"/>
  <c r="M392" i="120"/>
  <c r="E785" i="120"/>
  <c r="E1178" i="120" s="1"/>
  <c r="E1571" i="120" s="1"/>
  <c r="E1964" i="120" s="1"/>
  <c r="E2357" i="120" s="1"/>
  <c r="E2750" i="120" s="1"/>
  <c r="E3143" i="120" s="1"/>
  <c r="D785" i="120"/>
  <c r="D1178" i="120" s="1"/>
  <c r="D1571" i="120" s="1"/>
  <c r="D1964" i="120" s="1"/>
  <c r="D2357" i="120" s="1"/>
  <c r="D2750" i="120" s="1"/>
  <c r="D3143" i="120" s="1"/>
  <c r="C785" i="120"/>
  <c r="C1178" i="120" s="1"/>
  <c r="C1571" i="120" s="1"/>
  <c r="C1964" i="120" s="1"/>
  <c r="C2357" i="120" s="1"/>
  <c r="C2750" i="120" s="1"/>
  <c r="C3143" i="120" s="1"/>
  <c r="B785" i="120"/>
  <c r="B1178" i="120" s="1"/>
  <c r="B1571" i="120" s="1"/>
  <c r="B1964" i="120" s="1"/>
  <c r="B2357" i="120" s="1"/>
  <c r="B2750" i="120" s="1"/>
  <c r="B3143" i="120" s="1"/>
  <c r="A785" i="120"/>
  <c r="A1178" i="120" s="1"/>
  <c r="A1571" i="120" s="1"/>
  <c r="A1964" i="120" s="1"/>
  <c r="A2357" i="120" s="1"/>
  <c r="A2750" i="120" s="1"/>
  <c r="A3143" i="120" s="1"/>
  <c r="M391" i="120"/>
  <c r="E784" i="120"/>
  <c r="E1177" i="120" s="1"/>
  <c r="E1570" i="120" s="1"/>
  <c r="E1963" i="120" s="1"/>
  <c r="E2356" i="120" s="1"/>
  <c r="E2749" i="120" s="1"/>
  <c r="E3142" i="120" s="1"/>
  <c r="D784" i="120"/>
  <c r="D1177" i="120" s="1"/>
  <c r="D1570" i="120" s="1"/>
  <c r="D1963" i="120" s="1"/>
  <c r="D2356" i="120" s="1"/>
  <c r="D2749" i="120" s="1"/>
  <c r="D3142" i="120" s="1"/>
  <c r="C784" i="120"/>
  <c r="C1177" i="120" s="1"/>
  <c r="C1570" i="120" s="1"/>
  <c r="C1963" i="120" s="1"/>
  <c r="C2356" i="120" s="1"/>
  <c r="C2749" i="120" s="1"/>
  <c r="C3142" i="120" s="1"/>
  <c r="B784" i="120"/>
  <c r="B1177" i="120" s="1"/>
  <c r="B1570" i="120" s="1"/>
  <c r="B1963" i="120" s="1"/>
  <c r="B2356" i="120" s="1"/>
  <c r="B2749" i="120" s="1"/>
  <c r="B3142" i="120" s="1"/>
  <c r="A784" i="120"/>
  <c r="A1177" i="120" s="1"/>
  <c r="A1570" i="120" s="1"/>
  <c r="A1963" i="120" s="1"/>
  <c r="A2356" i="120" s="1"/>
  <c r="A2749" i="120" s="1"/>
  <c r="A3142" i="120" s="1"/>
  <c r="M390" i="120"/>
  <c r="E783" i="120"/>
  <c r="E1176" i="120" s="1"/>
  <c r="E1569" i="120" s="1"/>
  <c r="E1962" i="120" s="1"/>
  <c r="E2355" i="120" s="1"/>
  <c r="E2748" i="120" s="1"/>
  <c r="E3141" i="120" s="1"/>
  <c r="D783" i="120"/>
  <c r="D1176" i="120" s="1"/>
  <c r="D1569" i="120" s="1"/>
  <c r="D1962" i="120" s="1"/>
  <c r="D2355" i="120" s="1"/>
  <c r="D2748" i="120" s="1"/>
  <c r="D3141" i="120" s="1"/>
  <c r="C783" i="120"/>
  <c r="C1176" i="120" s="1"/>
  <c r="C1569" i="120" s="1"/>
  <c r="C1962" i="120" s="1"/>
  <c r="C2355" i="120" s="1"/>
  <c r="C2748" i="120" s="1"/>
  <c r="C3141" i="120" s="1"/>
  <c r="B783" i="120"/>
  <c r="B1176" i="120" s="1"/>
  <c r="B1569" i="120" s="1"/>
  <c r="B1962" i="120" s="1"/>
  <c r="B2355" i="120" s="1"/>
  <c r="B2748" i="120" s="1"/>
  <c r="B3141" i="120" s="1"/>
  <c r="A783" i="120"/>
  <c r="A1176" i="120" s="1"/>
  <c r="A1569" i="120" s="1"/>
  <c r="A1962" i="120" s="1"/>
  <c r="A2355" i="120" s="1"/>
  <c r="A2748" i="120" s="1"/>
  <c r="A3141" i="120" s="1"/>
  <c r="M389" i="120"/>
  <c r="E782" i="120"/>
  <c r="E1175" i="120" s="1"/>
  <c r="E1568" i="120" s="1"/>
  <c r="E1961" i="120" s="1"/>
  <c r="E2354" i="120" s="1"/>
  <c r="E2747" i="120" s="1"/>
  <c r="E3140" i="120" s="1"/>
  <c r="D782" i="120"/>
  <c r="D1175" i="120" s="1"/>
  <c r="D1568" i="120" s="1"/>
  <c r="D1961" i="120" s="1"/>
  <c r="D2354" i="120" s="1"/>
  <c r="D2747" i="120" s="1"/>
  <c r="D3140" i="120" s="1"/>
  <c r="C782" i="120"/>
  <c r="C1175" i="120" s="1"/>
  <c r="C1568" i="120" s="1"/>
  <c r="C1961" i="120" s="1"/>
  <c r="C2354" i="120" s="1"/>
  <c r="C2747" i="120" s="1"/>
  <c r="C3140" i="120" s="1"/>
  <c r="B782" i="120"/>
  <c r="B1175" i="120" s="1"/>
  <c r="B1568" i="120" s="1"/>
  <c r="B1961" i="120" s="1"/>
  <c r="B2354" i="120" s="1"/>
  <c r="B2747" i="120" s="1"/>
  <c r="B3140" i="120" s="1"/>
  <c r="M388" i="120"/>
  <c r="E781" i="120"/>
  <c r="E1174" i="120" s="1"/>
  <c r="E1567" i="120" s="1"/>
  <c r="E1960" i="120" s="1"/>
  <c r="E2353" i="120" s="1"/>
  <c r="E2746" i="120" s="1"/>
  <c r="E3139" i="120" s="1"/>
  <c r="D781" i="120"/>
  <c r="D1174" i="120" s="1"/>
  <c r="D1567" i="120" s="1"/>
  <c r="D1960" i="120" s="1"/>
  <c r="D2353" i="120" s="1"/>
  <c r="D2746" i="120" s="1"/>
  <c r="D3139" i="120" s="1"/>
  <c r="C781" i="120"/>
  <c r="C1174" i="120" s="1"/>
  <c r="C1567" i="120" s="1"/>
  <c r="C1960" i="120" s="1"/>
  <c r="C2353" i="120" s="1"/>
  <c r="C2746" i="120" s="1"/>
  <c r="C3139" i="120" s="1"/>
  <c r="B781" i="120"/>
  <c r="B1174" i="120" s="1"/>
  <c r="B1567" i="120" s="1"/>
  <c r="B1960" i="120" s="1"/>
  <c r="B2353" i="120" s="1"/>
  <c r="B2746" i="120" s="1"/>
  <c r="B3139" i="120" s="1"/>
  <c r="A781" i="120"/>
  <c r="A1174" i="120" s="1"/>
  <c r="A1567" i="120" s="1"/>
  <c r="A1960" i="120" s="1"/>
  <c r="A2353" i="120" s="1"/>
  <c r="A2746" i="120" s="1"/>
  <c r="A3139" i="120" s="1"/>
  <c r="M387" i="120"/>
  <c r="E780" i="120"/>
  <c r="E1173" i="120" s="1"/>
  <c r="E1566" i="120" s="1"/>
  <c r="E1959" i="120" s="1"/>
  <c r="E2352" i="120" s="1"/>
  <c r="E2745" i="120" s="1"/>
  <c r="E3138" i="120" s="1"/>
  <c r="D780" i="120"/>
  <c r="D1173" i="120" s="1"/>
  <c r="D1566" i="120" s="1"/>
  <c r="D1959" i="120" s="1"/>
  <c r="D2352" i="120" s="1"/>
  <c r="D2745" i="120" s="1"/>
  <c r="D3138" i="120" s="1"/>
  <c r="C780" i="120"/>
  <c r="C1173" i="120" s="1"/>
  <c r="C1566" i="120" s="1"/>
  <c r="C1959" i="120" s="1"/>
  <c r="C2352" i="120" s="1"/>
  <c r="C2745" i="120" s="1"/>
  <c r="C3138" i="120" s="1"/>
  <c r="B780" i="120"/>
  <c r="B1173" i="120" s="1"/>
  <c r="B1566" i="120" s="1"/>
  <c r="B1959" i="120" s="1"/>
  <c r="B2352" i="120" s="1"/>
  <c r="B2745" i="120" s="1"/>
  <c r="B3138" i="120" s="1"/>
  <c r="A780" i="120"/>
  <c r="A1173" i="120" s="1"/>
  <c r="A1566" i="120" s="1"/>
  <c r="A1959" i="120" s="1"/>
  <c r="A2352" i="120" s="1"/>
  <c r="A2745" i="120" s="1"/>
  <c r="A3138" i="120" s="1"/>
  <c r="M386" i="120"/>
  <c r="E779" i="120"/>
  <c r="E1172" i="120" s="1"/>
  <c r="E1565" i="120" s="1"/>
  <c r="E1958" i="120" s="1"/>
  <c r="E2351" i="120" s="1"/>
  <c r="E2744" i="120" s="1"/>
  <c r="E3137" i="120" s="1"/>
  <c r="D779" i="120"/>
  <c r="D1172" i="120" s="1"/>
  <c r="D1565" i="120" s="1"/>
  <c r="D1958" i="120" s="1"/>
  <c r="D2351" i="120" s="1"/>
  <c r="D2744" i="120" s="1"/>
  <c r="D3137" i="120" s="1"/>
  <c r="C779" i="120"/>
  <c r="C1172" i="120" s="1"/>
  <c r="C1565" i="120" s="1"/>
  <c r="C1958" i="120" s="1"/>
  <c r="C2351" i="120" s="1"/>
  <c r="C2744" i="120" s="1"/>
  <c r="C3137" i="120" s="1"/>
  <c r="B779" i="120"/>
  <c r="B1172" i="120" s="1"/>
  <c r="B1565" i="120" s="1"/>
  <c r="B1958" i="120" s="1"/>
  <c r="B2351" i="120" s="1"/>
  <c r="B2744" i="120" s="1"/>
  <c r="B3137" i="120" s="1"/>
  <c r="A779" i="120"/>
  <c r="A1172" i="120" s="1"/>
  <c r="A1565" i="120" s="1"/>
  <c r="A1958" i="120" s="1"/>
  <c r="A2351" i="120" s="1"/>
  <c r="A2744" i="120" s="1"/>
  <c r="A3137" i="120" s="1"/>
  <c r="M385" i="120"/>
  <c r="E778" i="120"/>
  <c r="E1171" i="120" s="1"/>
  <c r="E1564" i="120" s="1"/>
  <c r="E1957" i="120" s="1"/>
  <c r="E2350" i="120" s="1"/>
  <c r="E2743" i="120" s="1"/>
  <c r="E3136" i="120" s="1"/>
  <c r="D778" i="120"/>
  <c r="D1171" i="120" s="1"/>
  <c r="D1564" i="120" s="1"/>
  <c r="D1957" i="120" s="1"/>
  <c r="D2350" i="120" s="1"/>
  <c r="D2743" i="120" s="1"/>
  <c r="D3136" i="120" s="1"/>
  <c r="C778" i="120"/>
  <c r="C1171" i="120" s="1"/>
  <c r="C1564" i="120" s="1"/>
  <c r="C1957" i="120" s="1"/>
  <c r="C2350" i="120" s="1"/>
  <c r="C2743" i="120" s="1"/>
  <c r="C3136" i="120" s="1"/>
  <c r="B778" i="120"/>
  <c r="B1171" i="120" s="1"/>
  <c r="B1564" i="120" s="1"/>
  <c r="B1957" i="120" s="1"/>
  <c r="B2350" i="120" s="1"/>
  <c r="B2743" i="120" s="1"/>
  <c r="B3136" i="120" s="1"/>
  <c r="A778" i="120"/>
  <c r="A1171" i="120" s="1"/>
  <c r="A1564" i="120" s="1"/>
  <c r="A1957" i="120" s="1"/>
  <c r="A2350" i="120" s="1"/>
  <c r="A2743" i="120" s="1"/>
  <c r="A3136" i="120" s="1"/>
  <c r="M384" i="120"/>
  <c r="E777" i="120"/>
  <c r="E1170" i="120" s="1"/>
  <c r="E1563" i="120" s="1"/>
  <c r="E1956" i="120" s="1"/>
  <c r="E2349" i="120" s="1"/>
  <c r="E2742" i="120" s="1"/>
  <c r="E3135" i="120" s="1"/>
  <c r="D777" i="120"/>
  <c r="D1170" i="120" s="1"/>
  <c r="D1563" i="120" s="1"/>
  <c r="D1956" i="120" s="1"/>
  <c r="D2349" i="120" s="1"/>
  <c r="D2742" i="120" s="1"/>
  <c r="D3135" i="120" s="1"/>
  <c r="C777" i="120"/>
  <c r="C1170" i="120" s="1"/>
  <c r="C1563" i="120" s="1"/>
  <c r="C1956" i="120" s="1"/>
  <c r="C2349" i="120" s="1"/>
  <c r="C2742" i="120" s="1"/>
  <c r="C3135" i="120" s="1"/>
  <c r="B777" i="120"/>
  <c r="B1170" i="120" s="1"/>
  <c r="B1563" i="120" s="1"/>
  <c r="B1956" i="120" s="1"/>
  <c r="B2349" i="120" s="1"/>
  <c r="B2742" i="120" s="1"/>
  <c r="B3135" i="120" s="1"/>
  <c r="A777" i="120"/>
  <c r="A1170" i="120" s="1"/>
  <c r="A1563" i="120" s="1"/>
  <c r="A1956" i="120" s="1"/>
  <c r="A2349" i="120" s="1"/>
  <c r="A2742" i="120" s="1"/>
  <c r="A3135" i="120" s="1"/>
  <c r="M383" i="120"/>
  <c r="E776" i="120"/>
  <c r="E1169" i="120" s="1"/>
  <c r="E1562" i="120" s="1"/>
  <c r="E1955" i="120" s="1"/>
  <c r="E2348" i="120" s="1"/>
  <c r="E2741" i="120" s="1"/>
  <c r="E3134" i="120" s="1"/>
  <c r="D776" i="120"/>
  <c r="D1169" i="120" s="1"/>
  <c r="D1562" i="120" s="1"/>
  <c r="D1955" i="120" s="1"/>
  <c r="D2348" i="120" s="1"/>
  <c r="D2741" i="120" s="1"/>
  <c r="D3134" i="120" s="1"/>
  <c r="C776" i="120"/>
  <c r="C1169" i="120" s="1"/>
  <c r="C1562" i="120" s="1"/>
  <c r="C1955" i="120" s="1"/>
  <c r="C2348" i="120" s="1"/>
  <c r="C2741" i="120" s="1"/>
  <c r="C3134" i="120" s="1"/>
  <c r="B776" i="120"/>
  <c r="B1169" i="120" s="1"/>
  <c r="B1562" i="120" s="1"/>
  <c r="B1955" i="120" s="1"/>
  <c r="B2348" i="120" s="1"/>
  <c r="B2741" i="120" s="1"/>
  <c r="B3134" i="120" s="1"/>
  <c r="A776" i="120"/>
  <c r="A1169" i="120" s="1"/>
  <c r="A1562" i="120" s="1"/>
  <c r="A1955" i="120" s="1"/>
  <c r="A2348" i="120" s="1"/>
  <c r="A2741" i="120" s="1"/>
  <c r="A3134" i="120" s="1"/>
  <c r="M382" i="120"/>
  <c r="E775" i="120"/>
  <c r="E1168" i="120" s="1"/>
  <c r="E1561" i="120" s="1"/>
  <c r="E1954" i="120" s="1"/>
  <c r="E2347" i="120" s="1"/>
  <c r="E2740" i="120" s="1"/>
  <c r="E3133" i="120" s="1"/>
  <c r="D775" i="120"/>
  <c r="D1168" i="120" s="1"/>
  <c r="D1561" i="120" s="1"/>
  <c r="D1954" i="120" s="1"/>
  <c r="D2347" i="120" s="1"/>
  <c r="D2740" i="120" s="1"/>
  <c r="D3133" i="120" s="1"/>
  <c r="C775" i="120"/>
  <c r="C1168" i="120" s="1"/>
  <c r="C1561" i="120" s="1"/>
  <c r="C1954" i="120" s="1"/>
  <c r="C2347" i="120" s="1"/>
  <c r="C2740" i="120" s="1"/>
  <c r="C3133" i="120" s="1"/>
  <c r="B775" i="120"/>
  <c r="B1168" i="120" s="1"/>
  <c r="B1561" i="120" s="1"/>
  <c r="B1954" i="120" s="1"/>
  <c r="B2347" i="120" s="1"/>
  <c r="B2740" i="120" s="1"/>
  <c r="B3133" i="120" s="1"/>
  <c r="A775" i="120"/>
  <c r="A1168" i="120" s="1"/>
  <c r="A1561" i="120" s="1"/>
  <c r="A1954" i="120" s="1"/>
  <c r="A2347" i="120" s="1"/>
  <c r="A2740" i="120" s="1"/>
  <c r="A3133" i="120" s="1"/>
  <c r="M381" i="120"/>
  <c r="E774" i="120"/>
  <c r="E1167" i="120" s="1"/>
  <c r="E1560" i="120" s="1"/>
  <c r="E1953" i="120" s="1"/>
  <c r="E2346" i="120" s="1"/>
  <c r="E2739" i="120" s="1"/>
  <c r="E3132" i="120" s="1"/>
  <c r="D774" i="120"/>
  <c r="D1167" i="120" s="1"/>
  <c r="D1560" i="120" s="1"/>
  <c r="D1953" i="120" s="1"/>
  <c r="D2346" i="120" s="1"/>
  <c r="D2739" i="120" s="1"/>
  <c r="D3132" i="120" s="1"/>
  <c r="C774" i="120"/>
  <c r="C1167" i="120" s="1"/>
  <c r="C1560" i="120" s="1"/>
  <c r="C1953" i="120" s="1"/>
  <c r="C2346" i="120" s="1"/>
  <c r="C2739" i="120" s="1"/>
  <c r="C3132" i="120" s="1"/>
  <c r="B774" i="120"/>
  <c r="B1167" i="120" s="1"/>
  <c r="B1560" i="120" s="1"/>
  <c r="B1953" i="120" s="1"/>
  <c r="B2346" i="120" s="1"/>
  <c r="B2739" i="120" s="1"/>
  <c r="B3132" i="120" s="1"/>
  <c r="A774" i="120"/>
  <c r="A1167" i="120" s="1"/>
  <c r="A1560" i="120" s="1"/>
  <c r="A1953" i="120" s="1"/>
  <c r="A2346" i="120" s="1"/>
  <c r="A2739" i="120" s="1"/>
  <c r="A3132" i="120" s="1"/>
  <c r="M380" i="120"/>
  <c r="E773" i="120"/>
  <c r="E1166" i="120" s="1"/>
  <c r="E1559" i="120" s="1"/>
  <c r="E1952" i="120" s="1"/>
  <c r="E2345" i="120" s="1"/>
  <c r="E2738" i="120" s="1"/>
  <c r="E3131" i="120" s="1"/>
  <c r="D773" i="120"/>
  <c r="D1166" i="120" s="1"/>
  <c r="D1559" i="120" s="1"/>
  <c r="D1952" i="120" s="1"/>
  <c r="D2345" i="120" s="1"/>
  <c r="D2738" i="120" s="1"/>
  <c r="D3131" i="120" s="1"/>
  <c r="C773" i="120"/>
  <c r="C1166" i="120" s="1"/>
  <c r="C1559" i="120" s="1"/>
  <c r="C1952" i="120" s="1"/>
  <c r="C2345" i="120" s="1"/>
  <c r="C2738" i="120" s="1"/>
  <c r="C3131" i="120" s="1"/>
  <c r="B773" i="120"/>
  <c r="B1166" i="120" s="1"/>
  <c r="B1559" i="120" s="1"/>
  <c r="B1952" i="120" s="1"/>
  <c r="B2345" i="120" s="1"/>
  <c r="B2738" i="120" s="1"/>
  <c r="B3131" i="120" s="1"/>
  <c r="A773" i="120"/>
  <c r="A1166" i="120" s="1"/>
  <c r="A1559" i="120" s="1"/>
  <c r="A1952" i="120" s="1"/>
  <c r="A2345" i="120" s="1"/>
  <c r="A2738" i="120" s="1"/>
  <c r="A3131" i="120" s="1"/>
  <c r="M379" i="120"/>
  <c r="E772" i="120"/>
  <c r="E1165" i="120" s="1"/>
  <c r="E1558" i="120" s="1"/>
  <c r="E1951" i="120" s="1"/>
  <c r="E2344" i="120" s="1"/>
  <c r="E2737" i="120" s="1"/>
  <c r="E3130" i="120" s="1"/>
  <c r="D772" i="120"/>
  <c r="D1165" i="120" s="1"/>
  <c r="D1558" i="120" s="1"/>
  <c r="D1951" i="120" s="1"/>
  <c r="D2344" i="120" s="1"/>
  <c r="D2737" i="120" s="1"/>
  <c r="D3130" i="120" s="1"/>
  <c r="C772" i="120"/>
  <c r="C1165" i="120" s="1"/>
  <c r="C1558" i="120" s="1"/>
  <c r="C1951" i="120" s="1"/>
  <c r="C2344" i="120" s="1"/>
  <c r="C2737" i="120" s="1"/>
  <c r="C3130" i="120" s="1"/>
  <c r="B772" i="120"/>
  <c r="B1165" i="120" s="1"/>
  <c r="B1558" i="120" s="1"/>
  <c r="B1951" i="120" s="1"/>
  <c r="B2344" i="120" s="1"/>
  <c r="B2737" i="120" s="1"/>
  <c r="B3130" i="120" s="1"/>
  <c r="A772" i="120"/>
  <c r="A1165" i="120" s="1"/>
  <c r="A1558" i="120" s="1"/>
  <c r="A1951" i="120" s="1"/>
  <c r="A2344" i="120" s="1"/>
  <c r="A2737" i="120" s="1"/>
  <c r="A3130" i="120" s="1"/>
  <c r="M378" i="120"/>
  <c r="D771" i="120"/>
  <c r="D1164" i="120" s="1"/>
  <c r="D1557" i="120" s="1"/>
  <c r="D1950" i="120" s="1"/>
  <c r="D2343" i="120" s="1"/>
  <c r="D2736" i="120" s="1"/>
  <c r="D3129" i="120" s="1"/>
  <c r="C771" i="120"/>
  <c r="C1164" i="120" s="1"/>
  <c r="C1557" i="120" s="1"/>
  <c r="C1950" i="120" s="1"/>
  <c r="C2343" i="120" s="1"/>
  <c r="C2736" i="120" s="1"/>
  <c r="C3129" i="120" s="1"/>
  <c r="B771" i="120"/>
  <c r="B1164" i="120" s="1"/>
  <c r="B1557" i="120" s="1"/>
  <c r="B1950" i="120" s="1"/>
  <c r="B2343" i="120" s="1"/>
  <c r="B2736" i="120" s="1"/>
  <c r="B3129" i="120" s="1"/>
  <c r="A771" i="120"/>
  <c r="A1164" i="120" s="1"/>
  <c r="A1557" i="120" s="1"/>
  <c r="A1950" i="120" s="1"/>
  <c r="A2343" i="120" s="1"/>
  <c r="A2736" i="120" s="1"/>
  <c r="A3129" i="120" s="1"/>
  <c r="M377" i="120"/>
  <c r="E770" i="120"/>
  <c r="E1163" i="120" s="1"/>
  <c r="E1556" i="120" s="1"/>
  <c r="E1949" i="120" s="1"/>
  <c r="E2342" i="120" s="1"/>
  <c r="E2735" i="120" s="1"/>
  <c r="E3128" i="120" s="1"/>
  <c r="D770" i="120"/>
  <c r="D1163" i="120" s="1"/>
  <c r="D1556" i="120" s="1"/>
  <c r="D1949" i="120" s="1"/>
  <c r="D2342" i="120" s="1"/>
  <c r="D2735" i="120" s="1"/>
  <c r="D3128" i="120" s="1"/>
  <c r="C770" i="120"/>
  <c r="C1163" i="120" s="1"/>
  <c r="C1556" i="120" s="1"/>
  <c r="C1949" i="120" s="1"/>
  <c r="C2342" i="120" s="1"/>
  <c r="C2735" i="120" s="1"/>
  <c r="C3128" i="120" s="1"/>
  <c r="B770" i="120"/>
  <c r="B1163" i="120" s="1"/>
  <c r="B1556" i="120" s="1"/>
  <c r="B1949" i="120" s="1"/>
  <c r="B2342" i="120" s="1"/>
  <c r="B2735" i="120" s="1"/>
  <c r="B3128" i="120" s="1"/>
  <c r="A770" i="120"/>
  <c r="A1163" i="120" s="1"/>
  <c r="A1556" i="120" s="1"/>
  <c r="A1949" i="120" s="1"/>
  <c r="A2342" i="120" s="1"/>
  <c r="A2735" i="120" s="1"/>
  <c r="A3128" i="120" s="1"/>
  <c r="M376" i="120"/>
  <c r="D769" i="120"/>
  <c r="D1162" i="120" s="1"/>
  <c r="D1555" i="120" s="1"/>
  <c r="D1948" i="120" s="1"/>
  <c r="D2341" i="120" s="1"/>
  <c r="D2734" i="120" s="1"/>
  <c r="D3127" i="120" s="1"/>
  <c r="C769" i="120"/>
  <c r="C1162" i="120" s="1"/>
  <c r="C1555" i="120" s="1"/>
  <c r="C1948" i="120" s="1"/>
  <c r="C2341" i="120" s="1"/>
  <c r="C2734" i="120" s="1"/>
  <c r="C3127" i="120" s="1"/>
  <c r="B769" i="120"/>
  <c r="B1162" i="120" s="1"/>
  <c r="B1555" i="120" s="1"/>
  <c r="B1948" i="120" s="1"/>
  <c r="B2341" i="120" s="1"/>
  <c r="B2734" i="120" s="1"/>
  <c r="B3127" i="120" s="1"/>
  <c r="A769" i="120"/>
  <c r="A1162" i="120" s="1"/>
  <c r="A1555" i="120" s="1"/>
  <c r="A1948" i="120" s="1"/>
  <c r="A2341" i="120" s="1"/>
  <c r="A2734" i="120" s="1"/>
  <c r="A3127" i="120" s="1"/>
  <c r="M375" i="120"/>
  <c r="E768" i="120"/>
  <c r="E1161" i="120" s="1"/>
  <c r="E1554" i="120" s="1"/>
  <c r="E1947" i="120" s="1"/>
  <c r="E2340" i="120" s="1"/>
  <c r="E2733" i="120" s="1"/>
  <c r="E3126" i="120" s="1"/>
  <c r="D768" i="120"/>
  <c r="D1161" i="120" s="1"/>
  <c r="D1554" i="120" s="1"/>
  <c r="D1947" i="120" s="1"/>
  <c r="D2340" i="120" s="1"/>
  <c r="D2733" i="120" s="1"/>
  <c r="D3126" i="120" s="1"/>
  <c r="C768" i="120"/>
  <c r="C1161" i="120" s="1"/>
  <c r="C1554" i="120" s="1"/>
  <c r="C1947" i="120" s="1"/>
  <c r="C2340" i="120" s="1"/>
  <c r="C2733" i="120" s="1"/>
  <c r="C3126" i="120" s="1"/>
  <c r="B768" i="120"/>
  <c r="B1161" i="120" s="1"/>
  <c r="B1554" i="120" s="1"/>
  <c r="B1947" i="120" s="1"/>
  <c r="B2340" i="120" s="1"/>
  <c r="B2733" i="120" s="1"/>
  <c r="B3126" i="120" s="1"/>
  <c r="A768" i="120"/>
  <c r="A1161" i="120" s="1"/>
  <c r="A1554" i="120" s="1"/>
  <c r="A1947" i="120" s="1"/>
  <c r="A2340" i="120" s="1"/>
  <c r="A2733" i="120" s="1"/>
  <c r="A3126" i="120" s="1"/>
  <c r="M374" i="120"/>
  <c r="E767" i="120"/>
  <c r="E1160" i="120" s="1"/>
  <c r="E1553" i="120" s="1"/>
  <c r="E1946" i="120" s="1"/>
  <c r="E2339" i="120" s="1"/>
  <c r="E2732" i="120" s="1"/>
  <c r="E3125" i="120" s="1"/>
  <c r="D767" i="120"/>
  <c r="D1160" i="120" s="1"/>
  <c r="D1553" i="120" s="1"/>
  <c r="D1946" i="120" s="1"/>
  <c r="D2339" i="120" s="1"/>
  <c r="D2732" i="120" s="1"/>
  <c r="D3125" i="120" s="1"/>
  <c r="C767" i="120"/>
  <c r="C1160" i="120" s="1"/>
  <c r="C1553" i="120" s="1"/>
  <c r="C1946" i="120" s="1"/>
  <c r="C2339" i="120" s="1"/>
  <c r="C2732" i="120" s="1"/>
  <c r="C3125" i="120" s="1"/>
  <c r="B767" i="120"/>
  <c r="B1160" i="120" s="1"/>
  <c r="B1553" i="120" s="1"/>
  <c r="B1946" i="120" s="1"/>
  <c r="B2339" i="120" s="1"/>
  <c r="B2732" i="120" s="1"/>
  <c r="B3125" i="120" s="1"/>
  <c r="A767" i="120"/>
  <c r="A1160" i="120" s="1"/>
  <c r="A1553" i="120" s="1"/>
  <c r="A1946" i="120" s="1"/>
  <c r="A2339" i="120" s="1"/>
  <c r="A2732" i="120" s="1"/>
  <c r="A3125" i="120" s="1"/>
  <c r="M373" i="120"/>
  <c r="E766" i="120"/>
  <c r="E1159" i="120" s="1"/>
  <c r="E1552" i="120" s="1"/>
  <c r="E1945" i="120" s="1"/>
  <c r="E2338" i="120" s="1"/>
  <c r="E2731" i="120" s="1"/>
  <c r="E3124" i="120" s="1"/>
  <c r="D766" i="120"/>
  <c r="D1159" i="120" s="1"/>
  <c r="D1552" i="120" s="1"/>
  <c r="D1945" i="120" s="1"/>
  <c r="D2338" i="120" s="1"/>
  <c r="D2731" i="120" s="1"/>
  <c r="D3124" i="120" s="1"/>
  <c r="C766" i="120"/>
  <c r="C1159" i="120" s="1"/>
  <c r="C1552" i="120" s="1"/>
  <c r="C1945" i="120" s="1"/>
  <c r="C2338" i="120" s="1"/>
  <c r="C2731" i="120" s="1"/>
  <c r="C3124" i="120" s="1"/>
  <c r="B766" i="120"/>
  <c r="B1159" i="120" s="1"/>
  <c r="B1552" i="120" s="1"/>
  <c r="B1945" i="120" s="1"/>
  <c r="B2338" i="120" s="1"/>
  <c r="B2731" i="120" s="1"/>
  <c r="B3124" i="120" s="1"/>
  <c r="M372" i="120"/>
  <c r="E765" i="120"/>
  <c r="E1158" i="120" s="1"/>
  <c r="E1551" i="120" s="1"/>
  <c r="E1944" i="120" s="1"/>
  <c r="E2337" i="120" s="1"/>
  <c r="E2730" i="120" s="1"/>
  <c r="E3123" i="120" s="1"/>
  <c r="D765" i="120"/>
  <c r="D1158" i="120" s="1"/>
  <c r="D1551" i="120" s="1"/>
  <c r="D1944" i="120" s="1"/>
  <c r="D2337" i="120" s="1"/>
  <c r="D2730" i="120" s="1"/>
  <c r="D3123" i="120" s="1"/>
  <c r="C765" i="120"/>
  <c r="C1158" i="120" s="1"/>
  <c r="C1551" i="120" s="1"/>
  <c r="C1944" i="120" s="1"/>
  <c r="C2337" i="120" s="1"/>
  <c r="C2730" i="120" s="1"/>
  <c r="C3123" i="120" s="1"/>
  <c r="B765" i="120"/>
  <c r="B1158" i="120" s="1"/>
  <c r="B1551" i="120" s="1"/>
  <c r="B1944" i="120" s="1"/>
  <c r="B2337" i="120" s="1"/>
  <c r="B2730" i="120" s="1"/>
  <c r="B3123" i="120" s="1"/>
  <c r="A765" i="120"/>
  <c r="A1158" i="120" s="1"/>
  <c r="A1551" i="120" s="1"/>
  <c r="A1944" i="120" s="1"/>
  <c r="A2337" i="120" s="1"/>
  <c r="A2730" i="120" s="1"/>
  <c r="A3123" i="120" s="1"/>
  <c r="M371" i="120"/>
  <c r="E764" i="120"/>
  <c r="E1157" i="120" s="1"/>
  <c r="E1550" i="120" s="1"/>
  <c r="E1943" i="120" s="1"/>
  <c r="E2336" i="120" s="1"/>
  <c r="E2729" i="120" s="1"/>
  <c r="E3122" i="120" s="1"/>
  <c r="D764" i="120"/>
  <c r="D1157" i="120" s="1"/>
  <c r="D1550" i="120" s="1"/>
  <c r="D1943" i="120" s="1"/>
  <c r="D2336" i="120" s="1"/>
  <c r="D2729" i="120" s="1"/>
  <c r="D3122" i="120" s="1"/>
  <c r="C764" i="120"/>
  <c r="C1157" i="120" s="1"/>
  <c r="C1550" i="120" s="1"/>
  <c r="C1943" i="120" s="1"/>
  <c r="C2336" i="120" s="1"/>
  <c r="C2729" i="120" s="1"/>
  <c r="C3122" i="120" s="1"/>
  <c r="B764" i="120"/>
  <c r="B1157" i="120" s="1"/>
  <c r="B1550" i="120" s="1"/>
  <c r="B1943" i="120" s="1"/>
  <c r="B2336" i="120" s="1"/>
  <c r="B2729" i="120" s="1"/>
  <c r="B3122" i="120" s="1"/>
  <c r="A764" i="120"/>
  <c r="A1157" i="120" s="1"/>
  <c r="A1550" i="120" s="1"/>
  <c r="A1943" i="120" s="1"/>
  <c r="A2336" i="120" s="1"/>
  <c r="A2729" i="120" s="1"/>
  <c r="A3122" i="120" s="1"/>
  <c r="M370" i="120"/>
  <c r="E763" i="120"/>
  <c r="E1156" i="120" s="1"/>
  <c r="E1549" i="120" s="1"/>
  <c r="E1942" i="120" s="1"/>
  <c r="E2335" i="120" s="1"/>
  <c r="E2728" i="120" s="1"/>
  <c r="E3121" i="120" s="1"/>
  <c r="D763" i="120"/>
  <c r="D1156" i="120" s="1"/>
  <c r="D1549" i="120" s="1"/>
  <c r="D1942" i="120" s="1"/>
  <c r="D2335" i="120" s="1"/>
  <c r="D2728" i="120" s="1"/>
  <c r="D3121" i="120" s="1"/>
  <c r="C763" i="120"/>
  <c r="C1156" i="120" s="1"/>
  <c r="C1549" i="120" s="1"/>
  <c r="C1942" i="120" s="1"/>
  <c r="C2335" i="120" s="1"/>
  <c r="C2728" i="120" s="1"/>
  <c r="C3121" i="120" s="1"/>
  <c r="B763" i="120"/>
  <c r="B1156" i="120" s="1"/>
  <c r="B1549" i="120" s="1"/>
  <c r="B1942" i="120" s="1"/>
  <c r="B2335" i="120" s="1"/>
  <c r="B2728" i="120" s="1"/>
  <c r="B3121" i="120" s="1"/>
  <c r="A763" i="120"/>
  <c r="A1156" i="120" s="1"/>
  <c r="A1549" i="120" s="1"/>
  <c r="A1942" i="120" s="1"/>
  <c r="A2335" i="120" s="1"/>
  <c r="A2728" i="120" s="1"/>
  <c r="A3121" i="120" s="1"/>
  <c r="M369" i="120"/>
  <c r="E762" i="120"/>
  <c r="E1155" i="120" s="1"/>
  <c r="E1548" i="120" s="1"/>
  <c r="E1941" i="120" s="1"/>
  <c r="E2334" i="120" s="1"/>
  <c r="E2727" i="120" s="1"/>
  <c r="E3120" i="120" s="1"/>
  <c r="D762" i="120"/>
  <c r="D1155" i="120" s="1"/>
  <c r="D1548" i="120" s="1"/>
  <c r="D1941" i="120" s="1"/>
  <c r="D2334" i="120" s="1"/>
  <c r="D2727" i="120" s="1"/>
  <c r="D3120" i="120" s="1"/>
  <c r="C762" i="120"/>
  <c r="C1155" i="120" s="1"/>
  <c r="C1548" i="120" s="1"/>
  <c r="C1941" i="120" s="1"/>
  <c r="C2334" i="120" s="1"/>
  <c r="C2727" i="120" s="1"/>
  <c r="C3120" i="120" s="1"/>
  <c r="B762" i="120"/>
  <c r="B1155" i="120" s="1"/>
  <c r="B1548" i="120" s="1"/>
  <c r="B1941" i="120" s="1"/>
  <c r="B2334" i="120" s="1"/>
  <c r="B2727" i="120" s="1"/>
  <c r="B3120" i="120" s="1"/>
  <c r="A762" i="120"/>
  <c r="A1155" i="120" s="1"/>
  <c r="A1548" i="120" s="1"/>
  <c r="A1941" i="120" s="1"/>
  <c r="A2334" i="120" s="1"/>
  <c r="A2727" i="120" s="1"/>
  <c r="A3120" i="120" s="1"/>
  <c r="M368" i="120"/>
  <c r="E761" i="120"/>
  <c r="E1154" i="120" s="1"/>
  <c r="E1547" i="120" s="1"/>
  <c r="E1940" i="120" s="1"/>
  <c r="E2333" i="120" s="1"/>
  <c r="E2726" i="120" s="1"/>
  <c r="E3119" i="120" s="1"/>
  <c r="D761" i="120"/>
  <c r="D1154" i="120" s="1"/>
  <c r="D1547" i="120" s="1"/>
  <c r="D1940" i="120" s="1"/>
  <c r="D2333" i="120" s="1"/>
  <c r="D2726" i="120" s="1"/>
  <c r="D3119" i="120" s="1"/>
  <c r="C761" i="120"/>
  <c r="C1154" i="120" s="1"/>
  <c r="C1547" i="120" s="1"/>
  <c r="C1940" i="120" s="1"/>
  <c r="C2333" i="120" s="1"/>
  <c r="C2726" i="120" s="1"/>
  <c r="C3119" i="120" s="1"/>
  <c r="B761" i="120"/>
  <c r="B1154" i="120" s="1"/>
  <c r="B1547" i="120" s="1"/>
  <c r="B1940" i="120" s="1"/>
  <c r="B2333" i="120" s="1"/>
  <c r="B2726" i="120" s="1"/>
  <c r="B3119" i="120" s="1"/>
  <c r="A761" i="120"/>
  <c r="A1154" i="120" s="1"/>
  <c r="A1547" i="120" s="1"/>
  <c r="A1940" i="120" s="1"/>
  <c r="A2333" i="120" s="1"/>
  <c r="A2726" i="120" s="1"/>
  <c r="A3119" i="120" s="1"/>
  <c r="M367" i="120"/>
  <c r="E760" i="120"/>
  <c r="E1153" i="120" s="1"/>
  <c r="E1546" i="120" s="1"/>
  <c r="E1939" i="120" s="1"/>
  <c r="E2332" i="120" s="1"/>
  <c r="E2725" i="120" s="1"/>
  <c r="E3118" i="120" s="1"/>
  <c r="D760" i="120"/>
  <c r="D1153" i="120" s="1"/>
  <c r="D1546" i="120" s="1"/>
  <c r="D1939" i="120" s="1"/>
  <c r="D2332" i="120" s="1"/>
  <c r="D2725" i="120" s="1"/>
  <c r="D3118" i="120" s="1"/>
  <c r="C760" i="120"/>
  <c r="C1153" i="120" s="1"/>
  <c r="C1546" i="120" s="1"/>
  <c r="C1939" i="120" s="1"/>
  <c r="C2332" i="120" s="1"/>
  <c r="C2725" i="120" s="1"/>
  <c r="C3118" i="120" s="1"/>
  <c r="A760" i="120"/>
  <c r="A1153" i="120" s="1"/>
  <c r="A1546" i="120" s="1"/>
  <c r="A1939" i="120" s="1"/>
  <c r="A2332" i="120" s="1"/>
  <c r="A2725" i="120" s="1"/>
  <c r="A3118" i="120" s="1"/>
  <c r="M366" i="120"/>
  <c r="E759" i="120"/>
  <c r="E1152" i="120" s="1"/>
  <c r="E1545" i="120" s="1"/>
  <c r="E1938" i="120" s="1"/>
  <c r="E2331" i="120" s="1"/>
  <c r="E2724" i="120" s="1"/>
  <c r="E3117" i="120" s="1"/>
  <c r="C759" i="120"/>
  <c r="C1152" i="120" s="1"/>
  <c r="C1545" i="120" s="1"/>
  <c r="C1938" i="120" s="1"/>
  <c r="C2331" i="120" s="1"/>
  <c r="C2724" i="120" s="1"/>
  <c r="C3117" i="120" s="1"/>
  <c r="B759" i="120"/>
  <c r="B1152" i="120" s="1"/>
  <c r="B1545" i="120" s="1"/>
  <c r="B1938" i="120" s="1"/>
  <c r="B2331" i="120" s="1"/>
  <c r="B2724" i="120" s="1"/>
  <c r="B3117" i="120" s="1"/>
  <c r="A759" i="120"/>
  <c r="A1152" i="120" s="1"/>
  <c r="A1545" i="120" s="1"/>
  <c r="A1938" i="120" s="1"/>
  <c r="A2331" i="120" s="1"/>
  <c r="A2724" i="120" s="1"/>
  <c r="A3117" i="120" s="1"/>
  <c r="M365" i="120"/>
  <c r="E758" i="120"/>
  <c r="E1151" i="120" s="1"/>
  <c r="E1544" i="120" s="1"/>
  <c r="E1937" i="120" s="1"/>
  <c r="E2330" i="120" s="1"/>
  <c r="E2723" i="120" s="1"/>
  <c r="E3116" i="120" s="1"/>
  <c r="D758" i="120"/>
  <c r="D1151" i="120" s="1"/>
  <c r="D1544" i="120" s="1"/>
  <c r="D1937" i="120" s="1"/>
  <c r="D2330" i="120" s="1"/>
  <c r="D2723" i="120" s="1"/>
  <c r="D3116" i="120" s="1"/>
  <c r="C758" i="120"/>
  <c r="C1151" i="120" s="1"/>
  <c r="C1544" i="120" s="1"/>
  <c r="C1937" i="120" s="1"/>
  <c r="C2330" i="120" s="1"/>
  <c r="C2723" i="120" s="1"/>
  <c r="C3116" i="120" s="1"/>
  <c r="B758" i="120"/>
  <c r="B1151" i="120" s="1"/>
  <c r="B1544" i="120" s="1"/>
  <c r="B1937" i="120" s="1"/>
  <c r="B2330" i="120" s="1"/>
  <c r="B2723" i="120" s="1"/>
  <c r="B3116" i="120" s="1"/>
  <c r="A758" i="120"/>
  <c r="A1151" i="120" s="1"/>
  <c r="A1544" i="120" s="1"/>
  <c r="A1937" i="120" s="1"/>
  <c r="A2330" i="120" s="1"/>
  <c r="A2723" i="120" s="1"/>
  <c r="A3116" i="120" s="1"/>
  <c r="M364" i="120"/>
  <c r="E757" i="120"/>
  <c r="E1150" i="120" s="1"/>
  <c r="E1543" i="120" s="1"/>
  <c r="E1936" i="120" s="1"/>
  <c r="E2329" i="120" s="1"/>
  <c r="E2722" i="120" s="1"/>
  <c r="E3115" i="120" s="1"/>
  <c r="D757" i="120"/>
  <c r="D1150" i="120" s="1"/>
  <c r="D1543" i="120" s="1"/>
  <c r="D1936" i="120" s="1"/>
  <c r="D2329" i="120" s="1"/>
  <c r="D2722" i="120" s="1"/>
  <c r="D3115" i="120" s="1"/>
  <c r="C757" i="120"/>
  <c r="C1150" i="120" s="1"/>
  <c r="C1543" i="120" s="1"/>
  <c r="C1936" i="120" s="1"/>
  <c r="C2329" i="120" s="1"/>
  <c r="C2722" i="120" s="1"/>
  <c r="C3115" i="120" s="1"/>
  <c r="B757" i="120"/>
  <c r="B1150" i="120" s="1"/>
  <c r="B1543" i="120" s="1"/>
  <c r="B1936" i="120" s="1"/>
  <c r="B2329" i="120" s="1"/>
  <c r="B2722" i="120" s="1"/>
  <c r="B3115" i="120" s="1"/>
  <c r="A757" i="120"/>
  <c r="A1150" i="120" s="1"/>
  <c r="A1543" i="120" s="1"/>
  <c r="A1936" i="120" s="1"/>
  <c r="A2329" i="120" s="1"/>
  <c r="A2722" i="120" s="1"/>
  <c r="A3115" i="120" s="1"/>
  <c r="M363" i="120"/>
  <c r="E756" i="120"/>
  <c r="E1149" i="120" s="1"/>
  <c r="E1542" i="120" s="1"/>
  <c r="E1935" i="120" s="1"/>
  <c r="E2328" i="120" s="1"/>
  <c r="E2721" i="120" s="1"/>
  <c r="E3114" i="120" s="1"/>
  <c r="D756" i="120"/>
  <c r="D1149" i="120" s="1"/>
  <c r="D1542" i="120" s="1"/>
  <c r="D1935" i="120" s="1"/>
  <c r="D2328" i="120" s="1"/>
  <c r="D2721" i="120" s="1"/>
  <c r="D3114" i="120" s="1"/>
  <c r="C756" i="120"/>
  <c r="C1149" i="120" s="1"/>
  <c r="C1542" i="120" s="1"/>
  <c r="C1935" i="120" s="1"/>
  <c r="C2328" i="120" s="1"/>
  <c r="C2721" i="120" s="1"/>
  <c r="C3114" i="120" s="1"/>
  <c r="B756" i="120"/>
  <c r="B1149" i="120" s="1"/>
  <c r="B1542" i="120" s="1"/>
  <c r="B1935" i="120" s="1"/>
  <c r="B2328" i="120" s="1"/>
  <c r="B2721" i="120" s="1"/>
  <c r="B3114" i="120" s="1"/>
  <c r="A756" i="120"/>
  <c r="A1149" i="120" s="1"/>
  <c r="A1542" i="120" s="1"/>
  <c r="A1935" i="120" s="1"/>
  <c r="A2328" i="120" s="1"/>
  <c r="A2721" i="120" s="1"/>
  <c r="A3114" i="120" s="1"/>
  <c r="M362" i="120"/>
  <c r="E755" i="120"/>
  <c r="E1148" i="120" s="1"/>
  <c r="E1541" i="120" s="1"/>
  <c r="E1934" i="120" s="1"/>
  <c r="E2327" i="120" s="1"/>
  <c r="E2720" i="120" s="1"/>
  <c r="E3113" i="120" s="1"/>
  <c r="D755" i="120"/>
  <c r="D1148" i="120" s="1"/>
  <c r="D1541" i="120" s="1"/>
  <c r="D1934" i="120" s="1"/>
  <c r="D2327" i="120" s="1"/>
  <c r="D2720" i="120" s="1"/>
  <c r="D3113" i="120" s="1"/>
  <c r="C755" i="120"/>
  <c r="C1148" i="120" s="1"/>
  <c r="C1541" i="120" s="1"/>
  <c r="C1934" i="120" s="1"/>
  <c r="C2327" i="120" s="1"/>
  <c r="C2720" i="120" s="1"/>
  <c r="C3113" i="120" s="1"/>
  <c r="B755" i="120"/>
  <c r="B1148" i="120" s="1"/>
  <c r="B1541" i="120" s="1"/>
  <c r="B1934" i="120" s="1"/>
  <c r="B2327" i="120" s="1"/>
  <c r="B2720" i="120" s="1"/>
  <c r="B3113" i="120" s="1"/>
  <c r="A755" i="120"/>
  <c r="A1148" i="120" s="1"/>
  <c r="A1541" i="120" s="1"/>
  <c r="A1934" i="120" s="1"/>
  <c r="A2327" i="120" s="1"/>
  <c r="A2720" i="120" s="1"/>
  <c r="A3113" i="120" s="1"/>
  <c r="M361" i="120"/>
  <c r="E754" i="120"/>
  <c r="E1147" i="120" s="1"/>
  <c r="E1540" i="120" s="1"/>
  <c r="E1933" i="120" s="1"/>
  <c r="E2326" i="120" s="1"/>
  <c r="E2719" i="120" s="1"/>
  <c r="E3112" i="120" s="1"/>
  <c r="D754" i="120"/>
  <c r="D1147" i="120" s="1"/>
  <c r="D1540" i="120" s="1"/>
  <c r="D1933" i="120" s="1"/>
  <c r="D2326" i="120" s="1"/>
  <c r="D2719" i="120" s="1"/>
  <c r="D3112" i="120" s="1"/>
  <c r="C754" i="120"/>
  <c r="C1147" i="120" s="1"/>
  <c r="C1540" i="120" s="1"/>
  <c r="C1933" i="120" s="1"/>
  <c r="C2326" i="120" s="1"/>
  <c r="C2719" i="120" s="1"/>
  <c r="C3112" i="120" s="1"/>
  <c r="B754" i="120"/>
  <c r="B1147" i="120" s="1"/>
  <c r="B1540" i="120" s="1"/>
  <c r="B1933" i="120" s="1"/>
  <c r="B2326" i="120" s="1"/>
  <c r="B2719" i="120" s="1"/>
  <c r="B3112" i="120" s="1"/>
  <c r="A754" i="120"/>
  <c r="A1147" i="120" s="1"/>
  <c r="A1540" i="120" s="1"/>
  <c r="A1933" i="120" s="1"/>
  <c r="A2326" i="120" s="1"/>
  <c r="A2719" i="120" s="1"/>
  <c r="A3112" i="120" s="1"/>
  <c r="M360" i="120"/>
  <c r="D753" i="120"/>
  <c r="D1146" i="120" s="1"/>
  <c r="D1539" i="120" s="1"/>
  <c r="D1932" i="120" s="1"/>
  <c r="D2325" i="120" s="1"/>
  <c r="D2718" i="120" s="1"/>
  <c r="D3111" i="120" s="1"/>
  <c r="C753" i="120"/>
  <c r="C1146" i="120" s="1"/>
  <c r="C1539" i="120" s="1"/>
  <c r="C1932" i="120" s="1"/>
  <c r="C2325" i="120" s="1"/>
  <c r="C2718" i="120" s="1"/>
  <c r="C3111" i="120" s="1"/>
  <c r="B753" i="120"/>
  <c r="B1146" i="120" s="1"/>
  <c r="B1539" i="120" s="1"/>
  <c r="B1932" i="120" s="1"/>
  <c r="B2325" i="120" s="1"/>
  <c r="B2718" i="120" s="1"/>
  <c r="B3111" i="120" s="1"/>
  <c r="A753" i="120"/>
  <c r="A1146" i="120" s="1"/>
  <c r="A1539" i="120" s="1"/>
  <c r="A1932" i="120" s="1"/>
  <c r="A2325" i="120" s="1"/>
  <c r="A2718" i="120" s="1"/>
  <c r="A3111" i="120" s="1"/>
  <c r="M359" i="120"/>
  <c r="E752" i="120"/>
  <c r="E1145" i="120" s="1"/>
  <c r="E1538" i="120" s="1"/>
  <c r="E1931" i="120" s="1"/>
  <c r="E2324" i="120" s="1"/>
  <c r="E2717" i="120" s="1"/>
  <c r="E3110" i="120" s="1"/>
  <c r="D752" i="120"/>
  <c r="D1145" i="120" s="1"/>
  <c r="D1538" i="120" s="1"/>
  <c r="D1931" i="120" s="1"/>
  <c r="D2324" i="120" s="1"/>
  <c r="D2717" i="120" s="1"/>
  <c r="D3110" i="120" s="1"/>
  <c r="C752" i="120"/>
  <c r="C1145" i="120" s="1"/>
  <c r="C1538" i="120" s="1"/>
  <c r="C1931" i="120" s="1"/>
  <c r="C2324" i="120" s="1"/>
  <c r="C2717" i="120" s="1"/>
  <c r="C3110" i="120" s="1"/>
  <c r="B752" i="120"/>
  <c r="B1145" i="120" s="1"/>
  <c r="B1538" i="120" s="1"/>
  <c r="B1931" i="120" s="1"/>
  <c r="B2324" i="120" s="1"/>
  <c r="B2717" i="120" s="1"/>
  <c r="B3110" i="120" s="1"/>
  <c r="A752" i="120"/>
  <c r="A1145" i="120" s="1"/>
  <c r="A1538" i="120" s="1"/>
  <c r="A1931" i="120" s="1"/>
  <c r="A2324" i="120" s="1"/>
  <c r="A2717" i="120" s="1"/>
  <c r="A3110" i="120" s="1"/>
  <c r="M358" i="120"/>
  <c r="E751" i="120"/>
  <c r="E1144" i="120" s="1"/>
  <c r="E1537" i="120" s="1"/>
  <c r="E1930" i="120" s="1"/>
  <c r="E2323" i="120" s="1"/>
  <c r="E2716" i="120" s="1"/>
  <c r="E3109" i="120" s="1"/>
  <c r="D751" i="120"/>
  <c r="D1144" i="120" s="1"/>
  <c r="D1537" i="120" s="1"/>
  <c r="D1930" i="120" s="1"/>
  <c r="D2323" i="120" s="1"/>
  <c r="D2716" i="120" s="1"/>
  <c r="D3109" i="120" s="1"/>
  <c r="C751" i="120"/>
  <c r="C1144" i="120" s="1"/>
  <c r="C1537" i="120" s="1"/>
  <c r="C1930" i="120" s="1"/>
  <c r="C2323" i="120" s="1"/>
  <c r="C2716" i="120" s="1"/>
  <c r="C3109" i="120" s="1"/>
  <c r="B751" i="120"/>
  <c r="B1144" i="120" s="1"/>
  <c r="B1537" i="120" s="1"/>
  <c r="B1930" i="120" s="1"/>
  <c r="B2323" i="120" s="1"/>
  <c r="B2716" i="120" s="1"/>
  <c r="B3109" i="120" s="1"/>
  <c r="A751" i="120"/>
  <c r="A1144" i="120" s="1"/>
  <c r="A1537" i="120" s="1"/>
  <c r="A1930" i="120" s="1"/>
  <c r="A2323" i="120" s="1"/>
  <c r="A2716" i="120" s="1"/>
  <c r="A3109" i="120" s="1"/>
  <c r="M357" i="120"/>
  <c r="E750" i="120"/>
  <c r="E1143" i="120" s="1"/>
  <c r="E1536" i="120" s="1"/>
  <c r="E1929" i="120" s="1"/>
  <c r="E2322" i="120" s="1"/>
  <c r="E2715" i="120" s="1"/>
  <c r="E3108" i="120" s="1"/>
  <c r="D750" i="120"/>
  <c r="D1143" i="120" s="1"/>
  <c r="D1536" i="120" s="1"/>
  <c r="D1929" i="120" s="1"/>
  <c r="D2322" i="120" s="1"/>
  <c r="D2715" i="120" s="1"/>
  <c r="D3108" i="120" s="1"/>
  <c r="C750" i="120"/>
  <c r="C1143" i="120" s="1"/>
  <c r="C1536" i="120" s="1"/>
  <c r="C1929" i="120" s="1"/>
  <c r="C2322" i="120" s="1"/>
  <c r="C2715" i="120" s="1"/>
  <c r="C3108" i="120" s="1"/>
  <c r="B750" i="120"/>
  <c r="B1143" i="120" s="1"/>
  <c r="B1536" i="120" s="1"/>
  <c r="B1929" i="120" s="1"/>
  <c r="B2322" i="120" s="1"/>
  <c r="B2715" i="120" s="1"/>
  <c r="B3108" i="120" s="1"/>
  <c r="M356" i="120"/>
  <c r="E749" i="120"/>
  <c r="E1142" i="120" s="1"/>
  <c r="E1535" i="120" s="1"/>
  <c r="E1928" i="120" s="1"/>
  <c r="E2321" i="120" s="1"/>
  <c r="E2714" i="120" s="1"/>
  <c r="E3107" i="120" s="1"/>
  <c r="D749" i="120"/>
  <c r="D1142" i="120" s="1"/>
  <c r="D1535" i="120" s="1"/>
  <c r="D1928" i="120" s="1"/>
  <c r="D2321" i="120" s="1"/>
  <c r="D2714" i="120" s="1"/>
  <c r="D3107" i="120" s="1"/>
  <c r="C749" i="120"/>
  <c r="C1142" i="120" s="1"/>
  <c r="C1535" i="120" s="1"/>
  <c r="C1928" i="120" s="1"/>
  <c r="C2321" i="120" s="1"/>
  <c r="C2714" i="120" s="1"/>
  <c r="C3107" i="120" s="1"/>
  <c r="B749" i="120"/>
  <c r="B1142" i="120" s="1"/>
  <c r="B1535" i="120" s="1"/>
  <c r="B1928" i="120" s="1"/>
  <c r="B2321" i="120" s="1"/>
  <c r="B2714" i="120" s="1"/>
  <c r="B3107" i="120" s="1"/>
  <c r="A749" i="120"/>
  <c r="A1142" i="120" s="1"/>
  <c r="A1535" i="120" s="1"/>
  <c r="A1928" i="120" s="1"/>
  <c r="A2321" i="120" s="1"/>
  <c r="A2714" i="120" s="1"/>
  <c r="A3107" i="120" s="1"/>
  <c r="M355" i="120"/>
  <c r="E748" i="120"/>
  <c r="E1141" i="120" s="1"/>
  <c r="E1534" i="120" s="1"/>
  <c r="E1927" i="120" s="1"/>
  <c r="E2320" i="120" s="1"/>
  <c r="E2713" i="120" s="1"/>
  <c r="E3106" i="120" s="1"/>
  <c r="D748" i="120"/>
  <c r="D1141" i="120" s="1"/>
  <c r="D1534" i="120" s="1"/>
  <c r="D1927" i="120" s="1"/>
  <c r="D2320" i="120" s="1"/>
  <c r="D2713" i="120" s="1"/>
  <c r="D3106" i="120" s="1"/>
  <c r="C748" i="120"/>
  <c r="C1141" i="120" s="1"/>
  <c r="C1534" i="120" s="1"/>
  <c r="C1927" i="120" s="1"/>
  <c r="C2320" i="120" s="1"/>
  <c r="C2713" i="120" s="1"/>
  <c r="C3106" i="120" s="1"/>
  <c r="B748" i="120"/>
  <c r="B1141" i="120" s="1"/>
  <c r="B1534" i="120" s="1"/>
  <c r="B1927" i="120" s="1"/>
  <c r="B2320" i="120" s="1"/>
  <c r="B2713" i="120" s="1"/>
  <c r="B3106" i="120" s="1"/>
  <c r="A748" i="120"/>
  <c r="A1141" i="120" s="1"/>
  <c r="A1534" i="120" s="1"/>
  <c r="A1927" i="120" s="1"/>
  <c r="A2320" i="120" s="1"/>
  <c r="A2713" i="120" s="1"/>
  <c r="A3106" i="120" s="1"/>
  <c r="M354" i="120"/>
  <c r="E747" i="120"/>
  <c r="E1140" i="120" s="1"/>
  <c r="E1533" i="120" s="1"/>
  <c r="E1926" i="120" s="1"/>
  <c r="E2319" i="120" s="1"/>
  <c r="E2712" i="120" s="1"/>
  <c r="E3105" i="120" s="1"/>
  <c r="D747" i="120"/>
  <c r="D1140" i="120" s="1"/>
  <c r="D1533" i="120" s="1"/>
  <c r="D1926" i="120" s="1"/>
  <c r="D2319" i="120" s="1"/>
  <c r="D2712" i="120" s="1"/>
  <c r="D3105" i="120" s="1"/>
  <c r="C747" i="120"/>
  <c r="C1140" i="120" s="1"/>
  <c r="C1533" i="120" s="1"/>
  <c r="C1926" i="120" s="1"/>
  <c r="C2319" i="120" s="1"/>
  <c r="C2712" i="120" s="1"/>
  <c r="C3105" i="120" s="1"/>
  <c r="B747" i="120"/>
  <c r="B1140" i="120" s="1"/>
  <c r="B1533" i="120" s="1"/>
  <c r="B1926" i="120" s="1"/>
  <c r="B2319" i="120" s="1"/>
  <c r="B2712" i="120" s="1"/>
  <c r="B3105" i="120" s="1"/>
  <c r="A747" i="120"/>
  <c r="A1140" i="120" s="1"/>
  <c r="A1533" i="120" s="1"/>
  <c r="A1926" i="120" s="1"/>
  <c r="A2319" i="120" s="1"/>
  <c r="A2712" i="120" s="1"/>
  <c r="A3105" i="120" s="1"/>
  <c r="M353" i="120"/>
  <c r="E746" i="120"/>
  <c r="E1139" i="120" s="1"/>
  <c r="E1532" i="120" s="1"/>
  <c r="E1925" i="120" s="1"/>
  <c r="E2318" i="120" s="1"/>
  <c r="E2711" i="120" s="1"/>
  <c r="E3104" i="120" s="1"/>
  <c r="D746" i="120"/>
  <c r="D1139" i="120" s="1"/>
  <c r="D1532" i="120" s="1"/>
  <c r="D1925" i="120" s="1"/>
  <c r="D2318" i="120" s="1"/>
  <c r="D2711" i="120" s="1"/>
  <c r="D3104" i="120" s="1"/>
  <c r="C746" i="120"/>
  <c r="C1139" i="120" s="1"/>
  <c r="C1532" i="120" s="1"/>
  <c r="C1925" i="120" s="1"/>
  <c r="C2318" i="120" s="1"/>
  <c r="C2711" i="120" s="1"/>
  <c r="C3104" i="120" s="1"/>
  <c r="B746" i="120"/>
  <c r="B1139" i="120" s="1"/>
  <c r="B1532" i="120" s="1"/>
  <c r="B1925" i="120" s="1"/>
  <c r="B2318" i="120" s="1"/>
  <c r="B2711" i="120" s="1"/>
  <c r="B3104" i="120" s="1"/>
  <c r="A746" i="120"/>
  <c r="A1139" i="120" s="1"/>
  <c r="A1532" i="120" s="1"/>
  <c r="A1925" i="120" s="1"/>
  <c r="A2318" i="120" s="1"/>
  <c r="A2711" i="120" s="1"/>
  <c r="A3104" i="120" s="1"/>
  <c r="M352" i="120"/>
  <c r="E745" i="120"/>
  <c r="E1138" i="120" s="1"/>
  <c r="E1531" i="120" s="1"/>
  <c r="E1924" i="120" s="1"/>
  <c r="E2317" i="120" s="1"/>
  <c r="E2710" i="120" s="1"/>
  <c r="E3103" i="120" s="1"/>
  <c r="D745" i="120"/>
  <c r="D1138" i="120" s="1"/>
  <c r="D1531" i="120" s="1"/>
  <c r="D1924" i="120" s="1"/>
  <c r="D2317" i="120" s="1"/>
  <c r="D2710" i="120" s="1"/>
  <c r="D3103" i="120" s="1"/>
  <c r="C745" i="120"/>
  <c r="C1138" i="120" s="1"/>
  <c r="C1531" i="120" s="1"/>
  <c r="C1924" i="120" s="1"/>
  <c r="C2317" i="120" s="1"/>
  <c r="C2710" i="120" s="1"/>
  <c r="C3103" i="120" s="1"/>
  <c r="B745" i="120"/>
  <c r="B1138" i="120" s="1"/>
  <c r="B1531" i="120" s="1"/>
  <c r="B1924" i="120" s="1"/>
  <c r="B2317" i="120" s="1"/>
  <c r="B2710" i="120" s="1"/>
  <c r="B3103" i="120" s="1"/>
  <c r="A745" i="120"/>
  <c r="A1138" i="120" s="1"/>
  <c r="A1531" i="120" s="1"/>
  <c r="A1924" i="120" s="1"/>
  <c r="A2317" i="120" s="1"/>
  <c r="A2710" i="120" s="1"/>
  <c r="A3103" i="120" s="1"/>
  <c r="M351" i="120"/>
  <c r="E744" i="120"/>
  <c r="E1137" i="120" s="1"/>
  <c r="E1530" i="120" s="1"/>
  <c r="E1923" i="120" s="1"/>
  <c r="E2316" i="120" s="1"/>
  <c r="E2709" i="120" s="1"/>
  <c r="E3102" i="120" s="1"/>
  <c r="D744" i="120"/>
  <c r="D1137" i="120" s="1"/>
  <c r="D1530" i="120" s="1"/>
  <c r="D1923" i="120" s="1"/>
  <c r="D2316" i="120" s="1"/>
  <c r="D2709" i="120" s="1"/>
  <c r="D3102" i="120" s="1"/>
  <c r="C744" i="120"/>
  <c r="C1137" i="120" s="1"/>
  <c r="C1530" i="120" s="1"/>
  <c r="C1923" i="120" s="1"/>
  <c r="C2316" i="120" s="1"/>
  <c r="C2709" i="120" s="1"/>
  <c r="C3102" i="120" s="1"/>
  <c r="B744" i="120"/>
  <c r="B1137" i="120" s="1"/>
  <c r="B1530" i="120" s="1"/>
  <c r="B1923" i="120" s="1"/>
  <c r="B2316" i="120" s="1"/>
  <c r="B2709" i="120" s="1"/>
  <c r="B3102" i="120" s="1"/>
  <c r="M350" i="120"/>
  <c r="E743" i="120"/>
  <c r="E1136" i="120" s="1"/>
  <c r="E1529" i="120" s="1"/>
  <c r="E1922" i="120" s="1"/>
  <c r="E2315" i="120" s="1"/>
  <c r="E2708" i="120" s="1"/>
  <c r="E3101" i="120" s="1"/>
  <c r="D743" i="120"/>
  <c r="D1136" i="120" s="1"/>
  <c r="D1529" i="120" s="1"/>
  <c r="D1922" i="120" s="1"/>
  <c r="D2315" i="120" s="1"/>
  <c r="D2708" i="120" s="1"/>
  <c r="D3101" i="120" s="1"/>
  <c r="C743" i="120"/>
  <c r="C1136" i="120" s="1"/>
  <c r="C1529" i="120" s="1"/>
  <c r="C1922" i="120" s="1"/>
  <c r="C2315" i="120" s="1"/>
  <c r="C2708" i="120" s="1"/>
  <c r="C3101" i="120" s="1"/>
  <c r="B743" i="120"/>
  <c r="B1136" i="120" s="1"/>
  <c r="B1529" i="120" s="1"/>
  <c r="B1922" i="120" s="1"/>
  <c r="B2315" i="120" s="1"/>
  <c r="B2708" i="120" s="1"/>
  <c r="B3101" i="120" s="1"/>
  <c r="A743" i="120"/>
  <c r="A1136" i="120" s="1"/>
  <c r="A1529" i="120" s="1"/>
  <c r="A1922" i="120" s="1"/>
  <c r="A2315" i="120" s="1"/>
  <c r="A2708" i="120" s="1"/>
  <c r="A3101" i="120" s="1"/>
  <c r="M349" i="120"/>
  <c r="E742" i="120"/>
  <c r="E1135" i="120" s="1"/>
  <c r="E1528" i="120" s="1"/>
  <c r="E1921" i="120" s="1"/>
  <c r="E2314" i="120" s="1"/>
  <c r="E2707" i="120" s="1"/>
  <c r="E3100" i="120" s="1"/>
  <c r="D742" i="120"/>
  <c r="D1135" i="120" s="1"/>
  <c r="D1528" i="120" s="1"/>
  <c r="D1921" i="120" s="1"/>
  <c r="D2314" i="120" s="1"/>
  <c r="D2707" i="120" s="1"/>
  <c r="D3100" i="120" s="1"/>
  <c r="C742" i="120"/>
  <c r="C1135" i="120" s="1"/>
  <c r="C1528" i="120" s="1"/>
  <c r="C1921" i="120" s="1"/>
  <c r="C2314" i="120" s="1"/>
  <c r="C2707" i="120" s="1"/>
  <c r="C3100" i="120" s="1"/>
  <c r="B742" i="120"/>
  <c r="B1135" i="120" s="1"/>
  <c r="B1528" i="120" s="1"/>
  <c r="B1921" i="120" s="1"/>
  <c r="B2314" i="120" s="1"/>
  <c r="B2707" i="120" s="1"/>
  <c r="B3100" i="120" s="1"/>
  <c r="A742" i="120"/>
  <c r="A1135" i="120" s="1"/>
  <c r="A1528" i="120" s="1"/>
  <c r="A1921" i="120" s="1"/>
  <c r="A2314" i="120" s="1"/>
  <c r="A2707" i="120" s="1"/>
  <c r="A3100" i="120" s="1"/>
  <c r="M348" i="120"/>
  <c r="E741" i="120"/>
  <c r="E1134" i="120" s="1"/>
  <c r="E1527" i="120" s="1"/>
  <c r="E1920" i="120" s="1"/>
  <c r="E2313" i="120" s="1"/>
  <c r="E2706" i="120" s="1"/>
  <c r="E3099" i="120" s="1"/>
  <c r="D741" i="120"/>
  <c r="D1134" i="120" s="1"/>
  <c r="D1527" i="120" s="1"/>
  <c r="D1920" i="120" s="1"/>
  <c r="D2313" i="120" s="1"/>
  <c r="D2706" i="120" s="1"/>
  <c r="D3099" i="120" s="1"/>
  <c r="C741" i="120"/>
  <c r="C1134" i="120" s="1"/>
  <c r="C1527" i="120" s="1"/>
  <c r="C1920" i="120" s="1"/>
  <c r="C2313" i="120" s="1"/>
  <c r="C2706" i="120" s="1"/>
  <c r="C3099" i="120" s="1"/>
  <c r="B741" i="120"/>
  <c r="B1134" i="120" s="1"/>
  <c r="B1527" i="120" s="1"/>
  <c r="B1920" i="120" s="1"/>
  <c r="B2313" i="120" s="1"/>
  <c r="B2706" i="120" s="1"/>
  <c r="B3099" i="120" s="1"/>
  <c r="A741" i="120"/>
  <c r="A1134" i="120" s="1"/>
  <c r="A1527" i="120" s="1"/>
  <c r="A1920" i="120" s="1"/>
  <c r="A2313" i="120" s="1"/>
  <c r="A2706" i="120" s="1"/>
  <c r="A3099" i="120" s="1"/>
  <c r="M347" i="120"/>
  <c r="E740" i="120"/>
  <c r="E1133" i="120" s="1"/>
  <c r="E1526" i="120" s="1"/>
  <c r="E1919" i="120" s="1"/>
  <c r="E2312" i="120" s="1"/>
  <c r="E2705" i="120" s="1"/>
  <c r="E3098" i="120" s="1"/>
  <c r="D740" i="120"/>
  <c r="D1133" i="120" s="1"/>
  <c r="D1526" i="120" s="1"/>
  <c r="D1919" i="120" s="1"/>
  <c r="D2312" i="120" s="1"/>
  <c r="D2705" i="120" s="1"/>
  <c r="D3098" i="120" s="1"/>
  <c r="C740" i="120"/>
  <c r="C1133" i="120" s="1"/>
  <c r="C1526" i="120" s="1"/>
  <c r="C1919" i="120" s="1"/>
  <c r="C2312" i="120" s="1"/>
  <c r="C2705" i="120" s="1"/>
  <c r="C3098" i="120" s="1"/>
  <c r="B740" i="120"/>
  <c r="B1133" i="120" s="1"/>
  <c r="B1526" i="120" s="1"/>
  <c r="B1919" i="120" s="1"/>
  <c r="B2312" i="120" s="1"/>
  <c r="B2705" i="120" s="1"/>
  <c r="B3098" i="120" s="1"/>
  <c r="A740" i="120"/>
  <c r="A1133" i="120" s="1"/>
  <c r="A1526" i="120" s="1"/>
  <c r="A1919" i="120" s="1"/>
  <c r="A2312" i="120" s="1"/>
  <c r="A2705" i="120" s="1"/>
  <c r="A3098" i="120" s="1"/>
  <c r="M346" i="120"/>
  <c r="E739" i="120"/>
  <c r="E1132" i="120" s="1"/>
  <c r="E1525" i="120" s="1"/>
  <c r="E1918" i="120" s="1"/>
  <c r="E2311" i="120" s="1"/>
  <c r="E2704" i="120" s="1"/>
  <c r="E3097" i="120" s="1"/>
  <c r="D739" i="120"/>
  <c r="D1132" i="120" s="1"/>
  <c r="D1525" i="120" s="1"/>
  <c r="D1918" i="120" s="1"/>
  <c r="D2311" i="120" s="1"/>
  <c r="D2704" i="120" s="1"/>
  <c r="D3097" i="120" s="1"/>
  <c r="C739" i="120"/>
  <c r="C1132" i="120" s="1"/>
  <c r="C1525" i="120" s="1"/>
  <c r="C1918" i="120" s="1"/>
  <c r="C2311" i="120" s="1"/>
  <c r="C2704" i="120" s="1"/>
  <c r="C3097" i="120" s="1"/>
  <c r="B739" i="120"/>
  <c r="B1132" i="120" s="1"/>
  <c r="B1525" i="120" s="1"/>
  <c r="B1918" i="120" s="1"/>
  <c r="B2311" i="120" s="1"/>
  <c r="B2704" i="120" s="1"/>
  <c r="B3097" i="120" s="1"/>
  <c r="A739" i="120"/>
  <c r="A1132" i="120" s="1"/>
  <c r="A1525" i="120" s="1"/>
  <c r="A1918" i="120" s="1"/>
  <c r="A2311" i="120" s="1"/>
  <c r="A2704" i="120" s="1"/>
  <c r="A3097" i="120" s="1"/>
  <c r="M345" i="120"/>
  <c r="G738" i="120"/>
  <c r="G1131" i="120" s="1"/>
  <c r="G1524" i="120" s="1"/>
  <c r="G1917" i="120" s="1"/>
  <c r="G2310" i="120" s="1"/>
  <c r="G2703" i="120" s="1"/>
  <c r="G3096" i="120" s="1"/>
  <c r="E738" i="120"/>
  <c r="E1131" i="120" s="1"/>
  <c r="E1524" i="120" s="1"/>
  <c r="E1917" i="120" s="1"/>
  <c r="E2310" i="120" s="1"/>
  <c r="E2703" i="120" s="1"/>
  <c r="E3096" i="120" s="1"/>
  <c r="D738" i="120"/>
  <c r="D1131" i="120" s="1"/>
  <c r="D1524" i="120" s="1"/>
  <c r="D1917" i="120" s="1"/>
  <c r="D2310" i="120" s="1"/>
  <c r="D2703" i="120" s="1"/>
  <c r="D3096" i="120" s="1"/>
  <c r="C738" i="120"/>
  <c r="C1131" i="120" s="1"/>
  <c r="C1524" i="120" s="1"/>
  <c r="C1917" i="120" s="1"/>
  <c r="C2310" i="120" s="1"/>
  <c r="C2703" i="120" s="1"/>
  <c r="C3096" i="120" s="1"/>
  <c r="B738" i="120"/>
  <c r="B1131" i="120" s="1"/>
  <c r="B1524" i="120" s="1"/>
  <c r="B1917" i="120" s="1"/>
  <c r="B2310" i="120" s="1"/>
  <c r="B2703" i="120" s="1"/>
  <c r="B3096" i="120" s="1"/>
  <c r="A738" i="120"/>
  <c r="A1131" i="120" s="1"/>
  <c r="A1524" i="120" s="1"/>
  <c r="A1917" i="120" s="1"/>
  <c r="A2310" i="120" s="1"/>
  <c r="A2703" i="120" s="1"/>
  <c r="A3096" i="120" s="1"/>
  <c r="M344" i="120"/>
  <c r="E737" i="120"/>
  <c r="E1130" i="120" s="1"/>
  <c r="E1523" i="120" s="1"/>
  <c r="E1916" i="120" s="1"/>
  <c r="E2309" i="120" s="1"/>
  <c r="E2702" i="120" s="1"/>
  <c r="E3095" i="120" s="1"/>
  <c r="D737" i="120"/>
  <c r="D1130" i="120" s="1"/>
  <c r="D1523" i="120" s="1"/>
  <c r="D1916" i="120" s="1"/>
  <c r="D2309" i="120" s="1"/>
  <c r="D2702" i="120" s="1"/>
  <c r="D3095" i="120" s="1"/>
  <c r="C737" i="120"/>
  <c r="C1130" i="120" s="1"/>
  <c r="C1523" i="120" s="1"/>
  <c r="C1916" i="120" s="1"/>
  <c r="C2309" i="120" s="1"/>
  <c r="C2702" i="120" s="1"/>
  <c r="C3095" i="120" s="1"/>
  <c r="B737" i="120"/>
  <c r="B1130" i="120" s="1"/>
  <c r="B1523" i="120" s="1"/>
  <c r="B1916" i="120" s="1"/>
  <c r="B2309" i="120" s="1"/>
  <c r="B2702" i="120" s="1"/>
  <c r="B3095" i="120" s="1"/>
  <c r="A737" i="120"/>
  <c r="A1130" i="120" s="1"/>
  <c r="A1523" i="120" s="1"/>
  <c r="A1916" i="120" s="1"/>
  <c r="A2309" i="120" s="1"/>
  <c r="A2702" i="120" s="1"/>
  <c r="A3095" i="120" s="1"/>
  <c r="M343" i="120"/>
  <c r="E736" i="120"/>
  <c r="E1129" i="120" s="1"/>
  <c r="E1522" i="120" s="1"/>
  <c r="E1915" i="120" s="1"/>
  <c r="E2308" i="120" s="1"/>
  <c r="E2701" i="120" s="1"/>
  <c r="E3094" i="120" s="1"/>
  <c r="D736" i="120"/>
  <c r="D1129" i="120" s="1"/>
  <c r="D1522" i="120" s="1"/>
  <c r="D1915" i="120" s="1"/>
  <c r="D2308" i="120" s="1"/>
  <c r="D2701" i="120" s="1"/>
  <c r="D3094" i="120" s="1"/>
  <c r="C736" i="120"/>
  <c r="C1129" i="120" s="1"/>
  <c r="C1522" i="120" s="1"/>
  <c r="C1915" i="120" s="1"/>
  <c r="C2308" i="120" s="1"/>
  <c r="C2701" i="120" s="1"/>
  <c r="C3094" i="120" s="1"/>
  <c r="B736" i="120"/>
  <c r="B1129" i="120" s="1"/>
  <c r="B1522" i="120" s="1"/>
  <c r="B1915" i="120" s="1"/>
  <c r="B2308" i="120" s="1"/>
  <c r="B2701" i="120" s="1"/>
  <c r="B3094" i="120" s="1"/>
  <c r="A736" i="120"/>
  <c r="A1129" i="120" s="1"/>
  <c r="A1522" i="120" s="1"/>
  <c r="A1915" i="120" s="1"/>
  <c r="A2308" i="120" s="1"/>
  <c r="A2701" i="120" s="1"/>
  <c r="A3094" i="120" s="1"/>
  <c r="M342" i="120"/>
  <c r="E735" i="120"/>
  <c r="E1128" i="120" s="1"/>
  <c r="E1521" i="120" s="1"/>
  <c r="E1914" i="120" s="1"/>
  <c r="E2307" i="120" s="1"/>
  <c r="E2700" i="120" s="1"/>
  <c r="E3093" i="120" s="1"/>
  <c r="D735" i="120"/>
  <c r="D1128" i="120" s="1"/>
  <c r="D1521" i="120" s="1"/>
  <c r="D1914" i="120" s="1"/>
  <c r="D2307" i="120" s="1"/>
  <c r="D2700" i="120" s="1"/>
  <c r="D3093" i="120" s="1"/>
  <c r="C735" i="120"/>
  <c r="C1128" i="120" s="1"/>
  <c r="C1521" i="120" s="1"/>
  <c r="C1914" i="120" s="1"/>
  <c r="C2307" i="120" s="1"/>
  <c r="C2700" i="120" s="1"/>
  <c r="C3093" i="120" s="1"/>
  <c r="B735" i="120"/>
  <c r="B1128" i="120" s="1"/>
  <c r="B1521" i="120" s="1"/>
  <c r="B1914" i="120" s="1"/>
  <c r="B2307" i="120" s="1"/>
  <c r="B2700" i="120" s="1"/>
  <c r="B3093" i="120" s="1"/>
  <c r="A735" i="120"/>
  <c r="A1128" i="120" s="1"/>
  <c r="A1521" i="120" s="1"/>
  <c r="A1914" i="120" s="1"/>
  <c r="A2307" i="120" s="1"/>
  <c r="A2700" i="120" s="1"/>
  <c r="A3093" i="120" s="1"/>
  <c r="M341" i="120"/>
  <c r="E734" i="120"/>
  <c r="E1127" i="120" s="1"/>
  <c r="E1520" i="120" s="1"/>
  <c r="E1913" i="120" s="1"/>
  <c r="E2306" i="120" s="1"/>
  <c r="E2699" i="120" s="1"/>
  <c r="E3092" i="120" s="1"/>
  <c r="D734" i="120"/>
  <c r="D1127" i="120" s="1"/>
  <c r="D1520" i="120" s="1"/>
  <c r="D1913" i="120" s="1"/>
  <c r="D2306" i="120" s="1"/>
  <c r="D2699" i="120" s="1"/>
  <c r="D3092" i="120" s="1"/>
  <c r="C734" i="120"/>
  <c r="C1127" i="120" s="1"/>
  <c r="C1520" i="120" s="1"/>
  <c r="C1913" i="120" s="1"/>
  <c r="C2306" i="120" s="1"/>
  <c r="C2699" i="120" s="1"/>
  <c r="C3092" i="120" s="1"/>
  <c r="B734" i="120"/>
  <c r="B1127" i="120" s="1"/>
  <c r="B1520" i="120" s="1"/>
  <c r="B1913" i="120" s="1"/>
  <c r="B2306" i="120" s="1"/>
  <c r="B2699" i="120" s="1"/>
  <c r="B3092" i="120" s="1"/>
  <c r="A734" i="120"/>
  <c r="A1127" i="120" s="1"/>
  <c r="A1520" i="120" s="1"/>
  <c r="A1913" i="120" s="1"/>
  <c r="A2306" i="120" s="1"/>
  <c r="A2699" i="120" s="1"/>
  <c r="A3092" i="120" s="1"/>
  <c r="M340" i="120"/>
  <c r="E733" i="120"/>
  <c r="E1126" i="120" s="1"/>
  <c r="E1519" i="120" s="1"/>
  <c r="E1912" i="120" s="1"/>
  <c r="E2305" i="120" s="1"/>
  <c r="E2698" i="120" s="1"/>
  <c r="E3091" i="120" s="1"/>
  <c r="D733" i="120"/>
  <c r="D1126" i="120" s="1"/>
  <c r="D1519" i="120" s="1"/>
  <c r="D1912" i="120" s="1"/>
  <c r="D2305" i="120" s="1"/>
  <c r="D2698" i="120" s="1"/>
  <c r="D3091" i="120" s="1"/>
  <c r="C733" i="120"/>
  <c r="C1126" i="120" s="1"/>
  <c r="C1519" i="120" s="1"/>
  <c r="C1912" i="120" s="1"/>
  <c r="C2305" i="120" s="1"/>
  <c r="C2698" i="120" s="1"/>
  <c r="C3091" i="120" s="1"/>
  <c r="B733" i="120"/>
  <c r="B1126" i="120" s="1"/>
  <c r="B1519" i="120" s="1"/>
  <c r="B1912" i="120" s="1"/>
  <c r="B2305" i="120" s="1"/>
  <c r="B2698" i="120" s="1"/>
  <c r="B3091" i="120" s="1"/>
  <c r="A733" i="120"/>
  <c r="A1126" i="120" s="1"/>
  <c r="A1519" i="120" s="1"/>
  <c r="A1912" i="120" s="1"/>
  <c r="A2305" i="120" s="1"/>
  <c r="A2698" i="120" s="1"/>
  <c r="A3091" i="120" s="1"/>
  <c r="M339" i="120"/>
  <c r="E732" i="120"/>
  <c r="E1125" i="120" s="1"/>
  <c r="E1518" i="120" s="1"/>
  <c r="E1911" i="120" s="1"/>
  <c r="E2304" i="120" s="1"/>
  <c r="E2697" i="120" s="1"/>
  <c r="E3090" i="120" s="1"/>
  <c r="D732" i="120"/>
  <c r="D1125" i="120" s="1"/>
  <c r="D1518" i="120" s="1"/>
  <c r="D1911" i="120" s="1"/>
  <c r="D2304" i="120" s="1"/>
  <c r="D2697" i="120" s="1"/>
  <c r="D3090" i="120" s="1"/>
  <c r="C732" i="120"/>
  <c r="C1125" i="120" s="1"/>
  <c r="C1518" i="120" s="1"/>
  <c r="C1911" i="120" s="1"/>
  <c r="C2304" i="120" s="1"/>
  <c r="C2697" i="120" s="1"/>
  <c r="C3090" i="120" s="1"/>
  <c r="B732" i="120"/>
  <c r="B1125" i="120" s="1"/>
  <c r="B1518" i="120" s="1"/>
  <c r="B1911" i="120" s="1"/>
  <c r="B2304" i="120" s="1"/>
  <c r="B2697" i="120" s="1"/>
  <c r="B3090" i="120" s="1"/>
  <c r="A732" i="120"/>
  <c r="A1125" i="120" s="1"/>
  <c r="A1518" i="120" s="1"/>
  <c r="A1911" i="120" s="1"/>
  <c r="A2304" i="120" s="1"/>
  <c r="A2697" i="120" s="1"/>
  <c r="A3090" i="120" s="1"/>
  <c r="M338" i="120"/>
  <c r="D731" i="120"/>
  <c r="D1124" i="120" s="1"/>
  <c r="D1517" i="120" s="1"/>
  <c r="D1910" i="120" s="1"/>
  <c r="D2303" i="120" s="1"/>
  <c r="D2696" i="120" s="1"/>
  <c r="D3089" i="120" s="1"/>
  <c r="C731" i="120"/>
  <c r="C1124" i="120" s="1"/>
  <c r="C1517" i="120" s="1"/>
  <c r="C1910" i="120" s="1"/>
  <c r="C2303" i="120" s="1"/>
  <c r="C2696" i="120" s="1"/>
  <c r="C3089" i="120" s="1"/>
  <c r="B731" i="120"/>
  <c r="B1124" i="120" s="1"/>
  <c r="B1517" i="120" s="1"/>
  <c r="B1910" i="120" s="1"/>
  <c r="B2303" i="120" s="1"/>
  <c r="B2696" i="120" s="1"/>
  <c r="B3089" i="120" s="1"/>
  <c r="A731" i="120"/>
  <c r="A1124" i="120" s="1"/>
  <c r="A1517" i="120" s="1"/>
  <c r="A1910" i="120" s="1"/>
  <c r="A2303" i="120" s="1"/>
  <c r="A2696" i="120" s="1"/>
  <c r="A3089" i="120" s="1"/>
  <c r="M337" i="120"/>
  <c r="E730" i="120"/>
  <c r="E1123" i="120" s="1"/>
  <c r="E1516" i="120" s="1"/>
  <c r="E1909" i="120" s="1"/>
  <c r="E2302" i="120" s="1"/>
  <c r="E2695" i="120" s="1"/>
  <c r="E3088" i="120" s="1"/>
  <c r="D730" i="120"/>
  <c r="D1123" i="120" s="1"/>
  <c r="D1516" i="120" s="1"/>
  <c r="D1909" i="120" s="1"/>
  <c r="D2302" i="120" s="1"/>
  <c r="D2695" i="120" s="1"/>
  <c r="D3088" i="120" s="1"/>
  <c r="C730" i="120"/>
  <c r="C1123" i="120" s="1"/>
  <c r="C1516" i="120" s="1"/>
  <c r="C1909" i="120" s="1"/>
  <c r="C2302" i="120" s="1"/>
  <c r="C2695" i="120" s="1"/>
  <c r="C3088" i="120" s="1"/>
  <c r="B730" i="120"/>
  <c r="B1123" i="120" s="1"/>
  <c r="B1516" i="120" s="1"/>
  <c r="B1909" i="120" s="1"/>
  <c r="B2302" i="120" s="1"/>
  <c r="B2695" i="120" s="1"/>
  <c r="B3088" i="120" s="1"/>
  <c r="A730" i="120"/>
  <c r="A1123" i="120" s="1"/>
  <c r="A1516" i="120" s="1"/>
  <c r="A1909" i="120" s="1"/>
  <c r="A2302" i="120" s="1"/>
  <c r="A2695" i="120" s="1"/>
  <c r="A3088" i="120" s="1"/>
  <c r="M336" i="120"/>
  <c r="E729" i="120"/>
  <c r="E1122" i="120" s="1"/>
  <c r="E1515" i="120" s="1"/>
  <c r="E1908" i="120" s="1"/>
  <c r="E2301" i="120" s="1"/>
  <c r="E2694" i="120" s="1"/>
  <c r="E3087" i="120" s="1"/>
  <c r="B729" i="120"/>
  <c r="B1122" i="120" s="1"/>
  <c r="B1515" i="120" s="1"/>
  <c r="B1908" i="120" s="1"/>
  <c r="B2301" i="120" s="1"/>
  <c r="B2694" i="120" s="1"/>
  <c r="B3087" i="120" s="1"/>
  <c r="A729" i="120"/>
  <c r="A1122" i="120" s="1"/>
  <c r="A1515" i="120" s="1"/>
  <c r="A1908" i="120" s="1"/>
  <c r="A2301" i="120" s="1"/>
  <c r="A2694" i="120" s="1"/>
  <c r="A3087" i="120" s="1"/>
  <c r="M335" i="120"/>
  <c r="G728" i="120"/>
  <c r="G1121" i="120" s="1"/>
  <c r="G1514" i="120" s="1"/>
  <c r="G1907" i="120" s="1"/>
  <c r="G2300" i="120" s="1"/>
  <c r="G2693" i="120" s="1"/>
  <c r="G3086" i="120" s="1"/>
  <c r="E728" i="120"/>
  <c r="E1121" i="120" s="1"/>
  <c r="E1514" i="120" s="1"/>
  <c r="E1907" i="120" s="1"/>
  <c r="E2300" i="120" s="1"/>
  <c r="E2693" i="120" s="1"/>
  <c r="E3086" i="120" s="1"/>
  <c r="D728" i="120"/>
  <c r="D1121" i="120" s="1"/>
  <c r="D1514" i="120" s="1"/>
  <c r="D1907" i="120" s="1"/>
  <c r="D2300" i="120" s="1"/>
  <c r="D2693" i="120" s="1"/>
  <c r="D3086" i="120" s="1"/>
  <c r="C728" i="120"/>
  <c r="C1121" i="120" s="1"/>
  <c r="C1514" i="120" s="1"/>
  <c r="C1907" i="120" s="1"/>
  <c r="C2300" i="120" s="1"/>
  <c r="C2693" i="120" s="1"/>
  <c r="C3086" i="120" s="1"/>
  <c r="B728" i="120"/>
  <c r="B1121" i="120" s="1"/>
  <c r="B1514" i="120" s="1"/>
  <c r="B1907" i="120" s="1"/>
  <c r="B2300" i="120" s="1"/>
  <c r="B2693" i="120" s="1"/>
  <c r="B3086" i="120" s="1"/>
  <c r="A728" i="120"/>
  <c r="A1121" i="120" s="1"/>
  <c r="A1514" i="120" s="1"/>
  <c r="A1907" i="120" s="1"/>
  <c r="A2300" i="120" s="1"/>
  <c r="A2693" i="120" s="1"/>
  <c r="A3086" i="120" s="1"/>
  <c r="M334" i="120"/>
  <c r="C727" i="120"/>
  <c r="C1120" i="120" s="1"/>
  <c r="C1513" i="120" s="1"/>
  <c r="C1906" i="120" s="1"/>
  <c r="C2299" i="120" s="1"/>
  <c r="C2692" i="120" s="1"/>
  <c r="C3085" i="120" s="1"/>
  <c r="B727" i="120"/>
  <c r="B1120" i="120" s="1"/>
  <c r="B1513" i="120" s="1"/>
  <c r="B1906" i="120" s="1"/>
  <c r="B2299" i="120" s="1"/>
  <c r="B2692" i="120" s="1"/>
  <c r="B3085" i="120" s="1"/>
  <c r="A727" i="120"/>
  <c r="A1120" i="120" s="1"/>
  <c r="A1513" i="120" s="1"/>
  <c r="A1906" i="120" s="1"/>
  <c r="A2299" i="120" s="1"/>
  <c r="A2692" i="120" s="1"/>
  <c r="A3085" i="120" s="1"/>
  <c r="M333" i="120"/>
  <c r="E726" i="120"/>
  <c r="E1119" i="120" s="1"/>
  <c r="E1512" i="120" s="1"/>
  <c r="E1905" i="120" s="1"/>
  <c r="E2298" i="120" s="1"/>
  <c r="E2691" i="120" s="1"/>
  <c r="E3084" i="120" s="1"/>
  <c r="D726" i="120"/>
  <c r="D1119" i="120" s="1"/>
  <c r="D1512" i="120" s="1"/>
  <c r="D1905" i="120" s="1"/>
  <c r="D2298" i="120" s="1"/>
  <c r="D2691" i="120" s="1"/>
  <c r="D3084" i="120" s="1"/>
  <c r="C726" i="120"/>
  <c r="C1119" i="120" s="1"/>
  <c r="C1512" i="120" s="1"/>
  <c r="C1905" i="120" s="1"/>
  <c r="C2298" i="120" s="1"/>
  <c r="C2691" i="120" s="1"/>
  <c r="C3084" i="120" s="1"/>
  <c r="B726" i="120"/>
  <c r="B1119" i="120" s="1"/>
  <c r="B1512" i="120" s="1"/>
  <c r="B1905" i="120" s="1"/>
  <c r="B2298" i="120" s="1"/>
  <c r="B2691" i="120" s="1"/>
  <c r="B3084" i="120" s="1"/>
  <c r="A726" i="120"/>
  <c r="A1119" i="120" s="1"/>
  <c r="A1512" i="120" s="1"/>
  <c r="A1905" i="120" s="1"/>
  <c r="A2298" i="120" s="1"/>
  <c r="A2691" i="120" s="1"/>
  <c r="A3084" i="120" s="1"/>
  <c r="M332" i="120"/>
  <c r="E725" i="120"/>
  <c r="E1118" i="120" s="1"/>
  <c r="E1511" i="120" s="1"/>
  <c r="E1904" i="120" s="1"/>
  <c r="E2297" i="120" s="1"/>
  <c r="E2690" i="120" s="1"/>
  <c r="E3083" i="120" s="1"/>
  <c r="C725" i="120"/>
  <c r="C1118" i="120" s="1"/>
  <c r="C1511" i="120" s="1"/>
  <c r="C1904" i="120" s="1"/>
  <c r="C2297" i="120" s="1"/>
  <c r="C2690" i="120" s="1"/>
  <c r="C3083" i="120" s="1"/>
  <c r="B725" i="120"/>
  <c r="B1118" i="120" s="1"/>
  <c r="B1511" i="120" s="1"/>
  <c r="B1904" i="120" s="1"/>
  <c r="B2297" i="120" s="1"/>
  <c r="B2690" i="120" s="1"/>
  <c r="B3083" i="120" s="1"/>
  <c r="A725" i="120"/>
  <c r="A1118" i="120" s="1"/>
  <c r="A1511" i="120" s="1"/>
  <c r="A1904" i="120" s="1"/>
  <c r="A2297" i="120" s="1"/>
  <c r="A2690" i="120" s="1"/>
  <c r="A3083" i="120" s="1"/>
  <c r="M331" i="120"/>
  <c r="E724" i="120"/>
  <c r="E1117" i="120" s="1"/>
  <c r="E1510" i="120" s="1"/>
  <c r="E1903" i="120" s="1"/>
  <c r="E2296" i="120" s="1"/>
  <c r="E2689" i="120" s="1"/>
  <c r="E3082" i="120" s="1"/>
  <c r="D724" i="120"/>
  <c r="D1117" i="120" s="1"/>
  <c r="D1510" i="120" s="1"/>
  <c r="D1903" i="120" s="1"/>
  <c r="D2296" i="120" s="1"/>
  <c r="D2689" i="120" s="1"/>
  <c r="D3082" i="120" s="1"/>
  <c r="C724" i="120"/>
  <c r="C1117" i="120" s="1"/>
  <c r="C1510" i="120" s="1"/>
  <c r="C1903" i="120" s="1"/>
  <c r="C2296" i="120" s="1"/>
  <c r="C2689" i="120" s="1"/>
  <c r="C3082" i="120" s="1"/>
  <c r="B724" i="120"/>
  <c r="B1117" i="120" s="1"/>
  <c r="B1510" i="120" s="1"/>
  <c r="B1903" i="120" s="1"/>
  <c r="B2296" i="120" s="1"/>
  <c r="B2689" i="120" s="1"/>
  <c r="B3082" i="120" s="1"/>
  <c r="A724" i="120"/>
  <c r="A1117" i="120" s="1"/>
  <c r="A1510" i="120" s="1"/>
  <c r="A1903" i="120" s="1"/>
  <c r="A2296" i="120" s="1"/>
  <c r="A2689" i="120" s="1"/>
  <c r="A3082" i="120" s="1"/>
  <c r="M330" i="120"/>
  <c r="E723" i="120"/>
  <c r="E1116" i="120" s="1"/>
  <c r="E1509" i="120" s="1"/>
  <c r="E1902" i="120" s="1"/>
  <c r="E2295" i="120" s="1"/>
  <c r="E2688" i="120" s="1"/>
  <c r="E3081" i="120" s="1"/>
  <c r="D723" i="120"/>
  <c r="D1116" i="120" s="1"/>
  <c r="D1509" i="120" s="1"/>
  <c r="D1902" i="120" s="1"/>
  <c r="D2295" i="120" s="1"/>
  <c r="D2688" i="120" s="1"/>
  <c r="D3081" i="120" s="1"/>
  <c r="C723" i="120"/>
  <c r="C1116" i="120" s="1"/>
  <c r="C1509" i="120" s="1"/>
  <c r="C1902" i="120" s="1"/>
  <c r="C2295" i="120" s="1"/>
  <c r="C2688" i="120" s="1"/>
  <c r="C3081" i="120" s="1"/>
  <c r="B723" i="120"/>
  <c r="B1116" i="120" s="1"/>
  <c r="B1509" i="120" s="1"/>
  <c r="B1902" i="120" s="1"/>
  <c r="B2295" i="120" s="1"/>
  <c r="B2688" i="120" s="1"/>
  <c r="B3081" i="120" s="1"/>
  <c r="A723" i="120"/>
  <c r="A1116" i="120" s="1"/>
  <c r="A1509" i="120" s="1"/>
  <c r="A1902" i="120" s="1"/>
  <c r="A2295" i="120" s="1"/>
  <c r="A2688" i="120" s="1"/>
  <c r="A3081" i="120" s="1"/>
  <c r="M329" i="120"/>
  <c r="E722" i="120"/>
  <c r="E1115" i="120" s="1"/>
  <c r="E1508" i="120" s="1"/>
  <c r="E1901" i="120" s="1"/>
  <c r="E2294" i="120" s="1"/>
  <c r="E2687" i="120" s="1"/>
  <c r="E3080" i="120" s="1"/>
  <c r="D722" i="120"/>
  <c r="D1115" i="120" s="1"/>
  <c r="D1508" i="120" s="1"/>
  <c r="D1901" i="120" s="1"/>
  <c r="D2294" i="120" s="1"/>
  <c r="D2687" i="120" s="1"/>
  <c r="D3080" i="120" s="1"/>
  <c r="C722" i="120"/>
  <c r="C1115" i="120" s="1"/>
  <c r="C1508" i="120" s="1"/>
  <c r="C1901" i="120" s="1"/>
  <c r="C2294" i="120" s="1"/>
  <c r="C2687" i="120" s="1"/>
  <c r="C3080" i="120" s="1"/>
  <c r="B722" i="120"/>
  <c r="B1115" i="120" s="1"/>
  <c r="A722" i="120"/>
  <c r="A1115" i="120" s="1"/>
  <c r="A1508" i="120" s="1"/>
  <c r="A1901" i="120" s="1"/>
  <c r="A2294" i="120" s="1"/>
  <c r="A2687" i="120" s="1"/>
  <c r="A3080" i="120" s="1"/>
  <c r="M328" i="120"/>
  <c r="E721" i="120"/>
  <c r="E1114" i="120" s="1"/>
  <c r="E1507" i="120" s="1"/>
  <c r="E1900" i="120" s="1"/>
  <c r="E2293" i="120" s="1"/>
  <c r="E2686" i="120" s="1"/>
  <c r="E3079" i="120" s="1"/>
  <c r="D721" i="120"/>
  <c r="D1114" i="120" s="1"/>
  <c r="D1507" i="120" s="1"/>
  <c r="D1900" i="120" s="1"/>
  <c r="D2293" i="120" s="1"/>
  <c r="D2686" i="120" s="1"/>
  <c r="D3079" i="120" s="1"/>
  <c r="C721" i="120"/>
  <c r="C1114" i="120" s="1"/>
  <c r="C1507" i="120" s="1"/>
  <c r="C1900" i="120" s="1"/>
  <c r="C2293" i="120" s="1"/>
  <c r="C2686" i="120" s="1"/>
  <c r="C3079" i="120" s="1"/>
  <c r="B721" i="120"/>
  <c r="B1114" i="120" s="1"/>
  <c r="B1507" i="120" s="1"/>
  <c r="B1900" i="120" s="1"/>
  <c r="B2293" i="120" s="1"/>
  <c r="B2686" i="120" s="1"/>
  <c r="B3079" i="120" s="1"/>
  <c r="A721" i="120"/>
  <c r="A1114" i="120" s="1"/>
  <c r="A1507" i="120" s="1"/>
  <c r="A1900" i="120" s="1"/>
  <c r="A2293" i="120" s="1"/>
  <c r="A2686" i="120" s="1"/>
  <c r="A3079" i="120" s="1"/>
  <c r="M327" i="120"/>
  <c r="E720" i="120"/>
  <c r="E1113" i="120" s="1"/>
  <c r="E1506" i="120" s="1"/>
  <c r="E1899" i="120" s="1"/>
  <c r="E2292" i="120" s="1"/>
  <c r="E2685" i="120" s="1"/>
  <c r="E3078" i="120" s="1"/>
  <c r="D720" i="120"/>
  <c r="D1113" i="120" s="1"/>
  <c r="D1506" i="120" s="1"/>
  <c r="D1899" i="120" s="1"/>
  <c r="D2292" i="120" s="1"/>
  <c r="D2685" i="120" s="1"/>
  <c r="D3078" i="120" s="1"/>
  <c r="C720" i="120"/>
  <c r="C1113" i="120" s="1"/>
  <c r="C1506" i="120" s="1"/>
  <c r="C1899" i="120" s="1"/>
  <c r="C2292" i="120" s="1"/>
  <c r="C2685" i="120" s="1"/>
  <c r="C3078" i="120" s="1"/>
  <c r="B720" i="120"/>
  <c r="B1113" i="120" s="1"/>
  <c r="B1506" i="120" s="1"/>
  <c r="B1899" i="120" s="1"/>
  <c r="B2292" i="120" s="1"/>
  <c r="B2685" i="120" s="1"/>
  <c r="B3078" i="120" s="1"/>
  <c r="A720" i="120"/>
  <c r="A1113" i="120" s="1"/>
  <c r="A1506" i="120" s="1"/>
  <c r="A1899" i="120" s="1"/>
  <c r="A2292" i="120" s="1"/>
  <c r="A2685" i="120" s="1"/>
  <c r="A3078" i="120" s="1"/>
  <c r="M326" i="120"/>
  <c r="E719" i="120"/>
  <c r="E1112" i="120" s="1"/>
  <c r="E1505" i="120" s="1"/>
  <c r="E1898" i="120" s="1"/>
  <c r="E2291" i="120" s="1"/>
  <c r="E2684" i="120" s="1"/>
  <c r="E3077" i="120" s="1"/>
  <c r="D719" i="120"/>
  <c r="D1112" i="120" s="1"/>
  <c r="D1505" i="120" s="1"/>
  <c r="D1898" i="120" s="1"/>
  <c r="D2291" i="120" s="1"/>
  <c r="D2684" i="120" s="1"/>
  <c r="D3077" i="120" s="1"/>
  <c r="C719" i="120"/>
  <c r="C1112" i="120" s="1"/>
  <c r="C1505" i="120" s="1"/>
  <c r="C1898" i="120" s="1"/>
  <c r="C2291" i="120" s="1"/>
  <c r="C2684" i="120" s="1"/>
  <c r="C3077" i="120" s="1"/>
  <c r="B719" i="120"/>
  <c r="B1112" i="120" s="1"/>
  <c r="B1505" i="120" s="1"/>
  <c r="B1898" i="120" s="1"/>
  <c r="B2291" i="120" s="1"/>
  <c r="B2684" i="120" s="1"/>
  <c r="B3077" i="120" s="1"/>
  <c r="A719" i="120"/>
  <c r="A1112" i="120" s="1"/>
  <c r="A1505" i="120" s="1"/>
  <c r="A1898" i="120" s="1"/>
  <c r="A2291" i="120" s="1"/>
  <c r="A2684" i="120" s="1"/>
  <c r="A3077" i="120" s="1"/>
  <c r="M325" i="120"/>
  <c r="E718" i="120"/>
  <c r="E1111" i="120" s="1"/>
  <c r="E1504" i="120" s="1"/>
  <c r="E1897" i="120" s="1"/>
  <c r="E2290" i="120" s="1"/>
  <c r="E2683" i="120" s="1"/>
  <c r="E3076" i="120" s="1"/>
  <c r="D718" i="120"/>
  <c r="D1111" i="120" s="1"/>
  <c r="D1504" i="120" s="1"/>
  <c r="D1897" i="120" s="1"/>
  <c r="D2290" i="120" s="1"/>
  <c r="D2683" i="120" s="1"/>
  <c r="D3076" i="120" s="1"/>
  <c r="C718" i="120"/>
  <c r="C1111" i="120" s="1"/>
  <c r="C1504" i="120" s="1"/>
  <c r="C1897" i="120" s="1"/>
  <c r="C2290" i="120" s="1"/>
  <c r="C2683" i="120" s="1"/>
  <c r="C3076" i="120" s="1"/>
  <c r="B718" i="120"/>
  <c r="B1111" i="120" s="1"/>
  <c r="B1504" i="120" s="1"/>
  <c r="B1897" i="120" s="1"/>
  <c r="B2290" i="120" s="1"/>
  <c r="B2683" i="120" s="1"/>
  <c r="B3076" i="120" s="1"/>
  <c r="A718" i="120"/>
  <c r="A1111" i="120" s="1"/>
  <c r="A1504" i="120" s="1"/>
  <c r="A1897" i="120" s="1"/>
  <c r="A2290" i="120" s="1"/>
  <c r="A2683" i="120" s="1"/>
  <c r="A3076" i="120" s="1"/>
  <c r="M324" i="120"/>
  <c r="E717" i="120"/>
  <c r="E1110" i="120" s="1"/>
  <c r="E1503" i="120" s="1"/>
  <c r="E1896" i="120" s="1"/>
  <c r="E2289" i="120" s="1"/>
  <c r="E2682" i="120" s="1"/>
  <c r="E3075" i="120" s="1"/>
  <c r="D717" i="120"/>
  <c r="D1110" i="120" s="1"/>
  <c r="D1503" i="120" s="1"/>
  <c r="D1896" i="120" s="1"/>
  <c r="D2289" i="120" s="1"/>
  <c r="D2682" i="120" s="1"/>
  <c r="D3075" i="120" s="1"/>
  <c r="C717" i="120"/>
  <c r="C1110" i="120" s="1"/>
  <c r="C1503" i="120" s="1"/>
  <c r="C1896" i="120" s="1"/>
  <c r="C2289" i="120" s="1"/>
  <c r="C2682" i="120" s="1"/>
  <c r="C3075" i="120" s="1"/>
  <c r="B717" i="120"/>
  <c r="B1110" i="120" s="1"/>
  <c r="B1503" i="120" s="1"/>
  <c r="B1896" i="120" s="1"/>
  <c r="B2289" i="120" s="1"/>
  <c r="B2682" i="120" s="1"/>
  <c r="B3075" i="120" s="1"/>
  <c r="A717" i="120"/>
  <c r="A1110" i="120" s="1"/>
  <c r="A1503" i="120" s="1"/>
  <c r="A1896" i="120" s="1"/>
  <c r="A2289" i="120" s="1"/>
  <c r="A2682" i="120" s="1"/>
  <c r="A3075" i="120" s="1"/>
  <c r="M323" i="120"/>
  <c r="E716" i="120"/>
  <c r="E1109" i="120" s="1"/>
  <c r="E1502" i="120" s="1"/>
  <c r="E1895" i="120" s="1"/>
  <c r="E2288" i="120" s="1"/>
  <c r="E2681" i="120" s="1"/>
  <c r="E3074" i="120" s="1"/>
  <c r="D716" i="120"/>
  <c r="D1109" i="120" s="1"/>
  <c r="D1502" i="120" s="1"/>
  <c r="D1895" i="120" s="1"/>
  <c r="D2288" i="120" s="1"/>
  <c r="D2681" i="120" s="1"/>
  <c r="D3074" i="120" s="1"/>
  <c r="C716" i="120"/>
  <c r="C1109" i="120" s="1"/>
  <c r="C1502" i="120" s="1"/>
  <c r="C1895" i="120" s="1"/>
  <c r="C2288" i="120" s="1"/>
  <c r="C2681" i="120" s="1"/>
  <c r="C3074" i="120" s="1"/>
  <c r="B716" i="120"/>
  <c r="B1109" i="120" s="1"/>
  <c r="B1502" i="120" s="1"/>
  <c r="B1895" i="120" s="1"/>
  <c r="B2288" i="120" s="1"/>
  <c r="B2681" i="120" s="1"/>
  <c r="B3074" i="120" s="1"/>
  <c r="A716" i="120"/>
  <c r="A1109" i="120" s="1"/>
  <c r="A1502" i="120" s="1"/>
  <c r="A1895" i="120" s="1"/>
  <c r="A2288" i="120" s="1"/>
  <c r="A2681" i="120" s="1"/>
  <c r="A3074" i="120" s="1"/>
  <c r="M322" i="120"/>
  <c r="E715" i="120"/>
  <c r="E1108" i="120" s="1"/>
  <c r="E1501" i="120" s="1"/>
  <c r="E1894" i="120" s="1"/>
  <c r="E2287" i="120" s="1"/>
  <c r="E2680" i="120" s="1"/>
  <c r="E3073" i="120" s="1"/>
  <c r="D715" i="120"/>
  <c r="D1108" i="120" s="1"/>
  <c r="D1501" i="120" s="1"/>
  <c r="D1894" i="120" s="1"/>
  <c r="D2287" i="120" s="1"/>
  <c r="D2680" i="120" s="1"/>
  <c r="D3073" i="120" s="1"/>
  <c r="C715" i="120"/>
  <c r="C1108" i="120" s="1"/>
  <c r="C1501" i="120" s="1"/>
  <c r="C1894" i="120" s="1"/>
  <c r="C2287" i="120" s="1"/>
  <c r="C2680" i="120" s="1"/>
  <c r="C3073" i="120" s="1"/>
  <c r="B715" i="120"/>
  <c r="B1108" i="120" s="1"/>
  <c r="B1501" i="120" s="1"/>
  <c r="B1894" i="120" s="1"/>
  <c r="B2287" i="120" s="1"/>
  <c r="B2680" i="120" s="1"/>
  <c r="B3073" i="120" s="1"/>
  <c r="A715" i="120"/>
  <c r="A1108" i="120" s="1"/>
  <c r="A1501" i="120" s="1"/>
  <c r="A1894" i="120" s="1"/>
  <c r="A2287" i="120" s="1"/>
  <c r="A2680" i="120" s="1"/>
  <c r="A3073" i="120" s="1"/>
  <c r="M321" i="120"/>
  <c r="E714" i="120"/>
  <c r="E1107" i="120" s="1"/>
  <c r="E1500" i="120" s="1"/>
  <c r="E1893" i="120" s="1"/>
  <c r="E2286" i="120" s="1"/>
  <c r="E2679" i="120" s="1"/>
  <c r="E3072" i="120" s="1"/>
  <c r="D714" i="120"/>
  <c r="D1107" i="120" s="1"/>
  <c r="D1500" i="120" s="1"/>
  <c r="D1893" i="120" s="1"/>
  <c r="D2286" i="120" s="1"/>
  <c r="D2679" i="120" s="1"/>
  <c r="D3072" i="120" s="1"/>
  <c r="C714" i="120"/>
  <c r="C1107" i="120" s="1"/>
  <c r="C1500" i="120" s="1"/>
  <c r="C1893" i="120" s="1"/>
  <c r="C2286" i="120" s="1"/>
  <c r="C2679" i="120" s="1"/>
  <c r="C3072" i="120" s="1"/>
  <c r="B714" i="120"/>
  <c r="B1107" i="120" s="1"/>
  <c r="B1500" i="120" s="1"/>
  <c r="B1893" i="120" s="1"/>
  <c r="B2286" i="120" s="1"/>
  <c r="B2679" i="120" s="1"/>
  <c r="B3072" i="120" s="1"/>
  <c r="A714" i="120"/>
  <c r="A1107" i="120" s="1"/>
  <c r="A1500" i="120" s="1"/>
  <c r="A1893" i="120" s="1"/>
  <c r="A2286" i="120" s="1"/>
  <c r="A2679" i="120" s="1"/>
  <c r="A3072" i="120" s="1"/>
  <c r="M320" i="120"/>
  <c r="E713" i="120"/>
  <c r="E1106" i="120" s="1"/>
  <c r="E1499" i="120" s="1"/>
  <c r="E1892" i="120" s="1"/>
  <c r="E2285" i="120" s="1"/>
  <c r="E2678" i="120" s="1"/>
  <c r="E3071" i="120" s="1"/>
  <c r="D713" i="120"/>
  <c r="D1106" i="120" s="1"/>
  <c r="D1499" i="120" s="1"/>
  <c r="D1892" i="120" s="1"/>
  <c r="D2285" i="120" s="1"/>
  <c r="D2678" i="120" s="1"/>
  <c r="D3071" i="120" s="1"/>
  <c r="C713" i="120"/>
  <c r="C1106" i="120" s="1"/>
  <c r="C1499" i="120" s="1"/>
  <c r="C1892" i="120" s="1"/>
  <c r="C2285" i="120" s="1"/>
  <c r="C2678" i="120" s="1"/>
  <c r="C3071" i="120" s="1"/>
  <c r="B713" i="120"/>
  <c r="B1106" i="120" s="1"/>
  <c r="B1499" i="120" s="1"/>
  <c r="B1892" i="120" s="1"/>
  <c r="B2285" i="120" s="1"/>
  <c r="B2678" i="120" s="1"/>
  <c r="B3071" i="120" s="1"/>
  <c r="A713" i="120"/>
  <c r="A1106" i="120" s="1"/>
  <c r="A1499" i="120" s="1"/>
  <c r="A1892" i="120" s="1"/>
  <c r="A2285" i="120" s="1"/>
  <c r="A2678" i="120" s="1"/>
  <c r="A3071" i="120" s="1"/>
  <c r="M319" i="120"/>
  <c r="E712" i="120"/>
  <c r="E1105" i="120" s="1"/>
  <c r="E1498" i="120" s="1"/>
  <c r="E1891" i="120" s="1"/>
  <c r="E2284" i="120" s="1"/>
  <c r="E2677" i="120" s="1"/>
  <c r="E3070" i="120" s="1"/>
  <c r="D712" i="120"/>
  <c r="D1105" i="120" s="1"/>
  <c r="D1498" i="120" s="1"/>
  <c r="D1891" i="120" s="1"/>
  <c r="D2284" i="120" s="1"/>
  <c r="D2677" i="120" s="1"/>
  <c r="D3070" i="120" s="1"/>
  <c r="C712" i="120"/>
  <c r="C1105" i="120" s="1"/>
  <c r="C1498" i="120" s="1"/>
  <c r="C1891" i="120" s="1"/>
  <c r="C2284" i="120" s="1"/>
  <c r="C2677" i="120" s="1"/>
  <c r="C3070" i="120" s="1"/>
  <c r="B712" i="120"/>
  <c r="B1105" i="120" s="1"/>
  <c r="B1498" i="120" s="1"/>
  <c r="B1891" i="120" s="1"/>
  <c r="B2284" i="120" s="1"/>
  <c r="B2677" i="120" s="1"/>
  <c r="B3070" i="120" s="1"/>
  <c r="A712" i="120"/>
  <c r="A1105" i="120" s="1"/>
  <c r="A1498" i="120" s="1"/>
  <c r="A1891" i="120" s="1"/>
  <c r="A2284" i="120" s="1"/>
  <c r="A2677" i="120" s="1"/>
  <c r="A3070" i="120" s="1"/>
  <c r="M318" i="120"/>
  <c r="E711" i="120"/>
  <c r="E1104" i="120" s="1"/>
  <c r="E1497" i="120" s="1"/>
  <c r="E1890" i="120" s="1"/>
  <c r="E2283" i="120" s="1"/>
  <c r="E2676" i="120" s="1"/>
  <c r="E3069" i="120" s="1"/>
  <c r="D711" i="120"/>
  <c r="D1104" i="120" s="1"/>
  <c r="D1497" i="120" s="1"/>
  <c r="D1890" i="120" s="1"/>
  <c r="D2283" i="120" s="1"/>
  <c r="D2676" i="120" s="1"/>
  <c r="D3069" i="120" s="1"/>
  <c r="C711" i="120"/>
  <c r="C1104" i="120" s="1"/>
  <c r="C1497" i="120" s="1"/>
  <c r="C1890" i="120" s="1"/>
  <c r="C2283" i="120" s="1"/>
  <c r="C2676" i="120" s="1"/>
  <c r="C3069" i="120" s="1"/>
  <c r="B711" i="120"/>
  <c r="B1104" i="120" s="1"/>
  <c r="B1497" i="120" s="1"/>
  <c r="B1890" i="120" s="1"/>
  <c r="B2283" i="120" s="1"/>
  <c r="B2676" i="120" s="1"/>
  <c r="B3069" i="120" s="1"/>
  <c r="A711" i="120"/>
  <c r="A1104" i="120" s="1"/>
  <c r="A1497" i="120" s="1"/>
  <c r="A1890" i="120" s="1"/>
  <c r="A2283" i="120" s="1"/>
  <c r="A2676" i="120" s="1"/>
  <c r="A3069" i="120" s="1"/>
  <c r="M317" i="120"/>
  <c r="E710" i="120"/>
  <c r="E1103" i="120" s="1"/>
  <c r="E1496" i="120" s="1"/>
  <c r="E1889" i="120" s="1"/>
  <c r="E2282" i="120" s="1"/>
  <c r="E2675" i="120" s="1"/>
  <c r="E3068" i="120" s="1"/>
  <c r="D710" i="120"/>
  <c r="D1103" i="120" s="1"/>
  <c r="D1496" i="120" s="1"/>
  <c r="D1889" i="120" s="1"/>
  <c r="D2282" i="120" s="1"/>
  <c r="D2675" i="120" s="1"/>
  <c r="D3068" i="120" s="1"/>
  <c r="C710" i="120"/>
  <c r="C1103" i="120" s="1"/>
  <c r="C1496" i="120" s="1"/>
  <c r="C1889" i="120" s="1"/>
  <c r="C2282" i="120" s="1"/>
  <c r="C2675" i="120" s="1"/>
  <c r="C3068" i="120" s="1"/>
  <c r="B710" i="120"/>
  <c r="B1103" i="120" s="1"/>
  <c r="B1496" i="120" s="1"/>
  <c r="B1889" i="120" s="1"/>
  <c r="B2282" i="120" s="1"/>
  <c r="B2675" i="120" s="1"/>
  <c r="B3068" i="120" s="1"/>
  <c r="A710" i="120"/>
  <c r="A1103" i="120" s="1"/>
  <c r="A1496" i="120" s="1"/>
  <c r="A1889" i="120" s="1"/>
  <c r="A2282" i="120" s="1"/>
  <c r="A2675" i="120" s="1"/>
  <c r="A3068" i="120" s="1"/>
  <c r="M316" i="120"/>
  <c r="G709" i="120"/>
  <c r="G1102" i="120" s="1"/>
  <c r="G1495" i="120" s="1"/>
  <c r="G1888" i="120" s="1"/>
  <c r="G2281" i="120" s="1"/>
  <c r="G2674" i="120" s="1"/>
  <c r="G3067" i="120" s="1"/>
  <c r="E709" i="120"/>
  <c r="E1102" i="120" s="1"/>
  <c r="E1495" i="120" s="1"/>
  <c r="E1888" i="120" s="1"/>
  <c r="E2281" i="120" s="1"/>
  <c r="E2674" i="120" s="1"/>
  <c r="E3067" i="120" s="1"/>
  <c r="D709" i="120"/>
  <c r="D1102" i="120" s="1"/>
  <c r="D1495" i="120" s="1"/>
  <c r="D1888" i="120" s="1"/>
  <c r="D2281" i="120" s="1"/>
  <c r="D2674" i="120" s="1"/>
  <c r="D3067" i="120" s="1"/>
  <c r="C709" i="120"/>
  <c r="C1102" i="120" s="1"/>
  <c r="C1495" i="120" s="1"/>
  <c r="C1888" i="120" s="1"/>
  <c r="C2281" i="120" s="1"/>
  <c r="C2674" i="120" s="1"/>
  <c r="C3067" i="120" s="1"/>
  <c r="B709" i="120"/>
  <c r="B1102" i="120" s="1"/>
  <c r="B1495" i="120" s="1"/>
  <c r="B1888" i="120" s="1"/>
  <c r="B2281" i="120" s="1"/>
  <c r="B2674" i="120" s="1"/>
  <c r="B3067" i="120" s="1"/>
  <c r="A709" i="120"/>
  <c r="A1102" i="120" s="1"/>
  <c r="A1495" i="120" s="1"/>
  <c r="A1888" i="120" s="1"/>
  <c r="A2281" i="120" s="1"/>
  <c r="A2674" i="120" s="1"/>
  <c r="A3067" i="120" s="1"/>
  <c r="M315" i="120"/>
  <c r="E708" i="120"/>
  <c r="E1101" i="120" s="1"/>
  <c r="E1494" i="120" s="1"/>
  <c r="E1887" i="120" s="1"/>
  <c r="E2280" i="120" s="1"/>
  <c r="E2673" i="120" s="1"/>
  <c r="E3066" i="120" s="1"/>
  <c r="D708" i="120"/>
  <c r="D1101" i="120" s="1"/>
  <c r="D1494" i="120" s="1"/>
  <c r="D1887" i="120" s="1"/>
  <c r="D2280" i="120" s="1"/>
  <c r="D2673" i="120" s="1"/>
  <c r="D3066" i="120" s="1"/>
  <c r="C708" i="120"/>
  <c r="C1101" i="120" s="1"/>
  <c r="C1494" i="120" s="1"/>
  <c r="C1887" i="120" s="1"/>
  <c r="C2280" i="120" s="1"/>
  <c r="C2673" i="120" s="1"/>
  <c r="C3066" i="120" s="1"/>
  <c r="B708" i="120"/>
  <c r="B1101" i="120" s="1"/>
  <c r="B1494" i="120" s="1"/>
  <c r="B1887" i="120" s="1"/>
  <c r="B2280" i="120" s="1"/>
  <c r="B2673" i="120" s="1"/>
  <c r="B3066" i="120" s="1"/>
  <c r="A708" i="120"/>
  <c r="M314" i="120"/>
  <c r="E707" i="120"/>
  <c r="E1100" i="120" s="1"/>
  <c r="E1493" i="120" s="1"/>
  <c r="E1886" i="120" s="1"/>
  <c r="E2279" i="120" s="1"/>
  <c r="E2672" i="120" s="1"/>
  <c r="E3065" i="120" s="1"/>
  <c r="D707" i="120"/>
  <c r="D1100" i="120" s="1"/>
  <c r="D1493" i="120" s="1"/>
  <c r="D1886" i="120" s="1"/>
  <c r="D2279" i="120" s="1"/>
  <c r="D2672" i="120" s="1"/>
  <c r="D3065" i="120" s="1"/>
  <c r="C707" i="120"/>
  <c r="C1100" i="120" s="1"/>
  <c r="C1493" i="120" s="1"/>
  <c r="C1886" i="120" s="1"/>
  <c r="C2279" i="120" s="1"/>
  <c r="C2672" i="120" s="1"/>
  <c r="C3065" i="120" s="1"/>
  <c r="B707" i="120"/>
  <c r="B1100" i="120" s="1"/>
  <c r="B1493" i="120" s="1"/>
  <c r="B1886" i="120" s="1"/>
  <c r="B2279" i="120" s="1"/>
  <c r="B2672" i="120" s="1"/>
  <c r="B3065" i="120" s="1"/>
  <c r="A707" i="120"/>
  <c r="A1100" i="120" s="1"/>
  <c r="A1493" i="120" s="1"/>
  <c r="A1886" i="120" s="1"/>
  <c r="A2279" i="120" s="1"/>
  <c r="A2672" i="120" s="1"/>
  <c r="A3065" i="120" s="1"/>
  <c r="M313" i="120"/>
  <c r="G706" i="120"/>
  <c r="G1099" i="120" s="1"/>
  <c r="G1492" i="120" s="1"/>
  <c r="G1885" i="120" s="1"/>
  <c r="G2278" i="120" s="1"/>
  <c r="G2671" i="120" s="1"/>
  <c r="G3064" i="120" s="1"/>
  <c r="E706" i="120"/>
  <c r="E1099" i="120" s="1"/>
  <c r="E1492" i="120" s="1"/>
  <c r="E1885" i="120" s="1"/>
  <c r="E2278" i="120" s="1"/>
  <c r="E2671" i="120" s="1"/>
  <c r="E3064" i="120" s="1"/>
  <c r="D706" i="120"/>
  <c r="D1099" i="120" s="1"/>
  <c r="D1492" i="120" s="1"/>
  <c r="D1885" i="120" s="1"/>
  <c r="D2278" i="120" s="1"/>
  <c r="D2671" i="120" s="1"/>
  <c r="D3064" i="120" s="1"/>
  <c r="C706" i="120"/>
  <c r="C1099" i="120" s="1"/>
  <c r="C1492" i="120" s="1"/>
  <c r="C1885" i="120" s="1"/>
  <c r="C2278" i="120" s="1"/>
  <c r="C2671" i="120" s="1"/>
  <c r="C3064" i="120" s="1"/>
  <c r="B706" i="120"/>
  <c r="B1099" i="120" s="1"/>
  <c r="B1492" i="120" s="1"/>
  <c r="B1885" i="120" s="1"/>
  <c r="B2278" i="120" s="1"/>
  <c r="B2671" i="120" s="1"/>
  <c r="B3064" i="120" s="1"/>
  <c r="A706" i="120"/>
  <c r="A1099" i="120" s="1"/>
  <c r="A1492" i="120" s="1"/>
  <c r="A1885" i="120" s="1"/>
  <c r="A2278" i="120" s="1"/>
  <c r="A2671" i="120" s="1"/>
  <c r="A3064" i="120" s="1"/>
  <c r="M312" i="120"/>
  <c r="E705" i="120"/>
  <c r="E1098" i="120" s="1"/>
  <c r="E1491" i="120" s="1"/>
  <c r="E1884" i="120" s="1"/>
  <c r="E2277" i="120" s="1"/>
  <c r="E2670" i="120" s="1"/>
  <c r="E3063" i="120" s="1"/>
  <c r="D705" i="120"/>
  <c r="D1098" i="120" s="1"/>
  <c r="D1491" i="120" s="1"/>
  <c r="D1884" i="120" s="1"/>
  <c r="D2277" i="120" s="1"/>
  <c r="D2670" i="120" s="1"/>
  <c r="D3063" i="120" s="1"/>
  <c r="C705" i="120"/>
  <c r="C1098" i="120" s="1"/>
  <c r="C1491" i="120" s="1"/>
  <c r="C1884" i="120" s="1"/>
  <c r="C2277" i="120" s="1"/>
  <c r="C2670" i="120" s="1"/>
  <c r="C3063" i="120" s="1"/>
  <c r="B705" i="120"/>
  <c r="B1098" i="120" s="1"/>
  <c r="B1491" i="120" s="1"/>
  <c r="B1884" i="120" s="1"/>
  <c r="B2277" i="120" s="1"/>
  <c r="B2670" i="120" s="1"/>
  <c r="B3063" i="120" s="1"/>
  <c r="A705" i="120"/>
  <c r="A1098" i="120" s="1"/>
  <c r="A1491" i="120" s="1"/>
  <c r="A1884" i="120" s="1"/>
  <c r="A2277" i="120" s="1"/>
  <c r="A2670" i="120" s="1"/>
  <c r="A3063" i="120" s="1"/>
  <c r="M311" i="120"/>
  <c r="E704" i="120"/>
  <c r="E1097" i="120" s="1"/>
  <c r="E1490" i="120" s="1"/>
  <c r="E1883" i="120" s="1"/>
  <c r="E2276" i="120" s="1"/>
  <c r="E2669" i="120" s="1"/>
  <c r="E3062" i="120" s="1"/>
  <c r="D704" i="120"/>
  <c r="D1097" i="120" s="1"/>
  <c r="D1490" i="120" s="1"/>
  <c r="D1883" i="120" s="1"/>
  <c r="D2276" i="120" s="1"/>
  <c r="D2669" i="120" s="1"/>
  <c r="D3062" i="120" s="1"/>
  <c r="C704" i="120"/>
  <c r="C1097" i="120" s="1"/>
  <c r="C1490" i="120" s="1"/>
  <c r="C1883" i="120" s="1"/>
  <c r="C2276" i="120" s="1"/>
  <c r="C2669" i="120" s="1"/>
  <c r="C3062" i="120" s="1"/>
  <c r="B704" i="120"/>
  <c r="B1097" i="120" s="1"/>
  <c r="B1490" i="120" s="1"/>
  <c r="B1883" i="120" s="1"/>
  <c r="B2276" i="120" s="1"/>
  <c r="B2669" i="120" s="1"/>
  <c r="B3062" i="120" s="1"/>
  <c r="A704" i="120"/>
  <c r="A1097" i="120" s="1"/>
  <c r="A1490" i="120" s="1"/>
  <c r="A1883" i="120" s="1"/>
  <c r="A2276" i="120" s="1"/>
  <c r="A2669" i="120" s="1"/>
  <c r="A3062" i="120" s="1"/>
  <c r="M310" i="120"/>
  <c r="E703" i="120"/>
  <c r="E1096" i="120" s="1"/>
  <c r="E1489" i="120" s="1"/>
  <c r="E1882" i="120" s="1"/>
  <c r="E2275" i="120" s="1"/>
  <c r="E2668" i="120" s="1"/>
  <c r="E3061" i="120" s="1"/>
  <c r="D703" i="120"/>
  <c r="D1096" i="120" s="1"/>
  <c r="D1489" i="120" s="1"/>
  <c r="D1882" i="120" s="1"/>
  <c r="D2275" i="120" s="1"/>
  <c r="D2668" i="120" s="1"/>
  <c r="D3061" i="120" s="1"/>
  <c r="C703" i="120"/>
  <c r="C1096" i="120" s="1"/>
  <c r="C1489" i="120" s="1"/>
  <c r="C1882" i="120" s="1"/>
  <c r="C2275" i="120" s="1"/>
  <c r="C2668" i="120" s="1"/>
  <c r="C3061" i="120" s="1"/>
  <c r="B703" i="120"/>
  <c r="B1096" i="120" s="1"/>
  <c r="B1489" i="120" s="1"/>
  <c r="B1882" i="120" s="1"/>
  <c r="B2275" i="120" s="1"/>
  <c r="B2668" i="120" s="1"/>
  <c r="B3061" i="120" s="1"/>
  <c r="A703" i="120"/>
  <c r="A1096" i="120" s="1"/>
  <c r="A1489" i="120" s="1"/>
  <c r="A1882" i="120" s="1"/>
  <c r="A2275" i="120" s="1"/>
  <c r="A2668" i="120" s="1"/>
  <c r="A3061" i="120" s="1"/>
  <c r="M309" i="120"/>
  <c r="E702" i="120"/>
  <c r="E1095" i="120" s="1"/>
  <c r="E1488" i="120" s="1"/>
  <c r="E1881" i="120" s="1"/>
  <c r="E2274" i="120" s="1"/>
  <c r="E2667" i="120" s="1"/>
  <c r="E3060" i="120" s="1"/>
  <c r="D702" i="120"/>
  <c r="D1095" i="120" s="1"/>
  <c r="D1488" i="120" s="1"/>
  <c r="D1881" i="120" s="1"/>
  <c r="D2274" i="120" s="1"/>
  <c r="D2667" i="120" s="1"/>
  <c r="D3060" i="120" s="1"/>
  <c r="C702" i="120"/>
  <c r="C1095" i="120" s="1"/>
  <c r="C1488" i="120" s="1"/>
  <c r="C1881" i="120" s="1"/>
  <c r="C2274" i="120" s="1"/>
  <c r="C2667" i="120" s="1"/>
  <c r="C3060" i="120" s="1"/>
  <c r="B702" i="120"/>
  <c r="B1095" i="120" s="1"/>
  <c r="B1488" i="120" s="1"/>
  <c r="B1881" i="120" s="1"/>
  <c r="B2274" i="120" s="1"/>
  <c r="B2667" i="120" s="1"/>
  <c r="B3060" i="120" s="1"/>
  <c r="A702" i="120"/>
  <c r="A1095" i="120" s="1"/>
  <c r="A1488" i="120" s="1"/>
  <c r="A1881" i="120" s="1"/>
  <c r="A2274" i="120" s="1"/>
  <c r="A2667" i="120" s="1"/>
  <c r="A3060" i="120" s="1"/>
  <c r="M308" i="120"/>
  <c r="E701" i="120"/>
  <c r="E1094" i="120" s="1"/>
  <c r="E1487" i="120" s="1"/>
  <c r="E1880" i="120" s="1"/>
  <c r="E2273" i="120" s="1"/>
  <c r="E2666" i="120" s="1"/>
  <c r="E3059" i="120" s="1"/>
  <c r="D701" i="120"/>
  <c r="D1094" i="120" s="1"/>
  <c r="D1487" i="120" s="1"/>
  <c r="D1880" i="120" s="1"/>
  <c r="D2273" i="120" s="1"/>
  <c r="D2666" i="120" s="1"/>
  <c r="D3059" i="120" s="1"/>
  <c r="C701" i="120"/>
  <c r="C1094" i="120" s="1"/>
  <c r="C1487" i="120" s="1"/>
  <c r="C1880" i="120" s="1"/>
  <c r="C2273" i="120" s="1"/>
  <c r="C2666" i="120" s="1"/>
  <c r="C3059" i="120" s="1"/>
  <c r="B701" i="120"/>
  <c r="B1094" i="120" s="1"/>
  <c r="B1487" i="120" s="1"/>
  <c r="B1880" i="120" s="1"/>
  <c r="B2273" i="120" s="1"/>
  <c r="B2666" i="120" s="1"/>
  <c r="B3059" i="120" s="1"/>
  <c r="A701" i="120"/>
  <c r="A1094" i="120" s="1"/>
  <c r="A1487" i="120" s="1"/>
  <c r="A1880" i="120" s="1"/>
  <c r="A2273" i="120" s="1"/>
  <c r="A2666" i="120" s="1"/>
  <c r="A3059" i="120" s="1"/>
  <c r="M307" i="120"/>
  <c r="E700" i="120"/>
  <c r="E1093" i="120" s="1"/>
  <c r="E1486" i="120" s="1"/>
  <c r="E1879" i="120" s="1"/>
  <c r="E2272" i="120" s="1"/>
  <c r="E2665" i="120" s="1"/>
  <c r="E3058" i="120" s="1"/>
  <c r="D700" i="120"/>
  <c r="D1093" i="120" s="1"/>
  <c r="D1486" i="120" s="1"/>
  <c r="D1879" i="120" s="1"/>
  <c r="D2272" i="120" s="1"/>
  <c r="D2665" i="120" s="1"/>
  <c r="D3058" i="120" s="1"/>
  <c r="C700" i="120"/>
  <c r="C1093" i="120" s="1"/>
  <c r="C1486" i="120" s="1"/>
  <c r="C1879" i="120" s="1"/>
  <c r="C2272" i="120" s="1"/>
  <c r="C2665" i="120" s="1"/>
  <c r="C3058" i="120" s="1"/>
  <c r="B700" i="120"/>
  <c r="B1093" i="120" s="1"/>
  <c r="B1486" i="120" s="1"/>
  <c r="B1879" i="120" s="1"/>
  <c r="B2272" i="120" s="1"/>
  <c r="B2665" i="120" s="1"/>
  <c r="B3058" i="120" s="1"/>
  <c r="A700" i="120"/>
  <c r="A1093" i="120" s="1"/>
  <c r="A1486" i="120" s="1"/>
  <c r="A1879" i="120" s="1"/>
  <c r="A2272" i="120" s="1"/>
  <c r="A2665" i="120" s="1"/>
  <c r="A3058" i="120" s="1"/>
  <c r="M306" i="120"/>
  <c r="E699" i="120"/>
  <c r="E1092" i="120" s="1"/>
  <c r="E1485" i="120" s="1"/>
  <c r="E1878" i="120" s="1"/>
  <c r="E2271" i="120" s="1"/>
  <c r="E2664" i="120" s="1"/>
  <c r="E3057" i="120" s="1"/>
  <c r="C699" i="120"/>
  <c r="C1092" i="120" s="1"/>
  <c r="C1485" i="120" s="1"/>
  <c r="C1878" i="120" s="1"/>
  <c r="C2271" i="120" s="1"/>
  <c r="C2664" i="120" s="1"/>
  <c r="C3057" i="120" s="1"/>
  <c r="B699" i="120"/>
  <c r="B1092" i="120" s="1"/>
  <c r="B1485" i="120" s="1"/>
  <c r="B1878" i="120" s="1"/>
  <c r="B2271" i="120" s="1"/>
  <c r="B2664" i="120" s="1"/>
  <c r="B3057" i="120" s="1"/>
  <c r="A699" i="120"/>
  <c r="A1092" i="120" s="1"/>
  <c r="A1485" i="120" s="1"/>
  <c r="A1878" i="120" s="1"/>
  <c r="A2271" i="120" s="1"/>
  <c r="A2664" i="120" s="1"/>
  <c r="A3057" i="120" s="1"/>
  <c r="M305" i="120"/>
  <c r="E698" i="120"/>
  <c r="E1091" i="120" s="1"/>
  <c r="E1484" i="120" s="1"/>
  <c r="E1877" i="120" s="1"/>
  <c r="E2270" i="120" s="1"/>
  <c r="E2663" i="120" s="1"/>
  <c r="E3056" i="120" s="1"/>
  <c r="D698" i="120"/>
  <c r="D1091" i="120" s="1"/>
  <c r="D1484" i="120" s="1"/>
  <c r="D1877" i="120" s="1"/>
  <c r="D2270" i="120" s="1"/>
  <c r="D2663" i="120" s="1"/>
  <c r="D3056" i="120" s="1"/>
  <c r="C698" i="120"/>
  <c r="C1091" i="120" s="1"/>
  <c r="C1484" i="120" s="1"/>
  <c r="C1877" i="120" s="1"/>
  <c r="C2270" i="120" s="1"/>
  <c r="C2663" i="120" s="1"/>
  <c r="C3056" i="120" s="1"/>
  <c r="B698" i="120"/>
  <c r="B1091" i="120" s="1"/>
  <c r="B1484" i="120" s="1"/>
  <c r="B1877" i="120" s="1"/>
  <c r="B2270" i="120" s="1"/>
  <c r="B2663" i="120" s="1"/>
  <c r="B3056" i="120" s="1"/>
  <c r="A698" i="120"/>
  <c r="A1091" i="120" s="1"/>
  <c r="A1484" i="120" s="1"/>
  <c r="A1877" i="120" s="1"/>
  <c r="A2270" i="120" s="1"/>
  <c r="A2663" i="120" s="1"/>
  <c r="A3056" i="120" s="1"/>
  <c r="M304" i="120"/>
  <c r="E697" i="120"/>
  <c r="E1090" i="120" s="1"/>
  <c r="E1483" i="120" s="1"/>
  <c r="E1876" i="120" s="1"/>
  <c r="E2269" i="120" s="1"/>
  <c r="E2662" i="120" s="1"/>
  <c r="E3055" i="120" s="1"/>
  <c r="D697" i="120"/>
  <c r="D1090" i="120" s="1"/>
  <c r="D1483" i="120" s="1"/>
  <c r="D1876" i="120" s="1"/>
  <c r="D2269" i="120" s="1"/>
  <c r="D2662" i="120" s="1"/>
  <c r="D3055" i="120" s="1"/>
  <c r="C697" i="120"/>
  <c r="C1090" i="120" s="1"/>
  <c r="C1483" i="120" s="1"/>
  <c r="C1876" i="120" s="1"/>
  <c r="C2269" i="120" s="1"/>
  <c r="C2662" i="120" s="1"/>
  <c r="C3055" i="120" s="1"/>
  <c r="B697" i="120"/>
  <c r="B1090" i="120" s="1"/>
  <c r="B1483" i="120" s="1"/>
  <c r="B1876" i="120" s="1"/>
  <c r="B2269" i="120" s="1"/>
  <c r="B2662" i="120" s="1"/>
  <c r="B3055" i="120" s="1"/>
  <c r="A697" i="120"/>
  <c r="A1090" i="120" s="1"/>
  <c r="A1483" i="120" s="1"/>
  <c r="A1876" i="120" s="1"/>
  <c r="A2269" i="120" s="1"/>
  <c r="A2662" i="120" s="1"/>
  <c r="A3055" i="120" s="1"/>
  <c r="M303" i="120"/>
  <c r="G696" i="120"/>
  <c r="G1089" i="120" s="1"/>
  <c r="G1482" i="120" s="1"/>
  <c r="G1875" i="120" s="1"/>
  <c r="G2268" i="120" s="1"/>
  <c r="G2661" i="120" s="1"/>
  <c r="G3054" i="120" s="1"/>
  <c r="E696" i="120"/>
  <c r="E1089" i="120" s="1"/>
  <c r="E1482" i="120" s="1"/>
  <c r="E1875" i="120" s="1"/>
  <c r="E2268" i="120" s="1"/>
  <c r="E2661" i="120" s="1"/>
  <c r="E3054" i="120" s="1"/>
  <c r="D696" i="120"/>
  <c r="D1089" i="120" s="1"/>
  <c r="D1482" i="120" s="1"/>
  <c r="D1875" i="120" s="1"/>
  <c r="D2268" i="120" s="1"/>
  <c r="D2661" i="120" s="1"/>
  <c r="D3054" i="120" s="1"/>
  <c r="C696" i="120"/>
  <c r="C1089" i="120" s="1"/>
  <c r="C1482" i="120" s="1"/>
  <c r="C1875" i="120" s="1"/>
  <c r="C2268" i="120" s="1"/>
  <c r="C2661" i="120" s="1"/>
  <c r="C3054" i="120" s="1"/>
  <c r="B696" i="120"/>
  <c r="B1089" i="120" s="1"/>
  <c r="B1482" i="120" s="1"/>
  <c r="B1875" i="120" s="1"/>
  <c r="B2268" i="120" s="1"/>
  <c r="B2661" i="120" s="1"/>
  <c r="B3054" i="120" s="1"/>
  <c r="A696" i="120"/>
  <c r="A1089" i="120" s="1"/>
  <c r="A1482" i="120" s="1"/>
  <c r="A1875" i="120" s="1"/>
  <c r="A2268" i="120" s="1"/>
  <c r="A2661" i="120" s="1"/>
  <c r="A3054" i="120" s="1"/>
  <c r="M302" i="120"/>
  <c r="E695" i="120"/>
  <c r="E1088" i="120" s="1"/>
  <c r="E1481" i="120" s="1"/>
  <c r="E1874" i="120" s="1"/>
  <c r="E2267" i="120" s="1"/>
  <c r="E2660" i="120" s="1"/>
  <c r="E3053" i="120" s="1"/>
  <c r="D695" i="120"/>
  <c r="D1088" i="120" s="1"/>
  <c r="D1481" i="120" s="1"/>
  <c r="D1874" i="120" s="1"/>
  <c r="D2267" i="120" s="1"/>
  <c r="D2660" i="120" s="1"/>
  <c r="D3053" i="120" s="1"/>
  <c r="C695" i="120"/>
  <c r="C1088" i="120" s="1"/>
  <c r="C1481" i="120" s="1"/>
  <c r="C1874" i="120" s="1"/>
  <c r="C2267" i="120" s="1"/>
  <c r="C2660" i="120" s="1"/>
  <c r="C3053" i="120" s="1"/>
  <c r="B695" i="120"/>
  <c r="B1088" i="120" s="1"/>
  <c r="B1481" i="120" s="1"/>
  <c r="B1874" i="120" s="1"/>
  <c r="B2267" i="120" s="1"/>
  <c r="B2660" i="120" s="1"/>
  <c r="B3053" i="120" s="1"/>
  <c r="A695" i="120"/>
  <c r="A1088" i="120" s="1"/>
  <c r="A1481" i="120" s="1"/>
  <c r="A1874" i="120" s="1"/>
  <c r="A2267" i="120" s="1"/>
  <c r="A2660" i="120" s="1"/>
  <c r="A3053" i="120" s="1"/>
  <c r="M301" i="120"/>
  <c r="E694" i="120"/>
  <c r="E1087" i="120" s="1"/>
  <c r="E1480" i="120" s="1"/>
  <c r="E1873" i="120" s="1"/>
  <c r="E2266" i="120" s="1"/>
  <c r="E2659" i="120" s="1"/>
  <c r="E3052" i="120" s="1"/>
  <c r="D694" i="120"/>
  <c r="D1087" i="120" s="1"/>
  <c r="D1480" i="120" s="1"/>
  <c r="D1873" i="120" s="1"/>
  <c r="D2266" i="120" s="1"/>
  <c r="D2659" i="120" s="1"/>
  <c r="D3052" i="120" s="1"/>
  <c r="C694" i="120"/>
  <c r="C1087" i="120" s="1"/>
  <c r="C1480" i="120" s="1"/>
  <c r="C1873" i="120" s="1"/>
  <c r="C2266" i="120" s="1"/>
  <c r="C2659" i="120" s="1"/>
  <c r="C3052" i="120" s="1"/>
  <c r="B694" i="120"/>
  <c r="B1087" i="120" s="1"/>
  <c r="B1480" i="120" s="1"/>
  <c r="B1873" i="120" s="1"/>
  <c r="B2266" i="120" s="1"/>
  <c r="B2659" i="120" s="1"/>
  <c r="B3052" i="120" s="1"/>
  <c r="A694" i="120"/>
  <c r="A1087" i="120" s="1"/>
  <c r="A1480" i="120" s="1"/>
  <c r="A1873" i="120" s="1"/>
  <c r="A2266" i="120" s="1"/>
  <c r="A2659" i="120" s="1"/>
  <c r="A3052" i="120" s="1"/>
  <c r="M300" i="120"/>
  <c r="E693" i="120"/>
  <c r="E1086" i="120" s="1"/>
  <c r="E1479" i="120" s="1"/>
  <c r="E1872" i="120" s="1"/>
  <c r="E2265" i="120" s="1"/>
  <c r="E2658" i="120" s="1"/>
  <c r="E3051" i="120" s="1"/>
  <c r="D693" i="120"/>
  <c r="D1086" i="120" s="1"/>
  <c r="D1479" i="120" s="1"/>
  <c r="D1872" i="120" s="1"/>
  <c r="D2265" i="120" s="1"/>
  <c r="D2658" i="120" s="1"/>
  <c r="D3051" i="120" s="1"/>
  <c r="C693" i="120"/>
  <c r="C1086" i="120" s="1"/>
  <c r="C1479" i="120" s="1"/>
  <c r="C1872" i="120" s="1"/>
  <c r="C2265" i="120" s="1"/>
  <c r="C2658" i="120" s="1"/>
  <c r="C3051" i="120" s="1"/>
  <c r="B693" i="120"/>
  <c r="B1086" i="120" s="1"/>
  <c r="B1479" i="120" s="1"/>
  <c r="B1872" i="120" s="1"/>
  <c r="B2265" i="120" s="1"/>
  <c r="B2658" i="120" s="1"/>
  <c r="B3051" i="120" s="1"/>
  <c r="A693" i="120"/>
  <c r="A1086" i="120" s="1"/>
  <c r="A1479" i="120" s="1"/>
  <c r="A1872" i="120" s="1"/>
  <c r="A2265" i="120" s="1"/>
  <c r="A2658" i="120" s="1"/>
  <c r="A3051" i="120" s="1"/>
  <c r="M299" i="120"/>
  <c r="E692" i="120"/>
  <c r="E1085" i="120" s="1"/>
  <c r="E1478" i="120" s="1"/>
  <c r="E1871" i="120" s="1"/>
  <c r="E2264" i="120" s="1"/>
  <c r="E2657" i="120" s="1"/>
  <c r="E3050" i="120" s="1"/>
  <c r="D692" i="120"/>
  <c r="D1085" i="120" s="1"/>
  <c r="D1478" i="120" s="1"/>
  <c r="D1871" i="120" s="1"/>
  <c r="D2264" i="120" s="1"/>
  <c r="D2657" i="120" s="1"/>
  <c r="D3050" i="120" s="1"/>
  <c r="C692" i="120"/>
  <c r="C1085" i="120" s="1"/>
  <c r="C1478" i="120" s="1"/>
  <c r="C1871" i="120" s="1"/>
  <c r="C2264" i="120" s="1"/>
  <c r="C2657" i="120" s="1"/>
  <c r="C3050" i="120" s="1"/>
  <c r="B692" i="120"/>
  <c r="B1085" i="120" s="1"/>
  <c r="B1478" i="120" s="1"/>
  <c r="B1871" i="120" s="1"/>
  <c r="B2264" i="120" s="1"/>
  <c r="B2657" i="120" s="1"/>
  <c r="B3050" i="120" s="1"/>
  <c r="A692" i="120"/>
  <c r="A1085" i="120" s="1"/>
  <c r="A1478" i="120" s="1"/>
  <c r="A1871" i="120" s="1"/>
  <c r="A2264" i="120" s="1"/>
  <c r="A2657" i="120" s="1"/>
  <c r="A3050" i="120" s="1"/>
  <c r="M298" i="120"/>
  <c r="E691" i="120"/>
  <c r="E1084" i="120" s="1"/>
  <c r="E1477" i="120" s="1"/>
  <c r="E1870" i="120" s="1"/>
  <c r="E2263" i="120" s="1"/>
  <c r="E2656" i="120" s="1"/>
  <c r="E3049" i="120" s="1"/>
  <c r="D691" i="120"/>
  <c r="D1084" i="120" s="1"/>
  <c r="D1477" i="120" s="1"/>
  <c r="D1870" i="120" s="1"/>
  <c r="D2263" i="120" s="1"/>
  <c r="D2656" i="120" s="1"/>
  <c r="D3049" i="120" s="1"/>
  <c r="C691" i="120"/>
  <c r="C1084" i="120" s="1"/>
  <c r="C1477" i="120" s="1"/>
  <c r="C1870" i="120" s="1"/>
  <c r="C2263" i="120" s="1"/>
  <c r="C2656" i="120" s="1"/>
  <c r="C3049" i="120" s="1"/>
  <c r="B691" i="120"/>
  <c r="B1084" i="120" s="1"/>
  <c r="B1477" i="120" s="1"/>
  <c r="B1870" i="120" s="1"/>
  <c r="B2263" i="120" s="1"/>
  <c r="B2656" i="120" s="1"/>
  <c r="B3049" i="120" s="1"/>
  <c r="A691" i="120"/>
  <c r="A1084" i="120" s="1"/>
  <c r="A1477" i="120" s="1"/>
  <c r="A1870" i="120" s="1"/>
  <c r="A2263" i="120" s="1"/>
  <c r="A2656" i="120" s="1"/>
  <c r="A3049" i="120" s="1"/>
  <c r="M297" i="120"/>
  <c r="E690" i="120"/>
  <c r="E1083" i="120" s="1"/>
  <c r="E1476" i="120" s="1"/>
  <c r="E1869" i="120" s="1"/>
  <c r="E2262" i="120" s="1"/>
  <c r="E2655" i="120" s="1"/>
  <c r="E3048" i="120" s="1"/>
  <c r="D690" i="120"/>
  <c r="D1083" i="120" s="1"/>
  <c r="D1476" i="120" s="1"/>
  <c r="D1869" i="120" s="1"/>
  <c r="D2262" i="120" s="1"/>
  <c r="D2655" i="120" s="1"/>
  <c r="D3048" i="120" s="1"/>
  <c r="C690" i="120"/>
  <c r="C1083" i="120" s="1"/>
  <c r="C1476" i="120" s="1"/>
  <c r="C1869" i="120" s="1"/>
  <c r="C2262" i="120" s="1"/>
  <c r="C2655" i="120" s="1"/>
  <c r="C3048" i="120" s="1"/>
  <c r="B690" i="120"/>
  <c r="B1083" i="120" s="1"/>
  <c r="B1476" i="120" s="1"/>
  <c r="B1869" i="120" s="1"/>
  <c r="B2262" i="120" s="1"/>
  <c r="B2655" i="120" s="1"/>
  <c r="B3048" i="120" s="1"/>
  <c r="A690" i="120"/>
  <c r="A1083" i="120" s="1"/>
  <c r="A1476" i="120" s="1"/>
  <c r="A1869" i="120" s="1"/>
  <c r="A2262" i="120" s="1"/>
  <c r="A2655" i="120" s="1"/>
  <c r="A3048" i="120" s="1"/>
  <c r="M296" i="120"/>
  <c r="E689" i="120"/>
  <c r="E1082" i="120" s="1"/>
  <c r="E1475" i="120" s="1"/>
  <c r="E1868" i="120" s="1"/>
  <c r="E2261" i="120" s="1"/>
  <c r="E2654" i="120" s="1"/>
  <c r="E3047" i="120" s="1"/>
  <c r="D689" i="120"/>
  <c r="D1082" i="120" s="1"/>
  <c r="D1475" i="120" s="1"/>
  <c r="D1868" i="120" s="1"/>
  <c r="D2261" i="120" s="1"/>
  <c r="D2654" i="120" s="1"/>
  <c r="D3047" i="120" s="1"/>
  <c r="C689" i="120"/>
  <c r="C1082" i="120" s="1"/>
  <c r="C1475" i="120" s="1"/>
  <c r="C1868" i="120" s="1"/>
  <c r="C2261" i="120" s="1"/>
  <c r="C2654" i="120" s="1"/>
  <c r="C3047" i="120" s="1"/>
  <c r="B689" i="120"/>
  <c r="B1082" i="120" s="1"/>
  <c r="B1475" i="120" s="1"/>
  <c r="B1868" i="120" s="1"/>
  <c r="B2261" i="120" s="1"/>
  <c r="B2654" i="120" s="1"/>
  <c r="B3047" i="120" s="1"/>
  <c r="A689" i="120"/>
  <c r="A1082" i="120" s="1"/>
  <c r="A1475" i="120" s="1"/>
  <c r="A1868" i="120" s="1"/>
  <c r="A2261" i="120" s="1"/>
  <c r="A2654" i="120" s="1"/>
  <c r="A3047" i="120" s="1"/>
  <c r="M295" i="120"/>
  <c r="E688" i="120"/>
  <c r="E1081" i="120" s="1"/>
  <c r="E1474" i="120" s="1"/>
  <c r="E1867" i="120" s="1"/>
  <c r="E2260" i="120" s="1"/>
  <c r="E2653" i="120" s="1"/>
  <c r="E3046" i="120" s="1"/>
  <c r="D688" i="120"/>
  <c r="D1081" i="120" s="1"/>
  <c r="D1474" i="120" s="1"/>
  <c r="D1867" i="120" s="1"/>
  <c r="D2260" i="120" s="1"/>
  <c r="D2653" i="120" s="1"/>
  <c r="D3046" i="120" s="1"/>
  <c r="C688" i="120"/>
  <c r="C1081" i="120" s="1"/>
  <c r="C1474" i="120" s="1"/>
  <c r="C1867" i="120" s="1"/>
  <c r="C2260" i="120" s="1"/>
  <c r="C2653" i="120" s="1"/>
  <c r="C3046" i="120" s="1"/>
  <c r="B688" i="120"/>
  <c r="B1081" i="120" s="1"/>
  <c r="B1474" i="120" s="1"/>
  <c r="B1867" i="120" s="1"/>
  <c r="B2260" i="120" s="1"/>
  <c r="B2653" i="120" s="1"/>
  <c r="B3046" i="120" s="1"/>
  <c r="A688" i="120"/>
  <c r="A1081" i="120" s="1"/>
  <c r="A1474" i="120" s="1"/>
  <c r="A1867" i="120" s="1"/>
  <c r="A2260" i="120" s="1"/>
  <c r="A2653" i="120" s="1"/>
  <c r="A3046" i="120" s="1"/>
  <c r="M294" i="120"/>
  <c r="E687" i="120"/>
  <c r="E1080" i="120" s="1"/>
  <c r="E1473" i="120" s="1"/>
  <c r="E1866" i="120" s="1"/>
  <c r="E2259" i="120" s="1"/>
  <c r="E2652" i="120" s="1"/>
  <c r="E3045" i="120" s="1"/>
  <c r="D687" i="120"/>
  <c r="D1080" i="120" s="1"/>
  <c r="D1473" i="120" s="1"/>
  <c r="D1866" i="120" s="1"/>
  <c r="D2259" i="120" s="1"/>
  <c r="D2652" i="120" s="1"/>
  <c r="D3045" i="120" s="1"/>
  <c r="C687" i="120"/>
  <c r="C1080" i="120" s="1"/>
  <c r="C1473" i="120" s="1"/>
  <c r="C1866" i="120" s="1"/>
  <c r="C2259" i="120" s="1"/>
  <c r="C2652" i="120" s="1"/>
  <c r="C3045" i="120" s="1"/>
  <c r="B687" i="120"/>
  <c r="B1080" i="120" s="1"/>
  <c r="B1473" i="120" s="1"/>
  <c r="B1866" i="120" s="1"/>
  <c r="B2259" i="120" s="1"/>
  <c r="B2652" i="120" s="1"/>
  <c r="B3045" i="120" s="1"/>
  <c r="A687" i="120"/>
  <c r="A1080" i="120" s="1"/>
  <c r="A1473" i="120" s="1"/>
  <c r="A1866" i="120" s="1"/>
  <c r="A2259" i="120" s="1"/>
  <c r="A2652" i="120" s="1"/>
  <c r="A3045" i="120" s="1"/>
  <c r="M293" i="120"/>
  <c r="E686" i="120"/>
  <c r="E1079" i="120" s="1"/>
  <c r="E1472" i="120" s="1"/>
  <c r="E1865" i="120" s="1"/>
  <c r="E2258" i="120" s="1"/>
  <c r="E2651" i="120" s="1"/>
  <c r="E3044" i="120" s="1"/>
  <c r="D686" i="120"/>
  <c r="D1079" i="120" s="1"/>
  <c r="D1472" i="120" s="1"/>
  <c r="D1865" i="120" s="1"/>
  <c r="D2258" i="120" s="1"/>
  <c r="D2651" i="120" s="1"/>
  <c r="D3044" i="120" s="1"/>
  <c r="C686" i="120"/>
  <c r="C1079" i="120" s="1"/>
  <c r="C1472" i="120" s="1"/>
  <c r="C1865" i="120" s="1"/>
  <c r="C2258" i="120" s="1"/>
  <c r="C2651" i="120" s="1"/>
  <c r="C3044" i="120" s="1"/>
  <c r="B686" i="120"/>
  <c r="B1079" i="120" s="1"/>
  <c r="B1472" i="120" s="1"/>
  <c r="B1865" i="120" s="1"/>
  <c r="B2258" i="120" s="1"/>
  <c r="B2651" i="120" s="1"/>
  <c r="B3044" i="120" s="1"/>
  <c r="A686" i="120"/>
  <c r="A1079" i="120" s="1"/>
  <c r="A1472" i="120" s="1"/>
  <c r="A1865" i="120" s="1"/>
  <c r="A2258" i="120" s="1"/>
  <c r="A2651" i="120" s="1"/>
  <c r="A3044" i="120" s="1"/>
  <c r="M292" i="120"/>
  <c r="E685" i="120"/>
  <c r="E1078" i="120" s="1"/>
  <c r="E1471" i="120" s="1"/>
  <c r="E1864" i="120" s="1"/>
  <c r="E2257" i="120" s="1"/>
  <c r="E2650" i="120" s="1"/>
  <c r="E3043" i="120" s="1"/>
  <c r="D685" i="120"/>
  <c r="D1078" i="120" s="1"/>
  <c r="D1471" i="120" s="1"/>
  <c r="D1864" i="120" s="1"/>
  <c r="D2257" i="120" s="1"/>
  <c r="D2650" i="120" s="1"/>
  <c r="D3043" i="120" s="1"/>
  <c r="C685" i="120"/>
  <c r="C1078" i="120" s="1"/>
  <c r="C1471" i="120" s="1"/>
  <c r="C1864" i="120" s="1"/>
  <c r="C2257" i="120" s="1"/>
  <c r="C2650" i="120" s="1"/>
  <c r="C3043" i="120" s="1"/>
  <c r="B685" i="120"/>
  <c r="B1078" i="120" s="1"/>
  <c r="B1471" i="120" s="1"/>
  <c r="B1864" i="120" s="1"/>
  <c r="B2257" i="120" s="1"/>
  <c r="B2650" i="120" s="1"/>
  <c r="B3043" i="120" s="1"/>
  <c r="A685" i="120"/>
  <c r="A1078" i="120" s="1"/>
  <c r="A1471" i="120" s="1"/>
  <c r="A1864" i="120" s="1"/>
  <c r="A2257" i="120" s="1"/>
  <c r="A2650" i="120" s="1"/>
  <c r="A3043" i="120" s="1"/>
  <c r="M291" i="120"/>
  <c r="E684" i="120"/>
  <c r="E1077" i="120" s="1"/>
  <c r="E1470" i="120" s="1"/>
  <c r="E1863" i="120" s="1"/>
  <c r="E2256" i="120" s="1"/>
  <c r="E2649" i="120" s="1"/>
  <c r="E3042" i="120" s="1"/>
  <c r="D684" i="120"/>
  <c r="D1077" i="120" s="1"/>
  <c r="D1470" i="120" s="1"/>
  <c r="D1863" i="120" s="1"/>
  <c r="D2256" i="120" s="1"/>
  <c r="D2649" i="120" s="1"/>
  <c r="D3042" i="120" s="1"/>
  <c r="C684" i="120"/>
  <c r="C1077" i="120" s="1"/>
  <c r="C1470" i="120" s="1"/>
  <c r="C1863" i="120" s="1"/>
  <c r="C2256" i="120" s="1"/>
  <c r="C2649" i="120" s="1"/>
  <c r="C3042" i="120" s="1"/>
  <c r="B684" i="120"/>
  <c r="B1077" i="120" s="1"/>
  <c r="B1470" i="120" s="1"/>
  <c r="B1863" i="120" s="1"/>
  <c r="B2256" i="120" s="1"/>
  <c r="B2649" i="120" s="1"/>
  <c r="B3042" i="120" s="1"/>
  <c r="M290" i="120"/>
  <c r="E683" i="120"/>
  <c r="E1076" i="120" s="1"/>
  <c r="E1469" i="120" s="1"/>
  <c r="E1862" i="120" s="1"/>
  <c r="E2255" i="120" s="1"/>
  <c r="E2648" i="120" s="1"/>
  <c r="E3041" i="120" s="1"/>
  <c r="D683" i="120"/>
  <c r="D1076" i="120" s="1"/>
  <c r="D1469" i="120" s="1"/>
  <c r="D1862" i="120" s="1"/>
  <c r="D2255" i="120" s="1"/>
  <c r="D2648" i="120" s="1"/>
  <c r="D3041" i="120" s="1"/>
  <c r="C683" i="120"/>
  <c r="C1076" i="120" s="1"/>
  <c r="C1469" i="120" s="1"/>
  <c r="C1862" i="120" s="1"/>
  <c r="C2255" i="120" s="1"/>
  <c r="C2648" i="120" s="1"/>
  <c r="C3041" i="120" s="1"/>
  <c r="B683" i="120"/>
  <c r="B1076" i="120" s="1"/>
  <c r="B1469" i="120" s="1"/>
  <c r="B1862" i="120" s="1"/>
  <c r="B2255" i="120" s="1"/>
  <c r="B2648" i="120" s="1"/>
  <c r="B3041" i="120" s="1"/>
  <c r="A683" i="120"/>
  <c r="A1076" i="120" s="1"/>
  <c r="A1469" i="120" s="1"/>
  <c r="A1862" i="120" s="1"/>
  <c r="A2255" i="120" s="1"/>
  <c r="A2648" i="120" s="1"/>
  <c r="A3041" i="120" s="1"/>
  <c r="M289" i="120"/>
  <c r="E682" i="120"/>
  <c r="E1075" i="120" s="1"/>
  <c r="E1468" i="120" s="1"/>
  <c r="E1861" i="120" s="1"/>
  <c r="E2254" i="120" s="1"/>
  <c r="E2647" i="120" s="1"/>
  <c r="E3040" i="120" s="1"/>
  <c r="D682" i="120"/>
  <c r="D1075" i="120" s="1"/>
  <c r="D1468" i="120" s="1"/>
  <c r="D1861" i="120" s="1"/>
  <c r="D2254" i="120" s="1"/>
  <c r="D2647" i="120" s="1"/>
  <c r="D3040" i="120" s="1"/>
  <c r="C682" i="120"/>
  <c r="C1075" i="120" s="1"/>
  <c r="C1468" i="120" s="1"/>
  <c r="C1861" i="120" s="1"/>
  <c r="C2254" i="120" s="1"/>
  <c r="C2647" i="120" s="1"/>
  <c r="C3040" i="120" s="1"/>
  <c r="B682" i="120"/>
  <c r="B1075" i="120" s="1"/>
  <c r="B1468" i="120" s="1"/>
  <c r="B1861" i="120" s="1"/>
  <c r="B2254" i="120" s="1"/>
  <c r="B2647" i="120" s="1"/>
  <c r="B3040" i="120" s="1"/>
  <c r="A682" i="120"/>
  <c r="A1075" i="120" s="1"/>
  <c r="A1468" i="120" s="1"/>
  <c r="A1861" i="120" s="1"/>
  <c r="A2254" i="120" s="1"/>
  <c r="A2647" i="120" s="1"/>
  <c r="A3040" i="120" s="1"/>
  <c r="M288" i="120"/>
  <c r="E681" i="120"/>
  <c r="E1074" i="120" s="1"/>
  <c r="E1467" i="120" s="1"/>
  <c r="E1860" i="120" s="1"/>
  <c r="E2253" i="120" s="1"/>
  <c r="E2646" i="120" s="1"/>
  <c r="E3039" i="120" s="1"/>
  <c r="D681" i="120"/>
  <c r="D1074" i="120" s="1"/>
  <c r="D1467" i="120" s="1"/>
  <c r="D1860" i="120" s="1"/>
  <c r="D2253" i="120" s="1"/>
  <c r="D2646" i="120" s="1"/>
  <c r="D3039" i="120" s="1"/>
  <c r="C681" i="120"/>
  <c r="C1074" i="120" s="1"/>
  <c r="C1467" i="120" s="1"/>
  <c r="C1860" i="120" s="1"/>
  <c r="C2253" i="120" s="1"/>
  <c r="C2646" i="120" s="1"/>
  <c r="C3039" i="120" s="1"/>
  <c r="B681" i="120"/>
  <c r="B1074" i="120" s="1"/>
  <c r="B1467" i="120" s="1"/>
  <c r="B1860" i="120" s="1"/>
  <c r="B2253" i="120" s="1"/>
  <c r="B2646" i="120" s="1"/>
  <c r="B3039" i="120" s="1"/>
  <c r="A681" i="120"/>
  <c r="A1074" i="120" s="1"/>
  <c r="A1467" i="120" s="1"/>
  <c r="A1860" i="120" s="1"/>
  <c r="A2253" i="120" s="1"/>
  <c r="A2646" i="120" s="1"/>
  <c r="A3039" i="120" s="1"/>
  <c r="M287" i="120"/>
  <c r="E680" i="120"/>
  <c r="E1073" i="120" s="1"/>
  <c r="E1466" i="120" s="1"/>
  <c r="E1859" i="120" s="1"/>
  <c r="E2252" i="120" s="1"/>
  <c r="E2645" i="120" s="1"/>
  <c r="E3038" i="120" s="1"/>
  <c r="D680" i="120"/>
  <c r="D1073" i="120" s="1"/>
  <c r="D1466" i="120" s="1"/>
  <c r="D1859" i="120" s="1"/>
  <c r="D2252" i="120" s="1"/>
  <c r="D2645" i="120" s="1"/>
  <c r="D3038" i="120" s="1"/>
  <c r="C680" i="120"/>
  <c r="C1073" i="120" s="1"/>
  <c r="C1466" i="120" s="1"/>
  <c r="C1859" i="120" s="1"/>
  <c r="C2252" i="120" s="1"/>
  <c r="C2645" i="120" s="1"/>
  <c r="C3038" i="120" s="1"/>
  <c r="B680" i="120"/>
  <c r="B1073" i="120" s="1"/>
  <c r="B1466" i="120" s="1"/>
  <c r="B1859" i="120" s="1"/>
  <c r="B2252" i="120" s="1"/>
  <c r="B2645" i="120" s="1"/>
  <c r="B3038" i="120" s="1"/>
  <c r="A680" i="120"/>
  <c r="A1073" i="120" s="1"/>
  <c r="A1466" i="120" s="1"/>
  <c r="A1859" i="120" s="1"/>
  <c r="A2252" i="120" s="1"/>
  <c r="A2645" i="120" s="1"/>
  <c r="A3038" i="120" s="1"/>
  <c r="M286" i="120"/>
  <c r="E679" i="120"/>
  <c r="E1072" i="120" s="1"/>
  <c r="E1465" i="120" s="1"/>
  <c r="E1858" i="120" s="1"/>
  <c r="E2251" i="120" s="1"/>
  <c r="E2644" i="120" s="1"/>
  <c r="E3037" i="120" s="1"/>
  <c r="D679" i="120"/>
  <c r="D1072" i="120" s="1"/>
  <c r="D1465" i="120" s="1"/>
  <c r="D1858" i="120" s="1"/>
  <c r="D2251" i="120" s="1"/>
  <c r="D2644" i="120" s="1"/>
  <c r="D3037" i="120" s="1"/>
  <c r="C679" i="120"/>
  <c r="C1072" i="120" s="1"/>
  <c r="C1465" i="120" s="1"/>
  <c r="C1858" i="120" s="1"/>
  <c r="C2251" i="120" s="1"/>
  <c r="C2644" i="120" s="1"/>
  <c r="C3037" i="120" s="1"/>
  <c r="B679" i="120"/>
  <c r="B1072" i="120" s="1"/>
  <c r="B1465" i="120" s="1"/>
  <c r="B1858" i="120" s="1"/>
  <c r="B2251" i="120" s="1"/>
  <c r="B2644" i="120" s="1"/>
  <c r="B3037" i="120" s="1"/>
  <c r="A679" i="120"/>
  <c r="A1072" i="120" s="1"/>
  <c r="A1465" i="120" s="1"/>
  <c r="A1858" i="120" s="1"/>
  <c r="A2251" i="120" s="1"/>
  <c r="A2644" i="120" s="1"/>
  <c r="A3037" i="120" s="1"/>
  <c r="M285" i="120"/>
  <c r="E678" i="120"/>
  <c r="E1071" i="120" s="1"/>
  <c r="E1464" i="120" s="1"/>
  <c r="E1857" i="120" s="1"/>
  <c r="E2250" i="120" s="1"/>
  <c r="E2643" i="120" s="1"/>
  <c r="E3036" i="120" s="1"/>
  <c r="D678" i="120"/>
  <c r="D1071" i="120" s="1"/>
  <c r="D1464" i="120" s="1"/>
  <c r="D1857" i="120" s="1"/>
  <c r="D2250" i="120" s="1"/>
  <c r="D2643" i="120" s="1"/>
  <c r="D3036" i="120" s="1"/>
  <c r="C678" i="120"/>
  <c r="C1071" i="120" s="1"/>
  <c r="C1464" i="120" s="1"/>
  <c r="C1857" i="120" s="1"/>
  <c r="C2250" i="120" s="1"/>
  <c r="C2643" i="120" s="1"/>
  <c r="C3036" i="120" s="1"/>
  <c r="B678" i="120"/>
  <c r="B1071" i="120" s="1"/>
  <c r="B1464" i="120" s="1"/>
  <c r="B1857" i="120" s="1"/>
  <c r="B2250" i="120" s="1"/>
  <c r="B2643" i="120" s="1"/>
  <c r="B3036" i="120" s="1"/>
  <c r="A678" i="120"/>
  <c r="A1071" i="120" s="1"/>
  <c r="A1464" i="120" s="1"/>
  <c r="A1857" i="120" s="1"/>
  <c r="A2250" i="120" s="1"/>
  <c r="A2643" i="120" s="1"/>
  <c r="A3036" i="120" s="1"/>
  <c r="M284" i="120"/>
  <c r="E677" i="120"/>
  <c r="E1070" i="120" s="1"/>
  <c r="E1463" i="120" s="1"/>
  <c r="E1856" i="120" s="1"/>
  <c r="E2249" i="120" s="1"/>
  <c r="E2642" i="120" s="1"/>
  <c r="E3035" i="120" s="1"/>
  <c r="D677" i="120"/>
  <c r="D1070" i="120" s="1"/>
  <c r="D1463" i="120" s="1"/>
  <c r="D1856" i="120" s="1"/>
  <c r="D2249" i="120" s="1"/>
  <c r="D2642" i="120" s="1"/>
  <c r="D3035" i="120" s="1"/>
  <c r="C677" i="120"/>
  <c r="C1070" i="120" s="1"/>
  <c r="C1463" i="120" s="1"/>
  <c r="C1856" i="120" s="1"/>
  <c r="C2249" i="120" s="1"/>
  <c r="C2642" i="120" s="1"/>
  <c r="C3035" i="120" s="1"/>
  <c r="B677" i="120"/>
  <c r="B1070" i="120" s="1"/>
  <c r="B1463" i="120" s="1"/>
  <c r="B1856" i="120" s="1"/>
  <c r="B2249" i="120" s="1"/>
  <c r="B2642" i="120" s="1"/>
  <c r="B3035" i="120" s="1"/>
  <c r="A677" i="120"/>
  <c r="A1070" i="120" s="1"/>
  <c r="A1463" i="120" s="1"/>
  <c r="A1856" i="120" s="1"/>
  <c r="A2249" i="120" s="1"/>
  <c r="A2642" i="120" s="1"/>
  <c r="A3035" i="120" s="1"/>
  <c r="M283" i="120"/>
  <c r="E676" i="120"/>
  <c r="E1069" i="120" s="1"/>
  <c r="E1462" i="120" s="1"/>
  <c r="E1855" i="120" s="1"/>
  <c r="E2248" i="120" s="1"/>
  <c r="E2641" i="120" s="1"/>
  <c r="E3034" i="120" s="1"/>
  <c r="D676" i="120"/>
  <c r="D1069" i="120" s="1"/>
  <c r="D1462" i="120" s="1"/>
  <c r="D1855" i="120" s="1"/>
  <c r="D2248" i="120" s="1"/>
  <c r="D2641" i="120" s="1"/>
  <c r="D3034" i="120" s="1"/>
  <c r="C676" i="120"/>
  <c r="C1069" i="120" s="1"/>
  <c r="C1462" i="120" s="1"/>
  <c r="C1855" i="120" s="1"/>
  <c r="C2248" i="120" s="1"/>
  <c r="C2641" i="120" s="1"/>
  <c r="C3034" i="120" s="1"/>
  <c r="B676" i="120"/>
  <c r="B1069" i="120" s="1"/>
  <c r="B1462" i="120" s="1"/>
  <c r="B1855" i="120" s="1"/>
  <c r="B2248" i="120" s="1"/>
  <c r="B2641" i="120" s="1"/>
  <c r="B3034" i="120" s="1"/>
  <c r="A676" i="120"/>
  <c r="A1069" i="120" s="1"/>
  <c r="A1462" i="120" s="1"/>
  <c r="A1855" i="120" s="1"/>
  <c r="A2248" i="120" s="1"/>
  <c r="A2641" i="120" s="1"/>
  <c r="A3034" i="120" s="1"/>
  <c r="M282" i="120"/>
  <c r="E675" i="120"/>
  <c r="E1068" i="120" s="1"/>
  <c r="E1461" i="120" s="1"/>
  <c r="E1854" i="120" s="1"/>
  <c r="E2247" i="120" s="1"/>
  <c r="E2640" i="120" s="1"/>
  <c r="E3033" i="120" s="1"/>
  <c r="D675" i="120"/>
  <c r="D1068" i="120" s="1"/>
  <c r="D1461" i="120" s="1"/>
  <c r="D1854" i="120" s="1"/>
  <c r="D2247" i="120" s="1"/>
  <c r="D2640" i="120" s="1"/>
  <c r="D3033" i="120" s="1"/>
  <c r="C675" i="120"/>
  <c r="C1068" i="120" s="1"/>
  <c r="C1461" i="120" s="1"/>
  <c r="C1854" i="120" s="1"/>
  <c r="C2247" i="120" s="1"/>
  <c r="C2640" i="120" s="1"/>
  <c r="C3033" i="120" s="1"/>
  <c r="B675" i="120"/>
  <c r="B1068" i="120" s="1"/>
  <c r="B1461" i="120" s="1"/>
  <c r="B1854" i="120" s="1"/>
  <c r="B2247" i="120" s="1"/>
  <c r="B2640" i="120" s="1"/>
  <c r="B3033" i="120" s="1"/>
  <c r="A675" i="120"/>
  <c r="A1068" i="120" s="1"/>
  <c r="A1461" i="120" s="1"/>
  <c r="A1854" i="120" s="1"/>
  <c r="A2247" i="120" s="1"/>
  <c r="A2640" i="120" s="1"/>
  <c r="A3033" i="120" s="1"/>
  <c r="M281" i="120"/>
  <c r="G674" i="120"/>
  <c r="G1067" i="120" s="1"/>
  <c r="G1460" i="120" s="1"/>
  <c r="G1853" i="120" s="1"/>
  <c r="G2246" i="120" s="1"/>
  <c r="G2639" i="120" s="1"/>
  <c r="G3032" i="120" s="1"/>
  <c r="E674" i="120"/>
  <c r="E1067" i="120" s="1"/>
  <c r="E1460" i="120" s="1"/>
  <c r="E1853" i="120" s="1"/>
  <c r="E2246" i="120" s="1"/>
  <c r="E2639" i="120" s="1"/>
  <c r="E3032" i="120" s="1"/>
  <c r="D674" i="120"/>
  <c r="D1067" i="120" s="1"/>
  <c r="D1460" i="120" s="1"/>
  <c r="D1853" i="120" s="1"/>
  <c r="D2246" i="120" s="1"/>
  <c r="D2639" i="120" s="1"/>
  <c r="D3032" i="120" s="1"/>
  <c r="C674" i="120"/>
  <c r="C1067" i="120" s="1"/>
  <c r="C1460" i="120" s="1"/>
  <c r="C1853" i="120" s="1"/>
  <c r="C2246" i="120" s="1"/>
  <c r="C2639" i="120" s="1"/>
  <c r="C3032" i="120" s="1"/>
  <c r="B674" i="120"/>
  <c r="B1067" i="120" s="1"/>
  <c r="B1460" i="120" s="1"/>
  <c r="B1853" i="120" s="1"/>
  <c r="B2246" i="120" s="1"/>
  <c r="B2639" i="120" s="1"/>
  <c r="B3032" i="120" s="1"/>
  <c r="A674" i="120"/>
  <c r="A1067" i="120" s="1"/>
  <c r="A1460" i="120" s="1"/>
  <c r="A1853" i="120" s="1"/>
  <c r="A2246" i="120" s="1"/>
  <c r="A2639" i="120" s="1"/>
  <c r="A3032" i="120" s="1"/>
  <c r="M280" i="120"/>
  <c r="E673" i="120"/>
  <c r="E1066" i="120" s="1"/>
  <c r="E1459" i="120" s="1"/>
  <c r="E1852" i="120" s="1"/>
  <c r="E2245" i="120" s="1"/>
  <c r="E2638" i="120" s="1"/>
  <c r="E3031" i="120" s="1"/>
  <c r="D673" i="120"/>
  <c r="D1066" i="120" s="1"/>
  <c r="D1459" i="120" s="1"/>
  <c r="D1852" i="120" s="1"/>
  <c r="D2245" i="120" s="1"/>
  <c r="D2638" i="120" s="1"/>
  <c r="D3031" i="120" s="1"/>
  <c r="C673" i="120"/>
  <c r="C1066" i="120" s="1"/>
  <c r="C1459" i="120" s="1"/>
  <c r="C1852" i="120" s="1"/>
  <c r="C2245" i="120" s="1"/>
  <c r="C2638" i="120" s="1"/>
  <c r="C3031" i="120" s="1"/>
  <c r="B673" i="120"/>
  <c r="B1066" i="120" s="1"/>
  <c r="B1459" i="120" s="1"/>
  <c r="B1852" i="120" s="1"/>
  <c r="B2245" i="120" s="1"/>
  <c r="B2638" i="120" s="1"/>
  <c r="B3031" i="120" s="1"/>
  <c r="A673" i="120"/>
  <c r="A1066" i="120" s="1"/>
  <c r="A1459" i="120" s="1"/>
  <c r="A1852" i="120" s="1"/>
  <c r="A2245" i="120" s="1"/>
  <c r="A2638" i="120" s="1"/>
  <c r="A3031" i="120" s="1"/>
  <c r="M279" i="120"/>
  <c r="E672" i="120"/>
  <c r="E1065" i="120" s="1"/>
  <c r="E1458" i="120" s="1"/>
  <c r="E1851" i="120" s="1"/>
  <c r="E2244" i="120" s="1"/>
  <c r="E2637" i="120" s="1"/>
  <c r="E3030" i="120" s="1"/>
  <c r="D672" i="120"/>
  <c r="D1065" i="120" s="1"/>
  <c r="D1458" i="120" s="1"/>
  <c r="D1851" i="120" s="1"/>
  <c r="D2244" i="120" s="1"/>
  <c r="D2637" i="120" s="1"/>
  <c r="D3030" i="120" s="1"/>
  <c r="C672" i="120"/>
  <c r="C1065" i="120" s="1"/>
  <c r="C1458" i="120" s="1"/>
  <c r="C1851" i="120" s="1"/>
  <c r="C2244" i="120" s="1"/>
  <c r="C2637" i="120" s="1"/>
  <c r="C3030" i="120" s="1"/>
  <c r="B672" i="120"/>
  <c r="B1065" i="120" s="1"/>
  <c r="B1458" i="120" s="1"/>
  <c r="B1851" i="120" s="1"/>
  <c r="B2244" i="120" s="1"/>
  <c r="B2637" i="120" s="1"/>
  <c r="B3030" i="120" s="1"/>
  <c r="A672" i="120"/>
  <c r="A1065" i="120" s="1"/>
  <c r="A1458" i="120" s="1"/>
  <c r="A1851" i="120" s="1"/>
  <c r="A2244" i="120" s="1"/>
  <c r="A2637" i="120" s="1"/>
  <c r="A3030" i="120" s="1"/>
  <c r="M278" i="120"/>
  <c r="E671" i="120"/>
  <c r="E1064" i="120" s="1"/>
  <c r="E1457" i="120" s="1"/>
  <c r="E1850" i="120" s="1"/>
  <c r="E2243" i="120" s="1"/>
  <c r="E2636" i="120" s="1"/>
  <c r="E3029" i="120" s="1"/>
  <c r="D671" i="120"/>
  <c r="D1064" i="120" s="1"/>
  <c r="D1457" i="120" s="1"/>
  <c r="D1850" i="120" s="1"/>
  <c r="D2243" i="120" s="1"/>
  <c r="D2636" i="120" s="1"/>
  <c r="D3029" i="120" s="1"/>
  <c r="C671" i="120"/>
  <c r="C1064" i="120" s="1"/>
  <c r="C1457" i="120" s="1"/>
  <c r="C1850" i="120" s="1"/>
  <c r="C2243" i="120" s="1"/>
  <c r="C2636" i="120" s="1"/>
  <c r="C3029" i="120" s="1"/>
  <c r="B671" i="120"/>
  <c r="B1064" i="120" s="1"/>
  <c r="B1457" i="120" s="1"/>
  <c r="B1850" i="120" s="1"/>
  <c r="B2243" i="120" s="1"/>
  <c r="B2636" i="120" s="1"/>
  <c r="B3029" i="120" s="1"/>
  <c r="A671" i="120"/>
  <c r="A1064" i="120" s="1"/>
  <c r="A1457" i="120" s="1"/>
  <c r="A1850" i="120" s="1"/>
  <c r="A2243" i="120" s="1"/>
  <c r="A2636" i="120" s="1"/>
  <c r="A3029" i="120" s="1"/>
  <c r="M277" i="120"/>
  <c r="G670" i="120"/>
  <c r="E670" i="120"/>
  <c r="E1063" i="120" s="1"/>
  <c r="E1456" i="120" s="1"/>
  <c r="E1849" i="120" s="1"/>
  <c r="E2242" i="120" s="1"/>
  <c r="E2635" i="120" s="1"/>
  <c r="E3028" i="120" s="1"/>
  <c r="D670" i="120"/>
  <c r="D1063" i="120" s="1"/>
  <c r="D1456" i="120" s="1"/>
  <c r="D1849" i="120" s="1"/>
  <c r="D2242" i="120" s="1"/>
  <c r="D2635" i="120" s="1"/>
  <c r="D3028" i="120" s="1"/>
  <c r="C670" i="120"/>
  <c r="C1063" i="120" s="1"/>
  <c r="C1456" i="120" s="1"/>
  <c r="C1849" i="120" s="1"/>
  <c r="C2242" i="120" s="1"/>
  <c r="C2635" i="120" s="1"/>
  <c r="C3028" i="120" s="1"/>
  <c r="B670" i="120"/>
  <c r="B1063" i="120" s="1"/>
  <c r="B1456" i="120" s="1"/>
  <c r="B1849" i="120" s="1"/>
  <c r="B2242" i="120" s="1"/>
  <c r="B2635" i="120" s="1"/>
  <c r="B3028" i="120" s="1"/>
  <c r="A670" i="120"/>
  <c r="A1063" i="120" s="1"/>
  <c r="A1456" i="120" s="1"/>
  <c r="A1849" i="120" s="1"/>
  <c r="A2242" i="120" s="1"/>
  <c r="A2635" i="120" s="1"/>
  <c r="A3028" i="120" s="1"/>
  <c r="M276" i="120"/>
  <c r="E669" i="120"/>
  <c r="E1062" i="120" s="1"/>
  <c r="E1455" i="120" s="1"/>
  <c r="E1848" i="120" s="1"/>
  <c r="E2241" i="120" s="1"/>
  <c r="E2634" i="120" s="1"/>
  <c r="E3027" i="120" s="1"/>
  <c r="D669" i="120"/>
  <c r="D1062" i="120" s="1"/>
  <c r="D1455" i="120" s="1"/>
  <c r="D1848" i="120" s="1"/>
  <c r="D2241" i="120" s="1"/>
  <c r="D2634" i="120" s="1"/>
  <c r="D3027" i="120" s="1"/>
  <c r="C669" i="120"/>
  <c r="C1062" i="120" s="1"/>
  <c r="C1455" i="120" s="1"/>
  <c r="C1848" i="120" s="1"/>
  <c r="C2241" i="120" s="1"/>
  <c r="C2634" i="120" s="1"/>
  <c r="C3027" i="120" s="1"/>
  <c r="B669" i="120"/>
  <c r="B1062" i="120" s="1"/>
  <c r="B1455" i="120" s="1"/>
  <c r="B1848" i="120" s="1"/>
  <c r="B2241" i="120" s="1"/>
  <c r="B2634" i="120" s="1"/>
  <c r="B3027" i="120" s="1"/>
  <c r="A669" i="120"/>
  <c r="A1062" i="120" s="1"/>
  <c r="A1455" i="120" s="1"/>
  <c r="A1848" i="120" s="1"/>
  <c r="A2241" i="120" s="1"/>
  <c r="A2634" i="120" s="1"/>
  <c r="A3027" i="120" s="1"/>
  <c r="M275" i="120"/>
  <c r="E668" i="120"/>
  <c r="E1061" i="120" s="1"/>
  <c r="E1454" i="120" s="1"/>
  <c r="E1847" i="120" s="1"/>
  <c r="E2240" i="120" s="1"/>
  <c r="E2633" i="120" s="1"/>
  <c r="E3026" i="120" s="1"/>
  <c r="D668" i="120"/>
  <c r="D1061" i="120" s="1"/>
  <c r="D1454" i="120" s="1"/>
  <c r="D1847" i="120" s="1"/>
  <c r="D2240" i="120" s="1"/>
  <c r="D2633" i="120" s="1"/>
  <c r="D3026" i="120" s="1"/>
  <c r="C668" i="120"/>
  <c r="C1061" i="120" s="1"/>
  <c r="C1454" i="120" s="1"/>
  <c r="C1847" i="120" s="1"/>
  <c r="C2240" i="120" s="1"/>
  <c r="C2633" i="120" s="1"/>
  <c r="C3026" i="120" s="1"/>
  <c r="B668" i="120"/>
  <c r="B1061" i="120" s="1"/>
  <c r="B1454" i="120" s="1"/>
  <c r="B1847" i="120" s="1"/>
  <c r="B2240" i="120" s="1"/>
  <c r="B2633" i="120" s="1"/>
  <c r="B3026" i="120" s="1"/>
  <c r="A668" i="120"/>
  <c r="A1061" i="120" s="1"/>
  <c r="A1454" i="120" s="1"/>
  <c r="A1847" i="120" s="1"/>
  <c r="A2240" i="120" s="1"/>
  <c r="A2633" i="120" s="1"/>
  <c r="A3026" i="120" s="1"/>
  <c r="M274" i="120"/>
  <c r="E667" i="120"/>
  <c r="E1060" i="120" s="1"/>
  <c r="E1453" i="120" s="1"/>
  <c r="E1846" i="120" s="1"/>
  <c r="E2239" i="120" s="1"/>
  <c r="E2632" i="120" s="1"/>
  <c r="E3025" i="120" s="1"/>
  <c r="D667" i="120"/>
  <c r="D1060" i="120" s="1"/>
  <c r="D1453" i="120" s="1"/>
  <c r="D1846" i="120" s="1"/>
  <c r="D2239" i="120" s="1"/>
  <c r="D2632" i="120" s="1"/>
  <c r="D3025" i="120" s="1"/>
  <c r="C667" i="120"/>
  <c r="C1060" i="120" s="1"/>
  <c r="C1453" i="120" s="1"/>
  <c r="C1846" i="120" s="1"/>
  <c r="C2239" i="120" s="1"/>
  <c r="C2632" i="120" s="1"/>
  <c r="C3025" i="120" s="1"/>
  <c r="B667" i="120"/>
  <c r="B1060" i="120" s="1"/>
  <c r="B1453" i="120" s="1"/>
  <c r="B1846" i="120" s="1"/>
  <c r="B2239" i="120" s="1"/>
  <c r="B2632" i="120" s="1"/>
  <c r="B3025" i="120" s="1"/>
  <c r="A667" i="120"/>
  <c r="A1060" i="120" s="1"/>
  <c r="A1453" i="120" s="1"/>
  <c r="A1846" i="120" s="1"/>
  <c r="A2239" i="120" s="1"/>
  <c r="A2632" i="120" s="1"/>
  <c r="A3025" i="120" s="1"/>
  <c r="M273" i="120"/>
  <c r="E666" i="120"/>
  <c r="E1059" i="120" s="1"/>
  <c r="E1452" i="120" s="1"/>
  <c r="E1845" i="120" s="1"/>
  <c r="E2238" i="120" s="1"/>
  <c r="E2631" i="120" s="1"/>
  <c r="E3024" i="120" s="1"/>
  <c r="D666" i="120"/>
  <c r="D1059" i="120" s="1"/>
  <c r="D1452" i="120" s="1"/>
  <c r="D1845" i="120" s="1"/>
  <c r="D2238" i="120" s="1"/>
  <c r="D2631" i="120" s="1"/>
  <c r="D3024" i="120" s="1"/>
  <c r="C666" i="120"/>
  <c r="C1059" i="120" s="1"/>
  <c r="C1452" i="120" s="1"/>
  <c r="C1845" i="120" s="1"/>
  <c r="C2238" i="120" s="1"/>
  <c r="C2631" i="120" s="1"/>
  <c r="C3024" i="120" s="1"/>
  <c r="B666" i="120"/>
  <c r="B1059" i="120" s="1"/>
  <c r="B1452" i="120" s="1"/>
  <c r="B1845" i="120" s="1"/>
  <c r="B2238" i="120" s="1"/>
  <c r="B2631" i="120" s="1"/>
  <c r="B3024" i="120" s="1"/>
  <c r="A666" i="120"/>
  <c r="A1059" i="120" s="1"/>
  <c r="A1452" i="120" s="1"/>
  <c r="A1845" i="120" s="1"/>
  <c r="A2238" i="120" s="1"/>
  <c r="A2631" i="120" s="1"/>
  <c r="A3024" i="120" s="1"/>
  <c r="M272" i="120"/>
  <c r="E665" i="120"/>
  <c r="E1058" i="120" s="1"/>
  <c r="E1451" i="120" s="1"/>
  <c r="E1844" i="120" s="1"/>
  <c r="E2237" i="120" s="1"/>
  <c r="E2630" i="120" s="1"/>
  <c r="E3023" i="120" s="1"/>
  <c r="D665" i="120"/>
  <c r="D1058" i="120" s="1"/>
  <c r="D1451" i="120" s="1"/>
  <c r="D1844" i="120" s="1"/>
  <c r="D2237" i="120" s="1"/>
  <c r="D2630" i="120" s="1"/>
  <c r="D3023" i="120" s="1"/>
  <c r="C665" i="120"/>
  <c r="C1058" i="120" s="1"/>
  <c r="C1451" i="120" s="1"/>
  <c r="C1844" i="120" s="1"/>
  <c r="C2237" i="120" s="1"/>
  <c r="C2630" i="120" s="1"/>
  <c r="C3023" i="120" s="1"/>
  <c r="B665" i="120"/>
  <c r="B1058" i="120" s="1"/>
  <c r="B1451" i="120" s="1"/>
  <c r="B1844" i="120" s="1"/>
  <c r="B2237" i="120" s="1"/>
  <c r="B2630" i="120" s="1"/>
  <c r="B3023" i="120" s="1"/>
  <c r="A665" i="120"/>
  <c r="A1058" i="120" s="1"/>
  <c r="A1451" i="120" s="1"/>
  <c r="A1844" i="120" s="1"/>
  <c r="A2237" i="120" s="1"/>
  <c r="A2630" i="120" s="1"/>
  <c r="A3023" i="120" s="1"/>
  <c r="M271" i="120"/>
  <c r="G664" i="120"/>
  <c r="E664" i="120"/>
  <c r="E1057" i="120" s="1"/>
  <c r="E1450" i="120" s="1"/>
  <c r="E1843" i="120" s="1"/>
  <c r="E2236" i="120" s="1"/>
  <c r="E2629" i="120" s="1"/>
  <c r="E3022" i="120" s="1"/>
  <c r="D664" i="120"/>
  <c r="D1057" i="120" s="1"/>
  <c r="D1450" i="120" s="1"/>
  <c r="D1843" i="120" s="1"/>
  <c r="D2236" i="120" s="1"/>
  <c r="D2629" i="120" s="1"/>
  <c r="D3022" i="120" s="1"/>
  <c r="C664" i="120"/>
  <c r="C1057" i="120" s="1"/>
  <c r="C1450" i="120" s="1"/>
  <c r="C1843" i="120" s="1"/>
  <c r="C2236" i="120" s="1"/>
  <c r="C2629" i="120" s="1"/>
  <c r="C3022" i="120" s="1"/>
  <c r="B664" i="120"/>
  <c r="B1057" i="120" s="1"/>
  <c r="B1450" i="120" s="1"/>
  <c r="B1843" i="120" s="1"/>
  <c r="B2236" i="120" s="1"/>
  <c r="B2629" i="120" s="1"/>
  <c r="B3022" i="120" s="1"/>
  <c r="A664" i="120"/>
  <c r="A1057" i="120" s="1"/>
  <c r="A1450" i="120" s="1"/>
  <c r="A1843" i="120" s="1"/>
  <c r="A2236" i="120" s="1"/>
  <c r="A2629" i="120" s="1"/>
  <c r="A3022" i="120" s="1"/>
  <c r="M270" i="120"/>
  <c r="E663" i="120"/>
  <c r="E1056" i="120" s="1"/>
  <c r="E1449" i="120" s="1"/>
  <c r="E1842" i="120" s="1"/>
  <c r="E2235" i="120" s="1"/>
  <c r="E2628" i="120" s="1"/>
  <c r="E3021" i="120" s="1"/>
  <c r="D663" i="120"/>
  <c r="D1056" i="120" s="1"/>
  <c r="D1449" i="120" s="1"/>
  <c r="D1842" i="120" s="1"/>
  <c r="D2235" i="120" s="1"/>
  <c r="D2628" i="120" s="1"/>
  <c r="D3021" i="120" s="1"/>
  <c r="C663" i="120"/>
  <c r="C1056" i="120" s="1"/>
  <c r="C1449" i="120" s="1"/>
  <c r="C1842" i="120" s="1"/>
  <c r="C2235" i="120" s="1"/>
  <c r="C2628" i="120" s="1"/>
  <c r="C3021" i="120" s="1"/>
  <c r="B663" i="120"/>
  <c r="B1056" i="120" s="1"/>
  <c r="B1449" i="120" s="1"/>
  <c r="B1842" i="120" s="1"/>
  <c r="B2235" i="120" s="1"/>
  <c r="B2628" i="120" s="1"/>
  <c r="B3021" i="120" s="1"/>
  <c r="A663" i="120"/>
  <c r="A1056" i="120" s="1"/>
  <c r="A1449" i="120" s="1"/>
  <c r="A1842" i="120" s="1"/>
  <c r="A2235" i="120" s="1"/>
  <c r="A2628" i="120" s="1"/>
  <c r="A3021" i="120" s="1"/>
  <c r="M269" i="120"/>
  <c r="E662" i="120"/>
  <c r="E1055" i="120" s="1"/>
  <c r="E1448" i="120" s="1"/>
  <c r="E1841" i="120" s="1"/>
  <c r="E2234" i="120" s="1"/>
  <c r="E2627" i="120" s="1"/>
  <c r="E3020" i="120" s="1"/>
  <c r="D662" i="120"/>
  <c r="D1055" i="120" s="1"/>
  <c r="D1448" i="120" s="1"/>
  <c r="D1841" i="120" s="1"/>
  <c r="D2234" i="120" s="1"/>
  <c r="D2627" i="120" s="1"/>
  <c r="D3020" i="120" s="1"/>
  <c r="C662" i="120"/>
  <c r="C1055" i="120" s="1"/>
  <c r="C1448" i="120" s="1"/>
  <c r="C1841" i="120" s="1"/>
  <c r="C2234" i="120" s="1"/>
  <c r="C2627" i="120" s="1"/>
  <c r="C3020" i="120" s="1"/>
  <c r="B662" i="120"/>
  <c r="B1055" i="120" s="1"/>
  <c r="B1448" i="120" s="1"/>
  <c r="B1841" i="120" s="1"/>
  <c r="B2234" i="120" s="1"/>
  <c r="B2627" i="120" s="1"/>
  <c r="B3020" i="120" s="1"/>
  <c r="A662" i="120"/>
  <c r="A1055" i="120" s="1"/>
  <c r="A1448" i="120" s="1"/>
  <c r="A1841" i="120" s="1"/>
  <c r="A2234" i="120" s="1"/>
  <c r="A2627" i="120" s="1"/>
  <c r="A3020" i="120" s="1"/>
  <c r="M268" i="120"/>
  <c r="E661" i="120"/>
  <c r="E1054" i="120" s="1"/>
  <c r="E1447" i="120" s="1"/>
  <c r="E1840" i="120" s="1"/>
  <c r="E2233" i="120" s="1"/>
  <c r="E2626" i="120" s="1"/>
  <c r="E3019" i="120" s="1"/>
  <c r="D661" i="120"/>
  <c r="D1054" i="120" s="1"/>
  <c r="D1447" i="120" s="1"/>
  <c r="D1840" i="120" s="1"/>
  <c r="D2233" i="120" s="1"/>
  <c r="D2626" i="120" s="1"/>
  <c r="D3019" i="120" s="1"/>
  <c r="C661" i="120"/>
  <c r="C1054" i="120" s="1"/>
  <c r="C1447" i="120" s="1"/>
  <c r="C1840" i="120" s="1"/>
  <c r="C2233" i="120" s="1"/>
  <c r="C2626" i="120" s="1"/>
  <c r="C3019" i="120" s="1"/>
  <c r="B661" i="120"/>
  <c r="B1054" i="120" s="1"/>
  <c r="B1447" i="120" s="1"/>
  <c r="B1840" i="120" s="1"/>
  <c r="B2233" i="120" s="1"/>
  <c r="B2626" i="120" s="1"/>
  <c r="B3019" i="120" s="1"/>
  <c r="A661" i="120"/>
  <c r="A1054" i="120" s="1"/>
  <c r="A1447" i="120" s="1"/>
  <c r="A1840" i="120" s="1"/>
  <c r="A2233" i="120" s="1"/>
  <c r="A2626" i="120" s="1"/>
  <c r="A3019" i="120" s="1"/>
  <c r="M267" i="120"/>
  <c r="E660" i="120"/>
  <c r="E1053" i="120" s="1"/>
  <c r="E1446" i="120" s="1"/>
  <c r="E1839" i="120" s="1"/>
  <c r="E2232" i="120" s="1"/>
  <c r="E2625" i="120" s="1"/>
  <c r="E3018" i="120" s="1"/>
  <c r="D660" i="120"/>
  <c r="D1053" i="120" s="1"/>
  <c r="D1446" i="120" s="1"/>
  <c r="D1839" i="120" s="1"/>
  <c r="D2232" i="120" s="1"/>
  <c r="D2625" i="120" s="1"/>
  <c r="D3018" i="120" s="1"/>
  <c r="C660" i="120"/>
  <c r="C1053" i="120" s="1"/>
  <c r="C1446" i="120" s="1"/>
  <c r="C1839" i="120" s="1"/>
  <c r="C2232" i="120" s="1"/>
  <c r="C2625" i="120" s="1"/>
  <c r="C3018" i="120" s="1"/>
  <c r="B660" i="120"/>
  <c r="B1053" i="120" s="1"/>
  <c r="B1446" i="120" s="1"/>
  <c r="B1839" i="120" s="1"/>
  <c r="B2232" i="120" s="1"/>
  <c r="B2625" i="120" s="1"/>
  <c r="B3018" i="120" s="1"/>
  <c r="A660" i="120"/>
  <c r="A1053" i="120" s="1"/>
  <c r="A1446" i="120" s="1"/>
  <c r="A1839" i="120" s="1"/>
  <c r="A2232" i="120" s="1"/>
  <c r="A2625" i="120" s="1"/>
  <c r="A3018" i="120" s="1"/>
  <c r="M266" i="120"/>
  <c r="E659" i="120"/>
  <c r="E1052" i="120" s="1"/>
  <c r="E1445" i="120" s="1"/>
  <c r="E1838" i="120" s="1"/>
  <c r="E2231" i="120" s="1"/>
  <c r="E2624" i="120" s="1"/>
  <c r="E3017" i="120" s="1"/>
  <c r="D659" i="120"/>
  <c r="D1052" i="120" s="1"/>
  <c r="D1445" i="120" s="1"/>
  <c r="D1838" i="120" s="1"/>
  <c r="D2231" i="120" s="1"/>
  <c r="D2624" i="120" s="1"/>
  <c r="D3017" i="120" s="1"/>
  <c r="C659" i="120"/>
  <c r="C1052" i="120" s="1"/>
  <c r="C1445" i="120" s="1"/>
  <c r="C1838" i="120" s="1"/>
  <c r="C2231" i="120" s="1"/>
  <c r="C2624" i="120" s="1"/>
  <c r="C3017" i="120" s="1"/>
  <c r="B659" i="120"/>
  <c r="B1052" i="120" s="1"/>
  <c r="B1445" i="120" s="1"/>
  <c r="B1838" i="120" s="1"/>
  <c r="B2231" i="120" s="1"/>
  <c r="B2624" i="120" s="1"/>
  <c r="B3017" i="120" s="1"/>
  <c r="A659" i="120"/>
  <c r="A1052" i="120" s="1"/>
  <c r="A1445" i="120" s="1"/>
  <c r="A1838" i="120" s="1"/>
  <c r="A2231" i="120" s="1"/>
  <c r="A2624" i="120" s="1"/>
  <c r="A3017" i="120" s="1"/>
  <c r="M265" i="120"/>
  <c r="E658" i="120"/>
  <c r="E1051" i="120" s="1"/>
  <c r="E1444" i="120" s="1"/>
  <c r="E1837" i="120" s="1"/>
  <c r="E2230" i="120" s="1"/>
  <c r="E2623" i="120" s="1"/>
  <c r="E3016" i="120" s="1"/>
  <c r="D658" i="120"/>
  <c r="D1051" i="120" s="1"/>
  <c r="D1444" i="120" s="1"/>
  <c r="D1837" i="120" s="1"/>
  <c r="D2230" i="120" s="1"/>
  <c r="D2623" i="120" s="1"/>
  <c r="D3016" i="120" s="1"/>
  <c r="C658" i="120"/>
  <c r="C1051" i="120" s="1"/>
  <c r="C1444" i="120" s="1"/>
  <c r="C1837" i="120" s="1"/>
  <c r="C2230" i="120" s="1"/>
  <c r="C2623" i="120" s="1"/>
  <c r="C3016" i="120" s="1"/>
  <c r="B658" i="120"/>
  <c r="B1051" i="120" s="1"/>
  <c r="B1444" i="120" s="1"/>
  <c r="B1837" i="120" s="1"/>
  <c r="B2230" i="120" s="1"/>
  <c r="B2623" i="120" s="1"/>
  <c r="B3016" i="120" s="1"/>
  <c r="A658" i="120"/>
  <c r="A1051" i="120" s="1"/>
  <c r="A1444" i="120" s="1"/>
  <c r="A1837" i="120" s="1"/>
  <c r="A2230" i="120" s="1"/>
  <c r="A2623" i="120" s="1"/>
  <c r="A3016" i="120" s="1"/>
  <c r="M264" i="120"/>
  <c r="E657" i="120"/>
  <c r="E1050" i="120" s="1"/>
  <c r="E1443" i="120" s="1"/>
  <c r="E1836" i="120" s="1"/>
  <c r="E2229" i="120" s="1"/>
  <c r="E2622" i="120" s="1"/>
  <c r="E3015" i="120" s="1"/>
  <c r="D657" i="120"/>
  <c r="D1050" i="120" s="1"/>
  <c r="D1443" i="120" s="1"/>
  <c r="D1836" i="120" s="1"/>
  <c r="D2229" i="120" s="1"/>
  <c r="D2622" i="120" s="1"/>
  <c r="D3015" i="120" s="1"/>
  <c r="C657" i="120"/>
  <c r="C1050" i="120" s="1"/>
  <c r="C1443" i="120" s="1"/>
  <c r="C1836" i="120" s="1"/>
  <c r="C2229" i="120" s="1"/>
  <c r="C2622" i="120" s="1"/>
  <c r="C3015" i="120" s="1"/>
  <c r="B657" i="120"/>
  <c r="B1050" i="120" s="1"/>
  <c r="B1443" i="120" s="1"/>
  <c r="B1836" i="120" s="1"/>
  <c r="B2229" i="120" s="1"/>
  <c r="B2622" i="120" s="1"/>
  <c r="B3015" i="120" s="1"/>
  <c r="A657" i="120"/>
  <c r="A1050" i="120" s="1"/>
  <c r="A1443" i="120" s="1"/>
  <c r="A1836" i="120" s="1"/>
  <c r="A2229" i="120" s="1"/>
  <c r="A2622" i="120" s="1"/>
  <c r="A3015" i="120" s="1"/>
  <c r="M263" i="120"/>
  <c r="G656" i="120"/>
  <c r="G1049" i="120" s="1"/>
  <c r="G1442" i="120" s="1"/>
  <c r="G1835" i="120" s="1"/>
  <c r="G2228" i="120" s="1"/>
  <c r="E656" i="120"/>
  <c r="E1049" i="120" s="1"/>
  <c r="E1442" i="120" s="1"/>
  <c r="E1835" i="120" s="1"/>
  <c r="E2228" i="120" s="1"/>
  <c r="E2621" i="120" s="1"/>
  <c r="E3014" i="120" s="1"/>
  <c r="D656" i="120"/>
  <c r="D1049" i="120" s="1"/>
  <c r="D1442" i="120" s="1"/>
  <c r="D1835" i="120" s="1"/>
  <c r="D2228" i="120" s="1"/>
  <c r="D2621" i="120" s="1"/>
  <c r="D3014" i="120" s="1"/>
  <c r="C656" i="120"/>
  <c r="C1049" i="120" s="1"/>
  <c r="C1442" i="120" s="1"/>
  <c r="C1835" i="120" s="1"/>
  <c r="C2228" i="120" s="1"/>
  <c r="C2621" i="120" s="1"/>
  <c r="C3014" i="120" s="1"/>
  <c r="B656" i="120"/>
  <c r="B1049" i="120" s="1"/>
  <c r="B1442" i="120" s="1"/>
  <c r="B1835" i="120" s="1"/>
  <c r="B2228" i="120" s="1"/>
  <c r="B2621" i="120" s="1"/>
  <c r="B3014" i="120" s="1"/>
  <c r="A656" i="120"/>
  <c r="A1049" i="120" s="1"/>
  <c r="A1442" i="120" s="1"/>
  <c r="A1835" i="120" s="1"/>
  <c r="A2228" i="120" s="1"/>
  <c r="A2621" i="120" s="1"/>
  <c r="A3014" i="120" s="1"/>
  <c r="M262" i="120"/>
  <c r="E655" i="120"/>
  <c r="E1048" i="120" s="1"/>
  <c r="E1441" i="120" s="1"/>
  <c r="E1834" i="120" s="1"/>
  <c r="E2227" i="120" s="1"/>
  <c r="E2620" i="120" s="1"/>
  <c r="E3013" i="120" s="1"/>
  <c r="D655" i="120"/>
  <c r="D1048" i="120" s="1"/>
  <c r="D1441" i="120" s="1"/>
  <c r="D1834" i="120" s="1"/>
  <c r="D2227" i="120" s="1"/>
  <c r="D2620" i="120" s="1"/>
  <c r="D3013" i="120" s="1"/>
  <c r="C655" i="120"/>
  <c r="C1048" i="120" s="1"/>
  <c r="C1441" i="120" s="1"/>
  <c r="C1834" i="120" s="1"/>
  <c r="C2227" i="120" s="1"/>
  <c r="C2620" i="120" s="1"/>
  <c r="C3013" i="120" s="1"/>
  <c r="B655" i="120"/>
  <c r="B1048" i="120" s="1"/>
  <c r="B1441" i="120" s="1"/>
  <c r="B1834" i="120" s="1"/>
  <c r="B2227" i="120" s="1"/>
  <c r="B2620" i="120" s="1"/>
  <c r="B3013" i="120" s="1"/>
  <c r="A655" i="120"/>
  <c r="A1048" i="120" s="1"/>
  <c r="A1441" i="120" s="1"/>
  <c r="A1834" i="120" s="1"/>
  <c r="A2227" i="120" s="1"/>
  <c r="A2620" i="120" s="1"/>
  <c r="A3013" i="120" s="1"/>
  <c r="M261" i="120"/>
  <c r="E654" i="120"/>
  <c r="E1047" i="120" s="1"/>
  <c r="E1440" i="120" s="1"/>
  <c r="E1833" i="120" s="1"/>
  <c r="E2226" i="120" s="1"/>
  <c r="E2619" i="120" s="1"/>
  <c r="E3012" i="120" s="1"/>
  <c r="D654" i="120"/>
  <c r="D1047" i="120" s="1"/>
  <c r="D1440" i="120" s="1"/>
  <c r="D1833" i="120" s="1"/>
  <c r="D2226" i="120" s="1"/>
  <c r="D2619" i="120" s="1"/>
  <c r="D3012" i="120" s="1"/>
  <c r="C654" i="120"/>
  <c r="C1047" i="120" s="1"/>
  <c r="C1440" i="120" s="1"/>
  <c r="C1833" i="120" s="1"/>
  <c r="C2226" i="120" s="1"/>
  <c r="C2619" i="120" s="1"/>
  <c r="C3012" i="120" s="1"/>
  <c r="B654" i="120"/>
  <c r="B1047" i="120" s="1"/>
  <c r="B1440" i="120" s="1"/>
  <c r="B1833" i="120" s="1"/>
  <c r="B2226" i="120" s="1"/>
  <c r="B2619" i="120" s="1"/>
  <c r="B3012" i="120" s="1"/>
  <c r="A654" i="120"/>
  <c r="A1047" i="120" s="1"/>
  <c r="A1440" i="120" s="1"/>
  <c r="A1833" i="120" s="1"/>
  <c r="A2226" i="120" s="1"/>
  <c r="A2619" i="120" s="1"/>
  <c r="A3012" i="120" s="1"/>
  <c r="M260" i="120"/>
  <c r="E653" i="120"/>
  <c r="E1046" i="120" s="1"/>
  <c r="E1439" i="120" s="1"/>
  <c r="E1832" i="120" s="1"/>
  <c r="E2225" i="120" s="1"/>
  <c r="E2618" i="120" s="1"/>
  <c r="E3011" i="120" s="1"/>
  <c r="D653" i="120"/>
  <c r="D1046" i="120" s="1"/>
  <c r="D1439" i="120" s="1"/>
  <c r="D1832" i="120" s="1"/>
  <c r="D2225" i="120" s="1"/>
  <c r="D2618" i="120" s="1"/>
  <c r="D3011" i="120" s="1"/>
  <c r="C653" i="120"/>
  <c r="C1046" i="120" s="1"/>
  <c r="C1439" i="120" s="1"/>
  <c r="C1832" i="120" s="1"/>
  <c r="C2225" i="120" s="1"/>
  <c r="C2618" i="120" s="1"/>
  <c r="C3011" i="120" s="1"/>
  <c r="B653" i="120"/>
  <c r="B1046" i="120" s="1"/>
  <c r="B1439" i="120" s="1"/>
  <c r="B1832" i="120" s="1"/>
  <c r="B2225" i="120" s="1"/>
  <c r="B2618" i="120" s="1"/>
  <c r="B3011" i="120" s="1"/>
  <c r="A653" i="120"/>
  <c r="A1046" i="120" s="1"/>
  <c r="A1439" i="120" s="1"/>
  <c r="A1832" i="120" s="1"/>
  <c r="A2225" i="120" s="1"/>
  <c r="A2618" i="120" s="1"/>
  <c r="A3011" i="120" s="1"/>
  <c r="M259" i="120"/>
  <c r="E652" i="120"/>
  <c r="E1045" i="120" s="1"/>
  <c r="E1438" i="120" s="1"/>
  <c r="E1831" i="120" s="1"/>
  <c r="E2224" i="120" s="1"/>
  <c r="E2617" i="120" s="1"/>
  <c r="E3010" i="120" s="1"/>
  <c r="D652" i="120"/>
  <c r="D1045" i="120" s="1"/>
  <c r="D1438" i="120" s="1"/>
  <c r="D1831" i="120" s="1"/>
  <c r="D2224" i="120" s="1"/>
  <c r="D2617" i="120" s="1"/>
  <c r="D3010" i="120" s="1"/>
  <c r="C652" i="120"/>
  <c r="C1045" i="120" s="1"/>
  <c r="C1438" i="120" s="1"/>
  <c r="C1831" i="120" s="1"/>
  <c r="C2224" i="120" s="1"/>
  <c r="C2617" i="120" s="1"/>
  <c r="C3010" i="120" s="1"/>
  <c r="B652" i="120"/>
  <c r="B1045" i="120" s="1"/>
  <c r="B1438" i="120" s="1"/>
  <c r="B1831" i="120" s="1"/>
  <c r="B2224" i="120" s="1"/>
  <c r="B2617" i="120" s="1"/>
  <c r="B3010" i="120" s="1"/>
  <c r="A652" i="120"/>
  <c r="A1045" i="120" s="1"/>
  <c r="A1438" i="120" s="1"/>
  <c r="A1831" i="120" s="1"/>
  <c r="A2224" i="120" s="1"/>
  <c r="A2617" i="120" s="1"/>
  <c r="A3010" i="120" s="1"/>
  <c r="M258" i="120"/>
  <c r="E651" i="120"/>
  <c r="E1044" i="120" s="1"/>
  <c r="E1437" i="120" s="1"/>
  <c r="E1830" i="120" s="1"/>
  <c r="E2223" i="120" s="1"/>
  <c r="E2616" i="120" s="1"/>
  <c r="E3009" i="120" s="1"/>
  <c r="D651" i="120"/>
  <c r="D1044" i="120" s="1"/>
  <c r="D1437" i="120" s="1"/>
  <c r="D1830" i="120" s="1"/>
  <c r="D2223" i="120" s="1"/>
  <c r="D2616" i="120" s="1"/>
  <c r="D3009" i="120" s="1"/>
  <c r="B651" i="120"/>
  <c r="B1044" i="120" s="1"/>
  <c r="B1437" i="120" s="1"/>
  <c r="B1830" i="120" s="1"/>
  <c r="B2223" i="120" s="1"/>
  <c r="B2616" i="120" s="1"/>
  <c r="B3009" i="120" s="1"/>
  <c r="A651" i="120"/>
  <c r="A1044" i="120" s="1"/>
  <c r="A1437" i="120" s="1"/>
  <c r="A1830" i="120" s="1"/>
  <c r="A2223" i="120" s="1"/>
  <c r="A2616" i="120" s="1"/>
  <c r="A3009" i="120" s="1"/>
  <c r="M257" i="120"/>
  <c r="E650" i="120"/>
  <c r="E1043" i="120" s="1"/>
  <c r="E1436" i="120" s="1"/>
  <c r="E1829" i="120" s="1"/>
  <c r="E2222" i="120" s="1"/>
  <c r="E2615" i="120" s="1"/>
  <c r="E3008" i="120" s="1"/>
  <c r="D650" i="120"/>
  <c r="D1043" i="120" s="1"/>
  <c r="D1436" i="120" s="1"/>
  <c r="D1829" i="120" s="1"/>
  <c r="D2222" i="120" s="1"/>
  <c r="D2615" i="120" s="1"/>
  <c r="D3008" i="120" s="1"/>
  <c r="C650" i="120"/>
  <c r="C1043" i="120" s="1"/>
  <c r="C1436" i="120" s="1"/>
  <c r="C1829" i="120" s="1"/>
  <c r="C2222" i="120" s="1"/>
  <c r="C2615" i="120" s="1"/>
  <c r="C3008" i="120" s="1"/>
  <c r="B650" i="120"/>
  <c r="B1043" i="120" s="1"/>
  <c r="B1436" i="120" s="1"/>
  <c r="B1829" i="120" s="1"/>
  <c r="B2222" i="120" s="1"/>
  <c r="B2615" i="120" s="1"/>
  <c r="B3008" i="120" s="1"/>
  <c r="A650" i="120"/>
  <c r="A1043" i="120" s="1"/>
  <c r="A1436" i="120" s="1"/>
  <c r="A1829" i="120" s="1"/>
  <c r="A2222" i="120" s="1"/>
  <c r="A2615" i="120" s="1"/>
  <c r="A3008" i="120" s="1"/>
  <c r="M256" i="120"/>
  <c r="E649" i="120"/>
  <c r="E1042" i="120" s="1"/>
  <c r="E1435" i="120" s="1"/>
  <c r="E1828" i="120" s="1"/>
  <c r="E2221" i="120" s="1"/>
  <c r="E2614" i="120" s="1"/>
  <c r="E3007" i="120" s="1"/>
  <c r="C649" i="120"/>
  <c r="C1042" i="120" s="1"/>
  <c r="C1435" i="120" s="1"/>
  <c r="C1828" i="120" s="1"/>
  <c r="C2221" i="120" s="1"/>
  <c r="C2614" i="120" s="1"/>
  <c r="C3007" i="120" s="1"/>
  <c r="B649" i="120"/>
  <c r="B1042" i="120" s="1"/>
  <c r="B1435" i="120" s="1"/>
  <c r="B1828" i="120" s="1"/>
  <c r="B2221" i="120" s="1"/>
  <c r="B2614" i="120" s="1"/>
  <c r="B3007" i="120" s="1"/>
  <c r="A649" i="120"/>
  <c r="A1042" i="120" s="1"/>
  <c r="A1435" i="120" s="1"/>
  <c r="A1828" i="120" s="1"/>
  <c r="A2221" i="120" s="1"/>
  <c r="A2614" i="120" s="1"/>
  <c r="A3007" i="120" s="1"/>
  <c r="M255" i="120"/>
  <c r="E648" i="120"/>
  <c r="E1041" i="120" s="1"/>
  <c r="E1434" i="120" s="1"/>
  <c r="E1827" i="120" s="1"/>
  <c r="E2220" i="120" s="1"/>
  <c r="E2613" i="120" s="1"/>
  <c r="E3006" i="120" s="1"/>
  <c r="D648" i="120"/>
  <c r="D1041" i="120" s="1"/>
  <c r="D1434" i="120" s="1"/>
  <c r="D1827" i="120" s="1"/>
  <c r="D2220" i="120" s="1"/>
  <c r="D2613" i="120" s="1"/>
  <c r="D3006" i="120" s="1"/>
  <c r="C648" i="120"/>
  <c r="C1041" i="120" s="1"/>
  <c r="C1434" i="120" s="1"/>
  <c r="C1827" i="120" s="1"/>
  <c r="C2220" i="120" s="1"/>
  <c r="C2613" i="120" s="1"/>
  <c r="C3006" i="120" s="1"/>
  <c r="B648" i="120"/>
  <c r="B1041" i="120" s="1"/>
  <c r="B1434" i="120" s="1"/>
  <c r="B1827" i="120" s="1"/>
  <c r="B2220" i="120" s="1"/>
  <c r="B2613" i="120" s="1"/>
  <c r="B3006" i="120" s="1"/>
  <c r="A648" i="120"/>
  <c r="A1041" i="120" s="1"/>
  <c r="A1434" i="120" s="1"/>
  <c r="A1827" i="120" s="1"/>
  <c r="A2220" i="120" s="1"/>
  <c r="A2613" i="120" s="1"/>
  <c r="A3006" i="120" s="1"/>
  <c r="M254" i="120"/>
  <c r="E647" i="120"/>
  <c r="E1040" i="120" s="1"/>
  <c r="E1433" i="120" s="1"/>
  <c r="E1826" i="120" s="1"/>
  <c r="E2219" i="120" s="1"/>
  <c r="E2612" i="120" s="1"/>
  <c r="E3005" i="120" s="1"/>
  <c r="D647" i="120"/>
  <c r="D1040" i="120" s="1"/>
  <c r="D1433" i="120" s="1"/>
  <c r="D1826" i="120" s="1"/>
  <c r="D2219" i="120" s="1"/>
  <c r="D2612" i="120" s="1"/>
  <c r="D3005" i="120" s="1"/>
  <c r="C647" i="120"/>
  <c r="C1040" i="120" s="1"/>
  <c r="C1433" i="120" s="1"/>
  <c r="C1826" i="120" s="1"/>
  <c r="C2219" i="120" s="1"/>
  <c r="C2612" i="120" s="1"/>
  <c r="C3005" i="120" s="1"/>
  <c r="B647" i="120"/>
  <c r="B1040" i="120" s="1"/>
  <c r="B1433" i="120" s="1"/>
  <c r="B1826" i="120" s="1"/>
  <c r="B2219" i="120" s="1"/>
  <c r="B2612" i="120" s="1"/>
  <c r="B3005" i="120" s="1"/>
  <c r="A647" i="120"/>
  <c r="A1040" i="120" s="1"/>
  <c r="A1433" i="120" s="1"/>
  <c r="A1826" i="120" s="1"/>
  <c r="A2219" i="120" s="1"/>
  <c r="A2612" i="120" s="1"/>
  <c r="A3005" i="120" s="1"/>
  <c r="M253" i="120"/>
  <c r="E646" i="120"/>
  <c r="E1039" i="120" s="1"/>
  <c r="E1432" i="120" s="1"/>
  <c r="E1825" i="120" s="1"/>
  <c r="E2218" i="120" s="1"/>
  <c r="E2611" i="120" s="1"/>
  <c r="E3004" i="120" s="1"/>
  <c r="D646" i="120"/>
  <c r="D1039" i="120" s="1"/>
  <c r="D1432" i="120" s="1"/>
  <c r="D1825" i="120" s="1"/>
  <c r="D2218" i="120" s="1"/>
  <c r="D2611" i="120" s="1"/>
  <c r="D3004" i="120" s="1"/>
  <c r="C646" i="120"/>
  <c r="C1039" i="120" s="1"/>
  <c r="C1432" i="120" s="1"/>
  <c r="C1825" i="120" s="1"/>
  <c r="C2218" i="120" s="1"/>
  <c r="C2611" i="120" s="1"/>
  <c r="C3004" i="120" s="1"/>
  <c r="B646" i="120"/>
  <c r="B1039" i="120" s="1"/>
  <c r="B1432" i="120" s="1"/>
  <c r="B1825" i="120" s="1"/>
  <c r="B2218" i="120" s="1"/>
  <c r="B2611" i="120" s="1"/>
  <c r="B3004" i="120" s="1"/>
  <c r="A646" i="120"/>
  <c r="A1039" i="120" s="1"/>
  <c r="A1432" i="120" s="1"/>
  <c r="A1825" i="120" s="1"/>
  <c r="A2218" i="120" s="1"/>
  <c r="A2611" i="120" s="1"/>
  <c r="A3004" i="120" s="1"/>
  <c r="M252" i="120"/>
  <c r="E645" i="120"/>
  <c r="E1038" i="120" s="1"/>
  <c r="E1431" i="120" s="1"/>
  <c r="E1824" i="120" s="1"/>
  <c r="E2217" i="120" s="1"/>
  <c r="E2610" i="120" s="1"/>
  <c r="E3003" i="120" s="1"/>
  <c r="D645" i="120"/>
  <c r="D1038" i="120" s="1"/>
  <c r="D1431" i="120" s="1"/>
  <c r="D1824" i="120" s="1"/>
  <c r="D2217" i="120" s="1"/>
  <c r="D2610" i="120" s="1"/>
  <c r="D3003" i="120" s="1"/>
  <c r="C645" i="120"/>
  <c r="C1038" i="120" s="1"/>
  <c r="C1431" i="120" s="1"/>
  <c r="C1824" i="120" s="1"/>
  <c r="C2217" i="120" s="1"/>
  <c r="C2610" i="120" s="1"/>
  <c r="C3003" i="120" s="1"/>
  <c r="B645" i="120"/>
  <c r="B1038" i="120" s="1"/>
  <c r="B1431" i="120" s="1"/>
  <c r="B1824" i="120" s="1"/>
  <c r="B2217" i="120" s="1"/>
  <c r="B2610" i="120" s="1"/>
  <c r="B3003" i="120" s="1"/>
  <c r="A645" i="120"/>
  <c r="A1038" i="120" s="1"/>
  <c r="A1431" i="120" s="1"/>
  <c r="A1824" i="120" s="1"/>
  <c r="A2217" i="120" s="1"/>
  <c r="A2610" i="120" s="1"/>
  <c r="A3003" i="120" s="1"/>
  <c r="M251" i="120"/>
  <c r="E644" i="120"/>
  <c r="E1037" i="120" s="1"/>
  <c r="E1430" i="120" s="1"/>
  <c r="E1823" i="120" s="1"/>
  <c r="E2216" i="120" s="1"/>
  <c r="E2609" i="120" s="1"/>
  <c r="E3002" i="120" s="1"/>
  <c r="D644" i="120"/>
  <c r="D1037" i="120" s="1"/>
  <c r="D1430" i="120" s="1"/>
  <c r="D1823" i="120" s="1"/>
  <c r="D2216" i="120" s="1"/>
  <c r="D2609" i="120" s="1"/>
  <c r="D3002" i="120" s="1"/>
  <c r="C644" i="120"/>
  <c r="C1037" i="120" s="1"/>
  <c r="C1430" i="120" s="1"/>
  <c r="C1823" i="120" s="1"/>
  <c r="C2216" i="120" s="1"/>
  <c r="C2609" i="120" s="1"/>
  <c r="C3002" i="120" s="1"/>
  <c r="B644" i="120"/>
  <c r="B1037" i="120" s="1"/>
  <c r="B1430" i="120" s="1"/>
  <c r="B1823" i="120" s="1"/>
  <c r="B2216" i="120" s="1"/>
  <c r="B2609" i="120" s="1"/>
  <c r="B3002" i="120" s="1"/>
  <c r="A644" i="120"/>
  <c r="A1037" i="120" s="1"/>
  <c r="A1430" i="120" s="1"/>
  <c r="A1823" i="120" s="1"/>
  <c r="A2216" i="120" s="1"/>
  <c r="A2609" i="120" s="1"/>
  <c r="A3002" i="120" s="1"/>
  <c r="M250" i="120"/>
  <c r="E643" i="120"/>
  <c r="E1036" i="120" s="1"/>
  <c r="E1429" i="120" s="1"/>
  <c r="E1822" i="120" s="1"/>
  <c r="E2215" i="120" s="1"/>
  <c r="E2608" i="120" s="1"/>
  <c r="E3001" i="120" s="1"/>
  <c r="D643" i="120"/>
  <c r="D1036" i="120" s="1"/>
  <c r="D1429" i="120" s="1"/>
  <c r="D1822" i="120" s="1"/>
  <c r="D2215" i="120" s="1"/>
  <c r="D2608" i="120" s="1"/>
  <c r="D3001" i="120" s="1"/>
  <c r="C643" i="120"/>
  <c r="C1036" i="120" s="1"/>
  <c r="C1429" i="120" s="1"/>
  <c r="C1822" i="120" s="1"/>
  <c r="C2215" i="120" s="1"/>
  <c r="C2608" i="120" s="1"/>
  <c r="C3001" i="120" s="1"/>
  <c r="B643" i="120"/>
  <c r="B1036" i="120" s="1"/>
  <c r="B1429" i="120" s="1"/>
  <c r="B1822" i="120" s="1"/>
  <c r="B2215" i="120" s="1"/>
  <c r="B2608" i="120" s="1"/>
  <c r="B3001" i="120" s="1"/>
  <c r="A643" i="120"/>
  <c r="A1036" i="120" s="1"/>
  <c r="A1429" i="120" s="1"/>
  <c r="A1822" i="120" s="1"/>
  <c r="A2215" i="120" s="1"/>
  <c r="A2608" i="120" s="1"/>
  <c r="A3001" i="120" s="1"/>
  <c r="M249" i="120"/>
  <c r="E642" i="120"/>
  <c r="E1035" i="120" s="1"/>
  <c r="E1428" i="120" s="1"/>
  <c r="E1821" i="120" s="1"/>
  <c r="E2214" i="120" s="1"/>
  <c r="E2607" i="120" s="1"/>
  <c r="E3000" i="120" s="1"/>
  <c r="D642" i="120"/>
  <c r="D1035" i="120" s="1"/>
  <c r="D1428" i="120" s="1"/>
  <c r="D1821" i="120" s="1"/>
  <c r="D2214" i="120" s="1"/>
  <c r="D2607" i="120" s="1"/>
  <c r="D3000" i="120" s="1"/>
  <c r="C642" i="120"/>
  <c r="C1035" i="120" s="1"/>
  <c r="C1428" i="120" s="1"/>
  <c r="C1821" i="120" s="1"/>
  <c r="C2214" i="120" s="1"/>
  <c r="C2607" i="120" s="1"/>
  <c r="C3000" i="120" s="1"/>
  <c r="B642" i="120"/>
  <c r="B1035" i="120" s="1"/>
  <c r="B1428" i="120" s="1"/>
  <c r="B1821" i="120" s="1"/>
  <c r="B2214" i="120" s="1"/>
  <c r="B2607" i="120" s="1"/>
  <c r="B3000" i="120" s="1"/>
  <c r="A642" i="120"/>
  <c r="A1035" i="120" s="1"/>
  <c r="A1428" i="120" s="1"/>
  <c r="A1821" i="120" s="1"/>
  <c r="A2214" i="120" s="1"/>
  <c r="A2607" i="120" s="1"/>
  <c r="A3000" i="120" s="1"/>
  <c r="M248" i="120"/>
  <c r="G641" i="120"/>
  <c r="G1034" i="120" s="1"/>
  <c r="G1427" i="120" s="1"/>
  <c r="G1820" i="120" s="1"/>
  <c r="G2213" i="120" s="1"/>
  <c r="G2606" i="120" s="1"/>
  <c r="G2999" i="120" s="1"/>
  <c r="E641" i="120"/>
  <c r="E1034" i="120" s="1"/>
  <c r="E1427" i="120" s="1"/>
  <c r="E1820" i="120" s="1"/>
  <c r="E2213" i="120" s="1"/>
  <c r="E2606" i="120" s="1"/>
  <c r="E2999" i="120" s="1"/>
  <c r="D641" i="120"/>
  <c r="D1034" i="120" s="1"/>
  <c r="D1427" i="120" s="1"/>
  <c r="D1820" i="120" s="1"/>
  <c r="D2213" i="120" s="1"/>
  <c r="D2606" i="120" s="1"/>
  <c r="D2999" i="120" s="1"/>
  <c r="C641" i="120"/>
  <c r="C1034" i="120" s="1"/>
  <c r="B641" i="120"/>
  <c r="B1034" i="120" s="1"/>
  <c r="B1427" i="120" s="1"/>
  <c r="B1820" i="120" s="1"/>
  <c r="B2213" i="120" s="1"/>
  <c r="B2606" i="120" s="1"/>
  <c r="B2999" i="120" s="1"/>
  <c r="A641" i="120"/>
  <c r="A1034" i="120" s="1"/>
  <c r="A1427" i="120" s="1"/>
  <c r="A1820" i="120" s="1"/>
  <c r="A2213" i="120" s="1"/>
  <c r="A2606" i="120" s="1"/>
  <c r="A2999" i="120" s="1"/>
  <c r="M247" i="120"/>
  <c r="E640" i="120"/>
  <c r="E1033" i="120" s="1"/>
  <c r="E1426" i="120" s="1"/>
  <c r="E1819" i="120" s="1"/>
  <c r="E2212" i="120" s="1"/>
  <c r="E2605" i="120" s="1"/>
  <c r="E2998" i="120" s="1"/>
  <c r="D640" i="120"/>
  <c r="D1033" i="120" s="1"/>
  <c r="D1426" i="120" s="1"/>
  <c r="D1819" i="120" s="1"/>
  <c r="D2212" i="120" s="1"/>
  <c r="D2605" i="120" s="1"/>
  <c r="D2998" i="120" s="1"/>
  <c r="C640" i="120"/>
  <c r="C1033" i="120" s="1"/>
  <c r="C1426" i="120" s="1"/>
  <c r="C1819" i="120" s="1"/>
  <c r="C2212" i="120" s="1"/>
  <c r="C2605" i="120" s="1"/>
  <c r="C2998" i="120" s="1"/>
  <c r="B640" i="120"/>
  <c r="B1033" i="120" s="1"/>
  <c r="B1426" i="120" s="1"/>
  <c r="B1819" i="120" s="1"/>
  <c r="B2212" i="120" s="1"/>
  <c r="B2605" i="120" s="1"/>
  <c r="B2998" i="120" s="1"/>
  <c r="A640" i="120"/>
  <c r="A1033" i="120" s="1"/>
  <c r="A1426" i="120" s="1"/>
  <c r="A1819" i="120" s="1"/>
  <c r="A2212" i="120" s="1"/>
  <c r="A2605" i="120" s="1"/>
  <c r="A2998" i="120" s="1"/>
  <c r="M246" i="120"/>
  <c r="E639" i="120"/>
  <c r="E1032" i="120" s="1"/>
  <c r="E1425" i="120" s="1"/>
  <c r="E1818" i="120" s="1"/>
  <c r="E2211" i="120" s="1"/>
  <c r="E2604" i="120" s="1"/>
  <c r="E2997" i="120" s="1"/>
  <c r="D639" i="120"/>
  <c r="D1032" i="120" s="1"/>
  <c r="D1425" i="120" s="1"/>
  <c r="D1818" i="120" s="1"/>
  <c r="D2211" i="120" s="1"/>
  <c r="D2604" i="120" s="1"/>
  <c r="D2997" i="120" s="1"/>
  <c r="C639" i="120"/>
  <c r="C1032" i="120" s="1"/>
  <c r="C1425" i="120" s="1"/>
  <c r="C1818" i="120" s="1"/>
  <c r="C2211" i="120" s="1"/>
  <c r="C2604" i="120" s="1"/>
  <c r="C2997" i="120" s="1"/>
  <c r="B639" i="120"/>
  <c r="B1032" i="120" s="1"/>
  <c r="B1425" i="120" s="1"/>
  <c r="B1818" i="120" s="1"/>
  <c r="B2211" i="120" s="1"/>
  <c r="B2604" i="120" s="1"/>
  <c r="B2997" i="120" s="1"/>
  <c r="A639" i="120"/>
  <c r="A1032" i="120" s="1"/>
  <c r="A1425" i="120" s="1"/>
  <c r="A1818" i="120" s="1"/>
  <c r="A2211" i="120" s="1"/>
  <c r="A2604" i="120" s="1"/>
  <c r="A2997" i="120" s="1"/>
  <c r="M245" i="120"/>
  <c r="E638" i="120"/>
  <c r="E1031" i="120" s="1"/>
  <c r="E1424" i="120" s="1"/>
  <c r="E1817" i="120" s="1"/>
  <c r="E2210" i="120" s="1"/>
  <c r="E2603" i="120" s="1"/>
  <c r="E2996" i="120" s="1"/>
  <c r="D638" i="120"/>
  <c r="D1031" i="120" s="1"/>
  <c r="D1424" i="120" s="1"/>
  <c r="D1817" i="120" s="1"/>
  <c r="D2210" i="120" s="1"/>
  <c r="D2603" i="120" s="1"/>
  <c r="D2996" i="120" s="1"/>
  <c r="C638" i="120"/>
  <c r="C1031" i="120" s="1"/>
  <c r="C1424" i="120" s="1"/>
  <c r="C1817" i="120" s="1"/>
  <c r="C2210" i="120" s="1"/>
  <c r="C2603" i="120" s="1"/>
  <c r="C2996" i="120" s="1"/>
  <c r="B638" i="120"/>
  <c r="B1031" i="120" s="1"/>
  <c r="B1424" i="120" s="1"/>
  <c r="B1817" i="120" s="1"/>
  <c r="B2210" i="120" s="1"/>
  <c r="B2603" i="120" s="1"/>
  <c r="B2996" i="120" s="1"/>
  <c r="A638" i="120"/>
  <c r="A1031" i="120" s="1"/>
  <c r="A1424" i="120" s="1"/>
  <c r="A1817" i="120" s="1"/>
  <c r="A2210" i="120" s="1"/>
  <c r="A2603" i="120" s="1"/>
  <c r="A2996" i="120" s="1"/>
  <c r="M244" i="120"/>
  <c r="E637" i="120"/>
  <c r="E1030" i="120" s="1"/>
  <c r="E1423" i="120" s="1"/>
  <c r="E1816" i="120" s="1"/>
  <c r="E2209" i="120" s="1"/>
  <c r="E2602" i="120" s="1"/>
  <c r="E2995" i="120" s="1"/>
  <c r="D637" i="120"/>
  <c r="D1030" i="120" s="1"/>
  <c r="D1423" i="120" s="1"/>
  <c r="D1816" i="120" s="1"/>
  <c r="D2209" i="120" s="1"/>
  <c r="D2602" i="120" s="1"/>
  <c r="D2995" i="120" s="1"/>
  <c r="C637" i="120"/>
  <c r="C1030" i="120" s="1"/>
  <c r="C1423" i="120" s="1"/>
  <c r="C1816" i="120" s="1"/>
  <c r="C2209" i="120" s="1"/>
  <c r="C2602" i="120" s="1"/>
  <c r="C2995" i="120" s="1"/>
  <c r="B637" i="120"/>
  <c r="B1030" i="120" s="1"/>
  <c r="B1423" i="120" s="1"/>
  <c r="B1816" i="120" s="1"/>
  <c r="B2209" i="120" s="1"/>
  <c r="B2602" i="120" s="1"/>
  <c r="B2995" i="120" s="1"/>
  <c r="A637" i="120"/>
  <c r="A1030" i="120" s="1"/>
  <c r="A1423" i="120" s="1"/>
  <c r="A1816" i="120" s="1"/>
  <c r="A2209" i="120" s="1"/>
  <c r="A2602" i="120" s="1"/>
  <c r="A2995" i="120" s="1"/>
  <c r="M243" i="120"/>
  <c r="E636" i="120"/>
  <c r="E1029" i="120" s="1"/>
  <c r="E1422" i="120" s="1"/>
  <c r="E1815" i="120" s="1"/>
  <c r="E2208" i="120" s="1"/>
  <c r="E2601" i="120" s="1"/>
  <c r="E2994" i="120" s="1"/>
  <c r="D636" i="120"/>
  <c r="D1029" i="120" s="1"/>
  <c r="D1422" i="120" s="1"/>
  <c r="D1815" i="120" s="1"/>
  <c r="D2208" i="120" s="1"/>
  <c r="D2601" i="120" s="1"/>
  <c r="D2994" i="120" s="1"/>
  <c r="C636" i="120"/>
  <c r="C1029" i="120" s="1"/>
  <c r="C1422" i="120" s="1"/>
  <c r="C1815" i="120" s="1"/>
  <c r="C2208" i="120" s="1"/>
  <c r="C2601" i="120" s="1"/>
  <c r="C2994" i="120" s="1"/>
  <c r="B636" i="120"/>
  <c r="B1029" i="120" s="1"/>
  <c r="B1422" i="120" s="1"/>
  <c r="B1815" i="120" s="1"/>
  <c r="B2208" i="120" s="1"/>
  <c r="B2601" i="120" s="1"/>
  <c r="B2994" i="120" s="1"/>
  <c r="A636" i="120"/>
  <c r="A1029" i="120" s="1"/>
  <c r="A1422" i="120" s="1"/>
  <c r="A1815" i="120" s="1"/>
  <c r="A2208" i="120" s="1"/>
  <c r="A2601" i="120" s="1"/>
  <c r="A2994" i="120" s="1"/>
  <c r="M242" i="120"/>
  <c r="E635" i="120"/>
  <c r="E1028" i="120" s="1"/>
  <c r="E1421" i="120" s="1"/>
  <c r="E1814" i="120" s="1"/>
  <c r="E2207" i="120" s="1"/>
  <c r="E2600" i="120" s="1"/>
  <c r="E2993" i="120" s="1"/>
  <c r="D635" i="120"/>
  <c r="D1028" i="120" s="1"/>
  <c r="D1421" i="120" s="1"/>
  <c r="D1814" i="120" s="1"/>
  <c r="D2207" i="120" s="1"/>
  <c r="D2600" i="120" s="1"/>
  <c r="D2993" i="120" s="1"/>
  <c r="C635" i="120"/>
  <c r="C1028" i="120" s="1"/>
  <c r="C1421" i="120" s="1"/>
  <c r="C1814" i="120" s="1"/>
  <c r="C2207" i="120" s="1"/>
  <c r="C2600" i="120" s="1"/>
  <c r="C2993" i="120" s="1"/>
  <c r="B635" i="120"/>
  <c r="B1028" i="120" s="1"/>
  <c r="B1421" i="120" s="1"/>
  <c r="B1814" i="120" s="1"/>
  <c r="B2207" i="120" s="1"/>
  <c r="B2600" i="120" s="1"/>
  <c r="B2993" i="120" s="1"/>
  <c r="A635" i="120"/>
  <c r="A1028" i="120" s="1"/>
  <c r="A1421" i="120" s="1"/>
  <c r="A1814" i="120" s="1"/>
  <c r="A2207" i="120" s="1"/>
  <c r="A2600" i="120" s="1"/>
  <c r="A2993" i="120" s="1"/>
  <c r="M241" i="120"/>
  <c r="E634" i="120"/>
  <c r="E1027" i="120" s="1"/>
  <c r="E1420" i="120" s="1"/>
  <c r="E1813" i="120" s="1"/>
  <c r="E2206" i="120" s="1"/>
  <c r="E2599" i="120" s="1"/>
  <c r="E2992" i="120" s="1"/>
  <c r="D634" i="120"/>
  <c r="D1027" i="120" s="1"/>
  <c r="D1420" i="120" s="1"/>
  <c r="D1813" i="120" s="1"/>
  <c r="D2206" i="120" s="1"/>
  <c r="D2599" i="120" s="1"/>
  <c r="D2992" i="120" s="1"/>
  <c r="C634" i="120"/>
  <c r="C1027" i="120" s="1"/>
  <c r="C1420" i="120" s="1"/>
  <c r="C1813" i="120" s="1"/>
  <c r="C2206" i="120" s="1"/>
  <c r="C2599" i="120" s="1"/>
  <c r="C2992" i="120" s="1"/>
  <c r="B634" i="120"/>
  <c r="B1027" i="120" s="1"/>
  <c r="B1420" i="120" s="1"/>
  <c r="B1813" i="120" s="1"/>
  <c r="B2206" i="120" s="1"/>
  <c r="B2599" i="120" s="1"/>
  <c r="B2992" i="120" s="1"/>
  <c r="A634" i="120"/>
  <c r="A1027" i="120" s="1"/>
  <c r="A1420" i="120" s="1"/>
  <c r="A1813" i="120" s="1"/>
  <c r="A2206" i="120" s="1"/>
  <c r="A2599" i="120" s="1"/>
  <c r="A2992" i="120" s="1"/>
  <c r="M240" i="120"/>
  <c r="E633" i="120"/>
  <c r="E1026" i="120" s="1"/>
  <c r="E1419" i="120" s="1"/>
  <c r="E1812" i="120" s="1"/>
  <c r="E2205" i="120" s="1"/>
  <c r="E2598" i="120" s="1"/>
  <c r="E2991" i="120" s="1"/>
  <c r="D633" i="120"/>
  <c r="D1026" i="120" s="1"/>
  <c r="D1419" i="120" s="1"/>
  <c r="D1812" i="120" s="1"/>
  <c r="D2205" i="120" s="1"/>
  <c r="D2598" i="120" s="1"/>
  <c r="D2991" i="120" s="1"/>
  <c r="C633" i="120"/>
  <c r="C1026" i="120" s="1"/>
  <c r="C1419" i="120" s="1"/>
  <c r="C1812" i="120" s="1"/>
  <c r="C2205" i="120" s="1"/>
  <c r="C2598" i="120" s="1"/>
  <c r="C2991" i="120" s="1"/>
  <c r="B633" i="120"/>
  <c r="B1026" i="120" s="1"/>
  <c r="B1419" i="120" s="1"/>
  <c r="B1812" i="120" s="1"/>
  <c r="B2205" i="120" s="1"/>
  <c r="B2598" i="120" s="1"/>
  <c r="B2991" i="120" s="1"/>
  <c r="A633" i="120"/>
  <c r="A1026" i="120" s="1"/>
  <c r="A1419" i="120" s="1"/>
  <c r="A1812" i="120" s="1"/>
  <c r="A2205" i="120" s="1"/>
  <c r="A2598" i="120" s="1"/>
  <c r="A2991" i="120" s="1"/>
  <c r="M239" i="120"/>
  <c r="E632" i="120"/>
  <c r="E1025" i="120" s="1"/>
  <c r="E1418" i="120" s="1"/>
  <c r="E1811" i="120" s="1"/>
  <c r="E2204" i="120" s="1"/>
  <c r="E2597" i="120" s="1"/>
  <c r="E2990" i="120" s="1"/>
  <c r="D632" i="120"/>
  <c r="D1025" i="120" s="1"/>
  <c r="D1418" i="120" s="1"/>
  <c r="D1811" i="120" s="1"/>
  <c r="D2204" i="120" s="1"/>
  <c r="D2597" i="120" s="1"/>
  <c r="D2990" i="120" s="1"/>
  <c r="C632" i="120"/>
  <c r="C1025" i="120" s="1"/>
  <c r="C1418" i="120" s="1"/>
  <c r="C1811" i="120" s="1"/>
  <c r="C2204" i="120" s="1"/>
  <c r="C2597" i="120" s="1"/>
  <c r="C2990" i="120" s="1"/>
  <c r="B632" i="120"/>
  <c r="B1025" i="120" s="1"/>
  <c r="B1418" i="120" s="1"/>
  <c r="B1811" i="120" s="1"/>
  <c r="B2204" i="120" s="1"/>
  <c r="B2597" i="120" s="1"/>
  <c r="B2990" i="120" s="1"/>
  <c r="A632" i="120"/>
  <c r="A1025" i="120" s="1"/>
  <c r="A1418" i="120" s="1"/>
  <c r="A1811" i="120" s="1"/>
  <c r="A2204" i="120" s="1"/>
  <c r="A2597" i="120" s="1"/>
  <c r="A2990" i="120" s="1"/>
  <c r="M238" i="120"/>
  <c r="D631" i="120"/>
  <c r="D1024" i="120" s="1"/>
  <c r="D1417" i="120" s="1"/>
  <c r="D1810" i="120" s="1"/>
  <c r="D2203" i="120" s="1"/>
  <c r="D2596" i="120" s="1"/>
  <c r="D2989" i="120" s="1"/>
  <c r="C631" i="120"/>
  <c r="C1024" i="120" s="1"/>
  <c r="C1417" i="120" s="1"/>
  <c r="C1810" i="120" s="1"/>
  <c r="C2203" i="120" s="1"/>
  <c r="C2596" i="120" s="1"/>
  <c r="C2989" i="120" s="1"/>
  <c r="B631" i="120"/>
  <c r="B1024" i="120" s="1"/>
  <c r="B1417" i="120" s="1"/>
  <c r="B1810" i="120" s="1"/>
  <c r="B2203" i="120" s="1"/>
  <c r="B2596" i="120" s="1"/>
  <c r="B2989" i="120" s="1"/>
  <c r="A631" i="120"/>
  <c r="A1024" i="120" s="1"/>
  <c r="A1417" i="120" s="1"/>
  <c r="A1810" i="120" s="1"/>
  <c r="A2203" i="120" s="1"/>
  <c r="A2596" i="120" s="1"/>
  <c r="A2989" i="120" s="1"/>
  <c r="M237" i="120"/>
  <c r="E630" i="120"/>
  <c r="E1023" i="120" s="1"/>
  <c r="E1416" i="120" s="1"/>
  <c r="E1809" i="120" s="1"/>
  <c r="E2202" i="120" s="1"/>
  <c r="E2595" i="120" s="1"/>
  <c r="E2988" i="120" s="1"/>
  <c r="D630" i="120"/>
  <c r="D1023" i="120" s="1"/>
  <c r="D1416" i="120" s="1"/>
  <c r="D1809" i="120" s="1"/>
  <c r="D2202" i="120" s="1"/>
  <c r="D2595" i="120" s="1"/>
  <c r="D2988" i="120" s="1"/>
  <c r="C630" i="120"/>
  <c r="C1023" i="120" s="1"/>
  <c r="C1416" i="120" s="1"/>
  <c r="C1809" i="120" s="1"/>
  <c r="C2202" i="120" s="1"/>
  <c r="C2595" i="120" s="1"/>
  <c r="C2988" i="120" s="1"/>
  <c r="B630" i="120"/>
  <c r="B1023" i="120" s="1"/>
  <c r="B1416" i="120" s="1"/>
  <c r="B1809" i="120" s="1"/>
  <c r="B2202" i="120" s="1"/>
  <c r="B2595" i="120" s="1"/>
  <c r="B2988" i="120" s="1"/>
  <c r="A630" i="120"/>
  <c r="A1023" i="120" s="1"/>
  <c r="A1416" i="120" s="1"/>
  <c r="A1809" i="120" s="1"/>
  <c r="A2202" i="120" s="1"/>
  <c r="A2595" i="120" s="1"/>
  <c r="A2988" i="120" s="1"/>
  <c r="M236" i="120"/>
  <c r="E629" i="120"/>
  <c r="E1022" i="120" s="1"/>
  <c r="E1415" i="120" s="1"/>
  <c r="E1808" i="120" s="1"/>
  <c r="E2201" i="120" s="1"/>
  <c r="E2594" i="120" s="1"/>
  <c r="E2987" i="120" s="1"/>
  <c r="D629" i="120"/>
  <c r="D1022" i="120" s="1"/>
  <c r="D1415" i="120" s="1"/>
  <c r="D1808" i="120" s="1"/>
  <c r="D2201" i="120" s="1"/>
  <c r="D2594" i="120" s="1"/>
  <c r="D2987" i="120" s="1"/>
  <c r="C629" i="120"/>
  <c r="C1022" i="120" s="1"/>
  <c r="C1415" i="120" s="1"/>
  <c r="C1808" i="120" s="1"/>
  <c r="C2201" i="120" s="1"/>
  <c r="C2594" i="120" s="1"/>
  <c r="C2987" i="120" s="1"/>
  <c r="B629" i="120"/>
  <c r="B1022" i="120" s="1"/>
  <c r="B1415" i="120" s="1"/>
  <c r="B1808" i="120" s="1"/>
  <c r="B2201" i="120" s="1"/>
  <c r="B2594" i="120" s="1"/>
  <c r="B2987" i="120" s="1"/>
  <c r="A629" i="120"/>
  <c r="A1022" i="120" s="1"/>
  <c r="A1415" i="120" s="1"/>
  <c r="A1808" i="120" s="1"/>
  <c r="A2201" i="120" s="1"/>
  <c r="A2594" i="120" s="1"/>
  <c r="A2987" i="120" s="1"/>
  <c r="M235" i="120"/>
  <c r="E628" i="120"/>
  <c r="E1021" i="120" s="1"/>
  <c r="E1414" i="120" s="1"/>
  <c r="E1807" i="120" s="1"/>
  <c r="E2200" i="120" s="1"/>
  <c r="E2593" i="120" s="1"/>
  <c r="E2986" i="120" s="1"/>
  <c r="D628" i="120"/>
  <c r="D1021" i="120" s="1"/>
  <c r="D1414" i="120" s="1"/>
  <c r="D1807" i="120" s="1"/>
  <c r="D2200" i="120" s="1"/>
  <c r="D2593" i="120" s="1"/>
  <c r="D2986" i="120" s="1"/>
  <c r="C628" i="120"/>
  <c r="C1021" i="120" s="1"/>
  <c r="C1414" i="120" s="1"/>
  <c r="C1807" i="120" s="1"/>
  <c r="C2200" i="120" s="1"/>
  <c r="C2593" i="120" s="1"/>
  <c r="C2986" i="120" s="1"/>
  <c r="B628" i="120"/>
  <c r="B1021" i="120" s="1"/>
  <c r="B1414" i="120" s="1"/>
  <c r="B1807" i="120" s="1"/>
  <c r="B2200" i="120" s="1"/>
  <c r="B2593" i="120" s="1"/>
  <c r="B2986" i="120" s="1"/>
  <c r="A628" i="120"/>
  <c r="A1021" i="120" s="1"/>
  <c r="A1414" i="120" s="1"/>
  <c r="A1807" i="120" s="1"/>
  <c r="A2200" i="120" s="1"/>
  <c r="A2593" i="120" s="1"/>
  <c r="A2986" i="120" s="1"/>
  <c r="M234" i="120"/>
  <c r="D627" i="120"/>
  <c r="D1020" i="120" s="1"/>
  <c r="D1413" i="120" s="1"/>
  <c r="D1806" i="120" s="1"/>
  <c r="D2199" i="120" s="1"/>
  <c r="D2592" i="120" s="1"/>
  <c r="D2985" i="120" s="1"/>
  <c r="C627" i="120"/>
  <c r="C1020" i="120" s="1"/>
  <c r="C1413" i="120" s="1"/>
  <c r="C1806" i="120" s="1"/>
  <c r="C2199" i="120" s="1"/>
  <c r="C2592" i="120" s="1"/>
  <c r="C2985" i="120" s="1"/>
  <c r="B627" i="120"/>
  <c r="B1020" i="120" s="1"/>
  <c r="B1413" i="120" s="1"/>
  <c r="B1806" i="120" s="1"/>
  <c r="B2199" i="120" s="1"/>
  <c r="B2592" i="120" s="1"/>
  <c r="B2985" i="120" s="1"/>
  <c r="A627" i="120"/>
  <c r="A1020" i="120" s="1"/>
  <c r="A1413" i="120" s="1"/>
  <c r="A1806" i="120" s="1"/>
  <c r="A2199" i="120" s="1"/>
  <c r="A2592" i="120" s="1"/>
  <c r="A2985" i="120" s="1"/>
  <c r="M233" i="120"/>
  <c r="E626" i="120"/>
  <c r="E1019" i="120" s="1"/>
  <c r="E1412" i="120" s="1"/>
  <c r="E1805" i="120" s="1"/>
  <c r="E2198" i="120" s="1"/>
  <c r="E2591" i="120" s="1"/>
  <c r="E2984" i="120" s="1"/>
  <c r="D626" i="120"/>
  <c r="D1019" i="120" s="1"/>
  <c r="D1412" i="120" s="1"/>
  <c r="D1805" i="120" s="1"/>
  <c r="D2198" i="120" s="1"/>
  <c r="D2591" i="120" s="1"/>
  <c r="D2984" i="120" s="1"/>
  <c r="C626" i="120"/>
  <c r="C1019" i="120" s="1"/>
  <c r="C1412" i="120" s="1"/>
  <c r="C1805" i="120" s="1"/>
  <c r="C2198" i="120" s="1"/>
  <c r="C2591" i="120" s="1"/>
  <c r="C2984" i="120" s="1"/>
  <c r="B626" i="120"/>
  <c r="B1019" i="120" s="1"/>
  <c r="B1412" i="120" s="1"/>
  <c r="B1805" i="120" s="1"/>
  <c r="B2198" i="120" s="1"/>
  <c r="B2591" i="120" s="1"/>
  <c r="B2984" i="120" s="1"/>
  <c r="A626" i="120"/>
  <c r="A1019" i="120" s="1"/>
  <c r="A1412" i="120" s="1"/>
  <c r="A1805" i="120" s="1"/>
  <c r="A2198" i="120" s="1"/>
  <c r="A2591" i="120" s="1"/>
  <c r="A2984" i="120" s="1"/>
  <c r="M232" i="120"/>
  <c r="E625" i="120"/>
  <c r="E1018" i="120" s="1"/>
  <c r="E1411" i="120" s="1"/>
  <c r="E1804" i="120" s="1"/>
  <c r="E2197" i="120" s="1"/>
  <c r="E2590" i="120" s="1"/>
  <c r="E2983" i="120" s="1"/>
  <c r="D625" i="120"/>
  <c r="D1018" i="120" s="1"/>
  <c r="D1411" i="120" s="1"/>
  <c r="D1804" i="120" s="1"/>
  <c r="D2197" i="120" s="1"/>
  <c r="D2590" i="120" s="1"/>
  <c r="D2983" i="120" s="1"/>
  <c r="C625" i="120"/>
  <c r="C1018" i="120" s="1"/>
  <c r="C1411" i="120" s="1"/>
  <c r="C1804" i="120" s="1"/>
  <c r="C2197" i="120" s="1"/>
  <c r="C2590" i="120" s="1"/>
  <c r="C2983" i="120" s="1"/>
  <c r="B625" i="120"/>
  <c r="B1018" i="120" s="1"/>
  <c r="B1411" i="120" s="1"/>
  <c r="B1804" i="120" s="1"/>
  <c r="B2197" i="120" s="1"/>
  <c r="B2590" i="120" s="1"/>
  <c r="B2983" i="120" s="1"/>
  <c r="A625" i="120"/>
  <c r="A1018" i="120" s="1"/>
  <c r="A1411" i="120" s="1"/>
  <c r="A1804" i="120" s="1"/>
  <c r="A2197" i="120" s="1"/>
  <c r="A2590" i="120" s="1"/>
  <c r="A2983" i="120" s="1"/>
  <c r="M231" i="120"/>
  <c r="G624" i="120"/>
  <c r="E624" i="120"/>
  <c r="E1017" i="120" s="1"/>
  <c r="E1410" i="120" s="1"/>
  <c r="E1803" i="120" s="1"/>
  <c r="E2196" i="120" s="1"/>
  <c r="E2589" i="120" s="1"/>
  <c r="E2982" i="120" s="1"/>
  <c r="D624" i="120"/>
  <c r="D1017" i="120" s="1"/>
  <c r="D1410" i="120" s="1"/>
  <c r="D1803" i="120" s="1"/>
  <c r="D2196" i="120" s="1"/>
  <c r="D2589" i="120" s="1"/>
  <c r="D2982" i="120" s="1"/>
  <c r="C624" i="120"/>
  <c r="C1017" i="120" s="1"/>
  <c r="C1410" i="120" s="1"/>
  <c r="C1803" i="120" s="1"/>
  <c r="C2196" i="120" s="1"/>
  <c r="C2589" i="120" s="1"/>
  <c r="C2982" i="120" s="1"/>
  <c r="B624" i="120"/>
  <c r="B1017" i="120" s="1"/>
  <c r="B1410" i="120" s="1"/>
  <c r="B1803" i="120" s="1"/>
  <c r="B2196" i="120" s="1"/>
  <c r="B2589" i="120" s="1"/>
  <c r="B2982" i="120" s="1"/>
  <c r="A624" i="120"/>
  <c r="A1017" i="120" s="1"/>
  <c r="A1410" i="120" s="1"/>
  <c r="A1803" i="120" s="1"/>
  <c r="A2196" i="120" s="1"/>
  <c r="A2589" i="120" s="1"/>
  <c r="A2982" i="120" s="1"/>
  <c r="M230" i="120"/>
  <c r="E623" i="120"/>
  <c r="E1016" i="120" s="1"/>
  <c r="E1409" i="120" s="1"/>
  <c r="E1802" i="120" s="1"/>
  <c r="E2195" i="120" s="1"/>
  <c r="E2588" i="120" s="1"/>
  <c r="E2981" i="120" s="1"/>
  <c r="D623" i="120"/>
  <c r="D1016" i="120" s="1"/>
  <c r="D1409" i="120" s="1"/>
  <c r="D1802" i="120" s="1"/>
  <c r="D2195" i="120" s="1"/>
  <c r="D2588" i="120" s="1"/>
  <c r="D2981" i="120" s="1"/>
  <c r="C623" i="120"/>
  <c r="C1016" i="120" s="1"/>
  <c r="C1409" i="120" s="1"/>
  <c r="C1802" i="120" s="1"/>
  <c r="C2195" i="120" s="1"/>
  <c r="C2588" i="120" s="1"/>
  <c r="C2981" i="120" s="1"/>
  <c r="B623" i="120"/>
  <c r="B1016" i="120" s="1"/>
  <c r="B1409" i="120" s="1"/>
  <c r="B1802" i="120" s="1"/>
  <c r="B2195" i="120" s="1"/>
  <c r="B2588" i="120" s="1"/>
  <c r="B2981" i="120" s="1"/>
  <c r="A623" i="120"/>
  <c r="A1016" i="120" s="1"/>
  <c r="A1409" i="120" s="1"/>
  <c r="A1802" i="120" s="1"/>
  <c r="A2195" i="120" s="1"/>
  <c r="A2588" i="120" s="1"/>
  <c r="A2981" i="120" s="1"/>
  <c r="M229" i="120"/>
  <c r="E622" i="120"/>
  <c r="E1015" i="120" s="1"/>
  <c r="E1408" i="120" s="1"/>
  <c r="E1801" i="120" s="1"/>
  <c r="E2194" i="120" s="1"/>
  <c r="E2587" i="120" s="1"/>
  <c r="E2980" i="120" s="1"/>
  <c r="D622" i="120"/>
  <c r="D1015" i="120" s="1"/>
  <c r="D1408" i="120" s="1"/>
  <c r="D1801" i="120" s="1"/>
  <c r="D2194" i="120" s="1"/>
  <c r="D2587" i="120" s="1"/>
  <c r="D2980" i="120" s="1"/>
  <c r="C622" i="120"/>
  <c r="C1015" i="120" s="1"/>
  <c r="C1408" i="120" s="1"/>
  <c r="C1801" i="120" s="1"/>
  <c r="C2194" i="120" s="1"/>
  <c r="C2587" i="120" s="1"/>
  <c r="C2980" i="120" s="1"/>
  <c r="B622" i="120"/>
  <c r="B1015" i="120" s="1"/>
  <c r="B1408" i="120" s="1"/>
  <c r="B1801" i="120" s="1"/>
  <c r="B2194" i="120" s="1"/>
  <c r="B2587" i="120" s="1"/>
  <c r="B2980" i="120" s="1"/>
  <c r="M228" i="120"/>
  <c r="G621" i="120"/>
  <c r="G1014" i="120" s="1"/>
  <c r="G1407" i="120" s="1"/>
  <c r="G1800" i="120" s="1"/>
  <c r="G2193" i="120" s="1"/>
  <c r="G2586" i="120" s="1"/>
  <c r="G2979" i="120" s="1"/>
  <c r="H228" i="120"/>
  <c r="E621" i="120"/>
  <c r="E1014" i="120" s="1"/>
  <c r="E1407" i="120" s="1"/>
  <c r="E1800" i="120" s="1"/>
  <c r="E2193" i="120" s="1"/>
  <c r="E2586" i="120" s="1"/>
  <c r="E2979" i="120" s="1"/>
  <c r="D621" i="120"/>
  <c r="D1014" i="120" s="1"/>
  <c r="D1407" i="120" s="1"/>
  <c r="D1800" i="120" s="1"/>
  <c r="D2193" i="120" s="1"/>
  <c r="D2586" i="120" s="1"/>
  <c r="D2979" i="120" s="1"/>
  <c r="C621" i="120"/>
  <c r="C1014" i="120" s="1"/>
  <c r="C1407" i="120" s="1"/>
  <c r="C1800" i="120" s="1"/>
  <c r="C2193" i="120" s="1"/>
  <c r="C2586" i="120" s="1"/>
  <c r="C2979" i="120" s="1"/>
  <c r="B621" i="120"/>
  <c r="B1014" i="120" s="1"/>
  <c r="B1407" i="120" s="1"/>
  <c r="B1800" i="120" s="1"/>
  <c r="B2193" i="120" s="1"/>
  <c r="B2586" i="120" s="1"/>
  <c r="B2979" i="120" s="1"/>
  <c r="A621" i="120"/>
  <c r="A1014" i="120" s="1"/>
  <c r="A1407" i="120" s="1"/>
  <c r="A1800" i="120" s="1"/>
  <c r="A2193" i="120" s="1"/>
  <c r="A2586" i="120" s="1"/>
  <c r="A2979" i="120" s="1"/>
  <c r="M227" i="120"/>
  <c r="E620" i="120"/>
  <c r="E1013" i="120" s="1"/>
  <c r="E1406" i="120" s="1"/>
  <c r="E1799" i="120" s="1"/>
  <c r="E2192" i="120" s="1"/>
  <c r="E2585" i="120" s="1"/>
  <c r="E2978" i="120" s="1"/>
  <c r="D620" i="120"/>
  <c r="D1013" i="120" s="1"/>
  <c r="D1406" i="120" s="1"/>
  <c r="D1799" i="120" s="1"/>
  <c r="D2192" i="120" s="1"/>
  <c r="D2585" i="120" s="1"/>
  <c r="D2978" i="120" s="1"/>
  <c r="C620" i="120"/>
  <c r="C1013" i="120" s="1"/>
  <c r="C1406" i="120" s="1"/>
  <c r="C1799" i="120" s="1"/>
  <c r="C2192" i="120" s="1"/>
  <c r="C2585" i="120" s="1"/>
  <c r="C2978" i="120" s="1"/>
  <c r="B620" i="120"/>
  <c r="B1013" i="120" s="1"/>
  <c r="B1406" i="120" s="1"/>
  <c r="B1799" i="120" s="1"/>
  <c r="B2192" i="120" s="1"/>
  <c r="B2585" i="120" s="1"/>
  <c r="B2978" i="120" s="1"/>
  <c r="A620" i="120"/>
  <c r="A1013" i="120" s="1"/>
  <c r="A1406" i="120" s="1"/>
  <c r="A1799" i="120" s="1"/>
  <c r="A2192" i="120" s="1"/>
  <c r="A2585" i="120" s="1"/>
  <c r="A2978" i="120" s="1"/>
  <c r="M226" i="120"/>
  <c r="E619" i="120"/>
  <c r="E1012" i="120" s="1"/>
  <c r="E1405" i="120" s="1"/>
  <c r="E1798" i="120" s="1"/>
  <c r="E2191" i="120" s="1"/>
  <c r="E2584" i="120" s="1"/>
  <c r="E2977" i="120" s="1"/>
  <c r="D619" i="120"/>
  <c r="D1012" i="120" s="1"/>
  <c r="D1405" i="120" s="1"/>
  <c r="D1798" i="120" s="1"/>
  <c r="D2191" i="120" s="1"/>
  <c r="D2584" i="120" s="1"/>
  <c r="D2977" i="120" s="1"/>
  <c r="C619" i="120"/>
  <c r="C1012" i="120" s="1"/>
  <c r="C1405" i="120" s="1"/>
  <c r="C1798" i="120" s="1"/>
  <c r="C2191" i="120" s="1"/>
  <c r="C2584" i="120" s="1"/>
  <c r="C2977" i="120" s="1"/>
  <c r="B619" i="120"/>
  <c r="B1012" i="120" s="1"/>
  <c r="B1405" i="120" s="1"/>
  <c r="B1798" i="120" s="1"/>
  <c r="B2191" i="120" s="1"/>
  <c r="B2584" i="120" s="1"/>
  <c r="B2977" i="120" s="1"/>
  <c r="A619" i="120"/>
  <c r="A1012" i="120" s="1"/>
  <c r="A1405" i="120" s="1"/>
  <c r="A1798" i="120" s="1"/>
  <c r="A2191" i="120" s="1"/>
  <c r="A2584" i="120" s="1"/>
  <c r="A2977" i="120" s="1"/>
  <c r="M225" i="120"/>
  <c r="E618" i="120"/>
  <c r="E1011" i="120" s="1"/>
  <c r="E1404" i="120" s="1"/>
  <c r="E1797" i="120" s="1"/>
  <c r="E2190" i="120" s="1"/>
  <c r="E2583" i="120" s="1"/>
  <c r="E2976" i="120" s="1"/>
  <c r="D618" i="120"/>
  <c r="D1011" i="120" s="1"/>
  <c r="D1404" i="120" s="1"/>
  <c r="D1797" i="120" s="1"/>
  <c r="D2190" i="120" s="1"/>
  <c r="D2583" i="120" s="1"/>
  <c r="D2976" i="120" s="1"/>
  <c r="C618" i="120"/>
  <c r="C1011" i="120" s="1"/>
  <c r="C1404" i="120" s="1"/>
  <c r="C1797" i="120" s="1"/>
  <c r="C2190" i="120" s="1"/>
  <c r="C2583" i="120" s="1"/>
  <c r="C2976" i="120" s="1"/>
  <c r="B618" i="120"/>
  <c r="B1011" i="120" s="1"/>
  <c r="B1404" i="120" s="1"/>
  <c r="B1797" i="120" s="1"/>
  <c r="B2190" i="120" s="1"/>
  <c r="B2583" i="120" s="1"/>
  <c r="B2976" i="120" s="1"/>
  <c r="A618" i="120"/>
  <c r="A1011" i="120" s="1"/>
  <c r="A1404" i="120" s="1"/>
  <c r="A1797" i="120" s="1"/>
  <c r="A2190" i="120" s="1"/>
  <c r="A2583" i="120" s="1"/>
  <c r="A2976" i="120" s="1"/>
  <c r="M224" i="120"/>
  <c r="E617" i="120"/>
  <c r="E1010" i="120" s="1"/>
  <c r="E1403" i="120" s="1"/>
  <c r="E1796" i="120" s="1"/>
  <c r="E2189" i="120" s="1"/>
  <c r="E2582" i="120" s="1"/>
  <c r="E2975" i="120" s="1"/>
  <c r="D617" i="120"/>
  <c r="D1010" i="120" s="1"/>
  <c r="D1403" i="120" s="1"/>
  <c r="D1796" i="120" s="1"/>
  <c r="D2189" i="120" s="1"/>
  <c r="D2582" i="120" s="1"/>
  <c r="D2975" i="120" s="1"/>
  <c r="C617" i="120"/>
  <c r="C1010" i="120" s="1"/>
  <c r="C1403" i="120" s="1"/>
  <c r="C1796" i="120" s="1"/>
  <c r="C2189" i="120" s="1"/>
  <c r="C2582" i="120" s="1"/>
  <c r="C2975" i="120" s="1"/>
  <c r="B617" i="120"/>
  <c r="B1010" i="120" s="1"/>
  <c r="B1403" i="120" s="1"/>
  <c r="B1796" i="120" s="1"/>
  <c r="B2189" i="120" s="1"/>
  <c r="B2582" i="120" s="1"/>
  <c r="B2975" i="120" s="1"/>
  <c r="A617" i="120"/>
  <c r="A1010" i="120" s="1"/>
  <c r="A1403" i="120" s="1"/>
  <c r="A1796" i="120" s="1"/>
  <c r="A2189" i="120" s="1"/>
  <c r="A2582" i="120" s="1"/>
  <c r="A2975" i="120" s="1"/>
  <c r="M223" i="120"/>
  <c r="G616" i="120"/>
  <c r="G1009" i="120" s="1"/>
  <c r="G1402" i="120" s="1"/>
  <c r="G1795" i="120" s="1"/>
  <c r="G2188" i="120" s="1"/>
  <c r="G2581" i="120" s="1"/>
  <c r="G2974" i="120" s="1"/>
  <c r="E616" i="120"/>
  <c r="E1009" i="120" s="1"/>
  <c r="E1402" i="120" s="1"/>
  <c r="E1795" i="120" s="1"/>
  <c r="E2188" i="120" s="1"/>
  <c r="E2581" i="120" s="1"/>
  <c r="E2974" i="120" s="1"/>
  <c r="D616" i="120"/>
  <c r="D1009" i="120" s="1"/>
  <c r="D1402" i="120" s="1"/>
  <c r="D1795" i="120" s="1"/>
  <c r="D2188" i="120" s="1"/>
  <c r="D2581" i="120" s="1"/>
  <c r="D2974" i="120" s="1"/>
  <c r="C616" i="120"/>
  <c r="C1009" i="120" s="1"/>
  <c r="C1402" i="120" s="1"/>
  <c r="C1795" i="120" s="1"/>
  <c r="C2188" i="120" s="1"/>
  <c r="C2581" i="120" s="1"/>
  <c r="C2974" i="120" s="1"/>
  <c r="B616" i="120"/>
  <c r="B1009" i="120" s="1"/>
  <c r="B1402" i="120" s="1"/>
  <c r="B1795" i="120" s="1"/>
  <c r="B2188" i="120" s="1"/>
  <c r="B2581" i="120" s="1"/>
  <c r="B2974" i="120" s="1"/>
  <c r="A616" i="120"/>
  <c r="A1009" i="120" s="1"/>
  <c r="A1402" i="120" s="1"/>
  <c r="A1795" i="120" s="1"/>
  <c r="A2188" i="120" s="1"/>
  <c r="A2581" i="120" s="1"/>
  <c r="A2974" i="120" s="1"/>
  <c r="M222" i="120"/>
  <c r="E615" i="120"/>
  <c r="E1008" i="120" s="1"/>
  <c r="E1401" i="120" s="1"/>
  <c r="E1794" i="120" s="1"/>
  <c r="E2187" i="120" s="1"/>
  <c r="E2580" i="120" s="1"/>
  <c r="E2973" i="120" s="1"/>
  <c r="D615" i="120"/>
  <c r="D1008" i="120" s="1"/>
  <c r="D1401" i="120" s="1"/>
  <c r="D1794" i="120" s="1"/>
  <c r="D2187" i="120" s="1"/>
  <c r="D2580" i="120" s="1"/>
  <c r="D2973" i="120" s="1"/>
  <c r="C615" i="120"/>
  <c r="C1008" i="120" s="1"/>
  <c r="C1401" i="120" s="1"/>
  <c r="C1794" i="120" s="1"/>
  <c r="C2187" i="120" s="1"/>
  <c r="C2580" i="120" s="1"/>
  <c r="C2973" i="120" s="1"/>
  <c r="B615" i="120"/>
  <c r="B1008" i="120" s="1"/>
  <c r="B1401" i="120" s="1"/>
  <c r="B1794" i="120" s="1"/>
  <c r="B2187" i="120" s="1"/>
  <c r="B2580" i="120" s="1"/>
  <c r="B2973" i="120" s="1"/>
  <c r="A615" i="120"/>
  <c r="A1008" i="120" s="1"/>
  <c r="A1401" i="120" s="1"/>
  <c r="A1794" i="120" s="1"/>
  <c r="A2187" i="120" s="1"/>
  <c r="A2580" i="120" s="1"/>
  <c r="A2973" i="120" s="1"/>
  <c r="M221" i="120"/>
  <c r="E614" i="120"/>
  <c r="E1007" i="120" s="1"/>
  <c r="E1400" i="120" s="1"/>
  <c r="E1793" i="120" s="1"/>
  <c r="E2186" i="120" s="1"/>
  <c r="E2579" i="120" s="1"/>
  <c r="E2972" i="120" s="1"/>
  <c r="D614" i="120"/>
  <c r="D1007" i="120" s="1"/>
  <c r="D1400" i="120" s="1"/>
  <c r="D1793" i="120" s="1"/>
  <c r="D2186" i="120" s="1"/>
  <c r="D2579" i="120" s="1"/>
  <c r="D2972" i="120" s="1"/>
  <c r="C614" i="120"/>
  <c r="C1007" i="120" s="1"/>
  <c r="C1400" i="120" s="1"/>
  <c r="C1793" i="120" s="1"/>
  <c r="C2186" i="120" s="1"/>
  <c r="C2579" i="120" s="1"/>
  <c r="C2972" i="120" s="1"/>
  <c r="B614" i="120"/>
  <c r="B1007" i="120" s="1"/>
  <c r="B1400" i="120" s="1"/>
  <c r="B1793" i="120" s="1"/>
  <c r="B2186" i="120" s="1"/>
  <c r="B2579" i="120" s="1"/>
  <c r="B2972" i="120" s="1"/>
  <c r="A614" i="120"/>
  <c r="A1007" i="120" s="1"/>
  <c r="A1400" i="120" s="1"/>
  <c r="A1793" i="120" s="1"/>
  <c r="A2186" i="120" s="1"/>
  <c r="A2579" i="120" s="1"/>
  <c r="A2972" i="120" s="1"/>
  <c r="M220" i="120"/>
  <c r="E613" i="120"/>
  <c r="E1006" i="120" s="1"/>
  <c r="E1399" i="120" s="1"/>
  <c r="E1792" i="120" s="1"/>
  <c r="E2185" i="120" s="1"/>
  <c r="E2578" i="120" s="1"/>
  <c r="E2971" i="120" s="1"/>
  <c r="D613" i="120"/>
  <c r="D1006" i="120" s="1"/>
  <c r="D1399" i="120" s="1"/>
  <c r="D1792" i="120" s="1"/>
  <c r="D2185" i="120" s="1"/>
  <c r="D2578" i="120" s="1"/>
  <c r="D2971" i="120" s="1"/>
  <c r="C613" i="120"/>
  <c r="C1006" i="120" s="1"/>
  <c r="C1399" i="120" s="1"/>
  <c r="C1792" i="120" s="1"/>
  <c r="C2185" i="120" s="1"/>
  <c r="C2578" i="120" s="1"/>
  <c r="C2971" i="120" s="1"/>
  <c r="B613" i="120"/>
  <c r="B1006" i="120" s="1"/>
  <c r="B1399" i="120" s="1"/>
  <c r="B1792" i="120" s="1"/>
  <c r="B2185" i="120" s="1"/>
  <c r="B2578" i="120" s="1"/>
  <c r="B2971" i="120" s="1"/>
  <c r="A613" i="120"/>
  <c r="A1006" i="120" s="1"/>
  <c r="A1399" i="120" s="1"/>
  <c r="A1792" i="120" s="1"/>
  <c r="A2185" i="120" s="1"/>
  <c r="A2578" i="120" s="1"/>
  <c r="A2971" i="120" s="1"/>
  <c r="M219" i="120"/>
  <c r="E612" i="120"/>
  <c r="E1005" i="120" s="1"/>
  <c r="E1398" i="120" s="1"/>
  <c r="E1791" i="120" s="1"/>
  <c r="E2184" i="120" s="1"/>
  <c r="E2577" i="120" s="1"/>
  <c r="E2970" i="120" s="1"/>
  <c r="D612" i="120"/>
  <c r="D1005" i="120" s="1"/>
  <c r="D1398" i="120" s="1"/>
  <c r="D1791" i="120" s="1"/>
  <c r="D2184" i="120" s="1"/>
  <c r="D2577" i="120" s="1"/>
  <c r="D2970" i="120" s="1"/>
  <c r="C612" i="120"/>
  <c r="C1005" i="120" s="1"/>
  <c r="C1398" i="120" s="1"/>
  <c r="C1791" i="120" s="1"/>
  <c r="C2184" i="120" s="1"/>
  <c r="C2577" i="120" s="1"/>
  <c r="C2970" i="120" s="1"/>
  <c r="B612" i="120"/>
  <c r="B1005" i="120" s="1"/>
  <c r="B1398" i="120" s="1"/>
  <c r="B1791" i="120" s="1"/>
  <c r="B2184" i="120" s="1"/>
  <c r="B2577" i="120" s="1"/>
  <c r="B2970" i="120" s="1"/>
  <c r="A612" i="120"/>
  <c r="A1005" i="120" s="1"/>
  <c r="A1398" i="120" s="1"/>
  <c r="A1791" i="120" s="1"/>
  <c r="A2184" i="120" s="1"/>
  <c r="A2577" i="120" s="1"/>
  <c r="A2970" i="120" s="1"/>
  <c r="M218" i="120"/>
  <c r="E611" i="120"/>
  <c r="E1004" i="120" s="1"/>
  <c r="E1397" i="120" s="1"/>
  <c r="E1790" i="120" s="1"/>
  <c r="E2183" i="120" s="1"/>
  <c r="E2576" i="120" s="1"/>
  <c r="E2969" i="120" s="1"/>
  <c r="D611" i="120"/>
  <c r="D1004" i="120" s="1"/>
  <c r="D1397" i="120" s="1"/>
  <c r="D1790" i="120" s="1"/>
  <c r="D2183" i="120" s="1"/>
  <c r="D2576" i="120" s="1"/>
  <c r="D2969" i="120" s="1"/>
  <c r="C611" i="120"/>
  <c r="C1004" i="120" s="1"/>
  <c r="C1397" i="120" s="1"/>
  <c r="C1790" i="120" s="1"/>
  <c r="C2183" i="120" s="1"/>
  <c r="C2576" i="120" s="1"/>
  <c r="C2969" i="120" s="1"/>
  <c r="B611" i="120"/>
  <c r="B1004" i="120" s="1"/>
  <c r="B1397" i="120" s="1"/>
  <c r="B1790" i="120" s="1"/>
  <c r="B2183" i="120" s="1"/>
  <c r="B2576" i="120" s="1"/>
  <c r="B2969" i="120" s="1"/>
  <c r="A611" i="120"/>
  <c r="A1004" i="120" s="1"/>
  <c r="A1397" i="120" s="1"/>
  <c r="A1790" i="120" s="1"/>
  <c r="A2183" i="120" s="1"/>
  <c r="A2576" i="120" s="1"/>
  <c r="A2969" i="120" s="1"/>
  <c r="M217" i="120"/>
  <c r="E610" i="120"/>
  <c r="E1003" i="120" s="1"/>
  <c r="E1396" i="120" s="1"/>
  <c r="E1789" i="120" s="1"/>
  <c r="E2182" i="120" s="1"/>
  <c r="E2575" i="120" s="1"/>
  <c r="E2968" i="120" s="1"/>
  <c r="D610" i="120"/>
  <c r="D1003" i="120" s="1"/>
  <c r="D1396" i="120" s="1"/>
  <c r="D1789" i="120" s="1"/>
  <c r="D2182" i="120" s="1"/>
  <c r="D2575" i="120" s="1"/>
  <c r="D2968" i="120" s="1"/>
  <c r="C610" i="120"/>
  <c r="C1003" i="120" s="1"/>
  <c r="C1396" i="120" s="1"/>
  <c r="C1789" i="120" s="1"/>
  <c r="C2182" i="120" s="1"/>
  <c r="C2575" i="120" s="1"/>
  <c r="C2968" i="120" s="1"/>
  <c r="B610" i="120"/>
  <c r="B1003" i="120" s="1"/>
  <c r="B1396" i="120" s="1"/>
  <c r="B1789" i="120" s="1"/>
  <c r="B2182" i="120" s="1"/>
  <c r="B2575" i="120" s="1"/>
  <c r="B2968" i="120" s="1"/>
  <c r="A610" i="120"/>
  <c r="A1003" i="120" s="1"/>
  <c r="A1396" i="120" s="1"/>
  <c r="A1789" i="120" s="1"/>
  <c r="A2182" i="120" s="1"/>
  <c r="A2575" i="120" s="1"/>
  <c r="A2968" i="120" s="1"/>
  <c r="M216" i="120"/>
  <c r="E609" i="120"/>
  <c r="E1002" i="120" s="1"/>
  <c r="E1395" i="120" s="1"/>
  <c r="E1788" i="120" s="1"/>
  <c r="E2181" i="120" s="1"/>
  <c r="E2574" i="120" s="1"/>
  <c r="E2967" i="120" s="1"/>
  <c r="D609" i="120"/>
  <c r="D1002" i="120" s="1"/>
  <c r="D1395" i="120" s="1"/>
  <c r="D1788" i="120" s="1"/>
  <c r="D2181" i="120" s="1"/>
  <c r="D2574" i="120" s="1"/>
  <c r="D2967" i="120" s="1"/>
  <c r="C609" i="120"/>
  <c r="C1002" i="120" s="1"/>
  <c r="C1395" i="120" s="1"/>
  <c r="C1788" i="120" s="1"/>
  <c r="C2181" i="120" s="1"/>
  <c r="C2574" i="120" s="1"/>
  <c r="C2967" i="120" s="1"/>
  <c r="B609" i="120"/>
  <c r="B1002" i="120" s="1"/>
  <c r="B1395" i="120" s="1"/>
  <c r="B1788" i="120" s="1"/>
  <c r="B2181" i="120" s="1"/>
  <c r="B2574" i="120" s="1"/>
  <c r="B2967" i="120" s="1"/>
  <c r="A609" i="120"/>
  <c r="A1002" i="120" s="1"/>
  <c r="A1395" i="120" s="1"/>
  <c r="A1788" i="120" s="1"/>
  <c r="A2181" i="120" s="1"/>
  <c r="A2574" i="120" s="1"/>
  <c r="A2967" i="120" s="1"/>
  <c r="M215" i="120"/>
  <c r="E608" i="120"/>
  <c r="E1001" i="120" s="1"/>
  <c r="E1394" i="120" s="1"/>
  <c r="E1787" i="120" s="1"/>
  <c r="E2180" i="120" s="1"/>
  <c r="E2573" i="120" s="1"/>
  <c r="E2966" i="120" s="1"/>
  <c r="D608" i="120"/>
  <c r="D1001" i="120" s="1"/>
  <c r="D1394" i="120" s="1"/>
  <c r="D1787" i="120" s="1"/>
  <c r="D2180" i="120" s="1"/>
  <c r="D2573" i="120" s="1"/>
  <c r="D2966" i="120" s="1"/>
  <c r="C608" i="120"/>
  <c r="C1001" i="120" s="1"/>
  <c r="C1394" i="120" s="1"/>
  <c r="C1787" i="120" s="1"/>
  <c r="C2180" i="120" s="1"/>
  <c r="C2573" i="120" s="1"/>
  <c r="C2966" i="120" s="1"/>
  <c r="B608" i="120"/>
  <c r="B1001" i="120" s="1"/>
  <c r="B1394" i="120" s="1"/>
  <c r="B1787" i="120" s="1"/>
  <c r="B2180" i="120" s="1"/>
  <c r="B2573" i="120" s="1"/>
  <c r="B2966" i="120" s="1"/>
  <c r="A608" i="120"/>
  <c r="A1001" i="120" s="1"/>
  <c r="A1394" i="120" s="1"/>
  <c r="A1787" i="120" s="1"/>
  <c r="A2180" i="120" s="1"/>
  <c r="A2573" i="120" s="1"/>
  <c r="A2966" i="120" s="1"/>
  <c r="M214" i="120"/>
  <c r="E607" i="120"/>
  <c r="E1000" i="120" s="1"/>
  <c r="E1393" i="120" s="1"/>
  <c r="E1786" i="120" s="1"/>
  <c r="E2179" i="120" s="1"/>
  <c r="E2572" i="120" s="1"/>
  <c r="E2965" i="120" s="1"/>
  <c r="D607" i="120"/>
  <c r="D1000" i="120" s="1"/>
  <c r="D1393" i="120" s="1"/>
  <c r="D1786" i="120" s="1"/>
  <c r="D2179" i="120" s="1"/>
  <c r="D2572" i="120" s="1"/>
  <c r="D2965" i="120" s="1"/>
  <c r="C607" i="120"/>
  <c r="C1000" i="120" s="1"/>
  <c r="C1393" i="120" s="1"/>
  <c r="C1786" i="120" s="1"/>
  <c r="C2179" i="120" s="1"/>
  <c r="C2572" i="120" s="1"/>
  <c r="C2965" i="120" s="1"/>
  <c r="B607" i="120"/>
  <c r="B1000" i="120" s="1"/>
  <c r="B1393" i="120" s="1"/>
  <c r="B1786" i="120" s="1"/>
  <c r="B2179" i="120" s="1"/>
  <c r="B2572" i="120" s="1"/>
  <c r="B2965" i="120" s="1"/>
  <c r="A607" i="120"/>
  <c r="A1000" i="120" s="1"/>
  <c r="A1393" i="120" s="1"/>
  <c r="A1786" i="120" s="1"/>
  <c r="A2179" i="120" s="1"/>
  <c r="A2572" i="120" s="1"/>
  <c r="A2965" i="120" s="1"/>
  <c r="M213" i="120"/>
  <c r="E606" i="120"/>
  <c r="E999" i="120" s="1"/>
  <c r="E1392" i="120" s="1"/>
  <c r="E1785" i="120" s="1"/>
  <c r="E2178" i="120" s="1"/>
  <c r="E2571" i="120" s="1"/>
  <c r="E2964" i="120" s="1"/>
  <c r="D606" i="120"/>
  <c r="D999" i="120" s="1"/>
  <c r="D1392" i="120" s="1"/>
  <c r="D1785" i="120" s="1"/>
  <c r="D2178" i="120" s="1"/>
  <c r="D2571" i="120" s="1"/>
  <c r="D2964" i="120" s="1"/>
  <c r="C606" i="120"/>
  <c r="C999" i="120" s="1"/>
  <c r="C1392" i="120" s="1"/>
  <c r="C1785" i="120" s="1"/>
  <c r="C2178" i="120" s="1"/>
  <c r="C2571" i="120" s="1"/>
  <c r="C2964" i="120" s="1"/>
  <c r="B606" i="120"/>
  <c r="B999" i="120" s="1"/>
  <c r="B1392" i="120" s="1"/>
  <c r="B1785" i="120" s="1"/>
  <c r="B2178" i="120" s="1"/>
  <c r="B2571" i="120" s="1"/>
  <c r="B2964" i="120" s="1"/>
  <c r="A606" i="120"/>
  <c r="A999" i="120" s="1"/>
  <c r="A1392" i="120" s="1"/>
  <c r="A1785" i="120" s="1"/>
  <c r="A2178" i="120" s="1"/>
  <c r="A2571" i="120" s="1"/>
  <c r="A2964" i="120" s="1"/>
  <c r="M212" i="120"/>
  <c r="F605" i="120"/>
  <c r="F998" i="120" s="1"/>
  <c r="E605" i="120"/>
  <c r="E998" i="120" s="1"/>
  <c r="E1391" i="120" s="1"/>
  <c r="E1784" i="120" s="1"/>
  <c r="E2177" i="120" s="1"/>
  <c r="E2570" i="120" s="1"/>
  <c r="E2963" i="120" s="1"/>
  <c r="D605" i="120"/>
  <c r="D998" i="120" s="1"/>
  <c r="D1391" i="120" s="1"/>
  <c r="D1784" i="120" s="1"/>
  <c r="D2177" i="120" s="1"/>
  <c r="D2570" i="120" s="1"/>
  <c r="D2963" i="120" s="1"/>
  <c r="C605" i="120"/>
  <c r="C998" i="120" s="1"/>
  <c r="C1391" i="120" s="1"/>
  <c r="C1784" i="120" s="1"/>
  <c r="C2177" i="120" s="1"/>
  <c r="C2570" i="120" s="1"/>
  <c r="C2963" i="120" s="1"/>
  <c r="B605" i="120"/>
  <c r="B998" i="120" s="1"/>
  <c r="B1391" i="120" s="1"/>
  <c r="B1784" i="120" s="1"/>
  <c r="B2177" i="120" s="1"/>
  <c r="B2570" i="120" s="1"/>
  <c r="B2963" i="120" s="1"/>
  <c r="A605" i="120"/>
  <c r="A998" i="120" s="1"/>
  <c r="A1391" i="120" s="1"/>
  <c r="A1784" i="120" s="1"/>
  <c r="A2177" i="120" s="1"/>
  <c r="A2570" i="120" s="1"/>
  <c r="A2963" i="120" s="1"/>
  <c r="M211" i="120"/>
  <c r="E604" i="120"/>
  <c r="E997" i="120" s="1"/>
  <c r="E1390" i="120" s="1"/>
  <c r="E1783" i="120" s="1"/>
  <c r="E2176" i="120" s="1"/>
  <c r="E2569" i="120" s="1"/>
  <c r="E2962" i="120" s="1"/>
  <c r="D604" i="120"/>
  <c r="D997" i="120" s="1"/>
  <c r="D1390" i="120" s="1"/>
  <c r="D1783" i="120" s="1"/>
  <c r="D2176" i="120" s="1"/>
  <c r="D2569" i="120" s="1"/>
  <c r="D2962" i="120" s="1"/>
  <c r="C604" i="120"/>
  <c r="C997" i="120" s="1"/>
  <c r="C1390" i="120" s="1"/>
  <c r="C1783" i="120" s="1"/>
  <c r="C2176" i="120" s="1"/>
  <c r="C2569" i="120" s="1"/>
  <c r="C2962" i="120" s="1"/>
  <c r="B604" i="120"/>
  <c r="B997" i="120" s="1"/>
  <c r="B1390" i="120" s="1"/>
  <c r="B1783" i="120" s="1"/>
  <c r="B2176" i="120" s="1"/>
  <c r="B2569" i="120" s="1"/>
  <c r="B2962" i="120" s="1"/>
  <c r="A604" i="120"/>
  <c r="A997" i="120" s="1"/>
  <c r="A1390" i="120" s="1"/>
  <c r="A1783" i="120" s="1"/>
  <c r="A2176" i="120" s="1"/>
  <c r="A2569" i="120" s="1"/>
  <c r="A2962" i="120" s="1"/>
  <c r="M210" i="120"/>
  <c r="E603" i="120"/>
  <c r="E996" i="120" s="1"/>
  <c r="E1389" i="120" s="1"/>
  <c r="E1782" i="120" s="1"/>
  <c r="E2175" i="120" s="1"/>
  <c r="E2568" i="120" s="1"/>
  <c r="E2961" i="120" s="1"/>
  <c r="C603" i="120"/>
  <c r="C996" i="120" s="1"/>
  <c r="C1389" i="120" s="1"/>
  <c r="C1782" i="120" s="1"/>
  <c r="C2175" i="120" s="1"/>
  <c r="C2568" i="120" s="1"/>
  <c r="C2961" i="120" s="1"/>
  <c r="B603" i="120"/>
  <c r="B996" i="120" s="1"/>
  <c r="B1389" i="120" s="1"/>
  <c r="B1782" i="120" s="1"/>
  <c r="B2175" i="120" s="1"/>
  <c r="B2568" i="120" s="1"/>
  <c r="B2961" i="120" s="1"/>
  <c r="A603" i="120"/>
  <c r="A996" i="120" s="1"/>
  <c r="A1389" i="120" s="1"/>
  <c r="A1782" i="120" s="1"/>
  <c r="A2175" i="120" s="1"/>
  <c r="A2568" i="120" s="1"/>
  <c r="A2961" i="120" s="1"/>
  <c r="M209" i="120"/>
  <c r="E602" i="120"/>
  <c r="E995" i="120" s="1"/>
  <c r="E1388" i="120" s="1"/>
  <c r="E1781" i="120" s="1"/>
  <c r="E2174" i="120" s="1"/>
  <c r="E2567" i="120" s="1"/>
  <c r="E2960" i="120" s="1"/>
  <c r="D602" i="120"/>
  <c r="D995" i="120" s="1"/>
  <c r="D1388" i="120" s="1"/>
  <c r="D1781" i="120" s="1"/>
  <c r="D2174" i="120" s="1"/>
  <c r="D2567" i="120" s="1"/>
  <c r="D2960" i="120" s="1"/>
  <c r="C602" i="120"/>
  <c r="C995" i="120" s="1"/>
  <c r="C1388" i="120" s="1"/>
  <c r="C1781" i="120" s="1"/>
  <c r="C2174" i="120" s="1"/>
  <c r="C2567" i="120" s="1"/>
  <c r="C2960" i="120" s="1"/>
  <c r="B602" i="120"/>
  <c r="B995" i="120" s="1"/>
  <c r="B1388" i="120" s="1"/>
  <c r="B1781" i="120" s="1"/>
  <c r="B2174" i="120" s="1"/>
  <c r="B2567" i="120" s="1"/>
  <c r="B2960" i="120" s="1"/>
  <c r="A602" i="120"/>
  <c r="A995" i="120" s="1"/>
  <c r="A1388" i="120" s="1"/>
  <c r="A1781" i="120" s="1"/>
  <c r="A2174" i="120" s="1"/>
  <c r="A2567" i="120" s="1"/>
  <c r="A2960" i="120" s="1"/>
  <c r="M208" i="120"/>
  <c r="E601" i="120"/>
  <c r="E994" i="120" s="1"/>
  <c r="E1387" i="120" s="1"/>
  <c r="E1780" i="120" s="1"/>
  <c r="E2173" i="120" s="1"/>
  <c r="E2566" i="120" s="1"/>
  <c r="E2959" i="120" s="1"/>
  <c r="D601" i="120"/>
  <c r="D994" i="120" s="1"/>
  <c r="D1387" i="120" s="1"/>
  <c r="D1780" i="120" s="1"/>
  <c r="D2173" i="120" s="1"/>
  <c r="D2566" i="120" s="1"/>
  <c r="D2959" i="120" s="1"/>
  <c r="C601" i="120"/>
  <c r="C994" i="120" s="1"/>
  <c r="C1387" i="120" s="1"/>
  <c r="C1780" i="120" s="1"/>
  <c r="C2173" i="120" s="1"/>
  <c r="C2566" i="120" s="1"/>
  <c r="C2959" i="120" s="1"/>
  <c r="B601" i="120"/>
  <c r="B994" i="120" s="1"/>
  <c r="B1387" i="120" s="1"/>
  <c r="B1780" i="120" s="1"/>
  <c r="B2173" i="120" s="1"/>
  <c r="B2566" i="120" s="1"/>
  <c r="B2959" i="120" s="1"/>
  <c r="A601" i="120"/>
  <c r="A994" i="120" s="1"/>
  <c r="A1387" i="120" s="1"/>
  <c r="A1780" i="120" s="1"/>
  <c r="A2173" i="120" s="1"/>
  <c r="A2566" i="120" s="1"/>
  <c r="A2959" i="120" s="1"/>
  <c r="M207" i="120"/>
  <c r="E600" i="120"/>
  <c r="E993" i="120" s="1"/>
  <c r="E1386" i="120" s="1"/>
  <c r="E1779" i="120" s="1"/>
  <c r="E2172" i="120" s="1"/>
  <c r="E2565" i="120" s="1"/>
  <c r="E2958" i="120" s="1"/>
  <c r="D600" i="120"/>
  <c r="D993" i="120" s="1"/>
  <c r="D1386" i="120" s="1"/>
  <c r="D1779" i="120" s="1"/>
  <c r="D2172" i="120" s="1"/>
  <c r="D2565" i="120" s="1"/>
  <c r="D2958" i="120" s="1"/>
  <c r="C600" i="120"/>
  <c r="C993" i="120" s="1"/>
  <c r="C1386" i="120" s="1"/>
  <c r="C1779" i="120" s="1"/>
  <c r="C2172" i="120" s="1"/>
  <c r="C2565" i="120" s="1"/>
  <c r="C2958" i="120" s="1"/>
  <c r="B600" i="120"/>
  <c r="B993" i="120" s="1"/>
  <c r="B1386" i="120" s="1"/>
  <c r="B1779" i="120" s="1"/>
  <c r="B2172" i="120" s="1"/>
  <c r="B2565" i="120" s="1"/>
  <c r="B2958" i="120" s="1"/>
  <c r="A600" i="120"/>
  <c r="A993" i="120" s="1"/>
  <c r="A1386" i="120" s="1"/>
  <c r="A1779" i="120" s="1"/>
  <c r="A2172" i="120" s="1"/>
  <c r="A2565" i="120" s="1"/>
  <c r="A2958" i="120" s="1"/>
  <c r="M206" i="120"/>
  <c r="E599" i="120"/>
  <c r="E992" i="120" s="1"/>
  <c r="E1385" i="120" s="1"/>
  <c r="E1778" i="120" s="1"/>
  <c r="E2171" i="120" s="1"/>
  <c r="E2564" i="120" s="1"/>
  <c r="E2957" i="120" s="1"/>
  <c r="D599" i="120"/>
  <c r="D992" i="120" s="1"/>
  <c r="D1385" i="120" s="1"/>
  <c r="D1778" i="120" s="1"/>
  <c r="D2171" i="120" s="1"/>
  <c r="D2564" i="120" s="1"/>
  <c r="D2957" i="120" s="1"/>
  <c r="C599" i="120"/>
  <c r="C992" i="120" s="1"/>
  <c r="C1385" i="120" s="1"/>
  <c r="C1778" i="120" s="1"/>
  <c r="C2171" i="120" s="1"/>
  <c r="C2564" i="120" s="1"/>
  <c r="C2957" i="120" s="1"/>
  <c r="B599" i="120"/>
  <c r="B992" i="120" s="1"/>
  <c r="B1385" i="120" s="1"/>
  <c r="B1778" i="120" s="1"/>
  <c r="B2171" i="120" s="1"/>
  <c r="B2564" i="120" s="1"/>
  <c r="B2957" i="120" s="1"/>
  <c r="A599" i="120"/>
  <c r="A992" i="120" s="1"/>
  <c r="A1385" i="120" s="1"/>
  <c r="A1778" i="120" s="1"/>
  <c r="A2171" i="120" s="1"/>
  <c r="A2564" i="120" s="1"/>
  <c r="A2957" i="120" s="1"/>
  <c r="M205" i="120"/>
  <c r="E598" i="120"/>
  <c r="E991" i="120" s="1"/>
  <c r="E1384" i="120" s="1"/>
  <c r="E1777" i="120" s="1"/>
  <c r="E2170" i="120" s="1"/>
  <c r="E2563" i="120" s="1"/>
  <c r="E2956" i="120" s="1"/>
  <c r="D598" i="120"/>
  <c r="D991" i="120" s="1"/>
  <c r="D1384" i="120" s="1"/>
  <c r="D1777" i="120" s="1"/>
  <c r="D2170" i="120" s="1"/>
  <c r="D2563" i="120" s="1"/>
  <c r="D2956" i="120" s="1"/>
  <c r="C598" i="120"/>
  <c r="C991" i="120" s="1"/>
  <c r="C1384" i="120" s="1"/>
  <c r="C1777" i="120" s="1"/>
  <c r="C2170" i="120" s="1"/>
  <c r="C2563" i="120" s="1"/>
  <c r="C2956" i="120" s="1"/>
  <c r="B598" i="120"/>
  <c r="B991" i="120" s="1"/>
  <c r="B1384" i="120" s="1"/>
  <c r="B1777" i="120" s="1"/>
  <c r="B2170" i="120" s="1"/>
  <c r="B2563" i="120" s="1"/>
  <c r="B2956" i="120" s="1"/>
  <c r="A598" i="120"/>
  <c r="A991" i="120" s="1"/>
  <c r="A1384" i="120" s="1"/>
  <c r="A1777" i="120" s="1"/>
  <c r="A2170" i="120" s="1"/>
  <c r="A2563" i="120" s="1"/>
  <c r="A2956" i="120" s="1"/>
  <c r="M204" i="120"/>
  <c r="E597" i="120"/>
  <c r="E990" i="120" s="1"/>
  <c r="E1383" i="120" s="1"/>
  <c r="E1776" i="120" s="1"/>
  <c r="E2169" i="120" s="1"/>
  <c r="E2562" i="120" s="1"/>
  <c r="E2955" i="120" s="1"/>
  <c r="D597" i="120"/>
  <c r="D990" i="120" s="1"/>
  <c r="D1383" i="120" s="1"/>
  <c r="D1776" i="120" s="1"/>
  <c r="D2169" i="120" s="1"/>
  <c r="D2562" i="120" s="1"/>
  <c r="D2955" i="120" s="1"/>
  <c r="B597" i="120"/>
  <c r="B990" i="120" s="1"/>
  <c r="B1383" i="120" s="1"/>
  <c r="B1776" i="120" s="1"/>
  <c r="B2169" i="120" s="1"/>
  <c r="B2562" i="120" s="1"/>
  <c r="B2955" i="120" s="1"/>
  <c r="A597" i="120"/>
  <c r="A990" i="120" s="1"/>
  <c r="A1383" i="120" s="1"/>
  <c r="A1776" i="120" s="1"/>
  <c r="A2169" i="120" s="1"/>
  <c r="A2562" i="120" s="1"/>
  <c r="A2955" i="120" s="1"/>
  <c r="M203" i="120"/>
  <c r="E596" i="120"/>
  <c r="E989" i="120" s="1"/>
  <c r="E1382" i="120" s="1"/>
  <c r="E1775" i="120" s="1"/>
  <c r="E2168" i="120" s="1"/>
  <c r="E2561" i="120" s="1"/>
  <c r="E2954" i="120" s="1"/>
  <c r="D596" i="120"/>
  <c r="D989" i="120" s="1"/>
  <c r="D1382" i="120" s="1"/>
  <c r="D1775" i="120" s="1"/>
  <c r="D2168" i="120" s="1"/>
  <c r="D2561" i="120" s="1"/>
  <c r="D2954" i="120" s="1"/>
  <c r="C596" i="120"/>
  <c r="C989" i="120" s="1"/>
  <c r="C1382" i="120" s="1"/>
  <c r="C1775" i="120" s="1"/>
  <c r="C2168" i="120" s="1"/>
  <c r="C2561" i="120" s="1"/>
  <c r="C2954" i="120" s="1"/>
  <c r="B596" i="120"/>
  <c r="B989" i="120" s="1"/>
  <c r="B1382" i="120" s="1"/>
  <c r="B1775" i="120" s="1"/>
  <c r="B2168" i="120" s="1"/>
  <c r="B2561" i="120" s="1"/>
  <c r="B2954" i="120" s="1"/>
  <c r="A596" i="120"/>
  <c r="A989" i="120" s="1"/>
  <c r="A1382" i="120" s="1"/>
  <c r="A1775" i="120" s="1"/>
  <c r="A2168" i="120" s="1"/>
  <c r="A2561" i="120" s="1"/>
  <c r="A2954" i="120" s="1"/>
  <c r="M202" i="120"/>
  <c r="E595" i="120"/>
  <c r="E988" i="120" s="1"/>
  <c r="E1381" i="120" s="1"/>
  <c r="E1774" i="120" s="1"/>
  <c r="E2167" i="120" s="1"/>
  <c r="E2560" i="120" s="1"/>
  <c r="E2953" i="120" s="1"/>
  <c r="D595" i="120"/>
  <c r="D988" i="120" s="1"/>
  <c r="D1381" i="120" s="1"/>
  <c r="D1774" i="120" s="1"/>
  <c r="D2167" i="120" s="1"/>
  <c r="D2560" i="120" s="1"/>
  <c r="D2953" i="120" s="1"/>
  <c r="C595" i="120"/>
  <c r="C988" i="120" s="1"/>
  <c r="C1381" i="120" s="1"/>
  <c r="C1774" i="120" s="1"/>
  <c r="C2167" i="120" s="1"/>
  <c r="C2560" i="120" s="1"/>
  <c r="C2953" i="120" s="1"/>
  <c r="B595" i="120"/>
  <c r="B988" i="120" s="1"/>
  <c r="B1381" i="120" s="1"/>
  <c r="B1774" i="120" s="1"/>
  <c r="B2167" i="120" s="1"/>
  <c r="B2560" i="120" s="1"/>
  <c r="B2953" i="120" s="1"/>
  <c r="A595" i="120"/>
  <c r="A988" i="120" s="1"/>
  <c r="A1381" i="120" s="1"/>
  <c r="A1774" i="120" s="1"/>
  <c r="A2167" i="120" s="1"/>
  <c r="A2560" i="120" s="1"/>
  <c r="A2953" i="120" s="1"/>
  <c r="M201" i="120"/>
  <c r="E594" i="120"/>
  <c r="E987" i="120" s="1"/>
  <c r="E1380" i="120" s="1"/>
  <c r="E1773" i="120" s="1"/>
  <c r="E2166" i="120" s="1"/>
  <c r="E2559" i="120" s="1"/>
  <c r="E2952" i="120" s="1"/>
  <c r="D594" i="120"/>
  <c r="D987" i="120" s="1"/>
  <c r="D1380" i="120" s="1"/>
  <c r="D1773" i="120" s="1"/>
  <c r="D2166" i="120" s="1"/>
  <c r="D2559" i="120" s="1"/>
  <c r="D2952" i="120" s="1"/>
  <c r="C594" i="120"/>
  <c r="C987" i="120" s="1"/>
  <c r="C1380" i="120" s="1"/>
  <c r="C1773" i="120" s="1"/>
  <c r="C2166" i="120" s="1"/>
  <c r="C2559" i="120" s="1"/>
  <c r="C2952" i="120" s="1"/>
  <c r="B594" i="120"/>
  <c r="B987" i="120" s="1"/>
  <c r="B1380" i="120" s="1"/>
  <c r="B1773" i="120" s="1"/>
  <c r="B2166" i="120" s="1"/>
  <c r="B2559" i="120" s="1"/>
  <c r="B2952" i="120" s="1"/>
  <c r="A594" i="120"/>
  <c r="A987" i="120" s="1"/>
  <c r="A1380" i="120" s="1"/>
  <c r="A1773" i="120" s="1"/>
  <c r="A2166" i="120" s="1"/>
  <c r="A2559" i="120" s="1"/>
  <c r="A2952" i="120" s="1"/>
  <c r="M200" i="120"/>
  <c r="E593" i="120"/>
  <c r="E986" i="120" s="1"/>
  <c r="E1379" i="120" s="1"/>
  <c r="E1772" i="120" s="1"/>
  <c r="E2165" i="120" s="1"/>
  <c r="E2558" i="120" s="1"/>
  <c r="E2951" i="120" s="1"/>
  <c r="D593" i="120"/>
  <c r="D986" i="120" s="1"/>
  <c r="D1379" i="120" s="1"/>
  <c r="D1772" i="120" s="1"/>
  <c r="D2165" i="120" s="1"/>
  <c r="D2558" i="120" s="1"/>
  <c r="D2951" i="120" s="1"/>
  <c r="C593" i="120"/>
  <c r="C986" i="120" s="1"/>
  <c r="C1379" i="120" s="1"/>
  <c r="C1772" i="120" s="1"/>
  <c r="C2165" i="120" s="1"/>
  <c r="C2558" i="120" s="1"/>
  <c r="C2951" i="120" s="1"/>
  <c r="B593" i="120"/>
  <c r="B986" i="120" s="1"/>
  <c r="B1379" i="120" s="1"/>
  <c r="B1772" i="120" s="1"/>
  <c r="B2165" i="120" s="1"/>
  <c r="B2558" i="120" s="1"/>
  <c r="B2951" i="120" s="1"/>
  <c r="A593" i="120"/>
  <c r="A986" i="120" s="1"/>
  <c r="A1379" i="120" s="1"/>
  <c r="A1772" i="120" s="1"/>
  <c r="A2165" i="120" s="1"/>
  <c r="A2558" i="120" s="1"/>
  <c r="A2951" i="120" s="1"/>
  <c r="M199" i="120"/>
  <c r="E592" i="120"/>
  <c r="E985" i="120" s="1"/>
  <c r="E1378" i="120" s="1"/>
  <c r="E1771" i="120" s="1"/>
  <c r="E2164" i="120" s="1"/>
  <c r="E2557" i="120" s="1"/>
  <c r="E2950" i="120" s="1"/>
  <c r="D592" i="120"/>
  <c r="D985" i="120" s="1"/>
  <c r="D1378" i="120" s="1"/>
  <c r="D1771" i="120" s="1"/>
  <c r="D2164" i="120" s="1"/>
  <c r="D2557" i="120" s="1"/>
  <c r="D2950" i="120" s="1"/>
  <c r="C592" i="120"/>
  <c r="C985" i="120" s="1"/>
  <c r="C1378" i="120" s="1"/>
  <c r="C1771" i="120" s="1"/>
  <c r="C2164" i="120" s="1"/>
  <c r="C2557" i="120" s="1"/>
  <c r="C2950" i="120" s="1"/>
  <c r="B592" i="120"/>
  <c r="B985" i="120" s="1"/>
  <c r="B1378" i="120" s="1"/>
  <c r="B1771" i="120" s="1"/>
  <c r="B2164" i="120" s="1"/>
  <c r="B2557" i="120" s="1"/>
  <c r="B2950" i="120" s="1"/>
  <c r="A592" i="120"/>
  <c r="A985" i="120" s="1"/>
  <c r="A1378" i="120" s="1"/>
  <c r="A1771" i="120" s="1"/>
  <c r="A2164" i="120" s="1"/>
  <c r="A2557" i="120" s="1"/>
  <c r="A2950" i="120" s="1"/>
  <c r="M198" i="120"/>
  <c r="E591" i="120"/>
  <c r="E984" i="120" s="1"/>
  <c r="E1377" i="120" s="1"/>
  <c r="E1770" i="120" s="1"/>
  <c r="E2163" i="120" s="1"/>
  <c r="E2556" i="120" s="1"/>
  <c r="E2949" i="120" s="1"/>
  <c r="D591" i="120"/>
  <c r="D984" i="120" s="1"/>
  <c r="D1377" i="120" s="1"/>
  <c r="D1770" i="120" s="1"/>
  <c r="D2163" i="120" s="1"/>
  <c r="D2556" i="120" s="1"/>
  <c r="D2949" i="120" s="1"/>
  <c r="C591" i="120"/>
  <c r="C984" i="120" s="1"/>
  <c r="C1377" i="120" s="1"/>
  <c r="C1770" i="120" s="1"/>
  <c r="C2163" i="120" s="1"/>
  <c r="C2556" i="120" s="1"/>
  <c r="C2949" i="120" s="1"/>
  <c r="B591" i="120"/>
  <c r="B984" i="120" s="1"/>
  <c r="B1377" i="120" s="1"/>
  <c r="B1770" i="120" s="1"/>
  <c r="B2163" i="120" s="1"/>
  <c r="B2556" i="120" s="1"/>
  <c r="B2949" i="120" s="1"/>
  <c r="A591" i="120"/>
  <c r="A984" i="120" s="1"/>
  <c r="A1377" i="120" s="1"/>
  <c r="A1770" i="120" s="1"/>
  <c r="A2163" i="120" s="1"/>
  <c r="A2556" i="120" s="1"/>
  <c r="A2949" i="120" s="1"/>
  <c r="M197" i="120"/>
  <c r="E590" i="120"/>
  <c r="E983" i="120" s="1"/>
  <c r="E1376" i="120" s="1"/>
  <c r="E1769" i="120" s="1"/>
  <c r="E2162" i="120" s="1"/>
  <c r="E2555" i="120" s="1"/>
  <c r="E2948" i="120" s="1"/>
  <c r="D590" i="120"/>
  <c r="D983" i="120" s="1"/>
  <c r="D1376" i="120" s="1"/>
  <c r="D1769" i="120" s="1"/>
  <c r="D2162" i="120" s="1"/>
  <c r="D2555" i="120" s="1"/>
  <c r="D2948" i="120" s="1"/>
  <c r="C590" i="120"/>
  <c r="C983" i="120" s="1"/>
  <c r="C1376" i="120" s="1"/>
  <c r="C1769" i="120" s="1"/>
  <c r="C2162" i="120" s="1"/>
  <c r="C2555" i="120" s="1"/>
  <c r="C2948" i="120" s="1"/>
  <c r="B590" i="120"/>
  <c r="B983" i="120" s="1"/>
  <c r="B1376" i="120" s="1"/>
  <c r="B1769" i="120" s="1"/>
  <c r="B2162" i="120" s="1"/>
  <c r="B2555" i="120" s="1"/>
  <c r="B2948" i="120" s="1"/>
  <c r="A590" i="120"/>
  <c r="A983" i="120" s="1"/>
  <c r="A1376" i="120" s="1"/>
  <c r="A1769" i="120" s="1"/>
  <c r="A2162" i="120" s="1"/>
  <c r="A2555" i="120" s="1"/>
  <c r="A2948" i="120" s="1"/>
  <c r="M196" i="120"/>
  <c r="H196" i="120"/>
  <c r="E589" i="120"/>
  <c r="E982" i="120" s="1"/>
  <c r="E1375" i="120" s="1"/>
  <c r="E1768" i="120" s="1"/>
  <c r="E2161" i="120" s="1"/>
  <c r="E2554" i="120" s="1"/>
  <c r="E2947" i="120" s="1"/>
  <c r="D589" i="120"/>
  <c r="D982" i="120" s="1"/>
  <c r="D1375" i="120" s="1"/>
  <c r="D1768" i="120" s="1"/>
  <c r="D2161" i="120" s="1"/>
  <c r="D2554" i="120" s="1"/>
  <c r="D2947" i="120" s="1"/>
  <c r="C589" i="120"/>
  <c r="C982" i="120" s="1"/>
  <c r="C1375" i="120" s="1"/>
  <c r="C1768" i="120" s="1"/>
  <c r="C2161" i="120" s="1"/>
  <c r="C2554" i="120" s="1"/>
  <c r="C2947" i="120" s="1"/>
  <c r="B589" i="120"/>
  <c r="B982" i="120" s="1"/>
  <c r="B1375" i="120" s="1"/>
  <c r="B1768" i="120" s="1"/>
  <c r="B2161" i="120" s="1"/>
  <c r="B2554" i="120" s="1"/>
  <c r="B2947" i="120" s="1"/>
  <c r="A589" i="120"/>
  <c r="A982" i="120" s="1"/>
  <c r="A1375" i="120" s="1"/>
  <c r="A1768" i="120" s="1"/>
  <c r="A2161" i="120" s="1"/>
  <c r="A2554" i="120" s="1"/>
  <c r="A2947" i="120" s="1"/>
  <c r="M195" i="120"/>
  <c r="E588" i="120"/>
  <c r="E981" i="120" s="1"/>
  <c r="E1374" i="120" s="1"/>
  <c r="E1767" i="120" s="1"/>
  <c r="E2160" i="120" s="1"/>
  <c r="E2553" i="120" s="1"/>
  <c r="E2946" i="120" s="1"/>
  <c r="D588" i="120"/>
  <c r="D981" i="120" s="1"/>
  <c r="D1374" i="120" s="1"/>
  <c r="D1767" i="120" s="1"/>
  <c r="D2160" i="120" s="1"/>
  <c r="D2553" i="120" s="1"/>
  <c r="D2946" i="120" s="1"/>
  <c r="C588" i="120"/>
  <c r="C981" i="120" s="1"/>
  <c r="C1374" i="120" s="1"/>
  <c r="C1767" i="120" s="1"/>
  <c r="C2160" i="120" s="1"/>
  <c r="C2553" i="120" s="1"/>
  <c r="C2946" i="120" s="1"/>
  <c r="B588" i="120"/>
  <c r="B981" i="120" s="1"/>
  <c r="B1374" i="120" s="1"/>
  <c r="B1767" i="120" s="1"/>
  <c r="B2160" i="120" s="1"/>
  <c r="B2553" i="120" s="1"/>
  <c r="B2946" i="120" s="1"/>
  <c r="A588" i="120"/>
  <c r="A981" i="120" s="1"/>
  <c r="A1374" i="120" s="1"/>
  <c r="A1767" i="120" s="1"/>
  <c r="A2160" i="120" s="1"/>
  <c r="A2553" i="120" s="1"/>
  <c r="A2946" i="120" s="1"/>
  <c r="M194" i="120"/>
  <c r="E587" i="120"/>
  <c r="E980" i="120" s="1"/>
  <c r="E1373" i="120" s="1"/>
  <c r="E1766" i="120" s="1"/>
  <c r="E2159" i="120" s="1"/>
  <c r="E2552" i="120" s="1"/>
  <c r="E2945" i="120" s="1"/>
  <c r="D587" i="120"/>
  <c r="D980" i="120" s="1"/>
  <c r="D1373" i="120" s="1"/>
  <c r="D1766" i="120" s="1"/>
  <c r="D2159" i="120" s="1"/>
  <c r="D2552" i="120" s="1"/>
  <c r="D2945" i="120" s="1"/>
  <c r="C587" i="120"/>
  <c r="C980" i="120" s="1"/>
  <c r="C1373" i="120" s="1"/>
  <c r="C1766" i="120" s="1"/>
  <c r="C2159" i="120" s="1"/>
  <c r="C2552" i="120" s="1"/>
  <c r="C2945" i="120" s="1"/>
  <c r="B587" i="120"/>
  <c r="B980" i="120" s="1"/>
  <c r="B1373" i="120" s="1"/>
  <c r="B1766" i="120" s="1"/>
  <c r="B2159" i="120" s="1"/>
  <c r="B2552" i="120" s="1"/>
  <c r="B2945" i="120" s="1"/>
  <c r="A587" i="120"/>
  <c r="A980" i="120" s="1"/>
  <c r="A1373" i="120" s="1"/>
  <c r="A1766" i="120" s="1"/>
  <c r="A2159" i="120" s="1"/>
  <c r="A2552" i="120" s="1"/>
  <c r="A2945" i="120" s="1"/>
  <c r="M193" i="120"/>
  <c r="E586" i="120"/>
  <c r="E979" i="120" s="1"/>
  <c r="E1372" i="120" s="1"/>
  <c r="E1765" i="120" s="1"/>
  <c r="E2158" i="120" s="1"/>
  <c r="E2551" i="120" s="1"/>
  <c r="E2944" i="120" s="1"/>
  <c r="D586" i="120"/>
  <c r="D979" i="120" s="1"/>
  <c r="D1372" i="120" s="1"/>
  <c r="D1765" i="120" s="1"/>
  <c r="D2158" i="120" s="1"/>
  <c r="D2551" i="120" s="1"/>
  <c r="D2944" i="120" s="1"/>
  <c r="C586" i="120"/>
  <c r="C979" i="120" s="1"/>
  <c r="C1372" i="120" s="1"/>
  <c r="C1765" i="120" s="1"/>
  <c r="C2158" i="120" s="1"/>
  <c r="C2551" i="120" s="1"/>
  <c r="C2944" i="120" s="1"/>
  <c r="B586" i="120"/>
  <c r="B979" i="120" s="1"/>
  <c r="B1372" i="120" s="1"/>
  <c r="B1765" i="120" s="1"/>
  <c r="B2158" i="120" s="1"/>
  <c r="B2551" i="120" s="1"/>
  <c r="B2944" i="120" s="1"/>
  <c r="A586" i="120"/>
  <c r="A979" i="120" s="1"/>
  <c r="A1372" i="120" s="1"/>
  <c r="A1765" i="120" s="1"/>
  <c r="A2158" i="120" s="1"/>
  <c r="A2551" i="120" s="1"/>
  <c r="A2944" i="120" s="1"/>
  <c r="M192" i="120"/>
  <c r="E585" i="120"/>
  <c r="E978" i="120" s="1"/>
  <c r="E1371" i="120" s="1"/>
  <c r="E1764" i="120" s="1"/>
  <c r="E2157" i="120" s="1"/>
  <c r="E2550" i="120" s="1"/>
  <c r="E2943" i="120" s="1"/>
  <c r="D585" i="120"/>
  <c r="D978" i="120" s="1"/>
  <c r="D1371" i="120" s="1"/>
  <c r="D1764" i="120" s="1"/>
  <c r="D2157" i="120" s="1"/>
  <c r="D2550" i="120" s="1"/>
  <c r="D2943" i="120" s="1"/>
  <c r="B585" i="120"/>
  <c r="B978" i="120" s="1"/>
  <c r="B1371" i="120" s="1"/>
  <c r="B1764" i="120" s="1"/>
  <c r="B2157" i="120" s="1"/>
  <c r="B2550" i="120" s="1"/>
  <c r="B2943" i="120" s="1"/>
  <c r="A585" i="120"/>
  <c r="A978" i="120" s="1"/>
  <c r="A1371" i="120" s="1"/>
  <c r="A1764" i="120" s="1"/>
  <c r="A2157" i="120" s="1"/>
  <c r="A2550" i="120" s="1"/>
  <c r="A2943" i="120" s="1"/>
  <c r="M191" i="120"/>
  <c r="E584" i="120"/>
  <c r="E977" i="120" s="1"/>
  <c r="E1370" i="120" s="1"/>
  <c r="E1763" i="120" s="1"/>
  <c r="E2156" i="120" s="1"/>
  <c r="E2549" i="120" s="1"/>
  <c r="E2942" i="120" s="1"/>
  <c r="D584" i="120"/>
  <c r="D977" i="120" s="1"/>
  <c r="D1370" i="120" s="1"/>
  <c r="D1763" i="120" s="1"/>
  <c r="D2156" i="120" s="1"/>
  <c r="D2549" i="120" s="1"/>
  <c r="D2942" i="120" s="1"/>
  <c r="C584" i="120"/>
  <c r="C977" i="120" s="1"/>
  <c r="C1370" i="120" s="1"/>
  <c r="C1763" i="120" s="1"/>
  <c r="C2156" i="120" s="1"/>
  <c r="C2549" i="120" s="1"/>
  <c r="C2942" i="120" s="1"/>
  <c r="B584" i="120"/>
  <c r="B977" i="120" s="1"/>
  <c r="B1370" i="120" s="1"/>
  <c r="B1763" i="120" s="1"/>
  <c r="B2156" i="120" s="1"/>
  <c r="B2549" i="120" s="1"/>
  <c r="B2942" i="120" s="1"/>
  <c r="A584" i="120"/>
  <c r="A977" i="120" s="1"/>
  <c r="A1370" i="120" s="1"/>
  <c r="A1763" i="120" s="1"/>
  <c r="A2156" i="120" s="1"/>
  <c r="A2549" i="120" s="1"/>
  <c r="A2942" i="120" s="1"/>
  <c r="M190" i="120"/>
  <c r="E583" i="120"/>
  <c r="E976" i="120" s="1"/>
  <c r="E1369" i="120" s="1"/>
  <c r="E1762" i="120" s="1"/>
  <c r="E2155" i="120" s="1"/>
  <c r="E2548" i="120" s="1"/>
  <c r="E2941" i="120" s="1"/>
  <c r="D583" i="120"/>
  <c r="D976" i="120" s="1"/>
  <c r="D1369" i="120" s="1"/>
  <c r="D1762" i="120" s="1"/>
  <c r="D2155" i="120" s="1"/>
  <c r="D2548" i="120" s="1"/>
  <c r="D2941" i="120" s="1"/>
  <c r="C583" i="120"/>
  <c r="C976" i="120" s="1"/>
  <c r="C1369" i="120" s="1"/>
  <c r="C1762" i="120" s="1"/>
  <c r="C2155" i="120" s="1"/>
  <c r="C2548" i="120" s="1"/>
  <c r="C2941" i="120" s="1"/>
  <c r="B583" i="120"/>
  <c r="B976" i="120" s="1"/>
  <c r="B1369" i="120" s="1"/>
  <c r="B1762" i="120" s="1"/>
  <c r="B2155" i="120" s="1"/>
  <c r="B2548" i="120" s="1"/>
  <c r="B2941" i="120" s="1"/>
  <c r="A583" i="120"/>
  <c r="A976" i="120" s="1"/>
  <c r="A1369" i="120" s="1"/>
  <c r="A1762" i="120" s="1"/>
  <c r="A2155" i="120" s="1"/>
  <c r="A2548" i="120" s="1"/>
  <c r="A2941" i="120" s="1"/>
  <c r="M189" i="120"/>
  <c r="E582" i="120"/>
  <c r="E975" i="120" s="1"/>
  <c r="E1368" i="120" s="1"/>
  <c r="E1761" i="120" s="1"/>
  <c r="E2154" i="120" s="1"/>
  <c r="E2547" i="120" s="1"/>
  <c r="E2940" i="120" s="1"/>
  <c r="D582" i="120"/>
  <c r="D975" i="120" s="1"/>
  <c r="D1368" i="120" s="1"/>
  <c r="D1761" i="120" s="1"/>
  <c r="D2154" i="120" s="1"/>
  <c r="D2547" i="120" s="1"/>
  <c r="D2940" i="120" s="1"/>
  <c r="C582" i="120"/>
  <c r="C975" i="120" s="1"/>
  <c r="C1368" i="120" s="1"/>
  <c r="C1761" i="120" s="1"/>
  <c r="C2154" i="120" s="1"/>
  <c r="C2547" i="120" s="1"/>
  <c r="C2940" i="120" s="1"/>
  <c r="B582" i="120"/>
  <c r="B975" i="120" s="1"/>
  <c r="B1368" i="120" s="1"/>
  <c r="B1761" i="120" s="1"/>
  <c r="B2154" i="120" s="1"/>
  <c r="B2547" i="120" s="1"/>
  <c r="B2940" i="120" s="1"/>
  <c r="A582" i="120"/>
  <c r="A975" i="120" s="1"/>
  <c r="A1368" i="120" s="1"/>
  <c r="A1761" i="120" s="1"/>
  <c r="A2154" i="120" s="1"/>
  <c r="A2547" i="120" s="1"/>
  <c r="A2940" i="120" s="1"/>
  <c r="M188" i="120"/>
  <c r="E581" i="120"/>
  <c r="E974" i="120" s="1"/>
  <c r="E1367" i="120" s="1"/>
  <c r="E1760" i="120" s="1"/>
  <c r="E2153" i="120" s="1"/>
  <c r="E2546" i="120" s="1"/>
  <c r="E2939" i="120" s="1"/>
  <c r="C581" i="120"/>
  <c r="C974" i="120" s="1"/>
  <c r="C1367" i="120" s="1"/>
  <c r="C1760" i="120" s="1"/>
  <c r="C2153" i="120" s="1"/>
  <c r="C2546" i="120" s="1"/>
  <c r="C2939" i="120" s="1"/>
  <c r="B581" i="120"/>
  <c r="B974" i="120" s="1"/>
  <c r="B1367" i="120" s="1"/>
  <c r="B1760" i="120" s="1"/>
  <c r="B2153" i="120" s="1"/>
  <c r="B2546" i="120" s="1"/>
  <c r="B2939" i="120" s="1"/>
  <c r="A581" i="120"/>
  <c r="A974" i="120" s="1"/>
  <c r="A1367" i="120" s="1"/>
  <c r="A1760" i="120" s="1"/>
  <c r="A2153" i="120" s="1"/>
  <c r="A2546" i="120" s="1"/>
  <c r="A2939" i="120" s="1"/>
  <c r="M187" i="120"/>
  <c r="E580" i="120"/>
  <c r="E973" i="120" s="1"/>
  <c r="E1366" i="120" s="1"/>
  <c r="E1759" i="120" s="1"/>
  <c r="E2152" i="120" s="1"/>
  <c r="E2545" i="120" s="1"/>
  <c r="E2938" i="120" s="1"/>
  <c r="D580" i="120"/>
  <c r="D973" i="120" s="1"/>
  <c r="D1366" i="120" s="1"/>
  <c r="D1759" i="120" s="1"/>
  <c r="D2152" i="120" s="1"/>
  <c r="D2545" i="120" s="1"/>
  <c r="D2938" i="120" s="1"/>
  <c r="C580" i="120"/>
  <c r="C973" i="120" s="1"/>
  <c r="C1366" i="120" s="1"/>
  <c r="C1759" i="120" s="1"/>
  <c r="C2152" i="120" s="1"/>
  <c r="C2545" i="120" s="1"/>
  <c r="C2938" i="120" s="1"/>
  <c r="B580" i="120"/>
  <c r="B973" i="120" s="1"/>
  <c r="B1366" i="120" s="1"/>
  <c r="B1759" i="120" s="1"/>
  <c r="B2152" i="120" s="1"/>
  <c r="B2545" i="120" s="1"/>
  <c r="B2938" i="120" s="1"/>
  <c r="A580" i="120"/>
  <c r="A973" i="120" s="1"/>
  <c r="A1366" i="120" s="1"/>
  <c r="A1759" i="120" s="1"/>
  <c r="A2152" i="120" s="1"/>
  <c r="A2545" i="120" s="1"/>
  <c r="A2938" i="120" s="1"/>
  <c r="M186" i="120"/>
  <c r="E579" i="120"/>
  <c r="E972" i="120" s="1"/>
  <c r="E1365" i="120" s="1"/>
  <c r="E1758" i="120" s="1"/>
  <c r="E2151" i="120" s="1"/>
  <c r="E2544" i="120" s="1"/>
  <c r="E2937" i="120" s="1"/>
  <c r="D579" i="120"/>
  <c r="D972" i="120" s="1"/>
  <c r="D1365" i="120" s="1"/>
  <c r="D1758" i="120" s="1"/>
  <c r="D2151" i="120" s="1"/>
  <c r="D2544" i="120" s="1"/>
  <c r="D2937" i="120" s="1"/>
  <c r="C579" i="120"/>
  <c r="C972" i="120" s="1"/>
  <c r="C1365" i="120" s="1"/>
  <c r="C1758" i="120" s="1"/>
  <c r="C2151" i="120" s="1"/>
  <c r="C2544" i="120" s="1"/>
  <c r="C2937" i="120" s="1"/>
  <c r="B579" i="120"/>
  <c r="B972" i="120" s="1"/>
  <c r="B1365" i="120" s="1"/>
  <c r="B1758" i="120" s="1"/>
  <c r="B2151" i="120" s="1"/>
  <c r="B2544" i="120" s="1"/>
  <c r="B2937" i="120" s="1"/>
  <c r="A579" i="120"/>
  <c r="A972" i="120" s="1"/>
  <c r="A1365" i="120" s="1"/>
  <c r="A1758" i="120" s="1"/>
  <c r="A2151" i="120" s="1"/>
  <c r="A2544" i="120" s="1"/>
  <c r="A2937" i="120" s="1"/>
  <c r="M185" i="120"/>
  <c r="E578" i="120"/>
  <c r="E971" i="120" s="1"/>
  <c r="E1364" i="120" s="1"/>
  <c r="E1757" i="120" s="1"/>
  <c r="E2150" i="120" s="1"/>
  <c r="E2543" i="120" s="1"/>
  <c r="E2936" i="120" s="1"/>
  <c r="D578" i="120"/>
  <c r="D971" i="120" s="1"/>
  <c r="D1364" i="120" s="1"/>
  <c r="D1757" i="120" s="1"/>
  <c r="D2150" i="120" s="1"/>
  <c r="D2543" i="120" s="1"/>
  <c r="D2936" i="120" s="1"/>
  <c r="C578" i="120"/>
  <c r="C971" i="120" s="1"/>
  <c r="C1364" i="120" s="1"/>
  <c r="C1757" i="120" s="1"/>
  <c r="C2150" i="120" s="1"/>
  <c r="C2543" i="120" s="1"/>
  <c r="C2936" i="120" s="1"/>
  <c r="B578" i="120"/>
  <c r="A578" i="120"/>
  <c r="M184" i="120"/>
  <c r="E577" i="120"/>
  <c r="E970" i="120" s="1"/>
  <c r="E1363" i="120" s="1"/>
  <c r="E1756" i="120" s="1"/>
  <c r="E2149" i="120" s="1"/>
  <c r="E2542" i="120" s="1"/>
  <c r="E2935" i="120" s="1"/>
  <c r="D577" i="120"/>
  <c r="D970" i="120" s="1"/>
  <c r="D1363" i="120" s="1"/>
  <c r="D1756" i="120" s="1"/>
  <c r="D2149" i="120" s="1"/>
  <c r="D2542" i="120" s="1"/>
  <c r="D2935" i="120" s="1"/>
  <c r="C577" i="120"/>
  <c r="C970" i="120" s="1"/>
  <c r="C1363" i="120" s="1"/>
  <c r="C1756" i="120" s="1"/>
  <c r="C2149" i="120" s="1"/>
  <c r="C2542" i="120" s="1"/>
  <c r="C2935" i="120" s="1"/>
  <c r="B577" i="120"/>
  <c r="B970" i="120" s="1"/>
  <c r="B1363" i="120" s="1"/>
  <c r="B1756" i="120" s="1"/>
  <c r="B2149" i="120" s="1"/>
  <c r="B2542" i="120" s="1"/>
  <c r="B2935" i="120" s="1"/>
  <c r="A577" i="120"/>
  <c r="A970" i="120" s="1"/>
  <c r="A1363" i="120" s="1"/>
  <c r="A1756" i="120" s="1"/>
  <c r="A2149" i="120" s="1"/>
  <c r="A2542" i="120" s="1"/>
  <c r="A2935" i="120" s="1"/>
  <c r="M183" i="120"/>
  <c r="E576" i="120"/>
  <c r="E969" i="120" s="1"/>
  <c r="E1362" i="120" s="1"/>
  <c r="E1755" i="120" s="1"/>
  <c r="E2148" i="120" s="1"/>
  <c r="E2541" i="120" s="1"/>
  <c r="E2934" i="120" s="1"/>
  <c r="D576" i="120"/>
  <c r="D969" i="120" s="1"/>
  <c r="D1362" i="120" s="1"/>
  <c r="D1755" i="120" s="1"/>
  <c r="D2148" i="120" s="1"/>
  <c r="D2541" i="120" s="1"/>
  <c r="D2934" i="120" s="1"/>
  <c r="C576" i="120"/>
  <c r="C969" i="120" s="1"/>
  <c r="C1362" i="120" s="1"/>
  <c r="C1755" i="120" s="1"/>
  <c r="C2148" i="120" s="1"/>
  <c r="C2541" i="120" s="1"/>
  <c r="C2934" i="120" s="1"/>
  <c r="B576" i="120"/>
  <c r="B969" i="120" s="1"/>
  <c r="B1362" i="120" s="1"/>
  <c r="B1755" i="120" s="1"/>
  <c r="B2148" i="120" s="1"/>
  <c r="B2541" i="120" s="1"/>
  <c r="B2934" i="120" s="1"/>
  <c r="A576" i="120"/>
  <c r="A969" i="120" s="1"/>
  <c r="A1362" i="120" s="1"/>
  <c r="A1755" i="120" s="1"/>
  <c r="A2148" i="120" s="1"/>
  <c r="A2541" i="120" s="1"/>
  <c r="A2934" i="120" s="1"/>
  <c r="M182" i="120"/>
  <c r="E575" i="120"/>
  <c r="E968" i="120" s="1"/>
  <c r="E1361" i="120" s="1"/>
  <c r="E1754" i="120" s="1"/>
  <c r="E2147" i="120" s="1"/>
  <c r="E2540" i="120" s="1"/>
  <c r="E2933" i="120" s="1"/>
  <c r="D575" i="120"/>
  <c r="D968" i="120" s="1"/>
  <c r="D1361" i="120" s="1"/>
  <c r="D1754" i="120" s="1"/>
  <c r="D2147" i="120" s="1"/>
  <c r="D2540" i="120" s="1"/>
  <c r="D2933" i="120" s="1"/>
  <c r="C575" i="120"/>
  <c r="C968" i="120" s="1"/>
  <c r="C1361" i="120" s="1"/>
  <c r="C1754" i="120" s="1"/>
  <c r="C2147" i="120" s="1"/>
  <c r="C2540" i="120" s="1"/>
  <c r="C2933" i="120" s="1"/>
  <c r="B575" i="120"/>
  <c r="B968" i="120" s="1"/>
  <c r="B1361" i="120" s="1"/>
  <c r="B1754" i="120" s="1"/>
  <c r="B2147" i="120" s="1"/>
  <c r="B2540" i="120" s="1"/>
  <c r="B2933" i="120" s="1"/>
  <c r="A575" i="120"/>
  <c r="A968" i="120" s="1"/>
  <c r="A1361" i="120" s="1"/>
  <c r="A1754" i="120" s="1"/>
  <c r="A2147" i="120" s="1"/>
  <c r="A2540" i="120" s="1"/>
  <c r="A2933" i="120" s="1"/>
  <c r="M181" i="120"/>
  <c r="E574" i="120"/>
  <c r="E967" i="120" s="1"/>
  <c r="E1360" i="120" s="1"/>
  <c r="E1753" i="120" s="1"/>
  <c r="E2146" i="120" s="1"/>
  <c r="E2539" i="120" s="1"/>
  <c r="E2932" i="120" s="1"/>
  <c r="C574" i="120"/>
  <c r="C967" i="120" s="1"/>
  <c r="C1360" i="120" s="1"/>
  <c r="C1753" i="120" s="1"/>
  <c r="C2146" i="120" s="1"/>
  <c r="C2539" i="120" s="1"/>
  <c r="C2932" i="120" s="1"/>
  <c r="B574" i="120"/>
  <c r="B967" i="120" s="1"/>
  <c r="B1360" i="120" s="1"/>
  <c r="B1753" i="120" s="1"/>
  <c r="B2146" i="120" s="1"/>
  <c r="B2539" i="120" s="1"/>
  <c r="B2932" i="120" s="1"/>
  <c r="A574" i="120"/>
  <c r="A967" i="120" s="1"/>
  <c r="A1360" i="120" s="1"/>
  <c r="A1753" i="120" s="1"/>
  <c r="A2146" i="120" s="1"/>
  <c r="A2539" i="120" s="1"/>
  <c r="A2932" i="120" s="1"/>
  <c r="M180" i="120"/>
  <c r="E573" i="120"/>
  <c r="E966" i="120" s="1"/>
  <c r="E1359" i="120" s="1"/>
  <c r="E1752" i="120" s="1"/>
  <c r="E2145" i="120" s="1"/>
  <c r="E2538" i="120" s="1"/>
  <c r="E2931" i="120" s="1"/>
  <c r="D573" i="120"/>
  <c r="D966" i="120" s="1"/>
  <c r="D1359" i="120" s="1"/>
  <c r="D1752" i="120" s="1"/>
  <c r="D2145" i="120" s="1"/>
  <c r="D2538" i="120" s="1"/>
  <c r="D2931" i="120" s="1"/>
  <c r="C573" i="120"/>
  <c r="C966" i="120" s="1"/>
  <c r="C1359" i="120" s="1"/>
  <c r="C1752" i="120" s="1"/>
  <c r="C2145" i="120" s="1"/>
  <c r="C2538" i="120" s="1"/>
  <c r="C2931" i="120" s="1"/>
  <c r="B573" i="120"/>
  <c r="B966" i="120" s="1"/>
  <c r="B1359" i="120" s="1"/>
  <c r="B1752" i="120" s="1"/>
  <c r="B2145" i="120" s="1"/>
  <c r="B2538" i="120" s="1"/>
  <c r="B2931" i="120" s="1"/>
  <c r="A573" i="120"/>
  <c r="A966" i="120" s="1"/>
  <c r="A1359" i="120" s="1"/>
  <c r="A1752" i="120" s="1"/>
  <c r="A2145" i="120" s="1"/>
  <c r="A2538" i="120" s="1"/>
  <c r="A2931" i="120" s="1"/>
  <c r="M179" i="120"/>
  <c r="E572" i="120"/>
  <c r="E965" i="120" s="1"/>
  <c r="E1358" i="120" s="1"/>
  <c r="E1751" i="120" s="1"/>
  <c r="E2144" i="120" s="1"/>
  <c r="E2537" i="120" s="1"/>
  <c r="E2930" i="120" s="1"/>
  <c r="D572" i="120"/>
  <c r="D965" i="120" s="1"/>
  <c r="D1358" i="120" s="1"/>
  <c r="D1751" i="120" s="1"/>
  <c r="D2144" i="120" s="1"/>
  <c r="D2537" i="120" s="1"/>
  <c r="D2930" i="120" s="1"/>
  <c r="C572" i="120"/>
  <c r="C965" i="120" s="1"/>
  <c r="C1358" i="120" s="1"/>
  <c r="C1751" i="120" s="1"/>
  <c r="C2144" i="120" s="1"/>
  <c r="C2537" i="120" s="1"/>
  <c r="C2930" i="120" s="1"/>
  <c r="B572" i="120"/>
  <c r="B965" i="120" s="1"/>
  <c r="B1358" i="120" s="1"/>
  <c r="B1751" i="120" s="1"/>
  <c r="B2144" i="120" s="1"/>
  <c r="B2537" i="120" s="1"/>
  <c r="B2930" i="120" s="1"/>
  <c r="M178" i="120"/>
  <c r="E571" i="120"/>
  <c r="E964" i="120" s="1"/>
  <c r="E1357" i="120" s="1"/>
  <c r="E1750" i="120" s="1"/>
  <c r="E2143" i="120" s="1"/>
  <c r="E2536" i="120" s="1"/>
  <c r="E2929" i="120" s="1"/>
  <c r="D571" i="120"/>
  <c r="D964" i="120" s="1"/>
  <c r="D1357" i="120" s="1"/>
  <c r="D1750" i="120" s="1"/>
  <c r="D2143" i="120" s="1"/>
  <c r="D2536" i="120" s="1"/>
  <c r="D2929" i="120" s="1"/>
  <c r="C571" i="120"/>
  <c r="C964" i="120" s="1"/>
  <c r="C1357" i="120" s="1"/>
  <c r="C1750" i="120" s="1"/>
  <c r="C2143" i="120" s="1"/>
  <c r="C2536" i="120" s="1"/>
  <c r="C2929" i="120" s="1"/>
  <c r="B571" i="120"/>
  <c r="B964" i="120" s="1"/>
  <c r="B1357" i="120" s="1"/>
  <c r="B1750" i="120" s="1"/>
  <c r="B2143" i="120" s="1"/>
  <c r="B2536" i="120" s="1"/>
  <c r="B2929" i="120" s="1"/>
  <c r="A571" i="120"/>
  <c r="A964" i="120" s="1"/>
  <c r="A1357" i="120" s="1"/>
  <c r="A1750" i="120" s="1"/>
  <c r="A2143" i="120" s="1"/>
  <c r="A2536" i="120" s="1"/>
  <c r="A2929" i="120" s="1"/>
  <c r="M177" i="120"/>
  <c r="E570" i="120"/>
  <c r="E963" i="120" s="1"/>
  <c r="E1356" i="120" s="1"/>
  <c r="E1749" i="120" s="1"/>
  <c r="E2142" i="120" s="1"/>
  <c r="E2535" i="120" s="1"/>
  <c r="E2928" i="120" s="1"/>
  <c r="D570" i="120"/>
  <c r="D963" i="120" s="1"/>
  <c r="D1356" i="120" s="1"/>
  <c r="D1749" i="120" s="1"/>
  <c r="D2142" i="120" s="1"/>
  <c r="D2535" i="120" s="1"/>
  <c r="D2928" i="120" s="1"/>
  <c r="C570" i="120"/>
  <c r="C963" i="120" s="1"/>
  <c r="C1356" i="120" s="1"/>
  <c r="C1749" i="120" s="1"/>
  <c r="C2142" i="120" s="1"/>
  <c r="C2535" i="120" s="1"/>
  <c r="C2928" i="120" s="1"/>
  <c r="B570" i="120"/>
  <c r="B963" i="120" s="1"/>
  <c r="B1356" i="120" s="1"/>
  <c r="B1749" i="120" s="1"/>
  <c r="B2142" i="120" s="1"/>
  <c r="B2535" i="120" s="1"/>
  <c r="B2928" i="120" s="1"/>
  <c r="A570" i="120"/>
  <c r="A963" i="120" s="1"/>
  <c r="A1356" i="120" s="1"/>
  <c r="A1749" i="120" s="1"/>
  <c r="A2142" i="120" s="1"/>
  <c r="A2535" i="120" s="1"/>
  <c r="A2928" i="120" s="1"/>
  <c r="M176" i="120"/>
  <c r="F569" i="120"/>
  <c r="E569" i="120"/>
  <c r="E962" i="120" s="1"/>
  <c r="E1355" i="120" s="1"/>
  <c r="E1748" i="120" s="1"/>
  <c r="E2141" i="120" s="1"/>
  <c r="E2534" i="120" s="1"/>
  <c r="E2927" i="120" s="1"/>
  <c r="D569" i="120"/>
  <c r="D962" i="120" s="1"/>
  <c r="D1355" i="120" s="1"/>
  <c r="D1748" i="120" s="1"/>
  <c r="D2141" i="120" s="1"/>
  <c r="D2534" i="120" s="1"/>
  <c r="D2927" i="120" s="1"/>
  <c r="C569" i="120"/>
  <c r="C962" i="120" s="1"/>
  <c r="C1355" i="120" s="1"/>
  <c r="C1748" i="120" s="1"/>
  <c r="C2141" i="120" s="1"/>
  <c r="C2534" i="120" s="1"/>
  <c r="C2927" i="120" s="1"/>
  <c r="B569" i="120"/>
  <c r="B962" i="120" s="1"/>
  <c r="B1355" i="120" s="1"/>
  <c r="B1748" i="120" s="1"/>
  <c r="B2141" i="120" s="1"/>
  <c r="B2534" i="120" s="1"/>
  <c r="B2927" i="120" s="1"/>
  <c r="A569" i="120"/>
  <c r="A962" i="120" s="1"/>
  <c r="A1355" i="120" s="1"/>
  <c r="A1748" i="120" s="1"/>
  <c r="A2141" i="120" s="1"/>
  <c r="A2534" i="120" s="1"/>
  <c r="A2927" i="120" s="1"/>
  <c r="M175" i="120"/>
  <c r="E568" i="120"/>
  <c r="E961" i="120" s="1"/>
  <c r="E1354" i="120" s="1"/>
  <c r="E1747" i="120" s="1"/>
  <c r="E2140" i="120" s="1"/>
  <c r="E2533" i="120" s="1"/>
  <c r="E2926" i="120" s="1"/>
  <c r="D568" i="120"/>
  <c r="D961" i="120" s="1"/>
  <c r="D1354" i="120" s="1"/>
  <c r="D1747" i="120" s="1"/>
  <c r="D2140" i="120" s="1"/>
  <c r="D2533" i="120" s="1"/>
  <c r="D2926" i="120" s="1"/>
  <c r="C568" i="120"/>
  <c r="C961" i="120" s="1"/>
  <c r="C1354" i="120" s="1"/>
  <c r="C1747" i="120" s="1"/>
  <c r="C2140" i="120" s="1"/>
  <c r="C2533" i="120" s="1"/>
  <c r="C2926" i="120" s="1"/>
  <c r="B568" i="120"/>
  <c r="B961" i="120" s="1"/>
  <c r="B1354" i="120" s="1"/>
  <c r="B1747" i="120" s="1"/>
  <c r="B2140" i="120" s="1"/>
  <c r="B2533" i="120" s="1"/>
  <c r="B2926" i="120" s="1"/>
  <c r="A568" i="120"/>
  <c r="A961" i="120" s="1"/>
  <c r="A1354" i="120" s="1"/>
  <c r="A1747" i="120" s="1"/>
  <c r="A2140" i="120" s="1"/>
  <c r="A2533" i="120" s="1"/>
  <c r="A2926" i="120" s="1"/>
  <c r="M174" i="120"/>
  <c r="E567" i="120"/>
  <c r="E960" i="120" s="1"/>
  <c r="E1353" i="120" s="1"/>
  <c r="E1746" i="120" s="1"/>
  <c r="E2139" i="120" s="1"/>
  <c r="E2532" i="120" s="1"/>
  <c r="E2925" i="120" s="1"/>
  <c r="D567" i="120"/>
  <c r="D960" i="120" s="1"/>
  <c r="D1353" i="120" s="1"/>
  <c r="D1746" i="120" s="1"/>
  <c r="D2139" i="120" s="1"/>
  <c r="D2532" i="120" s="1"/>
  <c r="D2925" i="120" s="1"/>
  <c r="C567" i="120"/>
  <c r="C960" i="120" s="1"/>
  <c r="C1353" i="120" s="1"/>
  <c r="C1746" i="120" s="1"/>
  <c r="C2139" i="120" s="1"/>
  <c r="C2532" i="120" s="1"/>
  <c r="C2925" i="120" s="1"/>
  <c r="B567" i="120"/>
  <c r="B960" i="120" s="1"/>
  <c r="B1353" i="120" s="1"/>
  <c r="B1746" i="120" s="1"/>
  <c r="B2139" i="120" s="1"/>
  <c r="B2532" i="120" s="1"/>
  <c r="B2925" i="120" s="1"/>
  <c r="A567" i="120"/>
  <c r="A960" i="120" s="1"/>
  <c r="A1353" i="120" s="1"/>
  <c r="A1746" i="120" s="1"/>
  <c r="A2139" i="120" s="1"/>
  <c r="A2532" i="120" s="1"/>
  <c r="A2925" i="120" s="1"/>
  <c r="M173" i="120"/>
  <c r="E566" i="120"/>
  <c r="E959" i="120" s="1"/>
  <c r="E1352" i="120" s="1"/>
  <c r="E1745" i="120" s="1"/>
  <c r="E2138" i="120" s="1"/>
  <c r="E2531" i="120" s="1"/>
  <c r="E2924" i="120" s="1"/>
  <c r="D566" i="120"/>
  <c r="D959" i="120" s="1"/>
  <c r="D1352" i="120" s="1"/>
  <c r="D1745" i="120" s="1"/>
  <c r="D2138" i="120" s="1"/>
  <c r="D2531" i="120" s="1"/>
  <c r="D2924" i="120" s="1"/>
  <c r="C566" i="120"/>
  <c r="C959" i="120" s="1"/>
  <c r="C1352" i="120" s="1"/>
  <c r="C1745" i="120" s="1"/>
  <c r="C2138" i="120" s="1"/>
  <c r="C2531" i="120" s="1"/>
  <c r="C2924" i="120" s="1"/>
  <c r="B566" i="120"/>
  <c r="B959" i="120" s="1"/>
  <c r="B1352" i="120" s="1"/>
  <c r="B1745" i="120" s="1"/>
  <c r="B2138" i="120" s="1"/>
  <c r="B2531" i="120" s="1"/>
  <c r="B2924" i="120" s="1"/>
  <c r="A566" i="120"/>
  <c r="A959" i="120" s="1"/>
  <c r="A1352" i="120" s="1"/>
  <c r="A1745" i="120" s="1"/>
  <c r="A2138" i="120" s="1"/>
  <c r="A2531" i="120" s="1"/>
  <c r="A2924" i="120" s="1"/>
  <c r="M172" i="120"/>
  <c r="E565" i="120"/>
  <c r="E958" i="120" s="1"/>
  <c r="E1351" i="120" s="1"/>
  <c r="E1744" i="120" s="1"/>
  <c r="E2137" i="120" s="1"/>
  <c r="E2530" i="120" s="1"/>
  <c r="E2923" i="120" s="1"/>
  <c r="C565" i="120"/>
  <c r="C958" i="120" s="1"/>
  <c r="C1351" i="120" s="1"/>
  <c r="C1744" i="120" s="1"/>
  <c r="C2137" i="120" s="1"/>
  <c r="C2530" i="120" s="1"/>
  <c r="C2923" i="120" s="1"/>
  <c r="B565" i="120"/>
  <c r="B958" i="120" s="1"/>
  <c r="B1351" i="120" s="1"/>
  <c r="B1744" i="120" s="1"/>
  <c r="B2137" i="120" s="1"/>
  <c r="B2530" i="120" s="1"/>
  <c r="B2923" i="120" s="1"/>
  <c r="A565" i="120"/>
  <c r="A958" i="120" s="1"/>
  <c r="A1351" i="120" s="1"/>
  <c r="A1744" i="120" s="1"/>
  <c r="A2137" i="120" s="1"/>
  <c r="A2530" i="120" s="1"/>
  <c r="A2923" i="120" s="1"/>
  <c r="M171" i="120"/>
  <c r="E564" i="120"/>
  <c r="E957" i="120" s="1"/>
  <c r="E1350" i="120" s="1"/>
  <c r="E1743" i="120" s="1"/>
  <c r="E2136" i="120" s="1"/>
  <c r="E2529" i="120" s="1"/>
  <c r="E2922" i="120" s="1"/>
  <c r="D564" i="120"/>
  <c r="D957" i="120" s="1"/>
  <c r="D1350" i="120" s="1"/>
  <c r="D1743" i="120" s="1"/>
  <c r="D2136" i="120" s="1"/>
  <c r="D2529" i="120" s="1"/>
  <c r="D2922" i="120" s="1"/>
  <c r="C564" i="120"/>
  <c r="C957" i="120" s="1"/>
  <c r="C1350" i="120" s="1"/>
  <c r="C1743" i="120" s="1"/>
  <c r="C2136" i="120" s="1"/>
  <c r="C2529" i="120" s="1"/>
  <c r="C2922" i="120" s="1"/>
  <c r="B564" i="120"/>
  <c r="B957" i="120" s="1"/>
  <c r="B1350" i="120" s="1"/>
  <c r="B1743" i="120" s="1"/>
  <c r="B2136" i="120" s="1"/>
  <c r="B2529" i="120" s="1"/>
  <c r="B2922" i="120" s="1"/>
  <c r="A564" i="120"/>
  <c r="A957" i="120" s="1"/>
  <c r="A1350" i="120" s="1"/>
  <c r="A1743" i="120" s="1"/>
  <c r="A2136" i="120" s="1"/>
  <c r="A2529" i="120" s="1"/>
  <c r="A2922" i="120" s="1"/>
  <c r="M170" i="120"/>
  <c r="E563" i="120"/>
  <c r="E956" i="120" s="1"/>
  <c r="E1349" i="120" s="1"/>
  <c r="E1742" i="120" s="1"/>
  <c r="E2135" i="120" s="1"/>
  <c r="E2528" i="120" s="1"/>
  <c r="E2921" i="120" s="1"/>
  <c r="D563" i="120"/>
  <c r="D956" i="120" s="1"/>
  <c r="D1349" i="120" s="1"/>
  <c r="D1742" i="120" s="1"/>
  <c r="D2135" i="120" s="1"/>
  <c r="D2528" i="120" s="1"/>
  <c r="D2921" i="120" s="1"/>
  <c r="C563" i="120"/>
  <c r="C956" i="120" s="1"/>
  <c r="C1349" i="120" s="1"/>
  <c r="C1742" i="120" s="1"/>
  <c r="C2135" i="120" s="1"/>
  <c r="C2528" i="120" s="1"/>
  <c r="C2921" i="120" s="1"/>
  <c r="B563" i="120"/>
  <c r="B956" i="120" s="1"/>
  <c r="B1349" i="120" s="1"/>
  <c r="B1742" i="120" s="1"/>
  <c r="B2135" i="120" s="1"/>
  <c r="B2528" i="120" s="1"/>
  <c r="B2921" i="120" s="1"/>
  <c r="A563" i="120"/>
  <c r="A956" i="120" s="1"/>
  <c r="A1349" i="120" s="1"/>
  <c r="A1742" i="120" s="1"/>
  <c r="A2135" i="120" s="1"/>
  <c r="A2528" i="120" s="1"/>
  <c r="A2921" i="120" s="1"/>
  <c r="M169" i="120"/>
  <c r="E562" i="120"/>
  <c r="E955" i="120" s="1"/>
  <c r="E1348" i="120" s="1"/>
  <c r="E1741" i="120" s="1"/>
  <c r="E2134" i="120" s="1"/>
  <c r="E2527" i="120" s="1"/>
  <c r="E2920" i="120" s="1"/>
  <c r="D562" i="120"/>
  <c r="D955" i="120" s="1"/>
  <c r="D1348" i="120" s="1"/>
  <c r="D1741" i="120" s="1"/>
  <c r="D2134" i="120" s="1"/>
  <c r="D2527" i="120" s="1"/>
  <c r="D2920" i="120" s="1"/>
  <c r="C562" i="120"/>
  <c r="C955" i="120" s="1"/>
  <c r="C1348" i="120" s="1"/>
  <c r="C1741" i="120" s="1"/>
  <c r="C2134" i="120" s="1"/>
  <c r="C2527" i="120" s="1"/>
  <c r="C2920" i="120" s="1"/>
  <c r="B562" i="120"/>
  <c r="B955" i="120" s="1"/>
  <c r="B1348" i="120" s="1"/>
  <c r="B1741" i="120" s="1"/>
  <c r="B2134" i="120" s="1"/>
  <c r="B2527" i="120" s="1"/>
  <c r="B2920" i="120" s="1"/>
  <c r="A562" i="120"/>
  <c r="A955" i="120" s="1"/>
  <c r="A1348" i="120" s="1"/>
  <c r="A1741" i="120" s="1"/>
  <c r="A2134" i="120" s="1"/>
  <c r="A2527" i="120" s="1"/>
  <c r="A2920" i="120" s="1"/>
  <c r="M168" i="120"/>
  <c r="E561" i="120"/>
  <c r="E954" i="120" s="1"/>
  <c r="E1347" i="120" s="1"/>
  <c r="E1740" i="120" s="1"/>
  <c r="E2133" i="120" s="1"/>
  <c r="E2526" i="120" s="1"/>
  <c r="E2919" i="120" s="1"/>
  <c r="D561" i="120"/>
  <c r="D954" i="120" s="1"/>
  <c r="D1347" i="120" s="1"/>
  <c r="D1740" i="120" s="1"/>
  <c r="D2133" i="120" s="1"/>
  <c r="D2526" i="120" s="1"/>
  <c r="D2919" i="120" s="1"/>
  <c r="C561" i="120"/>
  <c r="C954" i="120" s="1"/>
  <c r="C1347" i="120" s="1"/>
  <c r="C1740" i="120" s="1"/>
  <c r="C2133" i="120" s="1"/>
  <c r="C2526" i="120" s="1"/>
  <c r="C2919" i="120" s="1"/>
  <c r="B561" i="120"/>
  <c r="B954" i="120" s="1"/>
  <c r="B1347" i="120" s="1"/>
  <c r="B1740" i="120" s="1"/>
  <c r="B2133" i="120" s="1"/>
  <c r="B2526" i="120" s="1"/>
  <c r="B2919" i="120" s="1"/>
  <c r="A561" i="120"/>
  <c r="A954" i="120" s="1"/>
  <c r="A1347" i="120" s="1"/>
  <c r="A1740" i="120" s="1"/>
  <c r="A2133" i="120" s="1"/>
  <c r="A2526" i="120" s="1"/>
  <c r="A2919" i="120" s="1"/>
  <c r="M167" i="120"/>
  <c r="E560" i="120"/>
  <c r="E953" i="120" s="1"/>
  <c r="E1346" i="120" s="1"/>
  <c r="E1739" i="120" s="1"/>
  <c r="E2132" i="120" s="1"/>
  <c r="E2525" i="120" s="1"/>
  <c r="E2918" i="120" s="1"/>
  <c r="D560" i="120"/>
  <c r="D953" i="120" s="1"/>
  <c r="D1346" i="120" s="1"/>
  <c r="D1739" i="120" s="1"/>
  <c r="D2132" i="120" s="1"/>
  <c r="D2525" i="120" s="1"/>
  <c r="D2918" i="120" s="1"/>
  <c r="C560" i="120"/>
  <c r="C953" i="120" s="1"/>
  <c r="C1346" i="120" s="1"/>
  <c r="C1739" i="120" s="1"/>
  <c r="C2132" i="120" s="1"/>
  <c r="C2525" i="120" s="1"/>
  <c r="C2918" i="120" s="1"/>
  <c r="B560" i="120"/>
  <c r="B953" i="120" s="1"/>
  <c r="B1346" i="120" s="1"/>
  <c r="B1739" i="120" s="1"/>
  <c r="B2132" i="120" s="1"/>
  <c r="B2525" i="120" s="1"/>
  <c r="B2918" i="120" s="1"/>
  <c r="A560" i="120"/>
  <c r="A953" i="120" s="1"/>
  <c r="A1346" i="120" s="1"/>
  <c r="A1739" i="120" s="1"/>
  <c r="A2132" i="120" s="1"/>
  <c r="A2525" i="120" s="1"/>
  <c r="A2918" i="120" s="1"/>
  <c r="M166" i="120"/>
  <c r="E559" i="120"/>
  <c r="E952" i="120" s="1"/>
  <c r="E1345" i="120" s="1"/>
  <c r="E1738" i="120" s="1"/>
  <c r="E2131" i="120" s="1"/>
  <c r="E2524" i="120" s="1"/>
  <c r="E2917" i="120" s="1"/>
  <c r="D559" i="120"/>
  <c r="D952" i="120" s="1"/>
  <c r="D1345" i="120" s="1"/>
  <c r="D1738" i="120" s="1"/>
  <c r="D2131" i="120" s="1"/>
  <c r="D2524" i="120" s="1"/>
  <c r="D2917" i="120" s="1"/>
  <c r="C559" i="120"/>
  <c r="C952" i="120" s="1"/>
  <c r="C1345" i="120" s="1"/>
  <c r="C1738" i="120" s="1"/>
  <c r="C2131" i="120" s="1"/>
  <c r="C2524" i="120" s="1"/>
  <c r="C2917" i="120" s="1"/>
  <c r="B559" i="120"/>
  <c r="B952" i="120" s="1"/>
  <c r="B1345" i="120" s="1"/>
  <c r="B1738" i="120" s="1"/>
  <c r="B2131" i="120" s="1"/>
  <c r="B2524" i="120" s="1"/>
  <c r="B2917" i="120" s="1"/>
  <c r="A559" i="120"/>
  <c r="A952" i="120" s="1"/>
  <c r="A1345" i="120" s="1"/>
  <c r="A1738" i="120" s="1"/>
  <c r="A2131" i="120" s="1"/>
  <c r="A2524" i="120" s="1"/>
  <c r="A2917" i="120" s="1"/>
  <c r="M165" i="120"/>
  <c r="E558" i="120"/>
  <c r="E951" i="120" s="1"/>
  <c r="E1344" i="120" s="1"/>
  <c r="E1737" i="120" s="1"/>
  <c r="E2130" i="120" s="1"/>
  <c r="E2523" i="120" s="1"/>
  <c r="E2916" i="120" s="1"/>
  <c r="D558" i="120"/>
  <c r="D951" i="120" s="1"/>
  <c r="D1344" i="120" s="1"/>
  <c r="D1737" i="120" s="1"/>
  <c r="D2130" i="120" s="1"/>
  <c r="D2523" i="120" s="1"/>
  <c r="D2916" i="120" s="1"/>
  <c r="C558" i="120"/>
  <c r="C951" i="120" s="1"/>
  <c r="C1344" i="120" s="1"/>
  <c r="C1737" i="120" s="1"/>
  <c r="C2130" i="120" s="1"/>
  <c r="C2523" i="120" s="1"/>
  <c r="C2916" i="120" s="1"/>
  <c r="B558" i="120"/>
  <c r="B951" i="120" s="1"/>
  <c r="B1344" i="120" s="1"/>
  <c r="B1737" i="120" s="1"/>
  <c r="B2130" i="120" s="1"/>
  <c r="B2523" i="120" s="1"/>
  <c r="B2916" i="120" s="1"/>
  <c r="A558" i="120"/>
  <c r="A951" i="120" s="1"/>
  <c r="A1344" i="120" s="1"/>
  <c r="A1737" i="120" s="1"/>
  <c r="A2130" i="120" s="1"/>
  <c r="A2523" i="120" s="1"/>
  <c r="A2916" i="120" s="1"/>
  <c r="M164" i="120"/>
  <c r="E557" i="120"/>
  <c r="E950" i="120" s="1"/>
  <c r="E1343" i="120" s="1"/>
  <c r="E1736" i="120" s="1"/>
  <c r="E2129" i="120" s="1"/>
  <c r="E2522" i="120" s="1"/>
  <c r="E2915" i="120" s="1"/>
  <c r="D557" i="120"/>
  <c r="D950" i="120" s="1"/>
  <c r="D1343" i="120" s="1"/>
  <c r="D1736" i="120" s="1"/>
  <c r="D2129" i="120" s="1"/>
  <c r="D2522" i="120" s="1"/>
  <c r="D2915" i="120" s="1"/>
  <c r="C557" i="120"/>
  <c r="C950" i="120" s="1"/>
  <c r="C1343" i="120" s="1"/>
  <c r="C1736" i="120" s="1"/>
  <c r="C2129" i="120" s="1"/>
  <c r="C2522" i="120" s="1"/>
  <c r="C2915" i="120" s="1"/>
  <c r="B557" i="120"/>
  <c r="B950" i="120" s="1"/>
  <c r="B1343" i="120" s="1"/>
  <c r="B1736" i="120" s="1"/>
  <c r="B2129" i="120" s="1"/>
  <c r="B2522" i="120" s="1"/>
  <c r="B2915" i="120" s="1"/>
  <c r="A557" i="120"/>
  <c r="A950" i="120" s="1"/>
  <c r="A1343" i="120" s="1"/>
  <c r="A1736" i="120" s="1"/>
  <c r="A2129" i="120" s="1"/>
  <c r="A2522" i="120" s="1"/>
  <c r="A2915" i="120" s="1"/>
  <c r="M163" i="120"/>
  <c r="E556" i="120"/>
  <c r="E949" i="120" s="1"/>
  <c r="E1342" i="120" s="1"/>
  <c r="E1735" i="120" s="1"/>
  <c r="E2128" i="120" s="1"/>
  <c r="E2521" i="120" s="1"/>
  <c r="E2914" i="120" s="1"/>
  <c r="D556" i="120"/>
  <c r="D949" i="120" s="1"/>
  <c r="D1342" i="120" s="1"/>
  <c r="D1735" i="120" s="1"/>
  <c r="D2128" i="120" s="1"/>
  <c r="D2521" i="120" s="1"/>
  <c r="D2914" i="120" s="1"/>
  <c r="C556" i="120"/>
  <c r="C949" i="120" s="1"/>
  <c r="C1342" i="120" s="1"/>
  <c r="C1735" i="120" s="1"/>
  <c r="C2128" i="120" s="1"/>
  <c r="C2521" i="120" s="1"/>
  <c r="C2914" i="120" s="1"/>
  <c r="B556" i="120"/>
  <c r="B949" i="120" s="1"/>
  <c r="B1342" i="120" s="1"/>
  <c r="B1735" i="120" s="1"/>
  <c r="B2128" i="120" s="1"/>
  <c r="B2521" i="120" s="1"/>
  <c r="B2914" i="120" s="1"/>
  <c r="A556" i="120"/>
  <c r="A949" i="120" s="1"/>
  <c r="A1342" i="120" s="1"/>
  <c r="A1735" i="120" s="1"/>
  <c r="A2128" i="120" s="1"/>
  <c r="A2521" i="120" s="1"/>
  <c r="A2914" i="120" s="1"/>
  <c r="M162" i="120"/>
  <c r="E555" i="120"/>
  <c r="E948" i="120" s="1"/>
  <c r="E1341" i="120" s="1"/>
  <c r="E1734" i="120" s="1"/>
  <c r="E2127" i="120" s="1"/>
  <c r="E2520" i="120" s="1"/>
  <c r="E2913" i="120" s="1"/>
  <c r="D555" i="120"/>
  <c r="D948" i="120" s="1"/>
  <c r="D1341" i="120" s="1"/>
  <c r="D1734" i="120" s="1"/>
  <c r="D2127" i="120" s="1"/>
  <c r="D2520" i="120" s="1"/>
  <c r="D2913" i="120" s="1"/>
  <c r="C555" i="120"/>
  <c r="C948" i="120" s="1"/>
  <c r="B555" i="120"/>
  <c r="B948" i="120" s="1"/>
  <c r="B1341" i="120" s="1"/>
  <c r="B1734" i="120" s="1"/>
  <c r="B2127" i="120" s="1"/>
  <c r="B2520" i="120" s="1"/>
  <c r="B2913" i="120" s="1"/>
  <c r="A555" i="120"/>
  <c r="A948" i="120" s="1"/>
  <c r="A1341" i="120" s="1"/>
  <c r="A1734" i="120" s="1"/>
  <c r="A2127" i="120" s="1"/>
  <c r="A2520" i="120" s="1"/>
  <c r="A2913" i="120" s="1"/>
  <c r="M161" i="120"/>
  <c r="E554" i="120"/>
  <c r="E947" i="120" s="1"/>
  <c r="E1340" i="120" s="1"/>
  <c r="E1733" i="120" s="1"/>
  <c r="E2126" i="120" s="1"/>
  <c r="E2519" i="120" s="1"/>
  <c r="E2912" i="120" s="1"/>
  <c r="D554" i="120"/>
  <c r="D947" i="120" s="1"/>
  <c r="D1340" i="120" s="1"/>
  <c r="D1733" i="120" s="1"/>
  <c r="D2126" i="120" s="1"/>
  <c r="D2519" i="120" s="1"/>
  <c r="D2912" i="120" s="1"/>
  <c r="C554" i="120"/>
  <c r="C947" i="120" s="1"/>
  <c r="C1340" i="120" s="1"/>
  <c r="C1733" i="120" s="1"/>
  <c r="C2126" i="120" s="1"/>
  <c r="C2519" i="120" s="1"/>
  <c r="C2912" i="120" s="1"/>
  <c r="B554" i="120"/>
  <c r="B947" i="120" s="1"/>
  <c r="B1340" i="120" s="1"/>
  <c r="B1733" i="120" s="1"/>
  <c r="B2126" i="120" s="1"/>
  <c r="B2519" i="120" s="1"/>
  <c r="B2912" i="120" s="1"/>
  <c r="A554" i="120"/>
  <c r="A947" i="120" s="1"/>
  <c r="A1340" i="120" s="1"/>
  <c r="A1733" i="120" s="1"/>
  <c r="A2126" i="120" s="1"/>
  <c r="A2519" i="120" s="1"/>
  <c r="A2912" i="120" s="1"/>
  <c r="M160" i="120"/>
  <c r="F553" i="120"/>
  <c r="E553" i="120"/>
  <c r="E946" i="120" s="1"/>
  <c r="E1339" i="120" s="1"/>
  <c r="E1732" i="120" s="1"/>
  <c r="E2125" i="120" s="1"/>
  <c r="E2518" i="120" s="1"/>
  <c r="E2911" i="120" s="1"/>
  <c r="D553" i="120"/>
  <c r="D946" i="120" s="1"/>
  <c r="D1339" i="120" s="1"/>
  <c r="D1732" i="120" s="1"/>
  <c r="D2125" i="120" s="1"/>
  <c r="D2518" i="120" s="1"/>
  <c r="D2911" i="120" s="1"/>
  <c r="C553" i="120"/>
  <c r="C946" i="120" s="1"/>
  <c r="C1339" i="120" s="1"/>
  <c r="C1732" i="120" s="1"/>
  <c r="C2125" i="120" s="1"/>
  <c r="C2518" i="120" s="1"/>
  <c r="C2911" i="120" s="1"/>
  <c r="B553" i="120"/>
  <c r="B946" i="120" s="1"/>
  <c r="B1339" i="120" s="1"/>
  <c r="B1732" i="120" s="1"/>
  <c r="B2125" i="120" s="1"/>
  <c r="B2518" i="120" s="1"/>
  <c r="B2911" i="120" s="1"/>
  <c r="A553" i="120"/>
  <c r="A946" i="120" s="1"/>
  <c r="A1339" i="120" s="1"/>
  <c r="A1732" i="120" s="1"/>
  <c r="A2125" i="120" s="1"/>
  <c r="A2518" i="120" s="1"/>
  <c r="A2911" i="120" s="1"/>
  <c r="M159" i="120"/>
  <c r="E552" i="120"/>
  <c r="E945" i="120" s="1"/>
  <c r="E1338" i="120" s="1"/>
  <c r="E1731" i="120" s="1"/>
  <c r="E2124" i="120" s="1"/>
  <c r="E2517" i="120" s="1"/>
  <c r="E2910" i="120" s="1"/>
  <c r="D552" i="120"/>
  <c r="D945" i="120" s="1"/>
  <c r="D1338" i="120" s="1"/>
  <c r="D1731" i="120" s="1"/>
  <c r="D2124" i="120" s="1"/>
  <c r="D2517" i="120" s="1"/>
  <c r="D2910" i="120" s="1"/>
  <c r="C552" i="120"/>
  <c r="C945" i="120" s="1"/>
  <c r="C1338" i="120" s="1"/>
  <c r="C1731" i="120" s="1"/>
  <c r="C2124" i="120" s="1"/>
  <c r="C2517" i="120" s="1"/>
  <c r="C2910" i="120" s="1"/>
  <c r="B552" i="120"/>
  <c r="B945" i="120" s="1"/>
  <c r="B1338" i="120" s="1"/>
  <c r="B1731" i="120" s="1"/>
  <c r="B2124" i="120" s="1"/>
  <c r="B2517" i="120" s="1"/>
  <c r="B2910" i="120" s="1"/>
  <c r="A552" i="120"/>
  <c r="A945" i="120" s="1"/>
  <c r="A1338" i="120" s="1"/>
  <c r="A1731" i="120" s="1"/>
  <c r="A2124" i="120" s="1"/>
  <c r="A2517" i="120" s="1"/>
  <c r="A2910" i="120" s="1"/>
  <c r="M158" i="120"/>
  <c r="E551" i="120"/>
  <c r="E944" i="120" s="1"/>
  <c r="E1337" i="120" s="1"/>
  <c r="E1730" i="120" s="1"/>
  <c r="E2123" i="120" s="1"/>
  <c r="E2516" i="120" s="1"/>
  <c r="E2909" i="120" s="1"/>
  <c r="D551" i="120"/>
  <c r="D944" i="120" s="1"/>
  <c r="D1337" i="120" s="1"/>
  <c r="D1730" i="120" s="1"/>
  <c r="D2123" i="120" s="1"/>
  <c r="D2516" i="120" s="1"/>
  <c r="D2909" i="120" s="1"/>
  <c r="C551" i="120"/>
  <c r="C944" i="120" s="1"/>
  <c r="C1337" i="120" s="1"/>
  <c r="C1730" i="120" s="1"/>
  <c r="C2123" i="120" s="1"/>
  <c r="C2516" i="120" s="1"/>
  <c r="C2909" i="120" s="1"/>
  <c r="B551" i="120"/>
  <c r="B944" i="120" s="1"/>
  <c r="B1337" i="120" s="1"/>
  <c r="B1730" i="120" s="1"/>
  <c r="B2123" i="120" s="1"/>
  <c r="B2516" i="120" s="1"/>
  <c r="B2909" i="120" s="1"/>
  <c r="A551" i="120"/>
  <c r="A944" i="120" s="1"/>
  <c r="A1337" i="120" s="1"/>
  <c r="A1730" i="120" s="1"/>
  <c r="A2123" i="120" s="1"/>
  <c r="A2516" i="120" s="1"/>
  <c r="A2909" i="120" s="1"/>
  <c r="M157" i="120"/>
  <c r="E550" i="120"/>
  <c r="E943" i="120" s="1"/>
  <c r="E1336" i="120" s="1"/>
  <c r="E1729" i="120" s="1"/>
  <c r="E2122" i="120" s="1"/>
  <c r="E2515" i="120" s="1"/>
  <c r="E2908" i="120" s="1"/>
  <c r="D550" i="120"/>
  <c r="D943" i="120" s="1"/>
  <c r="D1336" i="120" s="1"/>
  <c r="D1729" i="120" s="1"/>
  <c r="D2122" i="120" s="1"/>
  <c r="D2515" i="120" s="1"/>
  <c r="D2908" i="120" s="1"/>
  <c r="C550" i="120"/>
  <c r="C943" i="120" s="1"/>
  <c r="C1336" i="120" s="1"/>
  <c r="C1729" i="120" s="1"/>
  <c r="C2122" i="120" s="1"/>
  <c r="C2515" i="120" s="1"/>
  <c r="C2908" i="120" s="1"/>
  <c r="B550" i="120"/>
  <c r="B943" i="120" s="1"/>
  <c r="B1336" i="120" s="1"/>
  <c r="B1729" i="120" s="1"/>
  <c r="B2122" i="120" s="1"/>
  <c r="B2515" i="120" s="1"/>
  <c r="B2908" i="120" s="1"/>
  <c r="A550" i="120"/>
  <c r="A943" i="120" s="1"/>
  <c r="A1336" i="120" s="1"/>
  <c r="A1729" i="120" s="1"/>
  <c r="A2122" i="120" s="1"/>
  <c r="A2515" i="120" s="1"/>
  <c r="A2908" i="120" s="1"/>
  <c r="M156" i="120"/>
  <c r="E549" i="120"/>
  <c r="E942" i="120" s="1"/>
  <c r="E1335" i="120" s="1"/>
  <c r="E1728" i="120" s="1"/>
  <c r="E2121" i="120" s="1"/>
  <c r="E2514" i="120" s="1"/>
  <c r="E2907" i="120" s="1"/>
  <c r="D549" i="120"/>
  <c r="D942" i="120" s="1"/>
  <c r="D1335" i="120" s="1"/>
  <c r="D1728" i="120" s="1"/>
  <c r="D2121" i="120" s="1"/>
  <c r="D2514" i="120" s="1"/>
  <c r="D2907" i="120" s="1"/>
  <c r="C549" i="120"/>
  <c r="C942" i="120" s="1"/>
  <c r="C1335" i="120" s="1"/>
  <c r="C1728" i="120" s="1"/>
  <c r="C2121" i="120" s="1"/>
  <c r="C2514" i="120" s="1"/>
  <c r="C2907" i="120" s="1"/>
  <c r="B549" i="120"/>
  <c r="B942" i="120" s="1"/>
  <c r="B1335" i="120" s="1"/>
  <c r="B1728" i="120" s="1"/>
  <c r="B2121" i="120" s="1"/>
  <c r="B2514" i="120" s="1"/>
  <c r="B2907" i="120" s="1"/>
  <c r="A549" i="120"/>
  <c r="A942" i="120" s="1"/>
  <c r="A1335" i="120" s="1"/>
  <c r="A1728" i="120" s="1"/>
  <c r="A2121" i="120" s="1"/>
  <c r="A2514" i="120" s="1"/>
  <c r="A2907" i="120" s="1"/>
  <c r="M155" i="120"/>
  <c r="E548" i="120"/>
  <c r="E941" i="120" s="1"/>
  <c r="E1334" i="120" s="1"/>
  <c r="E1727" i="120" s="1"/>
  <c r="E2120" i="120" s="1"/>
  <c r="E2513" i="120" s="1"/>
  <c r="E2906" i="120" s="1"/>
  <c r="D548" i="120"/>
  <c r="D941" i="120" s="1"/>
  <c r="D1334" i="120" s="1"/>
  <c r="D1727" i="120" s="1"/>
  <c r="D2120" i="120" s="1"/>
  <c r="D2513" i="120" s="1"/>
  <c r="D2906" i="120" s="1"/>
  <c r="C548" i="120"/>
  <c r="C941" i="120" s="1"/>
  <c r="C1334" i="120" s="1"/>
  <c r="C1727" i="120" s="1"/>
  <c r="C2120" i="120" s="1"/>
  <c r="C2513" i="120" s="1"/>
  <c r="C2906" i="120" s="1"/>
  <c r="B548" i="120"/>
  <c r="B941" i="120" s="1"/>
  <c r="B1334" i="120" s="1"/>
  <c r="B1727" i="120" s="1"/>
  <c r="B2120" i="120" s="1"/>
  <c r="B2513" i="120" s="1"/>
  <c r="B2906" i="120" s="1"/>
  <c r="A548" i="120"/>
  <c r="A941" i="120" s="1"/>
  <c r="A1334" i="120" s="1"/>
  <c r="A1727" i="120" s="1"/>
  <c r="A2120" i="120" s="1"/>
  <c r="A2513" i="120" s="1"/>
  <c r="A2906" i="120" s="1"/>
  <c r="M154" i="120"/>
  <c r="E547" i="120"/>
  <c r="E940" i="120" s="1"/>
  <c r="E1333" i="120" s="1"/>
  <c r="E1726" i="120" s="1"/>
  <c r="E2119" i="120" s="1"/>
  <c r="E2512" i="120" s="1"/>
  <c r="E2905" i="120" s="1"/>
  <c r="D547" i="120"/>
  <c r="D940" i="120" s="1"/>
  <c r="D1333" i="120" s="1"/>
  <c r="D1726" i="120" s="1"/>
  <c r="D2119" i="120" s="1"/>
  <c r="D2512" i="120" s="1"/>
  <c r="D2905" i="120" s="1"/>
  <c r="C547" i="120"/>
  <c r="C940" i="120" s="1"/>
  <c r="C1333" i="120" s="1"/>
  <c r="C1726" i="120" s="1"/>
  <c r="C2119" i="120" s="1"/>
  <c r="C2512" i="120" s="1"/>
  <c r="C2905" i="120" s="1"/>
  <c r="B547" i="120"/>
  <c r="B940" i="120" s="1"/>
  <c r="B1333" i="120" s="1"/>
  <c r="B1726" i="120" s="1"/>
  <c r="B2119" i="120" s="1"/>
  <c r="B2512" i="120" s="1"/>
  <c r="B2905" i="120" s="1"/>
  <c r="A547" i="120"/>
  <c r="A940" i="120" s="1"/>
  <c r="A1333" i="120" s="1"/>
  <c r="A1726" i="120" s="1"/>
  <c r="A2119" i="120" s="1"/>
  <c r="A2512" i="120" s="1"/>
  <c r="A2905" i="120" s="1"/>
  <c r="M153" i="120"/>
  <c r="E546" i="120"/>
  <c r="E939" i="120" s="1"/>
  <c r="E1332" i="120" s="1"/>
  <c r="E1725" i="120" s="1"/>
  <c r="E2118" i="120" s="1"/>
  <c r="E2511" i="120" s="1"/>
  <c r="E2904" i="120" s="1"/>
  <c r="D546" i="120"/>
  <c r="D939" i="120" s="1"/>
  <c r="D1332" i="120" s="1"/>
  <c r="D1725" i="120" s="1"/>
  <c r="D2118" i="120" s="1"/>
  <c r="D2511" i="120" s="1"/>
  <c r="D2904" i="120" s="1"/>
  <c r="C546" i="120"/>
  <c r="C939" i="120" s="1"/>
  <c r="C1332" i="120" s="1"/>
  <c r="C1725" i="120" s="1"/>
  <c r="C2118" i="120" s="1"/>
  <c r="C2511" i="120" s="1"/>
  <c r="C2904" i="120" s="1"/>
  <c r="B546" i="120"/>
  <c r="B939" i="120" s="1"/>
  <c r="B1332" i="120" s="1"/>
  <c r="B1725" i="120" s="1"/>
  <c r="B2118" i="120" s="1"/>
  <c r="B2511" i="120" s="1"/>
  <c r="B2904" i="120" s="1"/>
  <c r="A546" i="120"/>
  <c r="A939" i="120" s="1"/>
  <c r="A1332" i="120" s="1"/>
  <c r="A1725" i="120" s="1"/>
  <c r="A2118" i="120" s="1"/>
  <c r="A2511" i="120" s="1"/>
  <c r="A2904" i="120" s="1"/>
  <c r="M152" i="120"/>
  <c r="F545" i="120"/>
  <c r="E545" i="120"/>
  <c r="E938" i="120" s="1"/>
  <c r="E1331" i="120" s="1"/>
  <c r="E1724" i="120" s="1"/>
  <c r="E2117" i="120" s="1"/>
  <c r="E2510" i="120" s="1"/>
  <c r="E2903" i="120" s="1"/>
  <c r="D545" i="120"/>
  <c r="D938" i="120" s="1"/>
  <c r="D1331" i="120" s="1"/>
  <c r="D1724" i="120" s="1"/>
  <c r="D2117" i="120" s="1"/>
  <c r="D2510" i="120" s="1"/>
  <c r="D2903" i="120" s="1"/>
  <c r="C545" i="120"/>
  <c r="C938" i="120" s="1"/>
  <c r="C1331" i="120" s="1"/>
  <c r="C1724" i="120" s="1"/>
  <c r="C2117" i="120" s="1"/>
  <c r="C2510" i="120" s="1"/>
  <c r="C2903" i="120" s="1"/>
  <c r="B545" i="120"/>
  <c r="B938" i="120" s="1"/>
  <c r="B1331" i="120" s="1"/>
  <c r="B1724" i="120" s="1"/>
  <c r="B2117" i="120" s="1"/>
  <c r="B2510" i="120" s="1"/>
  <c r="B2903" i="120" s="1"/>
  <c r="A545" i="120"/>
  <c r="A938" i="120" s="1"/>
  <c r="A1331" i="120" s="1"/>
  <c r="A1724" i="120" s="1"/>
  <c r="A2117" i="120" s="1"/>
  <c r="A2510" i="120" s="1"/>
  <c r="A2903" i="120" s="1"/>
  <c r="M151" i="120"/>
  <c r="E544" i="120"/>
  <c r="E937" i="120" s="1"/>
  <c r="E1330" i="120" s="1"/>
  <c r="E1723" i="120" s="1"/>
  <c r="E2116" i="120" s="1"/>
  <c r="E2509" i="120" s="1"/>
  <c r="E2902" i="120" s="1"/>
  <c r="D544" i="120"/>
  <c r="D937" i="120" s="1"/>
  <c r="D1330" i="120" s="1"/>
  <c r="D1723" i="120" s="1"/>
  <c r="D2116" i="120" s="1"/>
  <c r="D2509" i="120" s="1"/>
  <c r="D2902" i="120" s="1"/>
  <c r="C544" i="120"/>
  <c r="C937" i="120" s="1"/>
  <c r="C1330" i="120" s="1"/>
  <c r="C1723" i="120" s="1"/>
  <c r="C2116" i="120" s="1"/>
  <c r="C2509" i="120" s="1"/>
  <c r="C2902" i="120" s="1"/>
  <c r="B544" i="120"/>
  <c r="B937" i="120" s="1"/>
  <c r="B1330" i="120" s="1"/>
  <c r="B1723" i="120" s="1"/>
  <c r="B2116" i="120" s="1"/>
  <c r="B2509" i="120" s="1"/>
  <c r="B2902" i="120" s="1"/>
  <c r="A544" i="120"/>
  <c r="A937" i="120" s="1"/>
  <c r="A1330" i="120" s="1"/>
  <c r="A1723" i="120" s="1"/>
  <c r="A2116" i="120" s="1"/>
  <c r="A2509" i="120" s="1"/>
  <c r="A2902" i="120" s="1"/>
  <c r="M150" i="120"/>
  <c r="E543" i="120"/>
  <c r="E936" i="120" s="1"/>
  <c r="E1329" i="120" s="1"/>
  <c r="E1722" i="120" s="1"/>
  <c r="E2115" i="120" s="1"/>
  <c r="E2508" i="120" s="1"/>
  <c r="E2901" i="120" s="1"/>
  <c r="D543" i="120"/>
  <c r="D936" i="120" s="1"/>
  <c r="D1329" i="120" s="1"/>
  <c r="D1722" i="120" s="1"/>
  <c r="D2115" i="120" s="1"/>
  <c r="D2508" i="120" s="1"/>
  <c r="D2901" i="120" s="1"/>
  <c r="C543" i="120"/>
  <c r="C936" i="120" s="1"/>
  <c r="C1329" i="120" s="1"/>
  <c r="C1722" i="120" s="1"/>
  <c r="C2115" i="120" s="1"/>
  <c r="C2508" i="120" s="1"/>
  <c r="C2901" i="120" s="1"/>
  <c r="B543" i="120"/>
  <c r="B936" i="120" s="1"/>
  <c r="B1329" i="120" s="1"/>
  <c r="B1722" i="120" s="1"/>
  <c r="B2115" i="120" s="1"/>
  <c r="B2508" i="120" s="1"/>
  <c r="B2901" i="120" s="1"/>
  <c r="A543" i="120"/>
  <c r="A936" i="120" s="1"/>
  <c r="A1329" i="120" s="1"/>
  <c r="A1722" i="120" s="1"/>
  <c r="A2115" i="120" s="1"/>
  <c r="A2508" i="120" s="1"/>
  <c r="A2901" i="120" s="1"/>
  <c r="M149" i="120"/>
  <c r="E542" i="120"/>
  <c r="E935" i="120" s="1"/>
  <c r="E1328" i="120" s="1"/>
  <c r="E1721" i="120" s="1"/>
  <c r="E2114" i="120" s="1"/>
  <c r="E2507" i="120" s="1"/>
  <c r="E2900" i="120" s="1"/>
  <c r="D542" i="120"/>
  <c r="D935" i="120" s="1"/>
  <c r="D1328" i="120" s="1"/>
  <c r="D1721" i="120" s="1"/>
  <c r="D2114" i="120" s="1"/>
  <c r="D2507" i="120" s="1"/>
  <c r="D2900" i="120" s="1"/>
  <c r="C542" i="120"/>
  <c r="C935" i="120" s="1"/>
  <c r="C1328" i="120" s="1"/>
  <c r="C1721" i="120" s="1"/>
  <c r="C2114" i="120" s="1"/>
  <c r="C2507" i="120" s="1"/>
  <c r="C2900" i="120" s="1"/>
  <c r="B542" i="120"/>
  <c r="B935" i="120" s="1"/>
  <c r="B1328" i="120" s="1"/>
  <c r="B1721" i="120" s="1"/>
  <c r="B2114" i="120" s="1"/>
  <c r="B2507" i="120" s="1"/>
  <c r="B2900" i="120" s="1"/>
  <c r="A542" i="120"/>
  <c r="A935" i="120" s="1"/>
  <c r="A1328" i="120" s="1"/>
  <c r="A1721" i="120" s="1"/>
  <c r="A2114" i="120" s="1"/>
  <c r="A2507" i="120" s="1"/>
  <c r="A2900" i="120" s="1"/>
  <c r="M148" i="120"/>
  <c r="E541" i="120"/>
  <c r="E934" i="120" s="1"/>
  <c r="E1327" i="120" s="1"/>
  <c r="E1720" i="120" s="1"/>
  <c r="E2113" i="120" s="1"/>
  <c r="E2506" i="120" s="1"/>
  <c r="E2899" i="120" s="1"/>
  <c r="D541" i="120"/>
  <c r="D934" i="120" s="1"/>
  <c r="D1327" i="120" s="1"/>
  <c r="D1720" i="120" s="1"/>
  <c r="D2113" i="120" s="1"/>
  <c r="D2506" i="120" s="1"/>
  <c r="D2899" i="120" s="1"/>
  <c r="C541" i="120"/>
  <c r="C934" i="120" s="1"/>
  <c r="C1327" i="120" s="1"/>
  <c r="C1720" i="120" s="1"/>
  <c r="C2113" i="120" s="1"/>
  <c r="C2506" i="120" s="1"/>
  <c r="C2899" i="120" s="1"/>
  <c r="B541" i="120"/>
  <c r="B934" i="120" s="1"/>
  <c r="B1327" i="120" s="1"/>
  <c r="B1720" i="120" s="1"/>
  <c r="B2113" i="120" s="1"/>
  <c r="B2506" i="120" s="1"/>
  <c r="B2899" i="120" s="1"/>
  <c r="A541" i="120"/>
  <c r="A934" i="120" s="1"/>
  <c r="A1327" i="120" s="1"/>
  <c r="A1720" i="120" s="1"/>
  <c r="A2113" i="120" s="1"/>
  <c r="A2506" i="120" s="1"/>
  <c r="A2899" i="120" s="1"/>
  <c r="M147" i="120"/>
  <c r="E540" i="120"/>
  <c r="E933" i="120" s="1"/>
  <c r="E1326" i="120" s="1"/>
  <c r="E1719" i="120" s="1"/>
  <c r="E2112" i="120" s="1"/>
  <c r="E2505" i="120" s="1"/>
  <c r="E2898" i="120" s="1"/>
  <c r="D540" i="120"/>
  <c r="D933" i="120" s="1"/>
  <c r="D1326" i="120" s="1"/>
  <c r="D1719" i="120" s="1"/>
  <c r="D2112" i="120" s="1"/>
  <c r="D2505" i="120" s="1"/>
  <c r="D2898" i="120" s="1"/>
  <c r="C540" i="120"/>
  <c r="C933" i="120" s="1"/>
  <c r="C1326" i="120" s="1"/>
  <c r="C1719" i="120" s="1"/>
  <c r="C2112" i="120" s="1"/>
  <c r="C2505" i="120" s="1"/>
  <c r="C2898" i="120" s="1"/>
  <c r="B540" i="120"/>
  <c r="B933" i="120" s="1"/>
  <c r="B1326" i="120" s="1"/>
  <c r="B1719" i="120" s="1"/>
  <c r="B2112" i="120" s="1"/>
  <c r="B2505" i="120" s="1"/>
  <c r="B2898" i="120" s="1"/>
  <c r="A540" i="120"/>
  <c r="A933" i="120" s="1"/>
  <c r="A1326" i="120" s="1"/>
  <c r="A1719" i="120" s="1"/>
  <c r="A2112" i="120" s="1"/>
  <c r="A2505" i="120" s="1"/>
  <c r="A2898" i="120" s="1"/>
  <c r="M146" i="120"/>
  <c r="D539" i="120"/>
  <c r="D932" i="120" s="1"/>
  <c r="D1325" i="120" s="1"/>
  <c r="D1718" i="120" s="1"/>
  <c r="D2111" i="120" s="1"/>
  <c r="D2504" i="120" s="1"/>
  <c r="D2897" i="120" s="1"/>
  <c r="C539" i="120"/>
  <c r="C932" i="120" s="1"/>
  <c r="C1325" i="120" s="1"/>
  <c r="C1718" i="120" s="1"/>
  <c r="C2111" i="120" s="1"/>
  <c r="C2504" i="120" s="1"/>
  <c r="C2897" i="120" s="1"/>
  <c r="B539" i="120"/>
  <c r="B932" i="120" s="1"/>
  <c r="B1325" i="120" s="1"/>
  <c r="B1718" i="120" s="1"/>
  <c r="B2111" i="120" s="1"/>
  <c r="B2504" i="120" s="1"/>
  <c r="B2897" i="120" s="1"/>
  <c r="A539" i="120"/>
  <c r="A932" i="120" s="1"/>
  <c r="A1325" i="120" s="1"/>
  <c r="A1718" i="120" s="1"/>
  <c r="A2111" i="120" s="1"/>
  <c r="A2504" i="120" s="1"/>
  <c r="A2897" i="120" s="1"/>
  <c r="M145" i="120"/>
  <c r="E538" i="120"/>
  <c r="E931" i="120" s="1"/>
  <c r="E1324" i="120" s="1"/>
  <c r="E1717" i="120" s="1"/>
  <c r="E2110" i="120" s="1"/>
  <c r="E2503" i="120" s="1"/>
  <c r="E2896" i="120" s="1"/>
  <c r="D538" i="120"/>
  <c r="D931" i="120" s="1"/>
  <c r="D1324" i="120" s="1"/>
  <c r="D1717" i="120" s="1"/>
  <c r="D2110" i="120" s="1"/>
  <c r="D2503" i="120" s="1"/>
  <c r="D2896" i="120" s="1"/>
  <c r="C538" i="120"/>
  <c r="C931" i="120" s="1"/>
  <c r="C1324" i="120" s="1"/>
  <c r="C1717" i="120" s="1"/>
  <c r="C2110" i="120" s="1"/>
  <c r="C2503" i="120" s="1"/>
  <c r="C2896" i="120" s="1"/>
  <c r="B538" i="120"/>
  <c r="B931" i="120" s="1"/>
  <c r="B1324" i="120" s="1"/>
  <c r="B1717" i="120" s="1"/>
  <c r="B2110" i="120" s="1"/>
  <c r="B2503" i="120" s="1"/>
  <c r="B2896" i="120" s="1"/>
  <c r="A538" i="120"/>
  <c r="A931" i="120" s="1"/>
  <c r="A1324" i="120" s="1"/>
  <c r="A1717" i="120" s="1"/>
  <c r="A2110" i="120" s="1"/>
  <c r="A2503" i="120" s="1"/>
  <c r="A2896" i="120" s="1"/>
  <c r="M144" i="120"/>
  <c r="E537" i="120"/>
  <c r="E930" i="120" s="1"/>
  <c r="E1323" i="120" s="1"/>
  <c r="E1716" i="120" s="1"/>
  <c r="E2109" i="120" s="1"/>
  <c r="E2502" i="120" s="1"/>
  <c r="E2895" i="120" s="1"/>
  <c r="C537" i="120"/>
  <c r="C930" i="120" s="1"/>
  <c r="C1323" i="120" s="1"/>
  <c r="C1716" i="120" s="1"/>
  <c r="C2109" i="120" s="1"/>
  <c r="C2502" i="120" s="1"/>
  <c r="C2895" i="120" s="1"/>
  <c r="B537" i="120"/>
  <c r="B930" i="120" s="1"/>
  <c r="B1323" i="120" s="1"/>
  <c r="B1716" i="120" s="1"/>
  <c r="B2109" i="120" s="1"/>
  <c r="B2502" i="120" s="1"/>
  <c r="B2895" i="120" s="1"/>
  <c r="A537" i="120"/>
  <c r="A930" i="120" s="1"/>
  <c r="A1323" i="120" s="1"/>
  <c r="A1716" i="120" s="1"/>
  <c r="A2109" i="120" s="1"/>
  <c r="A2502" i="120" s="1"/>
  <c r="A2895" i="120" s="1"/>
  <c r="M143" i="120"/>
  <c r="E536" i="120"/>
  <c r="E929" i="120" s="1"/>
  <c r="E1322" i="120" s="1"/>
  <c r="E1715" i="120" s="1"/>
  <c r="E2108" i="120" s="1"/>
  <c r="E2501" i="120" s="1"/>
  <c r="E2894" i="120" s="1"/>
  <c r="D536" i="120"/>
  <c r="D929" i="120" s="1"/>
  <c r="D1322" i="120" s="1"/>
  <c r="D1715" i="120" s="1"/>
  <c r="D2108" i="120" s="1"/>
  <c r="D2501" i="120" s="1"/>
  <c r="D2894" i="120" s="1"/>
  <c r="C536" i="120"/>
  <c r="C929" i="120" s="1"/>
  <c r="C1322" i="120" s="1"/>
  <c r="C1715" i="120" s="1"/>
  <c r="C2108" i="120" s="1"/>
  <c r="C2501" i="120" s="1"/>
  <c r="C2894" i="120" s="1"/>
  <c r="B536" i="120"/>
  <c r="B929" i="120" s="1"/>
  <c r="B1322" i="120" s="1"/>
  <c r="B1715" i="120" s="1"/>
  <c r="B2108" i="120" s="1"/>
  <c r="B2501" i="120" s="1"/>
  <c r="B2894" i="120" s="1"/>
  <c r="A536" i="120"/>
  <c r="A929" i="120" s="1"/>
  <c r="A1322" i="120" s="1"/>
  <c r="A1715" i="120" s="1"/>
  <c r="A2108" i="120" s="1"/>
  <c r="A2501" i="120" s="1"/>
  <c r="A2894" i="120" s="1"/>
  <c r="M142" i="120"/>
  <c r="C535" i="120"/>
  <c r="C928" i="120" s="1"/>
  <c r="C1321" i="120" s="1"/>
  <c r="C1714" i="120" s="1"/>
  <c r="C2107" i="120" s="1"/>
  <c r="C2500" i="120" s="1"/>
  <c r="C2893" i="120" s="1"/>
  <c r="B535" i="120"/>
  <c r="B928" i="120" s="1"/>
  <c r="B1321" i="120" s="1"/>
  <c r="B1714" i="120" s="1"/>
  <c r="B2107" i="120" s="1"/>
  <c r="B2500" i="120" s="1"/>
  <c r="B2893" i="120" s="1"/>
  <c r="A535" i="120"/>
  <c r="A928" i="120" s="1"/>
  <c r="A1321" i="120" s="1"/>
  <c r="A1714" i="120" s="1"/>
  <c r="A2107" i="120" s="1"/>
  <c r="A2500" i="120" s="1"/>
  <c r="A2893" i="120" s="1"/>
  <c r="M141" i="120"/>
  <c r="E534" i="120"/>
  <c r="E927" i="120" s="1"/>
  <c r="E1320" i="120" s="1"/>
  <c r="E1713" i="120" s="1"/>
  <c r="E2106" i="120" s="1"/>
  <c r="E2499" i="120" s="1"/>
  <c r="E2892" i="120" s="1"/>
  <c r="D534" i="120"/>
  <c r="D927" i="120" s="1"/>
  <c r="D1320" i="120" s="1"/>
  <c r="D1713" i="120" s="1"/>
  <c r="D2106" i="120" s="1"/>
  <c r="D2499" i="120" s="1"/>
  <c r="D2892" i="120" s="1"/>
  <c r="C534" i="120"/>
  <c r="C927" i="120" s="1"/>
  <c r="C1320" i="120" s="1"/>
  <c r="C1713" i="120" s="1"/>
  <c r="C2106" i="120" s="1"/>
  <c r="C2499" i="120" s="1"/>
  <c r="C2892" i="120" s="1"/>
  <c r="B534" i="120"/>
  <c r="B927" i="120" s="1"/>
  <c r="B1320" i="120" s="1"/>
  <c r="B1713" i="120" s="1"/>
  <c r="B2106" i="120" s="1"/>
  <c r="B2499" i="120" s="1"/>
  <c r="B2892" i="120" s="1"/>
  <c r="A534" i="120"/>
  <c r="A927" i="120" s="1"/>
  <c r="A1320" i="120" s="1"/>
  <c r="A1713" i="120" s="1"/>
  <c r="A2106" i="120" s="1"/>
  <c r="A2499" i="120" s="1"/>
  <c r="A2892" i="120" s="1"/>
  <c r="M140" i="120"/>
  <c r="E533" i="120"/>
  <c r="E926" i="120" s="1"/>
  <c r="E1319" i="120" s="1"/>
  <c r="E1712" i="120" s="1"/>
  <c r="E2105" i="120" s="1"/>
  <c r="E2498" i="120" s="1"/>
  <c r="E2891" i="120" s="1"/>
  <c r="D533" i="120"/>
  <c r="D926" i="120" s="1"/>
  <c r="D1319" i="120" s="1"/>
  <c r="D1712" i="120" s="1"/>
  <c r="D2105" i="120" s="1"/>
  <c r="D2498" i="120" s="1"/>
  <c r="D2891" i="120" s="1"/>
  <c r="C533" i="120"/>
  <c r="C926" i="120" s="1"/>
  <c r="C1319" i="120" s="1"/>
  <c r="C1712" i="120" s="1"/>
  <c r="C2105" i="120" s="1"/>
  <c r="C2498" i="120" s="1"/>
  <c r="C2891" i="120" s="1"/>
  <c r="B533" i="120"/>
  <c r="B926" i="120" s="1"/>
  <c r="B1319" i="120" s="1"/>
  <c r="B1712" i="120" s="1"/>
  <c r="B2105" i="120" s="1"/>
  <c r="B2498" i="120" s="1"/>
  <c r="B2891" i="120" s="1"/>
  <c r="A533" i="120"/>
  <c r="A926" i="120" s="1"/>
  <c r="A1319" i="120" s="1"/>
  <c r="A1712" i="120" s="1"/>
  <c r="A2105" i="120" s="1"/>
  <c r="A2498" i="120" s="1"/>
  <c r="A2891" i="120" s="1"/>
  <c r="M139" i="120"/>
  <c r="E532" i="120"/>
  <c r="E925" i="120" s="1"/>
  <c r="E1318" i="120" s="1"/>
  <c r="E1711" i="120" s="1"/>
  <c r="E2104" i="120" s="1"/>
  <c r="E2497" i="120" s="1"/>
  <c r="E2890" i="120" s="1"/>
  <c r="D532" i="120"/>
  <c r="D925" i="120" s="1"/>
  <c r="D1318" i="120" s="1"/>
  <c r="D1711" i="120" s="1"/>
  <c r="D2104" i="120" s="1"/>
  <c r="D2497" i="120" s="1"/>
  <c r="D2890" i="120" s="1"/>
  <c r="C532" i="120"/>
  <c r="C925" i="120" s="1"/>
  <c r="C1318" i="120" s="1"/>
  <c r="C1711" i="120" s="1"/>
  <c r="C2104" i="120" s="1"/>
  <c r="C2497" i="120" s="1"/>
  <c r="C2890" i="120" s="1"/>
  <c r="B532" i="120"/>
  <c r="B925" i="120" s="1"/>
  <c r="B1318" i="120" s="1"/>
  <c r="B1711" i="120" s="1"/>
  <c r="B2104" i="120" s="1"/>
  <c r="B2497" i="120" s="1"/>
  <c r="B2890" i="120" s="1"/>
  <c r="A532" i="120"/>
  <c r="A925" i="120" s="1"/>
  <c r="A1318" i="120" s="1"/>
  <c r="A1711" i="120" s="1"/>
  <c r="A2104" i="120" s="1"/>
  <c r="A2497" i="120" s="1"/>
  <c r="A2890" i="120" s="1"/>
  <c r="M138" i="120"/>
  <c r="G531" i="120"/>
  <c r="G924" i="120" s="1"/>
  <c r="G1317" i="120" s="1"/>
  <c r="G1710" i="120" s="1"/>
  <c r="G2103" i="120" s="1"/>
  <c r="G2496" i="120" s="1"/>
  <c r="G2889" i="120" s="1"/>
  <c r="E531" i="120"/>
  <c r="E924" i="120" s="1"/>
  <c r="E1317" i="120" s="1"/>
  <c r="E1710" i="120" s="1"/>
  <c r="E2103" i="120" s="1"/>
  <c r="E2496" i="120" s="1"/>
  <c r="E2889" i="120" s="1"/>
  <c r="D531" i="120"/>
  <c r="D924" i="120" s="1"/>
  <c r="D1317" i="120" s="1"/>
  <c r="D1710" i="120" s="1"/>
  <c r="D2103" i="120" s="1"/>
  <c r="D2496" i="120" s="1"/>
  <c r="D2889" i="120" s="1"/>
  <c r="C531" i="120"/>
  <c r="C924" i="120" s="1"/>
  <c r="C1317" i="120" s="1"/>
  <c r="C1710" i="120" s="1"/>
  <c r="C2103" i="120" s="1"/>
  <c r="C2496" i="120" s="1"/>
  <c r="C2889" i="120" s="1"/>
  <c r="B531" i="120"/>
  <c r="B924" i="120" s="1"/>
  <c r="B1317" i="120" s="1"/>
  <c r="B1710" i="120" s="1"/>
  <c r="B2103" i="120" s="1"/>
  <c r="B2496" i="120" s="1"/>
  <c r="B2889" i="120" s="1"/>
  <c r="A531" i="120"/>
  <c r="A924" i="120" s="1"/>
  <c r="A1317" i="120" s="1"/>
  <c r="A1710" i="120" s="1"/>
  <c r="A2103" i="120" s="1"/>
  <c r="A2496" i="120" s="1"/>
  <c r="A2889" i="120" s="1"/>
  <c r="M137" i="120"/>
  <c r="E530" i="120"/>
  <c r="E923" i="120" s="1"/>
  <c r="E1316" i="120" s="1"/>
  <c r="E1709" i="120" s="1"/>
  <c r="E2102" i="120" s="1"/>
  <c r="E2495" i="120" s="1"/>
  <c r="E2888" i="120" s="1"/>
  <c r="D530" i="120"/>
  <c r="D923" i="120" s="1"/>
  <c r="D1316" i="120" s="1"/>
  <c r="D1709" i="120" s="1"/>
  <c r="D2102" i="120" s="1"/>
  <c r="D2495" i="120" s="1"/>
  <c r="D2888" i="120" s="1"/>
  <c r="C530" i="120"/>
  <c r="C923" i="120" s="1"/>
  <c r="C1316" i="120" s="1"/>
  <c r="C1709" i="120" s="1"/>
  <c r="C2102" i="120" s="1"/>
  <c r="C2495" i="120" s="1"/>
  <c r="C2888" i="120" s="1"/>
  <c r="B530" i="120"/>
  <c r="B923" i="120" s="1"/>
  <c r="B1316" i="120" s="1"/>
  <c r="B1709" i="120" s="1"/>
  <c r="B2102" i="120" s="1"/>
  <c r="B2495" i="120" s="1"/>
  <c r="B2888" i="120" s="1"/>
  <c r="A530" i="120"/>
  <c r="A923" i="120" s="1"/>
  <c r="A1316" i="120" s="1"/>
  <c r="A1709" i="120" s="1"/>
  <c r="A2102" i="120" s="1"/>
  <c r="A2495" i="120" s="1"/>
  <c r="A2888" i="120" s="1"/>
  <c r="M136" i="120"/>
  <c r="E529" i="120"/>
  <c r="E922" i="120" s="1"/>
  <c r="E1315" i="120" s="1"/>
  <c r="E1708" i="120" s="1"/>
  <c r="E2101" i="120" s="1"/>
  <c r="E2494" i="120" s="1"/>
  <c r="E2887" i="120" s="1"/>
  <c r="D529" i="120"/>
  <c r="D922" i="120" s="1"/>
  <c r="D1315" i="120" s="1"/>
  <c r="D1708" i="120" s="1"/>
  <c r="D2101" i="120" s="1"/>
  <c r="D2494" i="120" s="1"/>
  <c r="D2887" i="120" s="1"/>
  <c r="C529" i="120"/>
  <c r="C922" i="120" s="1"/>
  <c r="C1315" i="120" s="1"/>
  <c r="C1708" i="120" s="1"/>
  <c r="C2101" i="120" s="1"/>
  <c r="C2494" i="120" s="1"/>
  <c r="C2887" i="120" s="1"/>
  <c r="B529" i="120"/>
  <c r="B922" i="120" s="1"/>
  <c r="B1315" i="120" s="1"/>
  <c r="B1708" i="120" s="1"/>
  <c r="B2101" i="120" s="1"/>
  <c r="B2494" i="120" s="1"/>
  <c r="B2887" i="120" s="1"/>
  <c r="A529" i="120"/>
  <c r="A922" i="120" s="1"/>
  <c r="A1315" i="120" s="1"/>
  <c r="A1708" i="120" s="1"/>
  <c r="A2101" i="120" s="1"/>
  <c r="A2494" i="120" s="1"/>
  <c r="A2887" i="120" s="1"/>
  <c r="M135" i="120"/>
  <c r="E528" i="120"/>
  <c r="E921" i="120" s="1"/>
  <c r="E1314" i="120" s="1"/>
  <c r="E1707" i="120" s="1"/>
  <c r="E2100" i="120" s="1"/>
  <c r="E2493" i="120" s="1"/>
  <c r="E2886" i="120" s="1"/>
  <c r="D528" i="120"/>
  <c r="D921" i="120" s="1"/>
  <c r="D1314" i="120" s="1"/>
  <c r="D1707" i="120" s="1"/>
  <c r="D2100" i="120" s="1"/>
  <c r="D2493" i="120" s="1"/>
  <c r="D2886" i="120" s="1"/>
  <c r="C528" i="120"/>
  <c r="C921" i="120" s="1"/>
  <c r="C1314" i="120" s="1"/>
  <c r="C1707" i="120" s="1"/>
  <c r="C2100" i="120" s="1"/>
  <c r="C2493" i="120" s="1"/>
  <c r="C2886" i="120" s="1"/>
  <c r="B528" i="120"/>
  <c r="B921" i="120" s="1"/>
  <c r="B1314" i="120" s="1"/>
  <c r="B1707" i="120" s="1"/>
  <c r="B2100" i="120" s="1"/>
  <c r="B2493" i="120" s="1"/>
  <c r="B2886" i="120" s="1"/>
  <c r="A528" i="120"/>
  <c r="A921" i="120" s="1"/>
  <c r="A1314" i="120" s="1"/>
  <c r="A1707" i="120" s="1"/>
  <c r="A2100" i="120" s="1"/>
  <c r="A2493" i="120" s="1"/>
  <c r="A2886" i="120" s="1"/>
  <c r="M134" i="120"/>
  <c r="E527" i="120"/>
  <c r="E920" i="120" s="1"/>
  <c r="E1313" i="120" s="1"/>
  <c r="E1706" i="120" s="1"/>
  <c r="E2099" i="120" s="1"/>
  <c r="E2492" i="120" s="1"/>
  <c r="E2885" i="120" s="1"/>
  <c r="D527" i="120"/>
  <c r="D920" i="120" s="1"/>
  <c r="D1313" i="120" s="1"/>
  <c r="D1706" i="120" s="1"/>
  <c r="D2099" i="120" s="1"/>
  <c r="D2492" i="120" s="1"/>
  <c r="D2885" i="120" s="1"/>
  <c r="C527" i="120"/>
  <c r="C920" i="120" s="1"/>
  <c r="C1313" i="120" s="1"/>
  <c r="C1706" i="120" s="1"/>
  <c r="C2099" i="120" s="1"/>
  <c r="C2492" i="120" s="1"/>
  <c r="C2885" i="120" s="1"/>
  <c r="B527" i="120"/>
  <c r="B920" i="120" s="1"/>
  <c r="B1313" i="120" s="1"/>
  <c r="B1706" i="120" s="1"/>
  <c r="B2099" i="120" s="1"/>
  <c r="B2492" i="120" s="1"/>
  <c r="B2885" i="120" s="1"/>
  <c r="A527" i="120"/>
  <c r="A920" i="120" s="1"/>
  <c r="A1313" i="120" s="1"/>
  <c r="A1706" i="120" s="1"/>
  <c r="A2099" i="120" s="1"/>
  <c r="A2492" i="120" s="1"/>
  <c r="A2885" i="120" s="1"/>
  <c r="M133" i="120"/>
  <c r="E526" i="120"/>
  <c r="E919" i="120" s="1"/>
  <c r="E1312" i="120" s="1"/>
  <c r="E1705" i="120" s="1"/>
  <c r="E2098" i="120" s="1"/>
  <c r="E2491" i="120" s="1"/>
  <c r="E2884" i="120" s="1"/>
  <c r="D526" i="120"/>
  <c r="D919" i="120" s="1"/>
  <c r="D1312" i="120" s="1"/>
  <c r="D1705" i="120" s="1"/>
  <c r="D2098" i="120" s="1"/>
  <c r="D2491" i="120" s="1"/>
  <c r="D2884" i="120" s="1"/>
  <c r="C526" i="120"/>
  <c r="C919" i="120" s="1"/>
  <c r="C1312" i="120" s="1"/>
  <c r="C1705" i="120" s="1"/>
  <c r="C2098" i="120" s="1"/>
  <c r="C2491" i="120" s="1"/>
  <c r="C2884" i="120" s="1"/>
  <c r="B526" i="120"/>
  <c r="B919" i="120" s="1"/>
  <c r="B1312" i="120" s="1"/>
  <c r="B1705" i="120" s="1"/>
  <c r="B2098" i="120" s="1"/>
  <c r="B2491" i="120" s="1"/>
  <c r="B2884" i="120" s="1"/>
  <c r="A526" i="120"/>
  <c r="A919" i="120" s="1"/>
  <c r="A1312" i="120" s="1"/>
  <c r="A1705" i="120" s="1"/>
  <c r="A2098" i="120" s="1"/>
  <c r="A2491" i="120" s="1"/>
  <c r="A2884" i="120" s="1"/>
  <c r="M132" i="120"/>
  <c r="E525" i="120"/>
  <c r="E918" i="120" s="1"/>
  <c r="E1311" i="120" s="1"/>
  <c r="E1704" i="120" s="1"/>
  <c r="E2097" i="120" s="1"/>
  <c r="E2490" i="120" s="1"/>
  <c r="E2883" i="120" s="1"/>
  <c r="D525" i="120"/>
  <c r="D918" i="120" s="1"/>
  <c r="D1311" i="120" s="1"/>
  <c r="D1704" i="120" s="1"/>
  <c r="D2097" i="120" s="1"/>
  <c r="D2490" i="120" s="1"/>
  <c r="D2883" i="120" s="1"/>
  <c r="C525" i="120"/>
  <c r="C918" i="120" s="1"/>
  <c r="C1311" i="120" s="1"/>
  <c r="C1704" i="120" s="1"/>
  <c r="C2097" i="120" s="1"/>
  <c r="C2490" i="120" s="1"/>
  <c r="C2883" i="120" s="1"/>
  <c r="B525" i="120"/>
  <c r="B918" i="120" s="1"/>
  <c r="B1311" i="120" s="1"/>
  <c r="B1704" i="120" s="1"/>
  <c r="B2097" i="120" s="1"/>
  <c r="B2490" i="120" s="1"/>
  <c r="B2883" i="120" s="1"/>
  <c r="A525" i="120"/>
  <c r="A918" i="120" s="1"/>
  <c r="A1311" i="120" s="1"/>
  <c r="A1704" i="120" s="1"/>
  <c r="A2097" i="120" s="1"/>
  <c r="A2490" i="120" s="1"/>
  <c r="A2883" i="120" s="1"/>
  <c r="M131" i="120"/>
  <c r="E524" i="120"/>
  <c r="E917" i="120" s="1"/>
  <c r="E1310" i="120" s="1"/>
  <c r="E1703" i="120" s="1"/>
  <c r="E2096" i="120" s="1"/>
  <c r="E2489" i="120" s="1"/>
  <c r="E2882" i="120" s="1"/>
  <c r="D524" i="120"/>
  <c r="D917" i="120" s="1"/>
  <c r="D1310" i="120" s="1"/>
  <c r="D1703" i="120" s="1"/>
  <c r="D2096" i="120" s="1"/>
  <c r="D2489" i="120" s="1"/>
  <c r="D2882" i="120" s="1"/>
  <c r="C524" i="120"/>
  <c r="C917" i="120" s="1"/>
  <c r="C1310" i="120" s="1"/>
  <c r="C1703" i="120" s="1"/>
  <c r="C2096" i="120" s="1"/>
  <c r="C2489" i="120" s="1"/>
  <c r="C2882" i="120" s="1"/>
  <c r="B524" i="120"/>
  <c r="B917" i="120" s="1"/>
  <c r="B1310" i="120" s="1"/>
  <c r="B1703" i="120" s="1"/>
  <c r="B2096" i="120" s="1"/>
  <c r="B2489" i="120" s="1"/>
  <c r="B2882" i="120" s="1"/>
  <c r="A524" i="120"/>
  <c r="A917" i="120" s="1"/>
  <c r="A1310" i="120" s="1"/>
  <c r="A1703" i="120" s="1"/>
  <c r="A2096" i="120" s="1"/>
  <c r="A2489" i="120" s="1"/>
  <c r="A2882" i="120" s="1"/>
  <c r="M130" i="120"/>
  <c r="E523" i="120"/>
  <c r="E916" i="120" s="1"/>
  <c r="E1309" i="120" s="1"/>
  <c r="E1702" i="120" s="1"/>
  <c r="E2095" i="120" s="1"/>
  <c r="E2488" i="120" s="1"/>
  <c r="E2881" i="120" s="1"/>
  <c r="D523" i="120"/>
  <c r="D916" i="120" s="1"/>
  <c r="D1309" i="120" s="1"/>
  <c r="D1702" i="120" s="1"/>
  <c r="D2095" i="120" s="1"/>
  <c r="D2488" i="120" s="1"/>
  <c r="D2881" i="120" s="1"/>
  <c r="C523" i="120"/>
  <c r="C916" i="120" s="1"/>
  <c r="C1309" i="120" s="1"/>
  <c r="C1702" i="120" s="1"/>
  <c r="C2095" i="120" s="1"/>
  <c r="C2488" i="120" s="1"/>
  <c r="C2881" i="120" s="1"/>
  <c r="B523" i="120"/>
  <c r="B916" i="120" s="1"/>
  <c r="B1309" i="120" s="1"/>
  <c r="B1702" i="120" s="1"/>
  <c r="B2095" i="120" s="1"/>
  <c r="B2488" i="120" s="1"/>
  <c r="B2881" i="120" s="1"/>
  <c r="A523" i="120"/>
  <c r="A916" i="120" s="1"/>
  <c r="A1309" i="120" s="1"/>
  <c r="A1702" i="120" s="1"/>
  <c r="A2095" i="120" s="1"/>
  <c r="A2488" i="120" s="1"/>
  <c r="A2881" i="120" s="1"/>
  <c r="M129" i="120"/>
  <c r="E522" i="120"/>
  <c r="E915" i="120" s="1"/>
  <c r="E1308" i="120" s="1"/>
  <c r="E1701" i="120" s="1"/>
  <c r="E2094" i="120" s="1"/>
  <c r="E2487" i="120" s="1"/>
  <c r="E2880" i="120" s="1"/>
  <c r="D522" i="120"/>
  <c r="D915" i="120" s="1"/>
  <c r="D1308" i="120" s="1"/>
  <c r="D1701" i="120" s="1"/>
  <c r="D2094" i="120" s="1"/>
  <c r="D2487" i="120" s="1"/>
  <c r="D2880" i="120" s="1"/>
  <c r="C522" i="120"/>
  <c r="C915" i="120" s="1"/>
  <c r="C1308" i="120" s="1"/>
  <c r="C1701" i="120" s="1"/>
  <c r="C2094" i="120" s="1"/>
  <c r="C2487" i="120" s="1"/>
  <c r="C2880" i="120" s="1"/>
  <c r="B522" i="120"/>
  <c r="B915" i="120" s="1"/>
  <c r="B1308" i="120" s="1"/>
  <c r="B1701" i="120" s="1"/>
  <c r="B2094" i="120" s="1"/>
  <c r="B2487" i="120" s="1"/>
  <c r="B2880" i="120" s="1"/>
  <c r="A522" i="120"/>
  <c r="A915" i="120" s="1"/>
  <c r="A1308" i="120" s="1"/>
  <c r="A1701" i="120" s="1"/>
  <c r="A2094" i="120" s="1"/>
  <c r="A2487" i="120" s="1"/>
  <c r="A2880" i="120" s="1"/>
  <c r="M128" i="120"/>
  <c r="E521" i="120"/>
  <c r="E914" i="120" s="1"/>
  <c r="E1307" i="120" s="1"/>
  <c r="E1700" i="120" s="1"/>
  <c r="E2093" i="120" s="1"/>
  <c r="E2486" i="120" s="1"/>
  <c r="E2879" i="120" s="1"/>
  <c r="D521" i="120"/>
  <c r="D914" i="120" s="1"/>
  <c r="D1307" i="120" s="1"/>
  <c r="D1700" i="120" s="1"/>
  <c r="D2093" i="120" s="1"/>
  <c r="D2486" i="120" s="1"/>
  <c r="D2879" i="120" s="1"/>
  <c r="C521" i="120"/>
  <c r="C914" i="120" s="1"/>
  <c r="C1307" i="120" s="1"/>
  <c r="C1700" i="120" s="1"/>
  <c r="C2093" i="120" s="1"/>
  <c r="C2486" i="120" s="1"/>
  <c r="C2879" i="120" s="1"/>
  <c r="B521" i="120"/>
  <c r="B914" i="120" s="1"/>
  <c r="B1307" i="120" s="1"/>
  <c r="B1700" i="120" s="1"/>
  <c r="B2093" i="120" s="1"/>
  <c r="B2486" i="120" s="1"/>
  <c r="B2879" i="120" s="1"/>
  <c r="A521" i="120"/>
  <c r="A914" i="120" s="1"/>
  <c r="A1307" i="120" s="1"/>
  <c r="A1700" i="120" s="1"/>
  <c r="A2093" i="120" s="1"/>
  <c r="A2486" i="120" s="1"/>
  <c r="A2879" i="120" s="1"/>
  <c r="M127" i="120"/>
  <c r="E520" i="120"/>
  <c r="E913" i="120" s="1"/>
  <c r="E1306" i="120" s="1"/>
  <c r="E1699" i="120" s="1"/>
  <c r="E2092" i="120" s="1"/>
  <c r="E2485" i="120" s="1"/>
  <c r="E2878" i="120" s="1"/>
  <c r="D520" i="120"/>
  <c r="D913" i="120" s="1"/>
  <c r="D1306" i="120" s="1"/>
  <c r="D1699" i="120" s="1"/>
  <c r="D2092" i="120" s="1"/>
  <c r="D2485" i="120" s="1"/>
  <c r="D2878" i="120" s="1"/>
  <c r="C520" i="120"/>
  <c r="C913" i="120" s="1"/>
  <c r="C1306" i="120" s="1"/>
  <c r="C1699" i="120" s="1"/>
  <c r="C2092" i="120" s="1"/>
  <c r="C2485" i="120" s="1"/>
  <c r="C2878" i="120" s="1"/>
  <c r="B520" i="120"/>
  <c r="B913" i="120" s="1"/>
  <c r="B1306" i="120" s="1"/>
  <c r="B1699" i="120" s="1"/>
  <c r="B2092" i="120" s="1"/>
  <c r="B2485" i="120" s="1"/>
  <c r="B2878" i="120" s="1"/>
  <c r="A520" i="120"/>
  <c r="A913" i="120" s="1"/>
  <c r="A1306" i="120" s="1"/>
  <c r="A1699" i="120" s="1"/>
  <c r="A2092" i="120" s="1"/>
  <c r="A2485" i="120" s="1"/>
  <c r="A2878" i="120" s="1"/>
  <c r="M126" i="120"/>
  <c r="E519" i="120"/>
  <c r="E912" i="120" s="1"/>
  <c r="E1305" i="120" s="1"/>
  <c r="E1698" i="120" s="1"/>
  <c r="E2091" i="120" s="1"/>
  <c r="E2484" i="120" s="1"/>
  <c r="E2877" i="120" s="1"/>
  <c r="D519" i="120"/>
  <c r="D912" i="120" s="1"/>
  <c r="D1305" i="120" s="1"/>
  <c r="D1698" i="120" s="1"/>
  <c r="D2091" i="120" s="1"/>
  <c r="D2484" i="120" s="1"/>
  <c r="D2877" i="120" s="1"/>
  <c r="C519" i="120"/>
  <c r="C912" i="120" s="1"/>
  <c r="C1305" i="120" s="1"/>
  <c r="C1698" i="120" s="1"/>
  <c r="C2091" i="120" s="1"/>
  <c r="C2484" i="120" s="1"/>
  <c r="C2877" i="120" s="1"/>
  <c r="B519" i="120"/>
  <c r="B912" i="120" s="1"/>
  <c r="B1305" i="120" s="1"/>
  <c r="B1698" i="120" s="1"/>
  <c r="B2091" i="120" s="1"/>
  <c r="B2484" i="120" s="1"/>
  <c r="B2877" i="120" s="1"/>
  <c r="A519" i="120"/>
  <c r="A912" i="120" s="1"/>
  <c r="A1305" i="120" s="1"/>
  <c r="A1698" i="120" s="1"/>
  <c r="A2091" i="120" s="1"/>
  <c r="A2484" i="120" s="1"/>
  <c r="A2877" i="120" s="1"/>
  <c r="M125" i="120"/>
  <c r="E518" i="120"/>
  <c r="E911" i="120" s="1"/>
  <c r="E1304" i="120" s="1"/>
  <c r="E1697" i="120" s="1"/>
  <c r="E2090" i="120" s="1"/>
  <c r="E2483" i="120" s="1"/>
  <c r="E2876" i="120" s="1"/>
  <c r="D518" i="120"/>
  <c r="D911" i="120" s="1"/>
  <c r="D1304" i="120" s="1"/>
  <c r="D1697" i="120" s="1"/>
  <c r="D2090" i="120" s="1"/>
  <c r="D2483" i="120" s="1"/>
  <c r="D2876" i="120" s="1"/>
  <c r="C518" i="120"/>
  <c r="C911" i="120" s="1"/>
  <c r="C1304" i="120" s="1"/>
  <c r="C1697" i="120" s="1"/>
  <c r="C2090" i="120" s="1"/>
  <c r="C2483" i="120" s="1"/>
  <c r="C2876" i="120" s="1"/>
  <c r="B518" i="120"/>
  <c r="B911" i="120" s="1"/>
  <c r="B1304" i="120" s="1"/>
  <c r="B1697" i="120" s="1"/>
  <c r="B2090" i="120" s="1"/>
  <c r="B2483" i="120" s="1"/>
  <c r="B2876" i="120" s="1"/>
  <c r="A518" i="120"/>
  <c r="A911" i="120" s="1"/>
  <c r="A1304" i="120" s="1"/>
  <c r="A1697" i="120" s="1"/>
  <c r="A2090" i="120" s="1"/>
  <c r="A2483" i="120" s="1"/>
  <c r="A2876" i="120" s="1"/>
  <c r="M124" i="120"/>
  <c r="E517" i="120"/>
  <c r="E910" i="120" s="1"/>
  <c r="E1303" i="120" s="1"/>
  <c r="E1696" i="120" s="1"/>
  <c r="E2089" i="120" s="1"/>
  <c r="E2482" i="120" s="1"/>
  <c r="E2875" i="120" s="1"/>
  <c r="D517" i="120"/>
  <c r="D910" i="120" s="1"/>
  <c r="D1303" i="120" s="1"/>
  <c r="D1696" i="120" s="1"/>
  <c r="D2089" i="120" s="1"/>
  <c r="D2482" i="120" s="1"/>
  <c r="D2875" i="120" s="1"/>
  <c r="C517" i="120"/>
  <c r="C910" i="120" s="1"/>
  <c r="C1303" i="120" s="1"/>
  <c r="C1696" i="120" s="1"/>
  <c r="C2089" i="120" s="1"/>
  <c r="C2482" i="120" s="1"/>
  <c r="C2875" i="120" s="1"/>
  <c r="B517" i="120"/>
  <c r="B910" i="120" s="1"/>
  <c r="B1303" i="120" s="1"/>
  <c r="B1696" i="120" s="1"/>
  <c r="B2089" i="120" s="1"/>
  <c r="B2482" i="120" s="1"/>
  <c r="B2875" i="120" s="1"/>
  <c r="A517" i="120"/>
  <c r="A910" i="120" s="1"/>
  <c r="A1303" i="120" s="1"/>
  <c r="A1696" i="120" s="1"/>
  <c r="A2089" i="120" s="1"/>
  <c r="A2482" i="120" s="1"/>
  <c r="A2875" i="120" s="1"/>
  <c r="M123" i="120"/>
  <c r="O123" i="120" s="1"/>
  <c r="P123" i="120" s="1"/>
  <c r="E516" i="120"/>
  <c r="E909" i="120" s="1"/>
  <c r="E1302" i="120" s="1"/>
  <c r="E1695" i="120" s="1"/>
  <c r="E2088" i="120" s="1"/>
  <c r="E2481" i="120" s="1"/>
  <c r="E2874" i="120" s="1"/>
  <c r="A516" i="120"/>
  <c r="A909" i="120" s="1"/>
  <c r="A1302" i="120" s="1"/>
  <c r="A1695" i="120" s="1"/>
  <c r="A2088" i="120" s="1"/>
  <c r="A2481" i="120" s="1"/>
  <c r="A2874" i="120" s="1"/>
  <c r="M122" i="120"/>
  <c r="O122" i="120" s="1"/>
  <c r="E515" i="120"/>
  <c r="E908" i="120" s="1"/>
  <c r="E1301" i="120" s="1"/>
  <c r="E1694" i="120" s="1"/>
  <c r="E2087" i="120" s="1"/>
  <c r="E2480" i="120" s="1"/>
  <c r="E2873" i="120" s="1"/>
  <c r="B515" i="120"/>
  <c r="B908" i="120" s="1"/>
  <c r="B1301" i="120" s="1"/>
  <c r="B1694" i="120" s="1"/>
  <c r="B2087" i="120" s="1"/>
  <c r="B2480" i="120" s="1"/>
  <c r="B2873" i="120" s="1"/>
  <c r="A515" i="120"/>
  <c r="A908" i="120" s="1"/>
  <c r="A1301" i="120" s="1"/>
  <c r="A1694" i="120" s="1"/>
  <c r="A2087" i="120" s="1"/>
  <c r="A2480" i="120" s="1"/>
  <c r="A2873" i="120" s="1"/>
  <c r="M121" i="120"/>
  <c r="D514" i="120"/>
  <c r="D907" i="120" s="1"/>
  <c r="D1300" i="120" s="1"/>
  <c r="D1693" i="120" s="1"/>
  <c r="D2086" i="120" s="1"/>
  <c r="D2479" i="120" s="1"/>
  <c r="D2872" i="120" s="1"/>
  <c r="C514" i="120"/>
  <c r="C907" i="120" s="1"/>
  <c r="C1300" i="120" s="1"/>
  <c r="C1693" i="120" s="1"/>
  <c r="C2086" i="120" s="1"/>
  <c r="C2479" i="120" s="1"/>
  <c r="C2872" i="120" s="1"/>
  <c r="B514" i="120"/>
  <c r="B907" i="120" s="1"/>
  <c r="B1300" i="120" s="1"/>
  <c r="B1693" i="120" s="1"/>
  <c r="B2086" i="120" s="1"/>
  <c r="B2479" i="120" s="1"/>
  <c r="B2872" i="120" s="1"/>
  <c r="A514" i="120"/>
  <c r="A907" i="120" s="1"/>
  <c r="A1300" i="120" s="1"/>
  <c r="A1693" i="120" s="1"/>
  <c r="A2086" i="120" s="1"/>
  <c r="A2479" i="120" s="1"/>
  <c r="A2872" i="120" s="1"/>
  <c r="M120" i="120"/>
  <c r="E513" i="120"/>
  <c r="E906" i="120" s="1"/>
  <c r="E1299" i="120" s="1"/>
  <c r="E1692" i="120" s="1"/>
  <c r="E2085" i="120" s="1"/>
  <c r="E2478" i="120" s="1"/>
  <c r="E2871" i="120" s="1"/>
  <c r="D513" i="120"/>
  <c r="D906" i="120" s="1"/>
  <c r="D1299" i="120" s="1"/>
  <c r="D1692" i="120" s="1"/>
  <c r="D2085" i="120" s="1"/>
  <c r="D2478" i="120" s="1"/>
  <c r="D2871" i="120" s="1"/>
  <c r="C513" i="120"/>
  <c r="C906" i="120" s="1"/>
  <c r="C1299" i="120" s="1"/>
  <c r="C1692" i="120" s="1"/>
  <c r="C2085" i="120" s="1"/>
  <c r="C2478" i="120" s="1"/>
  <c r="C2871" i="120" s="1"/>
  <c r="B513" i="120"/>
  <c r="B906" i="120" s="1"/>
  <c r="B1299" i="120" s="1"/>
  <c r="B1692" i="120" s="1"/>
  <c r="B2085" i="120" s="1"/>
  <c r="B2478" i="120" s="1"/>
  <c r="B2871" i="120" s="1"/>
  <c r="A513" i="120"/>
  <c r="A906" i="120" s="1"/>
  <c r="A1299" i="120" s="1"/>
  <c r="A1692" i="120" s="1"/>
  <c r="A2085" i="120" s="1"/>
  <c r="A2478" i="120" s="1"/>
  <c r="A2871" i="120" s="1"/>
  <c r="M119" i="120"/>
  <c r="E512" i="120"/>
  <c r="E905" i="120" s="1"/>
  <c r="E1298" i="120" s="1"/>
  <c r="E1691" i="120" s="1"/>
  <c r="E2084" i="120" s="1"/>
  <c r="E2477" i="120" s="1"/>
  <c r="E2870" i="120" s="1"/>
  <c r="D512" i="120"/>
  <c r="D905" i="120" s="1"/>
  <c r="D1298" i="120" s="1"/>
  <c r="D1691" i="120" s="1"/>
  <c r="D2084" i="120" s="1"/>
  <c r="D2477" i="120" s="1"/>
  <c r="D2870" i="120" s="1"/>
  <c r="B512" i="120"/>
  <c r="B905" i="120" s="1"/>
  <c r="B1298" i="120" s="1"/>
  <c r="B1691" i="120" s="1"/>
  <c r="B2084" i="120" s="1"/>
  <c r="B2477" i="120" s="1"/>
  <c r="B2870" i="120" s="1"/>
  <c r="A512" i="120"/>
  <c r="A905" i="120" s="1"/>
  <c r="A1298" i="120" s="1"/>
  <c r="A1691" i="120" s="1"/>
  <c r="A2084" i="120" s="1"/>
  <c r="A2477" i="120" s="1"/>
  <c r="A2870" i="120" s="1"/>
  <c r="M118" i="120"/>
  <c r="E511" i="120"/>
  <c r="E904" i="120" s="1"/>
  <c r="E1297" i="120" s="1"/>
  <c r="E1690" i="120" s="1"/>
  <c r="E2083" i="120" s="1"/>
  <c r="E2476" i="120" s="1"/>
  <c r="E2869" i="120" s="1"/>
  <c r="D511" i="120"/>
  <c r="D904" i="120" s="1"/>
  <c r="D1297" i="120" s="1"/>
  <c r="D1690" i="120" s="1"/>
  <c r="D2083" i="120" s="1"/>
  <c r="D2476" i="120" s="1"/>
  <c r="D2869" i="120" s="1"/>
  <c r="B511" i="120"/>
  <c r="B904" i="120" s="1"/>
  <c r="B1297" i="120" s="1"/>
  <c r="B1690" i="120" s="1"/>
  <c r="B2083" i="120" s="1"/>
  <c r="B2476" i="120" s="1"/>
  <c r="B2869" i="120" s="1"/>
  <c r="A511" i="120"/>
  <c r="A904" i="120" s="1"/>
  <c r="A1297" i="120" s="1"/>
  <c r="A1690" i="120" s="1"/>
  <c r="A2083" i="120" s="1"/>
  <c r="A2476" i="120" s="1"/>
  <c r="A2869" i="120" s="1"/>
  <c r="M117" i="120"/>
  <c r="E510" i="120"/>
  <c r="E903" i="120" s="1"/>
  <c r="E1296" i="120" s="1"/>
  <c r="E1689" i="120" s="1"/>
  <c r="E2082" i="120" s="1"/>
  <c r="E2475" i="120" s="1"/>
  <c r="E2868" i="120" s="1"/>
  <c r="D510" i="120"/>
  <c r="D903" i="120" s="1"/>
  <c r="D1296" i="120" s="1"/>
  <c r="D1689" i="120" s="1"/>
  <c r="D2082" i="120" s="1"/>
  <c r="D2475" i="120" s="1"/>
  <c r="D2868" i="120" s="1"/>
  <c r="B510" i="120"/>
  <c r="B903" i="120" s="1"/>
  <c r="B1296" i="120" s="1"/>
  <c r="B1689" i="120" s="1"/>
  <c r="B2082" i="120" s="1"/>
  <c r="B2475" i="120" s="1"/>
  <c r="B2868" i="120" s="1"/>
  <c r="A510" i="120"/>
  <c r="A903" i="120" s="1"/>
  <c r="A1296" i="120" s="1"/>
  <c r="A1689" i="120" s="1"/>
  <c r="A2082" i="120" s="1"/>
  <c r="A2475" i="120" s="1"/>
  <c r="A2868" i="120" s="1"/>
  <c r="M116" i="120"/>
  <c r="G509" i="120"/>
  <c r="E509" i="120"/>
  <c r="E902" i="120" s="1"/>
  <c r="E1295" i="120" s="1"/>
  <c r="E1688" i="120" s="1"/>
  <c r="E2081" i="120" s="1"/>
  <c r="E2474" i="120" s="1"/>
  <c r="E2867" i="120" s="1"/>
  <c r="D509" i="120"/>
  <c r="D902" i="120" s="1"/>
  <c r="D1295" i="120" s="1"/>
  <c r="D1688" i="120" s="1"/>
  <c r="D2081" i="120" s="1"/>
  <c r="D2474" i="120" s="1"/>
  <c r="D2867" i="120" s="1"/>
  <c r="B509" i="120"/>
  <c r="B902" i="120" s="1"/>
  <c r="B1295" i="120" s="1"/>
  <c r="B1688" i="120" s="1"/>
  <c r="B2081" i="120" s="1"/>
  <c r="B2474" i="120" s="1"/>
  <c r="B2867" i="120" s="1"/>
  <c r="A509" i="120"/>
  <c r="A902" i="120" s="1"/>
  <c r="A1295" i="120" s="1"/>
  <c r="A1688" i="120" s="1"/>
  <c r="A2081" i="120" s="1"/>
  <c r="A2474" i="120" s="1"/>
  <c r="A2867" i="120" s="1"/>
  <c r="M115" i="120"/>
  <c r="E508" i="120"/>
  <c r="E901" i="120" s="1"/>
  <c r="E1294" i="120" s="1"/>
  <c r="E1687" i="120" s="1"/>
  <c r="E2080" i="120" s="1"/>
  <c r="E2473" i="120" s="1"/>
  <c r="E2866" i="120" s="1"/>
  <c r="D508" i="120"/>
  <c r="D901" i="120" s="1"/>
  <c r="D1294" i="120" s="1"/>
  <c r="D1687" i="120" s="1"/>
  <c r="D2080" i="120" s="1"/>
  <c r="D2473" i="120" s="1"/>
  <c r="D2866" i="120" s="1"/>
  <c r="B508" i="120"/>
  <c r="B901" i="120" s="1"/>
  <c r="B1294" i="120" s="1"/>
  <c r="B1687" i="120" s="1"/>
  <c r="B2080" i="120" s="1"/>
  <c r="B2473" i="120" s="1"/>
  <c r="B2866" i="120" s="1"/>
  <c r="A508" i="120"/>
  <c r="A901" i="120" s="1"/>
  <c r="A1294" i="120" s="1"/>
  <c r="A1687" i="120" s="1"/>
  <c r="A2080" i="120" s="1"/>
  <c r="A2473" i="120" s="1"/>
  <c r="A2866" i="120" s="1"/>
  <c r="M114" i="120"/>
  <c r="E507" i="120"/>
  <c r="E900" i="120" s="1"/>
  <c r="E1293" i="120" s="1"/>
  <c r="E1686" i="120" s="1"/>
  <c r="E2079" i="120" s="1"/>
  <c r="E2472" i="120" s="1"/>
  <c r="E2865" i="120" s="1"/>
  <c r="D507" i="120"/>
  <c r="D900" i="120" s="1"/>
  <c r="D1293" i="120" s="1"/>
  <c r="D1686" i="120" s="1"/>
  <c r="D2079" i="120" s="1"/>
  <c r="D2472" i="120" s="1"/>
  <c r="D2865" i="120" s="1"/>
  <c r="B507" i="120"/>
  <c r="B900" i="120" s="1"/>
  <c r="B1293" i="120" s="1"/>
  <c r="B1686" i="120" s="1"/>
  <c r="B2079" i="120" s="1"/>
  <c r="B2472" i="120" s="1"/>
  <c r="B2865" i="120" s="1"/>
  <c r="A507" i="120"/>
  <c r="A900" i="120" s="1"/>
  <c r="A1293" i="120" s="1"/>
  <c r="A1686" i="120" s="1"/>
  <c r="A2079" i="120" s="1"/>
  <c r="A2472" i="120" s="1"/>
  <c r="A2865" i="120" s="1"/>
  <c r="M113" i="120"/>
  <c r="E506" i="120"/>
  <c r="E899" i="120" s="1"/>
  <c r="E1292" i="120" s="1"/>
  <c r="E1685" i="120" s="1"/>
  <c r="E2078" i="120" s="1"/>
  <c r="E2471" i="120" s="1"/>
  <c r="E2864" i="120" s="1"/>
  <c r="D506" i="120"/>
  <c r="D899" i="120" s="1"/>
  <c r="D1292" i="120" s="1"/>
  <c r="D1685" i="120" s="1"/>
  <c r="D2078" i="120" s="1"/>
  <c r="D2471" i="120" s="1"/>
  <c r="D2864" i="120" s="1"/>
  <c r="B506" i="120"/>
  <c r="B899" i="120" s="1"/>
  <c r="B1292" i="120" s="1"/>
  <c r="B1685" i="120" s="1"/>
  <c r="B2078" i="120" s="1"/>
  <c r="B2471" i="120" s="1"/>
  <c r="B2864" i="120" s="1"/>
  <c r="A506" i="120"/>
  <c r="A899" i="120" s="1"/>
  <c r="A1292" i="120" s="1"/>
  <c r="A1685" i="120" s="1"/>
  <c r="A2078" i="120" s="1"/>
  <c r="A2471" i="120" s="1"/>
  <c r="A2864" i="120" s="1"/>
  <c r="M112" i="120"/>
  <c r="H112" i="120"/>
  <c r="E505" i="120"/>
  <c r="E898" i="120" s="1"/>
  <c r="E1291" i="120" s="1"/>
  <c r="E1684" i="120" s="1"/>
  <c r="E2077" i="120" s="1"/>
  <c r="E2470" i="120" s="1"/>
  <c r="E2863" i="120" s="1"/>
  <c r="D505" i="120"/>
  <c r="D898" i="120" s="1"/>
  <c r="D1291" i="120" s="1"/>
  <c r="D1684" i="120" s="1"/>
  <c r="D2077" i="120" s="1"/>
  <c r="D2470" i="120" s="1"/>
  <c r="D2863" i="120" s="1"/>
  <c r="B505" i="120"/>
  <c r="B898" i="120" s="1"/>
  <c r="B1291" i="120" s="1"/>
  <c r="B1684" i="120" s="1"/>
  <c r="B2077" i="120" s="1"/>
  <c r="B2470" i="120" s="1"/>
  <c r="B2863" i="120" s="1"/>
  <c r="A505" i="120"/>
  <c r="A898" i="120" s="1"/>
  <c r="A1291" i="120" s="1"/>
  <c r="A1684" i="120" s="1"/>
  <c r="A2077" i="120" s="1"/>
  <c r="A2470" i="120" s="1"/>
  <c r="A2863" i="120" s="1"/>
  <c r="M111" i="120"/>
  <c r="G504" i="120"/>
  <c r="G897" i="120" s="1"/>
  <c r="G1290" i="120" s="1"/>
  <c r="G1683" i="120" s="1"/>
  <c r="E504" i="120"/>
  <c r="E897" i="120" s="1"/>
  <c r="E1290" i="120" s="1"/>
  <c r="E1683" i="120" s="1"/>
  <c r="E2076" i="120" s="1"/>
  <c r="E2469" i="120" s="1"/>
  <c r="E2862" i="120" s="1"/>
  <c r="D504" i="120"/>
  <c r="D897" i="120" s="1"/>
  <c r="D1290" i="120" s="1"/>
  <c r="D1683" i="120" s="1"/>
  <c r="D2076" i="120" s="1"/>
  <c r="D2469" i="120" s="1"/>
  <c r="D2862" i="120" s="1"/>
  <c r="A504" i="120"/>
  <c r="A897" i="120" s="1"/>
  <c r="A1290" i="120" s="1"/>
  <c r="A1683" i="120" s="1"/>
  <c r="A2076" i="120" s="1"/>
  <c r="A2469" i="120" s="1"/>
  <c r="A2862" i="120" s="1"/>
  <c r="M110" i="120"/>
  <c r="E503" i="120"/>
  <c r="E896" i="120" s="1"/>
  <c r="E1289" i="120" s="1"/>
  <c r="E1682" i="120" s="1"/>
  <c r="E2075" i="120" s="1"/>
  <c r="E2468" i="120" s="1"/>
  <c r="E2861" i="120" s="1"/>
  <c r="D503" i="120"/>
  <c r="D896" i="120" s="1"/>
  <c r="D1289" i="120" s="1"/>
  <c r="D1682" i="120" s="1"/>
  <c r="D2075" i="120" s="1"/>
  <c r="D2468" i="120" s="1"/>
  <c r="D2861" i="120" s="1"/>
  <c r="B503" i="120"/>
  <c r="B896" i="120" s="1"/>
  <c r="B1289" i="120" s="1"/>
  <c r="B1682" i="120" s="1"/>
  <c r="B2075" i="120" s="1"/>
  <c r="B2468" i="120" s="1"/>
  <c r="B2861" i="120" s="1"/>
  <c r="A503" i="120"/>
  <c r="A896" i="120" s="1"/>
  <c r="A1289" i="120" s="1"/>
  <c r="A1682" i="120" s="1"/>
  <c r="A2075" i="120" s="1"/>
  <c r="A2468" i="120" s="1"/>
  <c r="A2861" i="120" s="1"/>
  <c r="M109" i="120"/>
  <c r="E502" i="120"/>
  <c r="E895" i="120" s="1"/>
  <c r="E1288" i="120" s="1"/>
  <c r="E1681" i="120" s="1"/>
  <c r="E2074" i="120" s="1"/>
  <c r="E2467" i="120" s="1"/>
  <c r="E2860" i="120" s="1"/>
  <c r="D502" i="120"/>
  <c r="D895" i="120" s="1"/>
  <c r="D1288" i="120" s="1"/>
  <c r="D1681" i="120" s="1"/>
  <c r="D2074" i="120" s="1"/>
  <c r="D2467" i="120" s="1"/>
  <c r="D2860" i="120" s="1"/>
  <c r="B502" i="120"/>
  <c r="B895" i="120" s="1"/>
  <c r="B1288" i="120" s="1"/>
  <c r="B1681" i="120" s="1"/>
  <c r="B2074" i="120" s="1"/>
  <c r="B2467" i="120" s="1"/>
  <c r="B2860" i="120" s="1"/>
  <c r="A502" i="120"/>
  <c r="A895" i="120" s="1"/>
  <c r="A1288" i="120" s="1"/>
  <c r="A1681" i="120" s="1"/>
  <c r="A2074" i="120" s="1"/>
  <c r="A2467" i="120" s="1"/>
  <c r="A2860" i="120" s="1"/>
  <c r="M108" i="120"/>
  <c r="E501" i="120"/>
  <c r="E894" i="120" s="1"/>
  <c r="E1287" i="120" s="1"/>
  <c r="E1680" i="120" s="1"/>
  <c r="E2073" i="120" s="1"/>
  <c r="E2466" i="120" s="1"/>
  <c r="E2859" i="120" s="1"/>
  <c r="D501" i="120"/>
  <c r="D894" i="120" s="1"/>
  <c r="D1287" i="120" s="1"/>
  <c r="D1680" i="120" s="1"/>
  <c r="D2073" i="120" s="1"/>
  <c r="D2466" i="120" s="1"/>
  <c r="D2859" i="120" s="1"/>
  <c r="C501" i="120"/>
  <c r="C894" i="120" s="1"/>
  <c r="C1287" i="120" s="1"/>
  <c r="C1680" i="120" s="1"/>
  <c r="C2073" i="120" s="1"/>
  <c r="C2466" i="120" s="1"/>
  <c r="C2859" i="120" s="1"/>
  <c r="B501" i="120"/>
  <c r="B894" i="120" s="1"/>
  <c r="B1287" i="120" s="1"/>
  <c r="B1680" i="120" s="1"/>
  <c r="B2073" i="120" s="1"/>
  <c r="B2466" i="120" s="1"/>
  <c r="B2859" i="120" s="1"/>
  <c r="A501" i="120"/>
  <c r="A894" i="120" s="1"/>
  <c r="A1287" i="120" s="1"/>
  <c r="A1680" i="120" s="1"/>
  <c r="A2073" i="120" s="1"/>
  <c r="A2466" i="120" s="1"/>
  <c r="A2859" i="120" s="1"/>
  <c r="M107" i="120"/>
  <c r="E500" i="120"/>
  <c r="E893" i="120" s="1"/>
  <c r="E1286" i="120" s="1"/>
  <c r="E1679" i="120" s="1"/>
  <c r="E2072" i="120" s="1"/>
  <c r="E2465" i="120" s="1"/>
  <c r="E2858" i="120" s="1"/>
  <c r="D500" i="120"/>
  <c r="D893" i="120" s="1"/>
  <c r="D1286" i="120" s="1"/>
  <c r="D1679" i="120" s="1"/>
  <c r="D2072" i="120" s="1"/>
  <c r="D2465" i="120" s="1"/>
  <c r="D2858" i="120" s="1"/>
  <c r="B500" i="120"/>
  <c r="B893" i="120" s="1"/>
  <c r="B1286" i="120" s="1"/>
  <c r="B1679" i="120" s="1"/>
  <c r="B2072" i="120" s="1"/>
  <c r="B2465" i="120" s="1"/>
  <c r="B2858" i="120" s="1"/>
  <c r="A500" i="120"/>
  <c r="A893" i="120" s="1"/>
  <c r="A1286" i="120" s="1"/>
  <c r="A1679" i="120" s="1"/>
  <c r="A2072" i="120" s="1"/>
  <c r="A2465" i="120" s="1"/>
  <c r="A2858" i="120" s="1"/>
  <c r="M106" i="120"/>
  <c r="E499" i="120"/>
  <c r="E892" i="120" s="1"/>
  <c r="E1285" i="120" s="1"/>
  <c r="E1678" i="120" s="1"/>
  <c r="E2071" i="120" s="1"/>
  <c r="E2464" i="120" s="1"/>
  <c r="E2857" i="120" s="1"/>
  <c r="D499" i="120"/>
  <c r="D892" i="120" s="1"/>
  <c r="D1285" i="120" s="1"/>
  <c r="D1678" i="120" s="1"/>
  <c r="D2071" i="120" s="1"/>
  <c r="D2464" i="120" s="1"/>
  <c r="D2857" i="120" s="1"/>
  <c r="B499" i="120"/>
  <c r="B892" i="120" s="1"/>
  <c r="B1285" i="120" s="1"/>
  <c r="B1678" i="120" s="1"/>
  <c r="B2071" i="120" s="1"/>
  <c r="B2464" i="120" s="1"/>
  <c r="B2857" i="120" s="1"/>
  <c r="A499" i="120"/>
  <c r="A892" i="120" s="1"/>
  <c r="A1285" i="120" s="1"/>
  <c r="A1678" i="120" s="1"/>
  <c r="A2071" i="120" s="1"/>
  <c r="A2464" i="120" s="1"/>
  <c r="A2857" i="120" s="1"/>
  <c r="M105" i="120"/>
  <c r="E498" i="120"/>
  <c r="E891" i="120" s="1"/>
  <c r="E1284" i="120" s="1"/>
  <c r="E1677" i="120" s="1"/>
  <c r="E2070" i="120" s="1"/>
  <c r="E2463" i="120" s="1"/>
  <c r="E2856" i="120" s="1"/>
  <c r="D498" i="120"/>
  <c r="D891" i="120" s="1"/>
  <c r="D1284" i="120" s="1"/>
  <c r="D1677" i="120" s="1"/>
  <c r="D2070" i="120" s="1"/>
  <c r="D2463" i="120" s="1"/>
  <c r="D2856" i="120" s="1"/>
  <c r="B498" i="120"/>
  <c r="B891" i="120" s="1"/>
  <c r="B1284" i="120" s="1"/>
  <c r="B1677" i="120" s="1"/>
  <c r="B2070" i="120" s="1"/>
  <c r="B2463" i="120" s="1"/>
  <c r="B2856" i="120" s="1"/>
  <c r="A498" i="120"/>
  <c r="A891" i="120" s="1"/>
  <c r="A1284" i="120" s="1"/>
  <c r="A1677" i="120" s="1"/>
  <c r="A2070" i="120" s="1"/>
  <c r="A2463" i="120" s="1"/>
  <c r="A2856" i="120" s="1"/>
  <c r="M104" i="120"/>
  <c r="E497" i="120"/>
  <c r="E890" i="120" s="1"/>
  <c r="E1283" i="120" s="1"/>
  <c r="E1676" i="120" s="1"/>
  <c r="E2069" i="120" s="1"/>
  <c r="E2462" i="120" s="1"/>
  <c r="E2855" i="120" s="1"/>
  <c r="D497" i="120"/>
  <c r="D890" i="120" s="1"/>
  <c r="D1283" i="120" s="1"/>
  <c r="D1676" i="120" s="1"/>
  <c r="D2069" i="120" s="1"/>
  <c r="D2462" i="120" s="1"/>
  <c r="D2855" i="120" s="1"/>
  <c r="B497" i="120"/>
  <c r="B890" i="120" s="1"/>
  <c r="B1283" i="120" s="1"/>
  <c r="B1676" i="120" s="1"/>
  <c r="B2069" i="120" s="1"/>
  <c r="B2462" i="120" s="1"/>
  <c r="B2855" i="120" s="1"/>
  <c r="A497" i="120"/>
  <c r="A890" i="120" s="1"/>
  <c r="A1283" i="120" s="1"/>
  <c r="A1676" i="120" s="1"/>
  <c r="A2069" i="120" s="1"/>
  <c r="A2462" i="120" s="1"/>
  <c r="A2855" i="120" s="1"/>
  <c r="M103" i="120"/>
  <c r="E496" i="120"/>
  <c r="E889" i="120" s="1"/>
  <c r="E1282" i="120" s="1"/>
  <c r="E1675" i="120" s="1"/>
  <c r="E2068" i="120" s="1"/>
  <c r="E2461" i="120" s="1"/>
  <c r="E2854" i="120" s="1"/>
  <c r="D496" i="120"/>
  <c r="D889" i="120" s="1"/>
  <c r="D1282" i="120" s="1"/>
  <c r="D1675" i="120" s="1"/>
  <c r="D2068" i="120" s="1"/>
  <c r="D2461" i="120" s="1"/>
  <c r="D2854" i="120" s="1"/>
  <c r="B496" i="120"/>
  <c r="B889" i="120" s="1"/>
  <c r="B1282" i="120" s="1"/>
  <c r="B1675" i="120" s="1"/>
  <c r="B2068" i="120" s="1"/>
  <c r="B2461" i="120" s="1"/>
  <c r="B2854" i="120" s="1"/>
  <c r="A496" i="120"/>
  <c r="A889" i="120" s="1"/>
  <c r="A1282" i="120" s="1"/>
  <c r="A1675" i="120" s="1"/>
  <c r="A2068" i="120" s="1"/>
  <c r="A2461" i="120" s="1"/>
  <c r="A2854" i="120" s="1"/>
  <c r="M102" i="120"/>
  <c r="E495" i="120"/>
  <c r="E888" i="120" s="1"/>
  <c r="E1281" i="120" s="1"/>
  <c r="E1674" i="120" s="1"/>
  <c r="E2067" i="120" s="1"/>
  <c r="E2460" i="120" s="1"/>
  <c r="E2853" i="120" s="1"/>
  <c r="D495" i="120"/>
  <c r="D888" i="120" s="1"/>
  <c r="D1281" i="120" s="1"/>
  <c r="D1674" i="120" s="1"/>
  <c r="D2067" i="120" s="1"/>
  <c r="D2460" i="120" s="1"/>
  <c r="D2853" i="120" s="1"/>
  <c r="B495" i="120"/>
  <c r="B888" i="120" s="1"/>
  <c r="B1281" i="120" s="1"/>
  <c r="B1674" i="120" s="1"/>
  <c r="B2067" i="120" s="1"/>
  <c r="B2460" i="120" s="1"/>
  <c r="B2853" i="120" s="1"/>
  <c r="A495" i="120"/>
  <c r="A888" i="120" s="1"/>
  <c r="A1281" i="120" s="1"/>
  <c r="A1674" i="120" s="1"/>
  <c r="A2067" i="120" s="1"/>
  <c r="A2460" i="120" s="1"/>
  <c r="A2853" i="120" s="1"/>
  <c r="M101" i="120"/>
  <c r="E494" i="120"/>
  <c r="E887" i="120" s="1"/>
  <c r="E1280" i="120" s="1"/>
  <c r="E1673" i="120" s="1"/>
  <c r="E2066" i="120" s="1"/>
  <c r="E2459" i="120" s="1"/>
  <c r="E2852" i="120" s="1"/>
  <c r="D494" i="120"/>
  <c r="D887" i="120" s="1"/>
  <c r="D1280" i="120" s="1"/>
  <c r="D1673" i="120" s="1"/>
  <c r="D2066" i="120" s="1"/>
  <c r="D2459" i="120" s="1"/>
  <c r="D2852" i="120" s="1"/>
  <c r="B494" i="120"/>
  <c r="B887" i="120" s="1"/>
  <c r="B1280" i="120" s="1"/>
  <c r="B1673" i="120" s="1"/>
  <c r="B2066" i="120" s="1"/>
  <c r="B2459" i="120" s="1"/>
  <c r="B2852" i="120" s="1"/>
  <c r="A494" i="120"/>
  <c r="A887" i="120" s="1"/>
  <c r="A1280" i="120" s="1"/>
  <c r="A1673" i="120" s="1"/>
  <c r="A2066" i="120" s="1"/>
  <c r="A2459" i="120" s="1"/>
  <c r="A2852" i="120" s="1"/>
  <c r="M100" i="120"/>
  <c r="G493" i="120"/>
  <c r="G886" i="120" s="1"/>
  <c r="G1279" i="120" s="1"/>
  <c r="G1672" i="120" s="1"/>
  <c r="G2065" i="120" s="1"/>
  <c r="G2458" i="120" s="1"/>
  <c r="G2851" i="120" s="1"/>
  <c r="E493" i="120"/>
  <c r="E886" i="120" s="1"/>
  <c r="E1279" i="120" s="1"/>
  <c r="E1672" i="120" s="1"/>
  <c r="E2065" i="120" s="1"/>
  <c r="E2458" i="120" s="1"/>
  <c r="E2851" i="120" s="1"/>
  <c r="D493" i="120"/>
  <c r="D886" i="120" s="1"/>
  <c r="D1279" i="120" s="1"/>
  <c r="D1672" i="120" s="1"/>
  <c r="D2065" i="120" s="1"/>
  <c r="D2458" i="120" s="1"/>
  <c r="D2851" i="120" s="1"/>
  <c r="B493" i="120"/>
  <c r="B886" i="120" s="1"/>
  <c r="B1279" i="120" s="1"/>
  <c r="B1672" i="120" s="1"/>
  <c r="B2065" i="120" s="1"/>
  <c r="B2458" i="120" s="1"/>
  <c r="B2851" i="120" s="1"/>
  <c r="A493" i="120"/>
  <c r="A886" i="120" s="1"/>
  <c r="A1279" i="120" s="1"/>
  <c r="A1672" i="120" s="1"/>
  <c r="A2065" i="120" s="1"/>
  <c r="A2458" i="120" s="1"/>
  <c r="A2851" i="120" s="1"/>
  <c r="M99" i="120"/>
  <c r="E492" i="120"/>
  <c r="E885" i="120" s="1"/>
  <c r="E1278" i="120" s="1"/>
  <c r="E1671" i="120" s="1"/>
  <c r="E2064" i="120" s="1"/>
  <c r="E2457" i="120" s="1"/>
  <c r="E2850" i="120" s="1"/>
  <c r="D492" i="120"/>
  <c r="D885" i="120" s="1"/>
  <c r="D1278" i="120" s="1"/>
  <c r="D1671" i="120" s="1"/>
  <c r="D2064" i="120" s="1"/>
  <c r="D2457" i="120" s="1"/>
  <c r="D2850" i="120" s="1"/>
  <c r="B492" i="120"/>
  <c r="B885" i="120" s="1"/>
  <c r="B1278" i="120" s="1"/>
  <c r="B1671" i="120" s="1"/>
  <c r="B2064" i="120" s="1"/>
  <c r="B2457" i="120" s="1"/>
  <c r="B2850" i="120" s="1"/>
  <c r="A492" i="120"/>
  <c r="A885" i="120" s="1"/>
  <c r="A1278" i="120" s="1"/>
  <c r="A1671" i="120" s="1"/>
  <c r="A2064" i="120" s="1"/>
  <c r="A2457" i="120" s="1"/>
  <c r="A2850" i="120" s="1"/>
  <c r="M98" i="120"/>
  <c r="E491" i="120"/>
  <c r="E884" i="120" s="1"/>
  <c r="E1277" i="120" s="1"/>
  <c r="E1670" i="120" s="1"/>
  <c r="E2063" i="120" s="1"/>
  <c r="E2456" i="120" s="1"/>
  <c r="E2849" i="120" s="1"/>
  <c r="D491" i="120"/>
  <c r="D884" i="120" s="1"/>
  <c r="D1277" i="120" s="1"/>
  <c r="D1670" i="120" s="1"/>
  <c r="D2063" i="120" s="1"/>
  <c r="D2456" i="120" s="1"/>
  <c r="D2849" i="120" s="1"/>
  <c r="B491" i="120"/>
  <c r="B884" i="120" s="1"/>
  <c r="B1277" i="120" s="1"/>
  <c r="B1670" i="120" s="1"/>
  <c r="B2063" i="120" s="1"/>
  <c r="B2456" i="120" s="1"/>
  <c r="B2849" i="120" s="1"/>
  <c r="A491" i="120"/>
  <c r="A884" i="120" s="1"/>
  <c r="A1277" i="120" s="1"/>
  <c r="A1670" i="120" s="1"/>
  <c r="A2063" i="120" s="1"/>
  <c r="A2456" i="120" s="1"/>
  <c r="A2849" i="120" s="1"/>
  <c r="M97" i="120"/>
  <c r="E490" i="120"/>
  <c r="E883" i="120" s="1"/>
  <c r="E1276" i="120" s="1"/>
  <c r="E1669" i="120" s="1"/>
  <c r="E2062" i="120" s="1"/>
  <c r="E2455" i="120" s="1"/>
  <c r="E2848" i="120" s="1"/>
  <c r="D490" i="120"/>
  <c r="D883" i="120" s="1"/>
  <c r="D1276" i="120" s="1"/>
  <c r="D1669" i="120" s="1"/>
  <c r="D2062" i="120" s="1"/>
  <c r="D2455" i="120" s="1"/>
  <c r="D2848" i="120" s="1"/>
  <c r="B490" i="120"/>
  <c r="B883" i="120" s="1"/>
  <c r="B1276" i="120" s="1"/>
  <c r="B1669" i="120" s="1"/>
  <c r="B2062" i="120" s="1"/>
  <c r="B2455" i="120" s="1"/>
  <c r="B2848" i="120" s="1"/>
  <c r="A490" i="120"/>
  <c r="A883" i="120" s="1"/>
  <c r="A1276" i="120" s="1"/>
  <c r="A1669" i="120" s="1"/>
  <c r="A2062" i="120" s="1"/>
  <c r="A2455" i="120" s="1"/>
  <c r="A2848" i="120" s="1"/>
  <c r="M96" i="120"/>
  <c r="E489" i="120"/>
  <c r="E882" i="120" s="1"/>
  <c r="E1275" i="120" s="1"/>
  <c r="E1668" i="120" s="1"/>
  <c r="E2061" i="120" s="1"/>
  <c r="E2454" i="120" s="1"/>
  <c r="E2847" i="120" s="1"/>
  <c r="D489" i="120"/>
  <c r="D882" i="120" s="1"/>
  <c r="D1275" i="120" s="1"/>
  <c r="D1668" i="120" s="1"/>
  <c r="D2061" i="120" s="1"/>
  <c r="D2454" i="120" s="1"/>
  <c r="D2847" i="120" s="1"/>
  <c r="B489" i="120"/>
  <c r="B882" i="120" s="1"/>
  <c r="B1275" i="120" s="1"/>
  <c r="B1668" i="120" s="1"/>
  <c r="B2061" i="120" s="1"/>
  <c r="B2454" i="120" s="1"/>
  <c r="B2847" i="120" s="1"/>
  <c r="A489" i="120"/>
  <c r="A882" i="120" s="1"/>
  <c r="A1275" i="120" s="1"/>
  <c r="A1668" i="120" s="1"/>
  <c r="A2061" i="120" s="1"/>
  <c r="A2454" i="120" s="1"/>
  <c r="A2847" i="120" s="1"/>
  <c r="M95" i="120"/>
  <c r="E488" i="120"/>
  <c r="E881" i="120" s="1"/>
  <c r="E1274" i="120" s="1"/>
  <c r="E1667" i="120" s="1"/>
  <c r="E2060" i="120" s="1"/>
  <c r="E2453" i="120" s="1"/>
  <c r="E2846" i="120" s="1"/>
  <c r="D488" i="120"/>
  <c r="D881" i="120" s="1"/>
  <c r="D1274" i="120" s="1"/>
  <c r="D1667" i="120" s="1"/>
  <c r="D2060" i="120" s="1"/>
  <c r="D2453" i="120" s="1"/>
  <c r="D2846" i="120" s="1"/>
  <c r="B488" i="120"/>
  <c r="B881" i="120" s="1"/>
  <c r="B1274" i="120" s="1"/>
  <c r="B1667" i="120" s="1"/>
  <c r="B2060" i="120" s="1"/>
  <c r="B2453" i="120" s="1"/>
  <c r="B2846" i="120" s="1"/>
  <c r="A488" i="120"/>
  <c r="A881" i="120" s="1"/>
  <c r="A1274" i="120" s="1"/>
  <c r="A1667" i="120" s="1"/>
  <c r="A2060" i="120" s="1"/>
  <c r="A2453" i="120" s="1"/>
  <c r="A2846" i="120" s="1"/>
  <c r="M94" i="120"/>
  <c r="E487" i="120"/>
  <c r="E880" i="120" s="1"/>
  <c r="E1273" i="120" s="1"/>
  <c r="E1666" i="120" s="1"/>
  <c r="E2059" i="120" s="1"/>
  <c r="E2452" i="120" s="1"/>
  <c r="E2845" i="120" s="1"/>
  <c r="D487" i="120"/>
  <c r="D880" i="120" s="1"/>
  <c r="D1273" i="120" s="1"/>
  <c r="D1666" i="120" s="1"/>
  <c r="D2059" i="120" s="1"/>
  <c r="D2452" i="120" s="1"/>
  <c r="D2845" i="120" s="1"/>
  <c r="B487" i="120"/>
  <c r="B880" i="120" s="1"/>
  <c r="B1273" i="120" s="1"/>
  <c r="B1666" i="120" s="1"/>
  <c r="B2059" i="120" s="1"/>
  <c r="B2452" i="120" s="1"/>
  <c r="B2845" i="120" s="1"/>
  <c r="A487" i="120"/>
  <c r="A880" i="120" s="1"/>
  <c r="A1273" i="120" s="1"/>
  <c r="A1666" i="120" s="1"/>
  <c r="A2059" i="120" s="1"/>
  <c r="A2452" i="120" s="1"/>
  <c r="A2845" i="120" s="1"/>
  <c r="M93" i="120"/>
  <c r="E486" i="120"/>
  <c r="E879" i="120" s="1"/>
  <c r="E1272" i="120" s="1"/>
  <c r="E1665" i="120" s="1"/>
  <c r="E2058" i="120" s="1"/>
  <c r="E2451" i="120" s="1"/>
  <c r="E2844" i="120" s="1"/>
  <c r="D486" i="120"/>
  <c r="D879" i="120" s="1"/>
  <c r="D1272" i="120" s="1"/>
  <c r="D1665" i="120" s="1"/>
  <c r="D2058" i="120" s="1"/>
  <c r="D2451" i="120" s="1"/>
  <c r="D2844" i="120" s="1"/>
  <c r="B486" i="120"/>
  <c r="B879" i="120" s="1"/>
  <c r="B1272" i="120" s="1"/>
  <c r="B1665" i="120" s="1"/>
  <c r="B2058" i="120" s="1"/>
  <c r="B2451" i="120" s="1"/>
  <c r="B2844" i="120" s="1"/>
  <c r="A486" i="120"/>
  <c r="A879" i="120" s="1"/>
  <c r="A1272" i="120" s="1"/>
  <c r="A1665" i="120" s="1"/>
  <c r="A2058" i="120" s="1"/>
  <c r="A2451" i="120" s="1"/>
  <c r="A2844" i="120" s="1"/>
  <c r="M92" i="120"/>
  <c r="E485" i="120"/>
  <c r="E878" i="120" s="1"/>
  <c r="E1271" i="120" s="1"/>
  <c r="E1664" i="120" s="1"/>
  <c r="E2057" i="120" s="1"/>
  <c r="E2450" i="120" s="1"/>
  <c r="E2843" i="120" s="1"/>
  <c r="D485" i="120"/>
  <c r="D878" i="120" s="1"/>
  <c r="D1271" i="120" s="1"/>
  <c r="D1664" i="120" s="1"/>
  <c r="D2057" i="120" s="1"/>
  <c r="D2450" i="120" s="1"/>
  <c r="D2843" i="120" s="1"/>
  <c r="B485" i="120"/>
  <c r="B878" i="120" s="1"/>
  <c r="B1271" i="120" s="1"/>
  <c r="B1664" i="120" s="1"/>
  <c r="B2057" i="120" s="1"/>
  <c r="B2450" i="120" s="1"/>
  <c r="B2843" i="120" s="1"/>
  <c r="A485" i="120"/>
  <c r="A878" i="120" s="1"/>
  <c r="A1271" i="120" s="1"/>
  <c r="A1664" i="120" s="1"/>
  <c r="A2057" i="120" s="1"/>
  <c r="A2450" i="120" s="1"/>
  <c r="A2843" i="120" s="1"/>
  <c r="M91" i="120"/>
  <c r="E484" i="120"/>
  <c r="E877" i="120" s="1"/>
  <c r="E1270" i="120" s="1"/>
  <c r="E1663" i="120" s="1"/>
  <c r="E2056" i="120" s="1"/>
  <c r="E2449" i="120" s="1"/>
  <c r="E2842" i="120" s="1"/>
  <c r="D484" i="120"/>
  <c r="D877" i="120" s="1"/>
  <c r="D1270" i="120" s="1"/>
  <c r="D1663" i="120" s="1"/>
  <c r="D2056" i="120" s="1"/>
  <c r="D2449" i="120" s="1"/>
  <c r="D2842" i="120" s="1"/>
  <c r="B484" i="120"/>
  <c r="B877" i="120" s="1"/>
  <c r="B1270" i="120" s="1"/>
  <c r="B1663" i="120" s="1"/>
  <c r="B2056" i="120" s="1"/>
  <c r="B2449" i="120" s="1"/>
  <c r="B2842" i="120" s="1"/>
  <c r="A484" i="120"/>
  <c r="A877" i="120" s="1"/>
  <c r="A1270" i="120" s="1"/>
  <c r="A1663" i="120" s="1"/>
  <c r="A2056" i="120" s="1"/>
  <c r="A2449" i="120" s="1"/>
  <c r="A2842" i="120" s="1"/>
  <c r="M90" i="120"/>
  <c r="E483" i="120"/>
  <c r="E876" i="120" s="1"/>
  <c r="E1269" i="120" s="1"/>
  <c r="E1662" i="120" s="1"/>
  <c r="E2055" i="120" s="1"/>
  <c r="E2448" i="120" s="1"/>
  <c r="E2841" i="120" s="1"/>
  <c r="D483" i="120"/>
  <c r="D876" i="120" s="1"/>
  <c r="D1269" i="120" s="1"/>
  <c r="D1662" i="120" s="1"/>
  <c r="D2055" i="120" s="1"/>
  <c r="D2448" i="120" s="1"/>
  <c r="D2841" i="120" s="1"/>
  <c r="B483" i="120"/>
  <c r="B876" i="120" s="1"/>
  <c r="B1269" i="120" s="1"/>
  <c r="B1662" i="120" s="1"/>
  <c r="B2055" i="120" s="1"/>
  <c r="B2448" i="120" s="1"/>
  <c r="B2841" i="120" s="1"/>
  <c r="A483" i="120"/>
  <c r="A876" i="120" s="1"/>
  <c r="A1269" i="120" s="1"/>
  <c r="A1662" i="120" s="1"/>
  <c r="A2055" i="120" s="1"/>
  <c r="A2448" i="120" s="1"/>
  <c r="A2841" i="120" s="1"/>
  <c r="M89" i="120"/>
  <c r="E482" i="120"/>
  <c r="E875" i="120" s="1"/>
  <c r="E1268" i="120" s="1"/>
  <c r="E1661" i="120" s="1"/>
  <c r="E2054" i="120" s="1"/>
  <c r="E2447" i="120" s="1"/>
  <c r="E2840" i="120" s="1"/>
  <c r="D482" i="120"/>
  <c r="D875" i="120" s="1"/>
  <c r="D1268" i="120" s="1"/>
  <c r="D1661" i="120" s="1"/>
  <c r="D2054" i="120" s="1"/>
  <c r="D2447" i="120" s="1"/>
  <c r="D2840" i="120" s="1"/>
  <c r="B482" i="120"/>
  <c r="B875" i="120" s="1"/>
  <c r="B1268" i="120" s="1"/>
  <c r="B1661" i="120" s="1"/>
  <c r="B2054" i="120" s="1"/>
  <c r="B2447" i="120" s="1"/>
  <c r="B2840" i="120" s="1"/>
  <c r="A482" i="120"/>
  <c r="A875" i="120" s="1"/>
  <c r="A1268" i="120" s="1"/>
  <c r="A1661" i="120" s="1"/>
  <c r="A2054" i="120" s="1"/>
  <c r="A2447" i="120" s="1"/>
  <c r="A2840" i="120" s="1"/>
  <c r="M88" i="120"/>
  <c r="E481" i="120"/>
  <c r="E874" i="120" s="1"/>
  <c r="E1267" i="120" s="1"/>
  <c r="E1660" i="120" s="1"/>
  <c r="E2053" i="120" s="1"/>
  <c r="E2446" i="120" s="1"/>
  <c r="E2839" i="120" s="1"/>
  <c r="D481" i="120"/>
  <c r="D874" i="120" s="1"/>
  <c r="D1267" i="120" s="1"/>
  <c r="D1660" i="120" s="1"/>
  <c r="D2053" i="120" s="1"/>
  <c r="D2446" i="120" s="1"/>
  <c r="D2839" i="120" s="1"/>
  <c r="C481" i="120"/>
  <c r="C874" i="120" s="1"/>
  <c r="C1267" i="120" s="1"/>
  <c r="C1660" i="120" s="1"/>
  <c r="C2053" i="120" s="1"/>
  <c r="C2446" i="120" s="1"/>
  <c r="C2839" i="120" s="1"/>
  <c r="B481" i="120"/>
  <c r="B874" i="120" s="1"/>
  <c r="B1267" i="120" s="1"/>
  <c r="B1660" i="120" s="1"/>
  <c r="B2053" i="120" s="1"/>
  <c r="B2446" i="120" s="1"/>
  <c r="B2839" i="120" s="1"/>
  <c r="A481" i="120"/>
  <c r="A874" i="120" s="1"/>
  <c r="A1267" i="120" s="1"/>
  <c r="A1660" i="120" s="1"/>
  <c r="A2053" i="120" s="1"/>
  <c r="A2446" i="120" s="1"/>
  <c r="A2839" i="120" s="1"/>
  <c r="M87" i="120"/>
  <c r="E480" i="120"/>
  <c r="E873" i="120" s="1"/>
  <c r="E1266" i="120" s="1"/>
  <c r="E1659" i="120" s="1"/>
  <c r="E2052" i="120" s="1"/>
  <c r="E2445" i="120" s="1"/>
  <c r="E2838" i="120" s="1"/>
  <c r="D480" i="120"/>
  <c r="D873" i="120" s="1"/>
  <c r="D1266" i="120" s="1"/>
  <c r="D1659" i="120" s="1"/>
  <c r="D2052" i="120" s="1"/>
  <c r="D2445" i="120" s="1"/>
  <c r="D2838" i="120" s="1"/>
  <c r="C480" i="120"/>
  <c r="C873" i="120" s="1"/>
  <c r="C1266" i="120" s="1"/>
  <c r="C1659" i="120" s="1"/>
  <c r="C2052" i="120" s="1"/>
  <c r="C2445" i="120" s="1"/>
  <c r="C2838" i="120" s="1"/>
  <c r="B480" i="120"/>
  <c r="B873" i="120" s="1"/>
  <c r="B1266" i="120" s="1"/>
  <c r="B1659" i="120" s="1"/>
  <c r="B2052" i="120" s="1"/>
  <c r="B2445" i="120" s="1"/>
  <c r="B2838" i="120" s="1"/>
  <c r="A480" i="120"/>
  <c r="A873" i="120" s="1"/>
  <c r="A1266" i="120" s="1"/>
  <c r="A1659" i="120" s="1"/>
  <c r="A2052" i="120" s="1"/>
  <c r="A2445" i="120" s="1"/>
  <c r="A2838" i="120" s="1"/>
  <c r="M86" i="120"/>
  <c r="G479" i="120"/>
  <c r="G872" i="120" s="1"/>
  <c r="G1265" i="120" s="1"/>
  <c r="G1658" i="120" s="1"/>
  <c r="G2051" i="120" s="1"/>
  <c r="G2444" i="120" s="1"/>
  <c r="G2837" i="120" s="1"/>
  <c r="E479" i="120"/>
  <c r="E872" i="120" s="1"/>
  <c r="E1265" i="120" s="1"/>
  <c r="E1658" i="120" s="1"/>
  <c r="E2051" i="120" s="1"/>
  <c r="E2444" i="120" s="1"/>
  <c r="E2837" i="120" s="1"/>
  <c r="D479" i="120"/>
  <c r="D872" i="120" s="1"/>
  <c r="D1265" i="120" s="1"/>
  <c r="D1658" i="120" s="1"/>
  <c r="D2051" i="120" s="1"/>
  <c r="D2444" i="120" s="1"/>
  <c r="D2837" i="120" s="1"/>
  <c r="C479" i="120"/>
  <c r="C872" i="120" s="1"/>
  <c r="C1265" i="120" s="1"/>
  <c r="C1658" i="120" s="1"/>
  <c r="C2051" i="120" s="1"/>
  <c r="C2444" i="120" s="1"/>
  <c r="C2837" i="120" s="1"/>
  <c r="B479" i="120"/>
  <c r="B872" i="120" s="1"/>
  <c r="B1265" i="120" s="1"/>
  <c r="B1658" i="120" s="1"/>
  <c r="B2051" i="120" s="1"/>
  <c r="B2444" i="120" s="1"/>
  <c r="B2837" i="120" s="1"/>
  <c r="A479" i="120"/>
  <c r="A872" i="120" s="1"/>
  <c r="A1265" i="120" s="1"/>
  <c r="A1658" i="120" s="1"/>
  <c r="A2051" i="120" s="1"/>
  <c r="A2444" i="120" s="1"/>
  <c r="A2837" i="120" s="1"/>
  <c r="M85" i="120"/>
  <c r="E478" i="120"/>
  <c r="E871" i="120" s="1"/>
  <c r="E1264" i="120" s="1"/>
  <c r="E1657" i="120" s="1"/>
  <c r="E2050" i="120" s="1"/>
  <c r="E2443" i="120" s="1"/>
  <c r="E2836" i="120" s="1"/>
  <c r="D478" i="120"/>
  <c r="D871" i="120" s="1"/>
  <c r="D1264" i="120" s="1"/>
  <c r="D1657" i="120" s="1"/>
  <c r="D2050" i="120" s="1"/>
  <c r="D2443" i="120" s="1"/>
  <c r="D2836" i="120" s="1"/>
  <c r="C478" i="120"/>
  <c r="C871" i="120" s="1"/>
  <c r="C1264" i="120" s="1"/>
  <c r="C1657" i="120" s="1"/>
  <c r="C2050" i="120" s="1"/>
  <c r="C2443" i="120" s="1"/>
  <c r="C2836" i="120" s="1"/>
  <c r="B478" i="120"/>
  <c r="B871" i="120" s="1"/>
  <c r="B1264" i="120" s="1"/>
  <c r="B1657" i="120" s="1"/>
  <c r="B2050" i="120" s="1"/>
  <c r="B2443" i="120" s="1"/>
  <c r="B2836" i="120" s="1"/>
  <c r="A478" i="120"/>
  <c r="A871" i="120" s="1"/>
  <c r="A1264" i="120" s="1"/>
  <c r="A1657" i="120" s="1"/>
  <c r="A2050" i="120" s="1"/>
  <c r="A2443" i="120" s="1"/>
  <c r="A2836" i="120" s="1"/>
  <c r="M84" i="120"/>
  <c r="E477" i="120"/>
  <c r="E870" i="120" s="1"/>
  <c r="E1263" i="120" s="1"/>
  <c r="E1656" i="120" s="1"/>
  <c r="E2049" i="120" s="1"/>
  <c r="E2442" i="120" s="1"/>
  <c r="E2835" i="120" s="1"/>
  <c r="D477" i="120"/>
  <c r="D870" i="120" s="1"/>
  <c r="D1263" i="120" s="1"/>
  <c r="D1656" i="120" s="1"/>
  <c r="D2049" i="120" s="1"/>
  <c r="D2442" i="120" s="1"/>
  <c r="D2835" i="120" s="1"/>
  <c r="C477" i="120"/>
  <c r="C870" i="120" s="1"/>
  <c r="C1263" i="120" s="1"/>
  <c r="C1656" i="120" s="1"/>
  <c r="C2049" i="120" s="1"/>
  <c r="C2442" i="120" s="1"/>
  <c r="C2835" i="120" s="1"/>
  <c r="B477" i="120"/>
  <c r="B870" i="120" s="1"/>
  <c r="B1263" i="120" s="1"/>
  <c r="B1656" i="120" s="1"/>
  <c r="B2049" i="120" s="1"/>
  <c r="B2442" i="120" s="1"/>
  <c r="B2835" i="120" s="1"/>
  <c r="A477" i="120"/>
  <c r="A870" i="120" s="1"/>
  <c r="A1263" i="120" s="1"/>
  <c r="A1656" i="120" s="1"/>
  <c r="A2049" i="120" s="1"/>
  <c r="A2442" i="120" s="1"/>
  <c r="A2835" i="120" s="1"/>
  <c r="M83" i="120"/>
  <c r="E476" i="120"/>
  <c r="E869" i="120" s="1"/>
  <c r="E1262" i="120" s="1"/>
  <c r="E1655" i="120" s="1"/>
  <c r="E2048" i="120" s="1"/>
  <c r="E2441" i="120" s="1"/>
  <c r="E2834" i="120" s="1"/>
  <c r="D476" i="120"/>
  <c r="D869" i="120" s="1"/>
  <c r="D1262" i="120" s="1"/>
  <c r="D1655" i="120" s="1"/>
  <c r="D2048" i="120" s="1"/>
  <c r="D2441" i="120" s="1"/>
  <c r="D2834" i="120" s="1"/>
  <c r="C476" i="120"/>
  <c r="C869" i="120" s="1"/>
  <c r="C1262" i="120" s="1"/>
  <c r="C1655" i="120" s="1"/>
  <c r="C2048" i="120" s="1"/>
  <c r="C2441" i="120" s="1"/>
  <c r="C2834" i="120" s="1"/>
  <c r="B476" i="120"/>
  <c r="B869" i="120" s="1"/>
  <c r="B1262" i="120" s="1"/>
  <c r="B1655" i="120" s="1"/>
  <c r="B2048" i="120" s="1"/>
  <c r="B2441" i="120" s="1"/>
  <c r="B2834" i="120" s="1"/>
  <c r="A476" i="120"/>
  <c r="A869" i="120" s="1"/>
  <c r="A1262" i="120" s="1"/>
  <c r="A1655" i="120" s="1"/>
  <c r="A2048" i="120" s="1"/>
  <c r="A2441" i="120" s="1"/>
  <c r="A2834" i="120" s="1"/>
  <c r="M82" i="120"/>
  <c r="E475" i="120"/>
  <c r="E868" i="120" s="1"/>
  <c r="E1261" i="120" s="1"/>
  <c r="E1654" i="120" s="1"/>
  <c r="E2047" i="120" s="1"/>
  <c r="E2440" i="120" s="1"/>
  <c r="E2833" i="120" s="1"/>
  <c r="D475" i="120"/>
  <c r="D868" i="120" s="1"/>
  <c r="D1261" i="120" s="1"/>
  <c r="D1654" i="120" s="1"/>
  <c r="D2047" i="120" s="1"/>
  <c r="D2440" i="120" s="1"/>
  <c r="D2833" i="120" s="1"/>
  <c r="C475" i="120"/>
  <c r="C868" i="120" s="1"/>
  <c r="C1261" i="120" s="1"/>
  <c r="C1654" i="120" s="1"/>
  <c r="C2047" i="120" s="1"/>
  <c r="C2440" i="120" s="1"/>
  <c r="C2833" i="120" s="1"/>
  <c r="B475" i="120"/>
  <c r="B868" i="120" s="1"/>
  <c r="B1261" i="120" s="1"/>
  <c r="B1654" i="120" s="1"/>
  <c r="B2047" i="120" s="1"/>
  <c r="B2440" i="120" s="1"/>
  <c r="B2833" i="120" s="1"/>
  <c r="A475" i="120"/>
  <c r="A868" i="120" s="1"/>
  <c r="A1261" i="120" s="1"/>
  <c r="A1654" i="120" s="1"/>
  <c r="A2047" i="120" s="1"/>
  <c r="A2440" i="120" s="1"/>
  <c r="A2833" i="120" s="1"/>
  <c r="M81" i="120"/>
  <c r="E474" i="120"/>
  <c r="E867" i="120" s="1"/>
  <c r="E1260" i="120" s="1"/>
  <c r="E1653" i="120" s="1"/>
  <c r="E2046" i="120" s="1"/>
  <c r="E2439" i="120" s="1"/>
  <c r="E2832" i="120" s="1"/>
  <c r="D474" i="120"/>
  <c r="D867" i="120" s="1"/>
  <c r="D1260" i="120" s="1"/>
  <c r="D1653" i="120" s="1"/>
  <c r="D2046" i="120" s="1"/>
  <c r="D2439" i="120" s="1"/>
  <c r="D2832" i="120" s="1"/>
  <c r="C474" i="120"/>
  <c r="C867" i="120" s="1"/>
  <c r="C1260" i="120" s="1"/>
  <c r="C1653" i="120" s="1"/>
  <c r="C2046" i="120" s="1"/>
  <c r="C2439" i="120" s="1"/>
  <c r="C2832" i="120" s="1"/>
  <c r="B474" i="120"/>
  <c r="B867" i="120" s="1"/>
  <c r="B1260" i="120" s="1"/>
  <c r="B1653" i="120" s="1"/>
  <c r="B2046" i="120" s="1"/>
  <c r="B2439" i="120" s="1"/>
  <c r="B2832" i="120" s="1"/>
  <c r="A474" i="120"/>
  <c r="A867" i="120" s="1"/>
  <c r="A1260" i="120" s="1"/>
  <c r="A1653" i="120" s="1"/>
  <c r="A2046" i="120" s="1"/>
  <c r="A2439" i="120" s="1"/>
  <c r="A2832" i="120" s="1"/>
  <c r="M80" i="120"/>
  <c r="E473" i="120"/>
  <c r="E866" i="120" s="1"/>
  <c r="E1259" i="120" s="1"/>
  <c r="E1652" i="120" s="1"/>
  <c r="E2045" i="120" s="1"/>
  <c r="E2438" i="120" s="1"/>
  <c r="E2831" i="120" s="1"/>
  <c r="D473" i="120"/>
  <c r="D866" i="120" s="1"/>
  <c r="D1259" i="120" s="1"/>
  <c r="D1652" i="120" s="1"/>
  <c r="D2045" i="120" s="1"/>
  <c r="D2438" i="120" s="1"/>
  <c r="D2831" i="120" s="1"/>
  <c r="C473" i="120"/>
  <c r="C866" i="120" s="1"/>
  <c r="C1259" i="120" s="1"/>
  <c r="C1652" i="120" s="1"/>
  <c r="C2045" i="120" s="1"/>
  <c r="C2438" i="120" s="1"/>
  <c r="C2831" i="120" s="1"/>
  <c r="B473" i="120"/>
  <c r="B866" i="120" s="1"/>
  <c r="B1259" i="120" s="1"/>
  <c r="B1652" i="120" s="1"/>
  <c r="B2045" i="120" s="1"/>
  <c r="B2438" i="120" s="1"/>
  <c r="B2831" i="120" s="1"/>
  <c r="A473" i="120"/>
  <c r="A866" i="120" s="1"/>
  <c r="A1259" i="120" s="1"/>
  <c r="A1652" i="120" s="1"/>
  <c r="A2045" i="120" s="1"/>
  <c r="A2438" i="120" s="1"/>
  <c r="A2831" i="120" s="1"/>
  <c r="M79" i="120"/>
  <c r="E472" i="120"/>
  <c r="E865" i="120" s="1"/>
  <c r="E1258" i="120" s="1"/>
  <c r="E1651" i="120" s="1"/>
  <c r="E2044" i="120" s="1"/>
  <c r="E2437" i="120" s="1"/>
  <c r="E2830" i="120" s="1"/>
  <c r="D472" i="120"/>
  <c r="D865" i="120" s="1"/>
  <c r="D1258" i="120" s="1"/>
  <c r="D1651" i="120" s="1"/>
  <c r="D2044" i="120" s="1"/>
  <c r="D2437" i="120" s="1"/>
  <c r="D2830" i="120" s="1"/>
  <c r="C472" i="120"/>
  <c r="C865" i="120" s="1"/>
  <c r="C1258" i="120" s="1"/>
  <c r="C1651" i="120" s="1"/>
  <c r="C2044" i="120" s="1"/>
  <c r="C2437" i="120" s="1"/>
  <c r="C2830" i="120" s="1"/>
  <c r="B472" i="120"/>
  <c r="B865" i="120" s="1"/>
  <c r="B1258" i="120" s="1"/>
  <c r="B1651" i="120" s="1"/>
  <c r="B2044" i="120" s="1"/>
  <c r="B2437" i="120" s="1"/>
  <c r="B2830" i="120" s="1"/>
  <c r="A472" i="120"/>
  <c r="A865" i="120" s="1"/>
  <c r="A1258" i="120" s="1"/>
  <c r="A1651" i="120" s="1"/>
  <c r="A2044" i="120" s="1"/>
  <c r="A2437" i="120" s="1"/>
  <c r="A2830" i="120" s="1"/>
  <c r="M78" i="120"/>
  <c r="E471" i="120"/>
  <c r="E864" i="120" s="1"/>
  <c r="E1257" i="120" s="1"/>
  <c r="E1650" i="120" s="1"/>
  <c r="E2043" i="120" s="1"/>
  <c r="E2436" i="120" s="1"/>
  <c r="E2829" i="120" s="1"/>
  <c r="D471" i="120"/>
  <c r="D864" i="120" s="1"/>
  <c r="D1257" i="120" s="1"/>
  <c r="D1650" i="120" s="1"/>
  <c r="D2043" i="120" s="1"/>
  <c r="D2436" i="120" s="1"/>
  <c r="D2829" i="120" s="1"/>
  <c r="C471" i="120"/>
  <c r="C864" i="120" s="1"/>
  <c r="C1257" i="120" s="1"/>
  <c r="C1650" i="120" s="1"/>
  <c r="C2043" i="120" s="1"/>
  <c r="C2436" i="120" s="1"/>
  <c r="C2829" i="120" s="1"/>
  <c r="B471" i="120"/>
  <c r="B864" i="120" s="1"/>
  <c r="B1257" i="120" s="1"/>
  <c r="B1650" i="120" s="1"/>
  <c r="B2043" i="120" s="1"/>
  <c r="B2436" i="120" s="1"/>
  <c r="B2829" i="120" s="1"/>
  <c r="A471" i="120"/>
  <c r="A864" i="120" s="1"/>
  <c r="A1257" i="120" s="1"/>
  <c r="A1650" i="120" s="1"/>
  <c r="A2043" i="120" s="1"/>
  <c r="A2436" i="120" s="1"/>
  <c r="A2829" i="120" s="1"/>
  <c r="M77" i="120"/>
  <c r="E470" i="120"/>
  <c r="E863" i="120" s="1"/>
  <c r="E1256" i="120" s="1"/>
  <c r="E1649" i="120" s="1"/>
  <c r="E2042" i="120" s="1"/>
  <c r="E2435" i="120" s="1"/>
  <c r="E2828" i="120" s="1"/>
  <c r="D470" i="120"/>
  <c r="D863" i="120" s="1"/>
  <c r="D1256" i="120" s="1"/>
  <c r="D1649" i="120" s="1"/>
  <c r="D2042" i="120" s="1"/>
  <c r="D2435" i="120" s="1"/>
  <c r="D2828" i="120" s="1"/>
  <c r="C470" i="120"/>
  <c r="C863" i="120" s="1"/>
  <c r="C1256" i="120" s="1"/>
  <c r="C1649" i="120" s="1"/>
  <c r="C2042" i="120" s="1"/>
  <c r="C2435" i="120" s="1"/>
  <c r="C2828" i="120" s="1"/>
  <c r="B470" i="120"/>
  <c r="B863" i="120" s="1"/>
  <c r="B1256" i="120" s="1"/>
  <c r="B1649" i="120" s="1"/>
  <c r="B2042" i="120" s="1"/>
  <c r="B2435" i="120" s="1"/>
  <c r="B2828" i="120" s="1"/>
  <c r="A470" i="120"/>
  <c r="A863" i="120" s="1"/>
  <c r="A1256" i="120" s="1"/>
  <c r="A1649" i="120" s="1"/>
  <c r="A2042" i="120" s="1"/>
  <c r="A2435" i="120" s="1"/>
  <c r="A2828" i="120" s="1"/>
  <c r="M76" i="120"/>
  <c r="E469" i="120"/>
  <c r="E862" i="120" s="1"/>
  <c r="E1255" i="120" s="1"/>
  <c r="E1648" i="120" s="1"/>
  <c r="E2041" i="120" s="1"/>
  <c r="E2434" i="120" s="1"/>
  <c r="E2827" i="120" s="1"/>
  <c r="D469" i="120"/>
  <c r="D862" i="120" s="1"/>
  <c r="D1255" i="120" s="1"/>
  <c r="D1648" i="120" s="1"/>
  <c r="D2041" i="120" s="1"/>
  <c r="D2434" i="120" s="1"/>
  <c r="D2827" i="120" s="1"/>
  <c r="C469" i="120"/>
  <c r="C862" i="120" s="1"/>
  <c r="C1255" i="120" s="1"/>
  <c r="C1648" i="120" s="1"/>
  <c r="C2041" i="120" s="1"/>
  <c r="C2434" i="120" s="1"/>
  <c r="C2827" i="120" s="1"/>
  <c r="B469" i="120"/>
  <c r="B862" i="120" s="1"/>
  <c r="B1255" i="120" s="1"/>
  <c r="B1648" i="120" s="1"/>
  <c r="B2041" i="120" s="1"/>
  <c r="B2434" i="120" s="1"/>
  <c r="B2827" i="120" s="1"/>
  <c r="A469" i="120"/>
  <c r="A862" i="120" s="1"/>
  <c r="A1255" i="120" s="1"/>
  <c r="A1648" i="120" s="1"/>
  <c r="A2041" i="120" s="1"/>
  <c r="A2434" i="120" s="1"/>
  <c r="A2827" i="120" s="1"/>
  <c r="M75" i="120"/>
  <c r="E468" i="120"/>
  <c r="E861" i="120" s="1"/>
  <c r="E1254" i="120" s="1"/>
  <c r="E1647" i="120" s="1"/>
  <c r="E2040" i="120" s="1"/>
  <c r="E2433" i="120" s="1"/>
  <c r="E2826" i="120" s="1"/>
  <c r="D468" i="120"/>
  <c r="D861" i="120" s="1"/>
  <c r="D1254" i="120" s="1"/>
  <c r="D1647" i="120" s="1"/>
  <c r="D2040" i="120" s="1"/>
  <c r="D2433" i="120" s="1"/>
  <c r="D2826" i="120" s="1"/>
  <c r="C468" i="120"/>
  <c r="C861" i="120" s="1"/>
  <c r="C1254" i="120" s="1"/>
  <c r="C1647" i="120" s="1"/>
  <c r="C2040" i="120" s="1"/>
  <c r="C2433" i="120" s="1"/>
  <c r="C2826" i="120" s="1"/>
  <c r="B468" i="120"/>
  <c r="B861" i="120" s="1"/>
  <c r="B1254" i="120" s="1"/>
  <c r="B1647" i="120" s="1"/>
  <c r="B2040" i="120" s="1"/>
  <c r="B2433" i="120" s="1"/>
  <c r="B2826" i="120" s="1"/>
  <c r="A468" i="120"/>
  <c r="A861" i="120" s="1"/>
  <c r="A1254" i="120" s="1"/>
  <c r="A1647" i="120" s="1"/>
  <c r="A2040" i="120" s="1"/>
  <c r="A2433" i="120" s="1"/>
  <c r="A2826" i="120" s="1"/>
  <c r="M74" i="120"/>
  <c r="F467" i="120"/>
  <c r="F860" i="120" s="1"/>
  <c r="E467" i="120"/>
  <c r="E860" i="120" s="1"/>
  <c r="E1253" i="120" s="1"/>
  <c r="E1646" i="120" s="1"/>
  <c r="E2039" i="120" s="1"/>
  <c r="E2432" i="120" s="1"/>
  <c r="E2825" i="120" s="1"/>
  <c r="D467" i="120"/>
  <c r="D860" i="120" s="1"/>
  <c r="D1253" i="120" s="1"/>
  <c r="D1646" i="120" s="1"/>
  <c r="D2039" i="120" s="1"/>
  <c r="D2432" i="120" s="1"/>
  <c r="D2825" i="120" s="1"/>
  <c r="C467" i="120"/>
  <c r="C860" i="120" s="1"/>
  <c r="C1253" i="120" s="1"/>
  <c r="C1646" i="120" s="1"/>
  <c r="C2039" i="120" s="1"/>
  <c r="C2432" i="120" s="1"/>
  <c r="C2825" i="120" s="1"/>
  <c r="B467" i="120"/>
  <c r="B860" i="120" s="1"/>
  <c r="B1253" i="120" s="1"/>
  <c r="B1646" i="120" s="1"/>
  <c r="B2039" i="120" s="1"/>
  <c r="B2432" i="120" s="1"/>
  <c r="B2825" i="120" s="1"/>
  <c r="A467" i="120"/>
  <c r="A860" i="120" s="1"/>
  <c r="A1253" i="120" s="1"/>
  <c r="A1646" i="120" s="1"/>
  <c r="A2039" i="120" s="1"/>
  <c r="A2432" i="120" s="1"/>
  <c r="A2825" i="120" s="1"/>
  <c r="M73" i="120"/>
  <c r="G466" i="120"/>
  <c r="G859" i="120" s="1"/>
  <c r="G1252" i="120" s="1"/>
  <c r="G1645" i="120" s="1"/>
  <c r="G2038" i="120" s="1"/>
  <c r="G2431" i="120" s="1"/>
  <c r="G2824" i="120" s="1"/>
  <c r="E466" i="120"/>
  <c r="E859" i="120" s="1"/>
  <c r="E1252" i="120" s="1"/>
  <c r="E1645" i="120" s="1"/>
  <c r="E2038" i="120" s="1"/>
  <c r="E2431" i="120" s="1"/>
  <c r="E2824" i="120" s="1"/>
  <c r="D466" i="120"/>
  <c r="D859" i="120" s="1"/>
  <c r="D1252" i="120" s="1"/>
  <c r="D1645" i="120" s="1"/>
  <c r="D2038" i="120" s="1"/>
  <c r="D2431" i="120" s="1"/>
  <c r="D2824" i="120" s="1"/>
  <c r="C466" i="120"/>
  <c r="C859" i="120" s="1"/>
  <c r="C1252" i="120" s="1"/>
  <c r="C1645" i="120" s="1"/>
  <c r="C2038" i="120" s="1"/>
  <c r="C2431" i="120" s="1"/>
  <c r="C2824" i="120" s="1"/>
  <c r="B466" i="120"/>
  <c r="B859" i="120" s="1"/>
  <c r="B1252" i="120" s="1"/>
  <c r="B1645" i="120" s="1"/>
  <c r="B2038" i="120" s="1"/>
  <c r="B2431" i="120" s="1"/>
  <c r="B2824" i="120" s="1"/>
  <c r="A466" i="120"/>
  <c r="A859" i="120" s="1"/>
  <c r="A1252" i="120" s="1"/>
  <c r="A1645" i="120" s="1"/>
  <c r="A2038" i="120" s="1"/>
  <c r="A2431" i="120" s="1"/>
  <c r="A2824" i="120" s="1"/>
  <c r="M72" i="120"/>
  <c r="E465" i="120"/>
  <c r="E858" i="120" s="1"/>
  <c r="E1251" i="120" s="1"/>
  <c r="E1644" i="120" s="1"/>
  <c r="E2037" i="120" s="1"/>
  <c r="E2430" i="120" s="1"/>
  <c r="E2823" i="120" s="1"/>
  <c r="D465" i="120"/>
  <c r="D858" i="120" s="1"/>
  <c r="D1251" i="120" s="1"/>
  <c r="D1644" i="120" s="1"/>
  <c r="D2037" i="120" s="1"/>
  <c r="D2430" i="120" s="1"/>
  <c r="D2823" i="120" s="1"/>
  <c r="C465" i="120"/>
  <c r="C858" i="120" s="1"/>
  <c r="C1251" i="120" s="1"/>
  <c r="C1644" i="120" s="1"/>
  <c r="C2037" i="120" s="1"/>
  <c r="C2430" i="120" s="1"/>
  <c r="C2823" i="120" s="1"/>
  <c r="B465" i="120"/>
  <c r="B858" i="120" s="1"/>
  <c r="B1251" i="120" s="1"/>
  <c r="B1644" i="120" s="1"/>
  <c r="B2037" i="120" s="1"/>
  <c r="B2430" i="120" s="1"/>
  <c r="B2823" i="120" s="1"/>
  <c r="A465" i="120"/>
  <c r="A858" i="120" s="1"/>
  <c r="A1251" i="120" s="1"/>
  <c r="A1644" i="120" s="1"/>
  <c r="A2037" i="120" s="1"/>
  <c r="A2430" i="120" s="1"/>
  <c r="A2823" i="120" s="1"/>
  <c r="M71" i="120"/>
  <c r="E464" i="120"/>
  <c r="E857" i="120" s="1"/>
  <c r="E1250" i="120" s="1"/>
  <c r="E1643" i="120" s="1"/>
  <c r="E2036" i="120" s="1"/>
  <c r="E2429" i="120" s="1"/>
  <c r="E2822" i="120" s="1"/>
  <c r="D464" i="120"/>
  <c r="D857" i="120" s="1"/>
  <c r="D1250" i="120" s="1"/>
  <c r="D1643" i="120" s="1"/>
  <c r="D2036" i="120" s="1"/>
  <c r="D2429" i="120" s="1"/>
  <c r="D2822" i="120" s="1"/>
  <c r="C464" i="120"/>
  <c r="C857" i="120" s="1"/>
  <c r="C1250" i="120" s="1"/>
  <c r="C1643" i="120" s="1"/>
  <c r="C2036" i="120" s="1"/>
  <c r="C2429" i="120" s="1"/>
  <c r="C2822" i="120" s="1"/>
  <c r="B464" i="120"/>
  <c r="B857" i="120" s="1"/>
  <c r="B1250" i="120" s="1"/>
  <c r="B1643" i="120" s="1"/>
  <c r="B2036" i="120" s="1"/>
  <c r="B2429" i="120" s="1"/>
  <c r="B2822" i="120" s="1"/>
  <c r="A464" i="120"/>
  <c r="A857" i="120" s="1"/>
  <c r="A1250" i="120" s="1"/>
  <c r="A1643" i="120" s="1"/>
  <c r="A2036" i="120" s="1"/>
  <c r="A2429" i="120" s="1"/>
  <c r="A2822" i="120" s="1"/>
  <c r="M70" i="120"/>
  <c r="G463" i="120"/>
  <c r="G856" i="120" s="1"/>
  <c r="G1249" i="120" s="1"/>
  <c r="E463" i="120"/>
  <c r="E856" i="120" s="1"/>
  <c r="E1249" i="120" s="1"/>
  <c r="E1642" i="120" s="1"/>
  <c r="E2035" i="120" s="1"/>
  <c r="E2428" i="120" s="1"/>
  <c r="E2821" i="120" s="1"/>
  <c r="D463" i="120"/>
  <c r="D856" i="120" s="1"/>
  <c r="D1249" i="120" s="1"/>
  <c r="D1642" i="120" s="1"/>
  <c r="D2035" i="120" s="1"/>
  <c r="D2428" i="120" s="1"/>
  <c r="D2821" i="120" s="1"/>
  <c r="C463" i="120"/>
  <c r="C856" i="120" s="1"/>
  <c r="C1249" i="120" s="1"/>
  <c r="C1642" i="120" s="1"/>
  <c r="C2035" i="120" s="1"/>
  <c r="C2428" i="120" s="1"/>
  <c r="C2821" i="120" s="1"/>
  <c r="B463" i="120"/>
  <c r="B856" i="120" s="1"/>
  <c r="B1249" i="120" s="1"/>
  <c r="B1642" i="120" s="1"/>
  <c r="B2035" i="120" s="1"/>
  <c r="B2428" i="120" s="1"/>
  <c r="B2821" i="120" s="1"/>
  <c r="A463" i="120"/>
  <c r="A856" i="120" s="1"/>
  <c r="A1249" i="120" s="1"/>
  <c r="A1642" i="120" s="1"/>
  <c r="A2035" i="120" s="1"/>
  <c r="A2428" i="120" s="1"/>
  <c r="A2821" i="120" s="1"/>
  <c r="M69" i="120"/>
  <c r="G462" i="120"/>
  <c r="G855" i="120" s="1"/>
  <c r="G1248" i="120" s="1"/>
  <c r="G1641" i="120" s="1"/>
  <c r="G2034" i="120" s="1"/>
  <c r="G2427" i="120" s="1"/>
  <c r="G2820" i="120" s="1"/>
  <c r="E462" i="120"/>
  <c r="E855" i="120" s="1"/>
  <c r="E1248" i="120" s="1"/>
  <c r="E1641" i="120" s="1"/>
  <c r="E2034" i="120" s="1"/>
  <c r="E2427" i="120" s="1"/>
  <c r="E2820" i="120" s="1"/>
  <c r="D462" i="120"/>
  <c r="D855" i="120" s="1"/>
  <c r="D1248" i="120" s="1"/>
  <c r="D1641" i="120" s="1"/>
  <c r="D2034" i="120" s="1"/>
  <c r="D2427" i="120" s="1"/>
  <c r="D2820" i="120" s="1"/>
  <c r="C462" i="120"/>
  <c r="C855" i="120" s="1"/>
  <c r="C1248" i="120" s="1"/>
  <c r="C1641" i="120" s="1"/>
  <c r="C2034" i="120" s="1"/>
  <c r="C2427" i="120" s="1"/>
  <c r="C2820" i="120" s="1"/>
  <c r="B462" i="120"/>
  <c r="B855" i="120" s="1"/>
  <c r="B1248" i="120" s="1"/>
  <c r="B1641" i="120" s="1"/>
  <c r="B2034" i="120" s="1"/>
  <c r="B2427" i="120" s="1"/>
  <c r="B2820" i="120" s="1"/>
  <c r="A462" i="120"/>
  <c r="A855" i="120" s="1"/>
  <c r="A1248" i="120" s="1"/>
  <c r="A1641" i="120" s="1"/>
  <c r="A2034" i="120" s="1"/>
  <c r="A2427" i="120" s="1"/>
  <c r="A2820" i="120" s="1"/>
  <c r="M68" i="120"/>
  <c r="E461" i="120"/>
  <c r="E854" i="120" s="1"/>
  <c r="E1247" i="120" s="1"/>
  <c r="E1640" i="120" s="1"/>
  <c r="E2033" i="120" s="1"/>
  <c r="E2426" i="120" s="1"/>
  <c r="E2819" i="120" s="1"/>
  <c r="D461" i="120"/>
  <c r="D854" i="120" s="1"/>
  <c r="D1247" i="120" s="1"/>
  <c r="D1640" i="120" s="1"/>
  <c r="D2033" i="120" s="1"/>
  <c r="D2426" i="120" s="1"/>
  <c r="D2819" i="120" s="1"/>
  <c r="C461" i="120"/>
  <c r="C854" i="120" s="1"/>
  <c r="C1247" i="120" s="1"/>
  <c r="C1640" i="120" s="1"/>
  <c r="C2033" i="120" s="1"/>
  <c r="C2426" i="120" s="1"/>
  <c r="C2819" i="120" s="1"/>
  <c r="B461" i="120"/>
  <c r="B854" i="120" s="1"/>
  <c r="B1247" i="120" s="1"/>
  <c r="B1640" i="120" s="1"/>
  <c r="B2033" i="120" s="1"/>
  <c r="B2426" i="120" s="1"/>
  <c r="B2819" i="120" s="1"/>
  <c r="A461" i="120"/>
  <c r="A854" i="120" s="1"/>
  <c r="A1247" i="120" s="1"/>
  <c r="A1640" i="120" s="1"/>
  <c r="A2033" i="120" s="1"/>
  <c r="A2426" i="120" s="1"/>
  <c r="A2819" i="120" s="1"/>
  <c r="M67" i="120"/>
  <c r="E460" i="120"/>
  <c r="E853" i="120" s="1"/>
  <c r="E1246" i="120" s="1"/>
  <c r="E1639" i="120" s="1"/>
  <c r="E2032" i="120" s="1"/>
  <c r="E2425" i="120" s="1"/>
  <c r="E2818" i="120" s="1"/>
  <c r="D460" i="120"/>
  <c r="D853" i="120" s="1"/>
  <c r="D1246" i="120" s="1"/>
  <c r="D1639" i="120" s="1"/>
  <c r="D2032" i="120" s="1"/>
  <c r="D2425" i="120" s="1"/>
  <c r="D2818" i="120" s="1"/>
  <c r="C460" i="120"/>
  <c r="C853" i="120" s="1"/>
  <c r="C1246" i="120" s="1"/>
  <c r="C1639" i="120" s="1"/>
  <c r="C2032" i="120" s="1"/>
  <c r="C2425" i="120" s="1"/>
  <c r="C2818" i="120" s="1"/>
  <c r="B460" i="120"/>
  <c r="B853" i="120" s="1"/>
  <c r="B1246" i="120" s="1"/>
  <c r="B1639" i="120" s="1"/>
  <c r="B2032" i="120" s="1"/>
  <c r="B2425" i="120" s="1"/>
  <c r="B2818" i="120" s="1"/>
  <c r="A460" i="120"/>
  <c r="A853" i="120" s="1"/>
  <c r="A1246" i="120" s="1"/>
  <c r="A1639" i="120" s="1"/>
  <c r="A2032" i="120" s="1"/>
  <c r="A2425" i="120" s="1"/>
  <c r="A2818" i="120" s="1"/>
  <c r="M66" i="120"/>
  <c r="F459" i="120"/>
  <c r="E459" i="120"/>
  <c r="E852" i="120" s="1"/>
  <c r="E1245" i="120" s="1"/>
  <c r="E1638" i="120" s="1"/>
  <c r="E2031" i="120" s="1"/>
  <c r="E2424" i="120" s="1"/>
  <c r="E2817" i="120" s="1"/>
  <c r="D459" i="120"/>
  <c r="D852" i="120" s="1"/>
  <c r="D1245" i="120" s="1"/>
  <c r="D1638" i="120" s="1"/>
  <c r="D2031" i="120" s="1"/>
  <c r="D2424" i="120" s="1"/>
  <c r="D2817" i="120" s="1"/>
  <c r="C459" i="120"/>
  <c r="C852" i="120" s="1"/>
  <c r="C1245" i="120" s="1"/>
  <c r="C1638" i="120" s="1"/>
  <c r="C2031" i="120" s="1"/>
  <c r="C2424" i="120" s="1"/>
  <c r="C2817" i="120" s="1"/>
  <c r="B459" i="120"/>
  <c r="B852" i="120" s="1"/>
  <c r="B1245" i="120" s="1"/>
  <c r="B1638" i="120" s="1"/>
  <c r="B2031" i="120" s="1"/>
  <c r="B2424" i="120" s="1"/>
  <c r="B2817" i="120" s="1"/>
  <c r="A459" i="120"/>
  <c r="A852" i="120" s="1"/>
  <c r="A1245" i="120" s="1"/>
  <c r="A1638" i="120" s="1"/>
  <c r="A2031" i="120" s="1"/>
  <c r="A2424" i="120" s="1"/>
  <c r="A2817" i="120" s="1"/>
  <c r="M65" i="120"/>
  <c r="E458" i="120"/>
  <c r="E851" i="120" s="1"/>
  <c r="E1244" i="120" s="1"/>
  <c r="E1637" i="120" s="1"/>
  <c r="E2030" i="120" s="1"/>
  <c r="E2423" i="120" s="1"/>
  <c r="E2816" i="120" s="1"/>
  <c r="D458" i="120"/>
  <c r="D851" i="120" s="1"/>
  <c r="D1244" i="120" s="1"/>
  <c r="D1637" i="120" s="1"/>
  <c r="D2030" i="120" s="1"/>
  <c r="D2423" i="120" s="1"/>
  <c r="D2816" i="120" s="1"/>
  <c r="C458" i="120"/>
  <c r="C851" i="120" s="1"/>
  <c r="C1244" i="120" s="1"/>
  <c r="C1637" i="120" s="1"/>
  <c r="C2030" i="120" s="1"/>
  <c r="C2423" i="120" s="1"/>
  <c r="C2816" i="120" s="1"/>
  <c r="B458" i="120"/>
  <c r="B851" i="120" s="1"/>
  <c r="B1244" i="120" s="1"/>
  <c r="B1637" i="120" s="1"/>
  <c r="B2030" i="120" s="1"/>
  <c r="B2423" i="120" s="1"/>
  <c r="B2816" i="120" s="1"/>
  <c r="A458" i="120"/>
  <c r="A851" i="120" s="1"/>
  <c r="A1244" i="120" s="1"/>
  <c r="A1637" i="120" s="1"/>
  <c r="A2030" i="120" s="1"/>
  <c r="A2423" i="120" s="1"/>
  <c r="A2816" i="120" s="1"/>
  <c r="M64" i="120"/>
  <c r="E457" i="120"/>
  <c r="E850" i="120" s="1"/>
  <c r="E1243" i="120" s="1"/>
  <c r="E1636" i="120" s="1"/>
  <c r="E2029" i="120" s="1"/>
  <c r="E2422" i="120" s="1"/>
  <c r="E2815" i="120" s="1"/>
  <c r="D457" i="120"/>
  <c r="D850" i="120" s="1"/>
  <c r="D1243" i="120" s="1"/>
  <c r="D1636" i="120" s="1"/>
  <c r="D2029" i="120" s="1"/>
  <c r="D2422" i="120" s="1"/>
  <c r="D2815" i="120" s="1"/>
  <c r="C457" i="120"/>
  <c r="C850" i="120" s="1"/>
  <c r="C1243" i="120" s="1"/>
  <c r="C1636" i="120" s="1"/>
  <c r="C2029" i="120" s="1"/>
  <c r="C2422" i="120" s="1"/>
  <c r="C2815" i="120" s="1"/>
  <c r="B457" i="120"/>
  <c r="B850" i="120" s="1"/>
  <c r="B1243" i="120" s="1"/>
  <c r="B1636" i="120" s="1"/>
  <c r="B2029" i="120" s="1"/>
  <c r="B2422" i="120" s="1"/>
  <c r="B2815" i="120" s="1"/>
  <c r="A457" i="120"/>
  <c r="A850" i="120" s="1"/>
  <c r="A1243" i="120" s="1"/>
  <c r="A1636" i="120" s="1"/>
  <c r="A2029" i="120" s="1"/>
  <c r="A2422" i="120" s="1"/>
  <c r="A2815" i="120" s="1"/>
  <c r="M63" i="120"/>
  <c r="E456" i="120"/>
  <c r="E849" i="120" s="1"/>
  <c r="E1242" i="120" s="1"/>
  <c r="E1635" i="120" s="1"/>
  <c r="E2028" i="120" s="1"/>
  <c r="E2421" i="120" s="1"/>
  <c r="E2814" i="120" s="1"/>
  <c r="D456" i="120"/>
  <c r="D849" i="120" s="1"/>
  <c r="D1242" i="120" s="1"/>
  <c r="D1635" i="120" s="1"/>
  <c r="D2028" i="120" s="1"/>
  <c r="D2421" i="120" s="1"/>
  <c r="D2814" i="120" s="1"/>
  <c r="C456" i="120"/>
  <c r="C849" i="120" s="1"/>
  <c r="C1242" i="120" s="1"/>
  <c r="C1635" i="120" s="1"/>
  <c r="C2028" i="120" s="1"/>
  <c r="C2421" i="120" s="1"/>
  <c r="C2814" i="120" s="1"/>
  <c r="B456" i="120"/>
  <c r="B849" i="120" s="1"/>
  <c r="B1242" i="120" s="1"/>
  <c r="B1635" i="120" s="1"/>
  <c r="B2028" i="120" s="1"/>
  <c r="B2421" i="120" s="1"/>
  <c r="B2814" i="120" s="1"/>
  <c r="A456" i="120"/>
  <c r="A849" i="120" s="1"/>
  <c r="A1242" i="120" s="1"/>
  <c r="A1635" i="120" s="1"/>
  <c r="A2028" i="120" s="1"/>
  <c r="A2421" i="120" s="1"/>
  <c r="A2814" i="120" s="1"/>
  <c r="M62" i="120"/>
  <c r="E455" i="120"/>
  <c r="E848" i="120" s="1"/>
  <c r="E1241" i="120" s="1"/>
  <c r="E1634" i="120" s="1"/>
  <c r="E2027" i="120" s="1"/>
  <c r="E2420" i="120" s="1"/>
  <c r="E2813" i="120" s="1"/>
  <c r="D455" i="120"/>
  <c r="D848" i="120" s="1"/>
  <c r="D1241" i="120" s="1"/>
  <c r="D1634" i="120" s="1"/>
  <c r="D2027" i="120" s="1"/>
  <c r="D2420" i="120" s="1"/>
  <c r="D2813" i="120" s="1"/>
  <c r="C455" i="120"/>
  <c r="C848" i="120" s="1"/>
  <c r="C1241" i="120" s="1"/>
  <c r="C1634" i="120" s="1"/>
  <c r="C2027" i="120" s="1"/>
  <c r="C2420" i="120" s="1"/>
  <c r="C2813" i="120" s="1"/>
  <c r="B455" i="120"/>
  <c r="B848" i="120" s="1"/>
  <c r="B1241" i="120" s="1"/>
  <c r="B1634" i="120" s="1"/>
  <c r="B2027" i="120" s="1"/>
  <c r="B2420" i="120" s="1"/>
  <c r="B2813" i="120" s="1"/>
  <c r="A455" i="120"/>
  <c r="A848" i="120" s="1"/>
  <c r="A1241" i="120" s="1"/>
  <c r="A1634" i="120" s="1"/>
  <c r="A2027" i="120" s="1"/>
  <c r="A2420" i="120" s="1"/>
  <c r="A2813" i="120" s="1"/>
  <c r="M61" i="120"/>
  <c r="E454" i="120"/>
  <c r="E847" i="120" s="1"/>
  <c r="E1240" i="120" s="1"/>
  <c r="E1633" i="120" s="1"/>
  <c r="E2026" i="120" s="1"/>
  <c r="E2419" i="120" s="1"/>
  <c r="E2812" i="120" s="1"/>
  <c r="D454" i="120"/>
  <c r="D847" i="120" s="1"/>
  <c r="D1240" i="120" s="1"/>
  <c r="D1633" i="120" s="1"/>
  <c r="D2026" i="120" s="1"/>
  <c r="D2419" i="120" s="1"/>
  <c r="D2812" i="120" s="1"/>
  <c r="C454" i="120"/>
  <c r="C847" i="120" s="1"/>
  <c r="C1240" i="120" s="1"/>
  <c r="C1633" i="120" s="1"/>
  <c r="C2026" i="120" s="1"/>
  <c r="C2419" i="120" s="1"/>
  <c r="C2812" i="120" s="1"/>
  <c r="B454" i="120"/>
  <c r="B847" i="120" s="1"/>
  <c r="B1240" i="120" s="1"/>
  <c r="B1633" i="120" s="1"/>
  <c r="B2026" i="120" s="1"/>
  <c r="B2419" i="120" s="1"/>
  <c r="B2812" i="120" s="1"/>
  <c r="A454" i="120"/>
  <c r="A847" i="120" s="1"/>
  <c r="A1240" i="120" s="1"/>
  <c r="A1633" i="120" s="1"/>
  <c r="A2026" i="120" s="1"/>
  <c r="A2419" i="120" s="1"/>
  <c r="A2812" i="120" s="1"/>
  <c r="M60" i="120"/>
  <c r="E453" i="120"/>
  <c r="E846" i="120" s="1"/>
  <c r="E1239" i="120" s="1"/>
  <c r="E1632" i="120" s="1"/>
  <c r="E2025" i="120" s="1"/>
  <c r="E2418" i="120" s="1"/>
  <c r="E2811" i="120" s="1"/>
  <c r="D453" i="120"/>
  <c r="D846" i="120" s="1"/>
  <c r="D1239" i="120" s="1"/>
  <c r="D1632" i="120" s="1"/>
  <c r="D2025" i="120" s="1"/>
  <c r="D2418" i="120" s="1"/>
  <c r="D2811" i="120" s="1"/>
  <c r="C453" i="120"/>
  <c r="C846" i="120" s="1"/>
  <c r="C1239" i="120" s="1"/>
  <c r="C1632" i="120" s="1"/>
  <c r="C2025" i="120" s="1"/>
  <c r="C2418" i="120" s="1"/>
  <c r="C2811" i="120" s="1"/>
  <c r="B453" i="120"/>
  <c r="B846" i="120" s="1"/>
  <c r="B1239" i="120" s="1"/>
  <c r="B1632" i="120" s="1"/>
  <c r="B2025" i="120" s="1"/>
  <c r="B2418" i="120" s="1"/>
  <c r="B2811" i="120" s="1"/>
  <c r="A453" i="120"/>
  <c r="A846" i="120" s="1"/>
  <c r="A1239" i="120" s="1"/>
  <c r="A1632" i="120" s="1"/>
  <c r="A2025" i="120" s="1"/>
  <c r="A2418" i="120" s="1"/>
  <c r="A2811" i="120" s="1"/>
  <c r="M59" i="120"/>
  <c r="E452" i="120"/>
  <c r="E845" i="120" s="1"/>
  <c r="E1238" i="120" s="1"/>
  <c r="E1631" i="120" s="1"/>
  <c r="E2024" i="120" s="1"/>
  <c r="E2417" i="120" s="1"/>
  <c r="E2810" i="120" s="1"/>
  <c r="D452" i="120"/>
  <c r="D845" i="120" s="1"/>
  <c r="D1238" i="120" s="1"/>
  <c r="D1631" i="120" s="1"/>
  <c r="D2024" i="120" s="1"/>
  <c r="D2417" i="120" s="1"/>
  <c r="D2810" i="120" s="1"/>
  <c r="C452" i="120"/>
  <c r="C845" i="120" s="1"/>
  <c r="C1238" i="120" s="1"/>
  <c r="C1631" i="120" s="1"/>
  <c r="C2024" i="120" s="1"/>
  <c r="C2417" i="120" s="1"/>
  <c r="C2810" i="120" s="1"/>
  <c r="B452" i="120"/>
  <c r="B845" i="120" s="1"/>
  <c r="B1238" i="120" s="1"/>
  <c r="B1631" i="120" s="1"/>
  <c r="B2024" i="120" s="1"/>
  <c r="B2417" i="120" s="1"/>
  <c r="B2810" i="120" s="1"/>
  <c r="A452" i="120"/>
  <c r="A845" i="120" s="1"/>
  <c r="A1238" i="120" s="1"/>
  <c r="A1631" i="120" s="1"/>
  <c r="A2024" i="120" s="1"/>
  <c r="A2417" i="120" s="1"/>
  <c r="A2810" i="120" s="1"/>
  <c r="M58" i="120"/>
  <c r="E451" i="120"/>
  <c r="E844" i="120" s="1"/>
  <c r="E1237" i="120" s="1"/>
  <c r="E1630" i="120" s="1"/>
  <c r="E2023" i="120" s="1"/>
  <c r="E2416" i="120" s="1"/>
  <c r="E2809" i="120" s="1"/>
  <c r="D451" i="120"/>
  <c r="D844" i="120" s="1"/>
  <c r="D1237" i="120" s="1"/>
  <c r="D1630" i="120" s="1"/>
  <c r="D2023" i="120" s="1"/>
  <c r="D2416" i="120" s="1"/>
  <c r="D2809" i="120" s="1"/>
  <c r="C451" i="120"/>
  <c r="C844" i="120" s="1"/>
  <c r="C1237" i="120" s="1"/>
  <c r="C1630" i="120" s="1"/>
  <c r="C2023" i="120" s="1"/>
  <c r="C2416" i="120" s="1"/>
  <c r="C2809" i="120" s="1"/>
  <c r="B451" i="120"/>
  <c r="B844" i="120" s="1"/>
  <c r="B1237" i="120" s="1"/>
  <c r="B1630" i="120" s="1"/>
  <c r="B2023" i="120" s="1"/>
  <c r="B2416" i="120" s="1"/>
  <c r="B2809" i="120" s="1"/>
  <c r="A451" i="120"/>
  <c r="A844" i="120" s="1"/>
  <c r="A1237" i="120" s="1"/>
  <c r="A1630" i="120" s="1"/>
  <c r="A2023" i="120" s="1"/>
  <c r="A2416" i="120" s="1"/>
  <c r="A2809" i="120" s="1"/>
  <c r="M57" i="120"/>
  <c r="E450" i="120"/>
  <c r="E843" i="120" s="1"/>
  <c r="E1236" i="120" s="1"/>
  <c r="E1629" i="120" s="1"/>
  <c r="E2022" i="120" s="1"/>
  <c r="E2415" i="120" s="1"/>
  <c r="E2808" i="120" s="1"/>
  <c r="D450" i="120"/>
  <c r="D843" i="120" s="1"/>
  <c r="D1236" i="120" s="1"/>
  <c r="D1629" i="120" s="1"/>
  <c r="D2022" i="120" s="1"/>
  <c r="D2415" i="120" s="1"/>
  <c r="D2808" i="120" s="1"/>
  <c r="C450" i="120"/>
  <c r="C843" i="120" s="1"/>
  <c r="C1236" i="120" s="1"/>
  <c r="C1629" i="120" s="1"/>
  <c r="C2022" i="120" s="1"/>
  <c r="C2415" i="120" s="1"/>
  <c r="C2808" i="120" s="1"/>
  <c r="B450" i="120"/>
  <c r="B843" i="120" s="1"/>
  <c r="B1236" i="120" s="1"/>
  <c r="B1629" i="120" s="1"/>
  <c r="B2022" i="120" s="1"/>
  <c r="B2415" i="120" s="1"/>
  <c r="B2808" i="120" s="1"/>
  <c r="A450" i="120"/>
  <c r="A843" i="120" s="1"/>
  <c r="A1236" i="120" s="1"/>
  <c r="A1629" i="120" s="1"/>
  <c r="A2022" i="120" s="1"/>
  <c r="A2415" i="120" s="1"/>
  <c r="A2808" i="120" s="1"/>
  <c r="M56" i="120"/>
  <c r="E449" i="120"/>
  <c r="E842" i="120" s="1"/>
  <c r="E1235" i="120" s="1"/>
  <c r="E1628" i="120" s="1"/>
  <c r="E2021" i="120" s="1"/>
  <c r="E2414" i="120" s="1"/>
  <c r="E2807" i="120" s="1"/>
  <c r="D449" i="120"/>
  <c r="D842" i="120" s="1"/>
  <c r="D1235" i="120" s="1"/>
  <c r="D1628" i="120" s="1"/>
  <c r="D2021" i="120" s="1"/>
  <c r="D2414" i="120" s="1"/>
  <c r="D2807" i="120" s="1"/>
  <c r="C449" i="120"/>
  <c r="C842" i="120" s="1"/>
  <c r="C1235" i="120" s="1"/>
  <c r="C1628" i="120" s="1"/>
  <c r="C2021" i="120" s="1"/>
  <c r="C2414" i="120" s="1"/>
  <c r="C2807" i="120" s="1"/>
  <c r="B449" i="120"/>
  <c r="B842" i="120" s="1"/>
  <c r="B1235" i="120" s="1"/>
  <c r="B1628" i="120" s="1"/>
  <c r="B2021" i="120" s="1"/>
  <c r="B2414" i="120" s="1"/>
  <c r="B2807" i="120" s="1"/>
  <c r="A449" i="120"/>
  <c r="A842" i="120" s="1"/>
  <c r="A1235" i="120" s="1"/>
  <c r="A1628" i="120" s="1"/>
  <c r="A2021" i="120" s="1"/>
  <c r="A2414" i="120" s="1"/>
  <c r="A2807" i="120" s="1"/>
  <c r="M55" i="120"/>
  <c r="F448" i="120"/>
  <c r="E448" i="120"/>
  <c r="E841" i="120" s="1"/>
  <c r="E1234" i="120" s="1"/>
  <c r="E1627" i="120" s="1"/>
  <c r="E2020" i="120" s="1"/>
  <c r="E2413" i="120" s="1"/>
  <c r="E2806" i="120" s="1"/>
  <c r="D448" i="120"/>
  <c r="D841" i="120" s="1"/>
  <c r="D1234" i="120" s="1"/>
  <c r="D1627" i="120" s="1"/>
  <c r="D2020" i="120" s="1"/>
  <c r="D2413" i="120" s="1"/>
  <c r="D2806" i="120" s="1"/>
  <c r="C448" i="120"/>
  <c r="C841" i="120" s="1"/>
  <c r="C1234" i="120" s="1"/>
  <c r="C1627" i="120" s="1"/>
  <c r="C2020" i="120" s="1"/>
  <c r="C2413" i="120" s="1"/>
  <c r="C2806" i="120" s="1"/>
  <c r="B448" i="120"/>
  <c r="B841" i="120" s="1"/>
  <c r="B1234" i="120" s="1"/>
  <c r="B1627" i="120" s="1"/>
  <c r="B2020" i="120" s="1"/>
  <c r="B2413" i="120" s="1"/>
  <c r="B2806" i="120" s="1"/>
  <c r="A448" i="120"/>
  <c r="A841" i="120" s="1"/>
  <c r="A1234" i="120" s="1"/>
  <c r="A1627" i="120" s="1"/>
  <c r="A2020" i="120" s="1"/>
  <c r="A2413" i="120" s="1"/>
  <c r="A2806" i="120" s="1"/>
  <c r="M54" i="120"/>
  <c r="D447" i="120"/>
  <c r="D840" i="120" s="1"/>
  <c r="D1233" i="120" s="1"/>
  <c r="D1626" i="120" s="1"/>
  <c r="D2019" i="120" s="1"/>
  <c r="D2412" i="120" s="1"/>
  <c r="D2805" i="120" s="1"/>
  <c r="B447" i="120"/>
  <c r="B840" i="120" s="1"/>
  <c r="B1233" i="120" s="1"/>
  <c r="B1626" i="120" s="1"/>
  <c r="B2019" i="120" s="1"/>
  <c r="B2412" i="120" s="1"/>
  <c r="B2805" i="120" s="1"/>
  <c r="A447" i="120"/>
  <c r="A840" i="120" s="1"/>
  <c r="A1233" i="120" s="1"/>
  <c r="A1626" i="120" s="1"/>
  <c r="A2019" i="120" s="1"/>
  <c r="A2412" i="120" s="1"/>
  <c r="A2805" i="120" s="1"/>
  <c r="M53" i="120"/>
  <c r="E446" i="120"/>
  <c r="E839" i="120" s="1"/>
  <c r="E1232" i="120" s="1"/>
  <c r="E1625" i="120" s="1"/>
  <c r="E2018" i="120" s="1"/>
  <c r="E2411" i="120" s="1"/>
  <c r="E2804" i="120" s="1"/>
  <c r="D446" i="120"/>
  <c r="D839" i="120" s="1"/>
  <c r="D1232" i="120" s="1"/>
  <c r="D1625" i="120" s="1"/>
  <c r="D2018" i="120" s="1"/>
  <c r="D2411" i="120" s="1"/>
  <c r="D2804" i="120" s="1"/>
  <c r="B446" i="120"/>
  <c r="B839" i="120" s="1"/>
  <c r="B1232" i="120" s="1"/>
  <c r="B1625" i="120" s="1"/>
  <c r="B2018" i="120" s="1"/>
  <c r="B2411" i="120" s="1"/>
  <c r="B2804" i="120" s="1"/>
  <c r="A446" i="120"/>
  <c r="A839" i="120" s="1"/>
  <c r="A1232" i="120" s="1"/>
  <c r="A1625" i="120" s="1"/>
  <c r="A2018" i="120" s="1"/>
  <c r="A2411" i="120" s="1"/>
  <c r="A2804" i="120" s="1"/>
  <c r="M52" i="120"/>
  <c r="E445" i="120"/>
  <c r="E838" i="120" s="1"/>
  <c r="E1231" i="120" s="1"/>
  <c r="E1624" i="120" s="1"/>
  <c r="E2017" i="120" s="1"/>
  <c r="E2410" i="120" s="1"/>
  <c r="E2803" i="120" s="1"/>
  <c r="D445" i="120"/>
  <c r="D838" i="120" s="1"/>
  <c r="D1231" i="120" s="1"/>
  <c r="D1624" i="120" s="1"/>
  <c r="D2017" i="120" s="1"/>
  <c r="D2410" i="120" s="1"/>
  <c r="D2803" i="120" s="1"/>
  <c r="B445" i="120"/>
  <c r="B838" i="120" s="1"/>
  <c r="B1231" i="120" s="1"/>
  <c r="B1624" i="120" s="1"/>
  <c r="B2017" i="120" s="1"/>
  <c r="B2410" i="120" s="1"/>
  <c r="B2803" i="120" s="1"/>
  <c r="A445" i="120"/>
  <c r="A838" i="120" s="1"/>
  <c r="A1231" i="120" s="1"/>
  <c r="A1624" i="120" s="1"/>
  <c r="A2017" i="120" s="1"/>
  <c r="A2410" i="120" s="1"/>
  <c r="A2803" i="120" s="1"/>
  <c r="M51" i="120"/>
  <c r="E444" i="120"/>
  <c r="E837" i="120" s="1"/>
  <c r="E1230" i="120" s="1"/>
  <c r="E1623" i="120" s="1"/>
  <c r="E2016" i="120" s="1"/>
  <c r="E2409" i="120" s="1"/>
  <c r="E2802" i="120" s="1"/>
  <c r="D444" i="120"/>
  <c r="D837" i="120" s="1"/>
  <c r="D1230" i="120" s="1"/>
  <c r="D1623" i="120" s="1"/>
  <c r="D2016" i="120" s="1"/>
  <c r="D2409" i="120" s="1"/>
  <c r="D2802" i="120" s="1"/>
  <c r="B444" i="120"/>
  <c r="B837" i="120" s="1"/>
  <c r="B1230" i="120" s="1"/>
  <c r="B1623" i="120" s="1"/>
  <c r="B2016" i="120" s="1"/>
  <c r="B2409" i="120" s="1"/>
  <c r="B2802" i="120" s="1"/>
  <c r="A444" i="120"/>
  <c r="A837" i="120" s="1"/>
  <c r="A1230" i="120" s="1"/>
  <c r="A1623" i="120" s="1"/>
  <c r="A2016" i="120" s="1"/>
  <c r="A2409" i="120" s="1"/>
  <c r="A2802" i="120" s="1"/>
  <c r="M50" i="120"/>
  <c r="E443" i="120"/>
  <c r="E836" i="120" s="1"/>
  <c r="E1229" i="120" s="1"/>
  <c r="E1622" i="120" s="1"/>
  <c r="E2015" i="120" s="1"/>
  <c r="E2408" i="120" s="1"/>
  <c r="E2801" i="120" s="1"/>
  <c r="D443" i="120"/>
  <c r="D836" i="120" s="1"/>
  <c r="D1229" i="120" s="1"/>
  <c r="D1622" i="120" s="1"/>
  <c r="D2015" i="120" s="1"/>
  <c r="D2408" i="120" s="1"/>
  <c r="D2801" i="120" s="1"/>
  <c r="B443" i="120"/>
  <c r="B836" i="120" s="1"/>
  <c r="B1229" i="120" s="1"/>
  <c r="B1622" i="120" s="1"/>
  <c r="B2015" i="120" s="1"/>
  <c r="B2408" i="120" s="1"/>
  <c r="B2801" i="120" s="1"/>
  <c r="A443" i="120"/>
  <c r="A836" i="120" s="1"/>
  <c r="A1229" i="120" s="1"/>
  <c r="A1622" i="120" s="1"/>
  <c r="A2015" i="120" s="1"/>
  <c r="A2408" i="120" s="1"/>
  <c r="A2801" i="120" s="1"/>
  <c r="M49" i="120"/>
  <c r="E442" i="120"/>
  <c r="E835" i="120" s="1"/>
  <c r="E1228" i="120" s="1"/>
  <c r="E1621" i="120" s="1"/>
  <c r="E2014" i="120" s="1"/>
  <c r="E2407" i="120" s="1"/>
  <c r="E2800" i="120" s="1"/>
  <c r="D442" i="120"/>
  <c r="D835" i="120" s="1"/>
  <c r="D1228" i="120" s="1"/>
  <c r="D1621" i="120" s="1"/>
  <c r="D2014" i="120" s="1"/>
  <c r="D2407" i="120" s="1"/>
  <c r="D2800" i="120" s="1"/>
  <c r="B442" i="120"/>
  <c r="B835" i="120" s="1"/>
  <c r="B1228" i="120" s="1"/>
  <c r="B1621" i="120" s="1"/>
  <c r="B2014" i="120" s="1"/>
  <c r="B2407" i="120" s="1"/>
  <c r="B2800" i="120" s="1"/>
  <c r="A442" i="120"/>
  <c r="A835" i="120" s="1"/>
  <c r="A1228" i="120" s="1"/>
  <c r="A1621" i="120" s="1"/>
  <c r="A2014" i="120" s="1"/>
  <c r="A2407" i="120" s="1"/>
  <c r="A2800" i="120" s="1"/>
  <c r="M48" i="120"/>
  <c r="E441" i="120"/>
  <c r="E834" i="120" s="1"/>
  <c r="E1227" i="120" s="1"/>
  <c r="E1620" i="120" s="1"/>
  <c r="E2013" i="120" s="1"/>
  <c r="E2406" i="120" s="1"/>
  <c r="E2799" i="120" s="1"/>
  <c r="D441" i="120"/>
  <c r="D834" i="120" s="1"/>
  <c r="D1227" i="120" s="1"/>
  <c r="D1620" i="120" s="1"/>
  <c r="D2013" i="120" s="1"/>
  <c r="D2406" i="120" s="1"/>
  <c r="D2799" i="120" s="1"/>
  <c r="B441" i="120"/>
  <c r="B834" i="120" s="1"/>
  <c r="B1227" i="120" s="1"/>
  <c r="B1620" i="120" s="1"/>
  <c r="B2013" i="120" s="1"/>
  <c r="B2406" i="120" s="1"/>
  <c r="B2799" i="120" s="1"/>
  <c r="A441" i="120"/>
  <c r="A834" i="120" s="1"/>
  <c r="A1227" i="120" s="1"/>
  <c r="A1620" i="120" s="1"/>
  <c r="A2013" i="120" s="1"/>
  <c r="A2406" i="120" s="1"/>
  <c r="A2799" i="120" s="1"/>
  <c r="M47" i="120"/>
  <c r="E440" i="120"/>
  <c r="E833" i="120" s="1"/>
  <c r="E1226" i="120" s="1"/>
  <c r="E1619" i="120" s="1"/>
  <c r="E2012" i="120" s="1"/>
  <c r="E2405" i="120" s="1"/>
  <c r="E2798" i="120" s="1"/>
  <c r="D440" i="120"/>
  <c r="D833" i="120" s="1"/>
  <c r="D1226" i="120" s="1"/>
  <c r="D1619" i="120" s="1"/>
  <c r="D2012" i="120" s="1"/>
  <c r="D2405" i="120" s="1"/>
  <c r="D2798" i="120" s="1"/>
  <c r="B440" i="120"/>
  <c r="B833" i="120" s="1"/>
  <c r="B1226" i="120" s="1"/>
  <c r="B1619" i="120" s="1"/>
  <c r="B2012" i="120" s="1"/>
  <c r="B2405" i="120" s="1"/>
  <c r="B2798" i="120" s="1"/>
  <c r="A440" i="120"/>
  <c r="A833" i="120" s="1"/>
  <c r="A1226" i="120" s="1"/>
  <c r="A1619" i="120" s="1"/>
  <c r="A2012" i="120" s="1"/>
  <c r="A2405" i="120" s="1"/>
  <c r="A2798" i="120" s="1"/>
  <c r="M46" i="120"/>
  <c r="E439" i="120"/>
  <c r="E832" i="120" s="1"/>
  <c r="E1225" i="120" s="1"/>
  <c r="E1618" i="120" s="1"/>
  <c r="E2011" i="120" s="1"/>
  <c r="E2404" i="120" s="1"/>
  <c r="E2797" i="120" s="1"/>
  <c r="D439" i="120"/>
  <c r="D832" i="120" s="1"/>
  <c r="D1225" i="120" s="1"/>
  <c r="D1618" i="120" s="1"/>
  <c r="D2011" i="120" s="1"/>
  <c r="D2404" i="120" s="1"/>
  <c r="D2797" i="120" s="1"/>
  <c r="B439" i="120"/>
  <c r="B832" i="120" s="1"/>
  <c r="B1225" i="120" s="1"/>
  <c r="B1618" i="120" s="1"/>
  <c r="B2011" i="120" s="1"/>
  <c r="B2404" i="120" s="1"/>
  <c r="B2797" i="120" s="1"/>
  <c r="A439" i="120"/>
  <c r="A832" i="120" s="1"/>
  <c r="A1225" i="120" s="1"/>
  <c r="A1618" i="120" s="1"/>
  <c r="A2011" i="120" s="1"/>
  <c r="A2404" i="120" s="1"/>
  <c r="A2797" i="120" s="1"/>
  <c r="M45" i="120"/>
  <c r="H45" i="120"/>
  <c r="N45" i="120" s="1"/>
  <c r="E438" i="120"/>
  <c r="E831" i="120" s="1"/>
  <c r="E1224" i="120" s="1"/>
  <c r="E1617" i="120" s="1"/>
  <c r="E2010" i="120" s="1"/>
  <c r="E2403" i="120" s="1"/>
  <c r="E2796" i="120" s="1"/>
  <c r="D438" i="120"/>
  <c r="D831" i="120" s="1"/>
  <c r="D1224" i="120" s="1"/>
  <c r="D1617" i="120" s="1"/>
  <c r="D2010" i="120" s="1"/>
  <c r="D2403" i="120" s="1"/>
  <c r="D2796" i="120" s="1"/>
  <c r="B438" i="120"/>
  <c r="B831" i="120" s="1"/>
  <c r="B1224" i="120" s="1"/>
  <c r="B1617" i="120" s="1"/>
  <c r="B2010" i="120" s="1"/>
  <c r="B2403" i="120" s="1"/>
  <c r="B2796" i="120" s="1"/>
  <c r="A438" i="120"/>
  <c r="A831" i="120" s="1"/>
  <c r="A1224" i="120" s="1"/>
  <c r="A1617" i="120" s="1"/>
  <c r="A2010" i="120" s="1"/>
  <c r="A2403" i="120" s="1"/>
  <c r="A2796" i="120" s="1"/>
  <c r="M44" i="120"/>
  <c r="G437" i="120"/>
  <c r="G830" i="120" s="1"/>
  <c r="G1223" i="120" s="1"/>
  <c r="G1616" i="120" s="1"/>
  <c r="G2009" i="120" s="1"/>
  <c r="G2402" i="120" s="1"/>
  <c r="G2795" i="120" s="1"/>
  <c r="E437" i="120"/>
  <c r="E830" i="120" s="1"/>
  <c r="E1223" i="120" s="1"/>
  <c r="E1616" i="120" s="1"/>
  <c r="E2009" i="120" s="1"/>
  <c r="E2402" i="120" s="1"/>
  <c r="E2795" i="120" s="1"/>
  <c r="B437" i="120"/>
  <c r="B830" i="120" s="1"/>
  <c r="B1223" i="120" s="1"/>
  <c r="B1616" i="120" s="1"/>
  <c r="B2009" i="120" s="1"/>
  <c r="B2402" i="120" s="1"/>
  <c r="B2795" i="120" s="1"/>
  <c r="A437" i="120"/>
  <c r="A830" i="120" s="1"/>
  <c r="A1223" i="120" s="1"/>
  <c r="A1616" i="120" s="1"/>
  <c r="A2009" i="120" s="1"/>
  <c r="A2402" i="120" s="1"/>
  <c r="A2795" i="120" s="1"/>
  <c r="M43" i="120"/>
  <c r="E436" i="120"/>
  <c r="E829" i="120" s="1"/>
  <c r="E1222" i="120" s="1"/>
  <c r="E1615" i="120" s="1"/>
  <c r="E2008" i="120" s="1"/>
  <c r="E2401" i="120" s="1"/>
  <c r="E2794" i="120" s="1"/>
  <c r="D436" i="120"/>
  <c r="D829" i="120" s="1"/>
  <c r="D1222" i="120" s="1"/>
  <c r="D1615" i="120" s="1"/>
  <c r="D2008" i="120" s="1"/>
  <c r="D2401" i="120" s="1"/>
  <c r="D2794" i="120" s="1"/>
  <c r="B436" i="120"/>
  <c r="B829" i="120" s="1"/>
  <c r="B1222" i="120" s="1"/>
  <c r="B1615" i="120" s="1"/>
  <c r="B2008" i="120" s="1"/>
  <c r="B2401" i="120" s="1"/>
  <c r="B2794" i="120" s="1"/>
  <c r="A436" i="120"/>
  <c r="A829" i="120" s="1"/>
  <c r="A1222" i="120" s="1"/>
  <c r="A1615" i="120" s="1"/>
  <c r="A2008" i="120" s="1"/>
  <c r="A2401" i="120" s="1"/>
  <c r="A2794" i="120" s="1"/>
  <c r="M42" i="120"/>
  <c r="E435" i="120"/>
  <c r="E828" i="120" s="1"/>
  <c r="E1221" i="120" s="1"/>
  <c r="E1614" i="120" s="1"/>
  <c r="E2007" i="120" s="1"/>
  <c r="E2400" i="120" s="1"/>
  <c r="E2793" i="120" s="1"/>
  <c r="D435" i="120"/>
  <c r="D828" i="120" s="1"/>
  <c r="D1221" i="120" s="1"/>
  <c r="D1614" i="120" s="1"/>
  <c r="D2007" i="120" s="1"/>
  <c r="D2400" i="120" s="1"/>
  <c r="D2793" i="120" s="1"/>
  <c r="B435" i="120"/>
  <c r="B828" i="120" s="1"/>
  <c r="B1221" i="120" s="1"/>
  <c r="B1614" i="120" s="1"/>
  <c r="B2007" i="120" s="1"/>
  <c r="B2400" i="120" s="1"/>
  <c r="B2793" i="120" s="1"/>
  <c r="A435" i="120"/>
  <c r="A828" i="120" s="1"/>
  <c r="A1221" i="120" s="1"/>
  <c r="A1614" i="120" s="1"/>
  <c r="A2007" i="120" s="1"/>
  <c r="A2400" i="120" s="1"/>
  <c r="A2793" i="120" s="1"/>
  <c r="M41" i="120"/>
  <c r="E434" i="120"/>
  <c r="E827" i="120" s="1"/>
  <c r="E1220" i="120" s="1"/>
  <c r="E1613" i="120" s="1"/>
  <c r="E2006" i="120" s="1"/>
  <c r="E2399" i="120" s="1"/>
  <c r="E2792" i="120" s="1"/>
  <c r="D434" i="120"/>
  <c r="D827" i="120" s="1"/>
  <c r="D1220" i="120" s="1"/>
  <c r="D1613" i="120" s="1"/>
  <c r="D2006" i="120" s="1"/>
  <c r="D2399" i="120" s="1"/>
  <c r="D2792" i="120" s="1"/>
  <c r="B434" i="120"/>
  <c r="B827" i="120" s="1"/>
  <c r="B1220" i="120" s="1"/>
  <c r="B1613" i="120" s="1"/>
  <c r="B2006" i="120" s="1"/>
  <c r="B2399" i="120" s="1"/>
  <c r="B2792" i="120" s="1"/>
  <c r="A434" i="120"/>
  <c r="A827" i="120" s="1"/>
  <c r="A1220" i="120" s="1"/>
  <c r="A1613" i="120" s="1"/>
  <c r="A2006" i="120" s="1"/>
  <c r="A2399" i="120" s="1"/>
  <c r="A2792" i="120" s="1"/>
  <c r="M40" i="120"/>
  <c r="E433" i="120"/>
  <c r="E826" i="120" s="1"/>
  <c r="E1219" i="120" s="1"/>
  <c r="E1612" i="120" s="1"/>
  <c r="E2005" i="120" s="1"/>
  <c r="E2398" i="120" s="1"/>
  <c r="E2791" i="120" s="1"/>
  <c r="D433" i="120"/>
  <c r="D826" i="120" s="1"/>
  <c r="D1219" i="120" s="1"/>
  <c r="D1612" i="120" s="1"/>
  <c r="D2005" i="120" s="1"/>
  <c r="D2398" i="120" s="1"/>
  <c r="D2791" i="120" s="1"/>
  <c r="B433" i="120"/>
  <c r="B826" i="120" s="1"/>
  <c r="B1219" i="120" s="1"/>
  <c r="B1612" i="120" s="1"/>
  <c r="B2005" i="120" s="1"/>
  <c r="B2398" i="120" s="1"/>
  <c r="B2791" i="120" s="1"/>
  <c r="A433" i="120"/>
  <c r="A826" i="120" s="1"/>
  <c r="A1219" i="120" s="1"/>
  <c r="A1612" i="120" s="1"/>
  <c r="A2005" i="120" s="1"/>
  <c r="A2398" i="120" s="1"/>
  <c r="A2791" i="120" s="1"/>
  <c r="M39" i="120"/>
  <c r="G432" i="120"/>
  <c r="G825" i="120" s="1"/>
  <c r="G1218" i="120" s="1"/>
  <c r="G1611" i="120" s="1"/>
  <c r="G2004" i="120" s="1"/>
  <c r="G2397" i="120" s="1"/>
  <c r="G2790" i="120" s="1"/>
  <c r="E432" i="120"/>
  <c r="E825" i="120" s="1"/>
  <c r="E1218" i="120" s="1"/>
  <c r="E1611" i="120" s="1"/>
  <c r="E2004" i="120" s="1"/>
  <c r="E2397" i="120" s="1"/>
  <c r="E2790" i="120" s="1"/>
  <c r="D432" i="120"/>
  <c r="D825" i="120" s="1"/>
  <c r="D1218" i="120" s="1"/>
  <c r="D1611" i="120" s="1"/>
  <c r="D2004" i="120" s="1"/>
  <c r="D2397" i="120" s="1"/>
  <c r="D2790" i="120" s="1"/>
  <c r="B432" i="120"/>
  <c r="B825" i="120" s="1"/>
  <c r="B1218" i="120" s="1"/>
  <c r="B1611" i="120" s="1"/>
  <c r="B2004" i="120" s="1"/>
  <c r="B2397" i="120" s="1"/>
  <c r="B2790" i="120" s="1"/>
  <c r="A432" i="120"/>
  <c r="A825" i="120" s="1"/>
  <c r="A1218" i="120" s="1"/>
  <c r="A1611" i="120" s="1"/>
  <c r="A2004" i="120" s="1"/>
  <c r="A2397" i="120" s="1"/>
  <c r="A2790" i="120" s="1"/>
  <c r="M38" i="120"/>
  <c r="E431" i="120"/>
  <c r="E824" i="120" s="1"/>
  <c r="E1217" i="120" s="1"/>
  <c r="E1610" i="120" s="1"/>
  <c r="E2003" i="120" s="1"/>
  <c r="E2396" i="120" s="1"/>
  <c r="E2789" i="120" s="1"/>
  <c r="D431" i="120"/>
  <c r="D824" i="120" s="1"/>
  <c r="D1217" i="120" s="1"/>
  <c r="D1610" i="120" s="1"/>
  <c r="D2003" i="120" s="1"/>
  <c r="D2396" i="120" s="1"/>
  <c r="D2789" i="120" s="1"/>
  <c r="B431" i="120"/>
  <c r="B824" i="120" s="1"/>
  <c r="B1217" i="120" s="1"/>
  <c r="B1610" i="120" s="1"/>
  <c r="B2003" i="120" s="1"/>
  <c r="B2396" i="120" s="1"/>
  <c r="B2789" i="120" s="1"/>
  <c r="A431" i="120"/>
  <c r="A824" i="120" s="1"/>
  <c r="A1217" i="120" s="1"/>
  <c r="A1610" i="120" s="1"/>
  <c r="A2003" i="120" s="1"/>
  <c r="A2396" i="120" s="1"/>
  <c r="A2789" i="120" s="1"/>
  <c r="M37" i="120"/>
  <c r="E430" i="120"/>
  <c r="E823" i="120" s="1"/>
  <c r="E1216" i="120" s="1"/>
  <c r="E1609" i="120" s="1"/>
  <c r="E2002" i="120" s="1"/>
  <c r="E2395" i="120" s="1"/>
  <c r="E2788" i="120" s="1"/>
  <c r="D430" i="120"/>
  <c r="D823" i="120" s="1"/>
  <c r="D1216" i="120" s="1"/>
  <c r="D1609" i="120" s="1"/>
  <c r="D2002" i="120" s="1"/>
  <c r="D2395" i="120" s="1"/>
  <c r="D2788" i="120" s="1"/>
  <c r="B430" i="120"/>
  <c r="B823" i="120" s="1"/>
  <c r="B1216" i="120" s="1"/>
  <c r="B1609" i="120" s="1"/>
  <c r="B2002" i="120" s="1"/>
  <c r="B2395" i="120" s="1"/>
  <c r="B2788" i="120" s="1"/>
  <c r="A430" i="120"/>
  <c r="A823" i="120" s="1"/>
  <c r="A1216" i="120" s="1"/>
  <c r="A1609" i="120" s="1"/>
  <c r="A2002" i="120" s="1"/>
  <c r="A2395" i="120" s="1"/>
  <c r="A2788" i="120" s="1"/>
  <c r="M36" i="120"/>
  <c r="G429" i="120"/>
  <c r="G822" i="120" s="1"/>
  <c r="G1215" i="120" s="1"/>
  <c r="G1608" i="120" s="1"/>
  <c r="G2001" i="120" s="1"/>
  <c r="G2394" i="120" s="1"/>
  <c r="E429" i="120"/>
  <c r="E822" i="120" s="1"/>
  <c r="E1215" i="120" s="1"/>
  <c r="E1608" i="120" s="1"/>
  <c r="E2001" i="120" s="1"/>
  <c r="E2394" i="120" s="1"/>
  <c r="E2787" i="120" s="1"/>
  <c r="D429" i="120"/>
  <c r="D822" i="120" s="1"/>
  <c r="D1215" i="120" s="1"/>
  <c r="D1608" i="120" s="1"/>
  <c r="D2001" i="120" s="1"/>
  <c r="D2394" i="120" s="1"/>
  <c r="D2787" i="120" s="1"/>
  <c r="B429" i="120"/>
  <c r="B822" i="120" s="1"/>
  <c r="B1215" i="120" s="1"/>
  <c r="B1608" i="120" s="1"/>
  <c r="B2001" i="120" s="1"/>
  <c r="B2394" i="120" s="1"/>
  <c r="B2787" i="120" s="1"/>
  <c r="A429" i="120"/>
  <c r="A822" i="120" s="1"/>
  <c r="A1215" i="120" s="1"/>
  <c r="A1608" i="120" s="1"/>
  <c r="A2001" i="120" s="1"/>
  <c r="A2394" i="120" s="1"/>
  <c r="A2787" i="120" s="1"/>
  <c r="M35" i="120"/>
  <c r="E428" i="120"/>
  <c r="E821" i="120" s="1"/>
  <c r="E1214" i="120" s="1"/>
  <c r="E1607" i="120" s="1"/>
  <c r="E2000" i="120" s="1"/>
  <c r="E2393" i="120" s="1"/>
  <c r="E2786" i="120" s="1"/>
  <c r="D428" i="120"/>
  <c r="D821" i="120" s="1"/>
  <c r="D1214" i="120" s="1"/>
  <c r="D1607" i="120" s="1"/>
  <c r="D2000" i="120" s="1"/>
  <c r="D2393" i="120" s="1"/>
  <c r="D2786" i="120" s="1"/>
  <c r="B428" i="120"/>
  <c r="B821" i="120" s="1"/>
  <c r="B1214" i="120" s="1"/>
  <c r="B1607" i="120" s="1"/>
  <c r="B2000" i="120" s="1"/>
  <c r="B2393" i="120" s="1"/>
  <c r="B2786" i="120" s="1"/>
  <c r="A428" i="120"/>
  <c r="A821" i="120" s="1"/>
  <c r="A1214" i="120" s="1"/>
  <c r="A1607" i="120" s="1"/>
  <c r="A2000" i="120" s="1"/>
  <c r="A2393" i="120" s="1"/>
  <c r="A2786" i="120" s="1"/>
  <c r="M34" i="120"/>
  <c r="E427" i="120"/>
  <c r="E820" i="120" s="1"/>
  <c r="E1213" i="120" s="1"/>
  <c r="E1606" i="120" s="1"/>
  <c r="E1999" i="120" s="1"/>
  <c r="E2392" i="120" s="1"/>
  <c r="E2785" i="120" s="1"/>
  <c r="D427" i="120"/>
  <c r="D820" i="120" s="1"/>
  <c r="D1213" i="120" s="1"/>
  <c r="D1606" i="120" s="1"/>
  <c r="D1999" i="120" s="1"/>
  <c r="D2392" i="120" s="1"/>
  <c r="D2785" i="120" s="1"/>
  <c r="B427" i="120"/>
  <c r="B820" i="120" s="1"/>
  <c r="B1213" i="120" s="1"/>
  <c r="B1606" i="120" s="1"/>
  <c r="B1999" i="120" s="1"/>
  <c r="B2392" i="120" s="1"/>
  <c r="B2785" i="120" s="1"/>
  <c r="A427" i="120"/>
  <c r="A820" i="120" s="1"/>
  <c r="A1213" i="120" s="1"/>
  <c r="A1606" i="120" s="1"/>
  <c r="A1999" i="120" s="1"/>
  <c r="A2392" i="120" s="1"/>
  <c r="A2785" i="120" s="1"/>
  <c r="M33" i="120"/>
  <c r="E426" i="120"/>
  <c r="E819" i="120" s="1"/>
  <c r="E1212" i="120" s="1"/>
  <c r="E1605" i="120" s="1"/>
  <c r="E1998" i="120" s="1"/>
  <c r="E2391" i="120" s="1"/>
  <c r="E2784" i="120" s="1"/>
  <c r="D426" i="120"/>
  <c r="D819" i="120" s="1"/>
  <c r="D1212" i="120" s="1"/>
  <c r="D1605" i="120" s="1"/>
  <c r="D1998" i="120" s="1"/>
  <c r="D2391" i="120" s="1"/>
  <c r="D2784" i="120" s="1"/>
  <c r="B426" i="120"/>
  <c r="B819" i="120" s="1"/>
  <c r="B1212" i="120" s="1"/>
  <c r="B1605" i="120" s="1"/>
  <c r="B1998" i="120" s="1"/>
  <c r="B2391" i="120" s="1"/>
  <c r="B2784" i="120" s="1"/>
  <c r="A426" i="120"/>
  <c r="A819" i="120" s="1"/>
  <c r="A1212" i="120" s="1"/>
  <c r="A1605" i="120" s="1"/>
  <c r="A1998" i="120" s="1"/>
  <c r="A2391" i="120" s="1"/>
  <c r="A2784" i="120" s="1"/>
  <c r="M32" i="120"/>
  <c r="E425" i="120"/>
  <c r="E818" i="120" s="1"/>
  <c r="E1211" i="120" s="1"/>
  <c r="E1604" i="120" s="1"/>
  <c r="E1997" i="120" s="1"/>
  <c r="E2390" i="120" s="1"/>
  <c r="E2783" i="120" s="1"/>
  <c r="D425" i="120"/>
  <c r="D818" i="120" s="1"/>
  <c r="D1211" i="120" s="1"/>
  <c r="D1604" i="120" s="1"/>
  <c r="D1997" i="120" s="1"/>
  <c r="D2390" i="120" s="1"/>
  <c r="D2783" i="120" s="1"/>
  <c r="B425" i="120"/>
  <c r="B818" i="120" s="1"/>
  <c r="B1211" i="120" s="1"/>
  <c r="B1604" i="120" s="1"/>
  <c r="B1997" i="120" s="1"/>
  <c r="B2390" i="120" s="1"/>
  <c r="B2783" i="120" s="1"/>
  <c r="A425" i="120"/>
  <c r="A818" i="120" s="1"/>
  <c r="A1211" i="120" s="1"/>
  <c r="A1604" i="120" s="1"/>
  <c r="A1997" i="120" s="1"/>
  <c r="A2390" i="120" s="1"/>
  <c r="A2783" i="120" s="1"/>
  <c r="M31" i="120"/>
  <c r="E424" i="120"/>
  <c r="E817" i="120" s="1"/>
  <c r="E1210" i="120" s="1"/>
  <c r="E1603" i="120" s="1"/>
  <c r="E1996" i="120" s="1"/>
  <c r="E2389" i="120" s="1"/>
  <c r="E2782" i="120" s="1"/>
  <c r="D424" i="120"/>
  <c r="D817" i="120" s="1"/>
  <c r="D1210" i="120" s="1"/>
  <c r="D1603" i="120" s="1"/>
  <c r="D1996" i="120" s="1"/>
  <c r="D2389" i="120" s="1"/>
  <c r="D2782" i="120" s="1"/>
  <c r="B424" i="120"/>
  <c r="B817" i="120" s="1"/>
  <c r="B1210" i="120" s="1"/>
  <c r="B1603" i="120" s="1"/>
  <c r="B1996" i="120" s="1"/>
  <c r="B2389" i="120" s="1"/>
  <c r="B2782" i="120" s="1"/>
  <c r="A424" i="120"/>
  <c r="A817" i="120" s="1"/>
  <c r="A1210" i="120" s="1"/>
  <c r="A1603" i="120" s="1"/>
  <c r="A1996" i="120" s="1"/>
  <c r="A2389" i="120" s="1"/>
  <c r="A2782" i="120" s="1"/>
  <c r="M30" i="120"/>
  <c r="E423" i="120"/>
  <c r="E816" i="120" s="1"/>
  <c r="E1209" i="120" s="1"/>
  <c r="E1602" i="120" s="1"/>
  <c r="E1995" i="120" s="1"/>
  <c r="E2388" i="120" s="1"/>
  <c r="E2781" i="120" s="1"/>
  <c r="D423" i="120"/>
  <c r="D816" i="120" s="1"/>
  <c r="D1209" i="120" s="1"/>
  <c r="D1602" i="120" s="1"/>
  <c r="D1995" i="120" s="1"/>
  <c r="D2388" i="120" s="1"/>
  <c r="D2781" i="120" s="1"/>
  <c r="B423" i="120"/>
  <c r="B816" i="120" s="1"/>
  <c r="B1209" i="120" s="1"/>
  <c r="B1602" i="120" s="1"/>
  <c r="B1995" i="120" s="1"/>
  <c r="B2388" i="120" s="1"/>
  <c r="B2781" i="120" s="1"/>
  <c r="A423" i="120"/>
  <c r="A816" i="120" s="1"/>
  <c r="A1209" i="120" s="1"/>
  <c r="A1602" i="120" s="1"/>
  <c r="A1995" i="120" s="1"/>
  <c r="A2388" i="120" s="1"/>
  <c r="A2781" i="120" s="1"/>
  <c r="M29" i="120"/>
  <c r="E422" i="120"/>
  <c r="E815" i="120" s="1"/>
  <c r="E1208" i="120" s="1"/>
  <c r="E1601" i="120" s="1"/>
  <c r="E1994" i="120" s="1"/>
  <c r="E2387" i="120" s="1"/>
  <c r="E2780" i="120" s="1"/>
  <c r="D422" i="120"/>
  <c r="D815" i="120" s="1"/>
  <c r="D1208" i="120" s="1"/>
  <c r="D1601" i="120" s="1"/>
  <c r="D1994" i="120" s="1"/>
  <c r="D2387" i="120" s="1"/>
  <c r="D2780" i="120" s="1"/>
  <c r="B422" i="120"/>
  <c r="B815" i="120" s="1"/>
  <c r="B1208" i="120" s="1"/>
  <c r="B1601" i="120" s="1"/>
  <c r="B1994" i="120" s="1"/>
  <c r="B2387" i="120" s="1"/>
  <c r="B2780" i="120" s="1"/>
  <c r="A422" i="120"/>
  <c r="A815" i="120" s="1"/>
  <c r="A1208" i="120" s="1"/>
  <c r="A1601" i="120" s="1"/>
  <c r="A1994" i="120" s="1"/>
  <c r="A2387" i="120" s="1"/>
  <c r="A2780" i="120" s="1"/>
  <c r="M28" i="120"/>
  <c r="G421" i="120"/>
  <c r="G814" i="120" s="1"/>
  <c r="G1207" i="120" s="1"/>
  <c r="G1600" i="120" s="1"/>
  <c r="G1993" i="120" s="1"/>
  <c r="G2386" i="120" s="1"/>
  <c r="G2779" i="120" s="1"/>
  <c r="E421" i="120"/>
  <c r="E814" i="120" s="1"/>
  <c r="E1207" i="120" s="1"/>
  <c r="E1600" i="120" s="1"/>
  <c r="E1993" i="120" s="1"/>
  <c r="E2386" i="120" s="1"/>
  <c r="E2779" i="120" s="1"/>
  <c r="D421" i="120"/>
  <c r="D814" i="120" s="1"/>
  <c r="D1207" i="120" s="1"/>
  <c r="D1600" i="120" s="1"/>
  <c r="D1993" i="120" s="1"/>
  <c r="D2386" i="120" s="1"/>
  <c r="D2779" i="120" s="1"/>
  <c r="B421" i="120"/>
  <c r="B814" i="120" s="1"/>
  <c r="B1207" i="120" s="1"/>
  <c r="B1600" i="120" s="1"/>
  <c r="B1993" i="120" s="1"/>
  <c r="B2386" i="120" s="1"/>
  <c r="B2779" i="120" s="1"/>
  <c r="A421" i="120"/>
  <c r="A814" i="120" s="1"/>
  <c r="A1207" i="120" s="1"/>
  <c r="A1600" i="120" s="1"/>
  <c r="A1993" i="120" s="1"/>
  <c r="A2386" i="120" s="1"/>
  <c r="A2779" i="120" s="1"/>
  <c r="M27" i="120"/>
  <c r="E420" i="120"/>
  <c r="E813" i="120" s="1"/>
  <c r="E1206" i="120" s="1"/>
  <c r="E1599" i="120" s="1"/>
  <c r="E1992" i="120" s="1"/>
  <c r="E2385" i="120" s="1"/>
  <c r="E2778" i="120" s="1"/>
  <c r="D420" i="120"/>
  <c r="D813" i="120" s="1"/>
  <c r="D1206" i="120" s="1"/>
  <c r="D1599" i="120" s="1"/>
  <c r="D1992" i="120" s="1"/>
  <c r="D2385" i="120" s="1"/>
  <c r="D2778" i="120" s="1"/>
  <c r="B420" i="120"/>
  <c r="B813" i="120" s="1"/>
  <c r="B1206" i="120" s="1"/>
  <c r="B1599" i="120" s="1"/>
  <c r="B1992" i="120" s="1"/>
  <c r="B2385" i="120" s="1"/>
  <c r="B2778" i="120" s="1"/>
  <c r="A420" i="120"/>
  <c r="A813" i="120" s="1"/>
  <c r="A1206" i="120" s="1"/>
  <c r="A1599" i="120" s="1"/>
  <c r="A1992" i="120" s="1"/>
  <c r="A2385" i="120" s="1"/>
  <c r="A2778" i="120" s="1"/>
  <c r="M26" i="120"/>
  <c r="E419" i="120"/>
  <c r="E812" i="120" s="1"/>
  <c r="E1205" i="120" s="1"/>
  <c r="E1598" i="120" s="1"/>
  <c r="E1991" i="120" s="1"/>
  <c r="E2384" i="120" s="1"/>
  <c r="E2777" i="120" s="1"/>
  <c r="D419" i="120"/>
  <c r="D812" i="120" s="1"/>
  <c r="D1205" i="120" s="1"/>
  <c r="D1598" i="120" s="1"/>
  <c r="D1991" i="120" s="1"/>
  <c r="D2384" i="120" s="1"/>
  <c r="D2777" i="120" s="1"/>
  <c r="B419" i="120"/>
  <c r="B812" i="120" s="1"/>
  <c r="B1205" i="120" s="1"/>
  <c r="B1598" i="120" s="1"/>
  <c r="B1991" i="120" s="1"/>
  <c r="B2384" i="120" s="1"/>
  <c r="B2777" i="120" s="1"/>
  <c r="A419" i="120"/>
  <c r="A812" i="120" s="1"/>
  <c r="A1205" i="120" s="1"/>
  <c r="A1598" i="120" s="1"/>
  <c r="A1991" i="120" s="1"/>
  <c r="A2384" i="120" s="1"/>
  <c r="A2777" i="120" s="1"/>
  <c r="M25" i="120"/>
  <c r="E418" i="120"/>
  <c r="E811" i="120" s="1"/>
  <c r="E1204" i="120" s="1"/>
  <c r="E1597" i="120" s="1"/>
  <c r="E1990" i="120" s="1"/>
  <c r="E2383" i="120" s="1"/>
  <c r="E2776" i="120" s="1"/>
  <c r="D418" i="120"/>
  <c r="D811" i="120" s="1"/>
  <c r="D1204" i="120" s="1"/>
  <c r="D1597" i="120" s="1"/>
  <c r="D1990" i="120" s="1"/>
  <c r="D2383" i="120" s="1"/>
  <c r="D2776" i="120" s="1"/>
  <c r="B418" i="120"/>
  <c r="B811" i="120" s="1"/>
  <c r="B1204" i="120" s="1"/>
  <c r="B1597" i="120" s="1"/>
  <c r="B1990" i="120" s="1"/>
  <c r="B2383" i="120" s="1"/>
  <c r="B2776" i="120" s="1"/>
  <c r="A418" i="120"/>
  <c r="A811" i="120" s="1"/>
  <c r="A1204" i="120" s="1"/>
  <c r="A1597" i="120" s="1"/>
  <c r="A1990" i="120" s="1"/>
  <c r="A2383" i="120" s="1"/>
  <c r="A2776" i="120" s="1"/>
  <c r="M24" i="120"/>
  <c r="E417" i="120"/>
  <c r="E810" i="120" s="1"/>
  <c r="E1203" i="120" s="1"/>
  <c r="E1596" i="120" s="1"/>
  <c r="E1989" i="120" s="1"/>
  <c r="E2382" i="120" s="1"/>
  <c r="E2775" i="120" s="1"/>
  <c r="D417" i="120"/>
  <c r="D810" i="120" s="1"/>
  <c r="D1203" i="120" s="1"/>
  <c r="D1596" i="120" s="1"/>
  <c r="D1989" i="120" s="1"/>
  <c r="D2382" i="120" s="1"/>
  <c r="D2775" i="120" s="1"/>
  <c r="B417" i="120"/>
  <c r="B810" i="120" s="1"/>
  <c r="B1203" i="120" s="1"/>
  <c r="B1596" i="120" s="1"/>
  <c r="B1989" i="120" s="1"/>
  <c r="B2382" i="120" s="1"/>
  <c r="B2775" i="120" s="1"/>
  <c r="A417" i="120"/>
  <c r="A810" i="120" s="1"/>
  <c r="A1203" i="120" s="1"/>
  <c r="A1596" i="120" s="1"/>
  <c r="A1989" i="120" s="1"/>
  <c r="A2382" i="120" s="1"/>
  <c r="A2775" i="120" s="1"/>
  <c r="M23" i="120"/>
  <c r="E416" i="120"/>
  <c r="E809" i="120" s="1"/>
  <c r="E1202" i="120" s="1"/>
  <c r="E1595" i="120" s="1"/>
  <c r="E1988" i="120" s="1"/>
  <c r="E2381" i="120" s="1"/>
  <c r="E2774" i="120" s="1"/>
  <c r="D416" i="120"/>
  <c r="D809" i="120" s="1"/>
  <c r="D1202" i="120" s="1"/>
  <c r="D1595" i="120" s="1"/>
  <c r="D1988" i="120" s="1"/>
  <c r="D2381" i="120" s="1"/>
  <c r="D2774" i="120" s="1"/>
  <c r="B416" i="120"/>
  <c r="B809" i="120" s="1"/>
  <c r="B1202" i="120" s="1"/>
  <c r="B1595" i="120" s="1"/>
  <c r="B1988" i="120" s="1"/>
  <c r="B2381" i="120" s="1"/>
  <c r="B2774" i="120" s="1"/>
  <c r="A416" i="120"/>
  <c r="A809" i="120" s="1"/>
  <c r="A1202" i="120" s="1"/>
  <c r="A1595" i="120" s="1"/>
  <c r="A1988" i="120" s="1"/>
  <c r="A2381" i="120" s="1"/>
  <c r="A2774" i="120" s="1"/>
  <c r="M22" i="120"/>
  <c r="G415" i="120"/>
  <c r="E415" i="120"/>
  <c r="E808" i="120" s="1"/>
  <c r="E1201" i="120" s="1"/>
  <c r="E1594" i="120" s="1"/>
  <c r="E1987" i="120" s="1"/>
  <c r="E2380" i="120" s="1"/>
  <c r="E2773" i="120" s="1"/>
  <c r="D415" i="120"/>
  <c r="D808" i="120" s="1"/>
  <c r="D1201" i="120" s="1"/>
  <c r="D1594" i="120" s="1"/>
  <c r="D1987" i="120" s="1"/>
  <c r="D2380" i="120" s="1"/>
  <c r="D2773" i="120" s="1"/>
  <c r="B415" i="120"/>
  <c r="B808" i="120" s="1"/>
  <c r="B1201" i="120" s="1"/>
  <c r="B1594" i="120" s="1"/>
  <c r="B1987" i="120" s="1"/>
  <c r="B2380" i="120" s="1"/>
  <c r="B2773" i="120" s="1"/>
  <c r="A415" i="120"/>
  <c r="A808" i="120" s="1"/>
  <c r="A1201" i="120" s="1"/>
  <c r="A1594" i="120" s="1"/>
  <c r="A1987" i="120" s="1"/>
  <c r="A2380" i="120" s="1"/>
  <c r="A2773" i="120" s="1"/>
  <c r="M21" i="120"/>
  <c r="E414" i="120"/>
  <c r="E807" i="120" s="1"/>
  <c r="E1200" i="120" s="1"/>
  <c r="E1593" i="120" s="1"/>
  <c r="E1986" i="120" s="1"/>
  <c r="E2379" i="120" s="1"/>
  <c r="E2772" i="120" s="1"/>
  <c r="D414" i="120"/>
  <c r="D807" i="120" s="1"/>
  <c r="D1200" i="120" s="1"/>
  <c r="D1593" i="120" s="1"/>
  <c r="D1986" i="120" s="1"/>
  <c r="D2379" i="120" s="1"/>
  <c r="D2772" i="120" s="1"/>
  <c r="B414" i="120"/>
  <c r="B807" i="120" s="1"/>
  <c r="B1200" i="120" s="1"/>
  <c r="B1593" i="120" s="1"/>
  <c r="B1986" i="120" s="1"/>
  <c r="B2379" i="120" s="1"/>
  <c r="B2772" i="120" s="1"/>
  <c r="A414" i="120"/>
  <c r="A807" i="120" s="1"/>
  <c r="A1200" i="120" s="1"/>
  <c r="A1593" i="120" s="1"/>
  <c r="A1986" i="120" s="1"/>
  <c r="A2379" i="120" s="1"/>
  <c r="A2772" i="120" s="1"/>
  <c r="M20" i="120"/>
  <c r="E413" i="120"/>
  <c r="E806" i="120" s="1"/>
  <c r="E1199" i="120" s="1"/>
  <c r="E1592" i="120" s="1"/>
  <c r="E1985" i="120" s="1"/>
  <c r="E2378" i="120" s="1"/>
  <c r="E2771" i="120" s="1"/>
  <c r="D413" i="120"/>
  <c r="D806" i="120" s="1"/>
  <c r="D1199" i="120" s="1"/>
  <c r="D1592" i="120" s="1"/>
  <c r="D1985" i="120" s="1"/>
  <c r="D2378" i="120" s="1"/>
  <c r="D2771" i="120" s="1"/>
  <c r="B413" i="120"/>
  <c r="B806" i="120" s="1"/>
  <c r="B1199" i="120" s="1"/>
  <c r="B1592" i="120" s="1"/>
  <c r="B1985" i="120" s="1"/>
  <c r="B2378" i="120" s="1"/>
  <c r="B2771" i="120" s="1"/>
  <c r="A413" i="120"/>
  <c r="A806" i="120" s="1"/>
  <c r="A1199" i="120" s="1"/>
  <c r="A1592" i="120" s="1"/>
  <c r="A1985" i="120" s="1"/>
  <c r="A2378" i="120" s="1"/>
  <c r="A2771" i="120" s="1"/>
  <c r="M19" i="120"/>
  <c r="E412" i="120"/>
  <c r="E805" i="120" s="1"/>
  <c r="E1198" i="120" s="1"/>
  <c r="E1591" i="120" s="1"/>
  <c r="E1984" i="120" s="1"/>
  <c r="E2377" i="120" s="1"/>
  <c r="E2770" i="120" s="1"/>
  <c r="D412" i="120"/>
  <c r="D805" i="120" s="1"/>
  <c r="D1198" i="120" s="1"/>
  <c r="D1591" i="120" s="1"/>
  <c r="D1984" i="120" s="1"/>
  <c r="D2377" i="120" s="1"/>
  <c r="D2770" i="120" s="1"/>
  <c r="B412" i="120"/>
  <c r="B805" i="120" s="1"/>
  <c r="B1198" i="120" s="1"/>
  <c r="B1591" i="120" s="1"/>
  <c r="B1984" i="120" s="1"/>
  <c r="B2377" i="120" s="1"/>
  <c r="B2770" i="120" s="1"/>
  <c r="A412" i="120"/>
  <c r="A805" i="120" s="1"/>
  <c r="A1198" i="120" s="1"/>
  <c r="A1591" i="120" s="1"/>
  <c r="A1984" i="120" s="1"/>
  <c r="A2377" i="120" s="1"/>
  <c r="A2770" i="120" s="1"/>
  <c r="M18" i="120"/>
  <c r="G411" i="120"/>
  <c r="E411" i="120"/>
  <c r="E804" i="120" s="1"/>
  <c r="E1197" i="120" s="1"/>
  <c r="E1590" i="120" s="1"/>
  <c r="E1983" i="120" s="1"/>
  <c r="E2376" i="120" s="1"/>
  <c r="E2769" i="120" s="1"/>
  <c r="D411" i="120"/>
  <c r="D804" i="120" s="1"/>
  <c r="D1197" i="120" s="1"/>
  <c r="D1590" i="120" s="1"/>
  <c r="D1983" i="120" s="1"/>
  <c r="D2376" i="120" s="1"/>
  <c r="D2769" i="120" s="1"/>
  <c r="B411" i="120"/>
  <c r="B804" i="120" s="1"/>
  <c r="B1197" i="120" s="1"/>
  <c r="B1590" i="120" s="1"/>
  <c r="B1983" i="120" s="1"/>
  <c r="B2376" i="120" s="1"/>
  <c r="B2769" i="120" s="1"/>
  <c r="A411" i="120"/>
  <c r="A804" i="120" s="1"/>
  <c r="A1197" i="120" s="1"/>
  <c r="A1590" i="120" s="1"/>
  <c r="A1983" i="120" s="1"/>
  <c r="A2376" i="120" s="1"/>
  <c r="A2769" i="120" s="1"/>
  <c r="M17" i="120"/>
  <c r="E410" i="120"/>
  <c r="E803" i="120" s="1"/>
  <c r="E1196" i="120" s="1"/>
  <c r="E1589" i="120" s="1"/>
  <c r="E1982" i="120" s="1"/>
  <c r="E2375" i="120" s="1"/>
  <c r="E2768" i="120" s="1"/>
  <c r="D410" i="120"/>
  <c r="D803" i="120" s="1"/>
  <c r="D1196" i="120" s="1"/>
  <c r="D1589" i="120" s="1"/>
  <c r="D1982" i="120" s="1"/>
  <c r="D2375" i="120" s="1"/>
  <c r="D2768" i="120" s="1"/>
  <c r="B410" i="120"/>
  <c r="B803" i="120" s="1"/>
  <c r="B1196" i="120" s="1"/>
  <c r="B1589" i="120" s="1"/>
  <c r="B1982" i="120" s="1"/>
  <c r="B2375" i="120" s="1"/>
  <c r="B2768" i="120" s="1"/>
  <c r="A410" i="120"/>
  <c r="A803" i="120" s="1"/>
  <c r="A1196" i="120" s="1"/>
  <c r="A1589" i="120" s="1"/>
  <c r="A1982" i="120" s="1"/>
  <c r="A2375" i="120" s="1"/>
  <c r="A2768" i="120" s="1"/>
  <c r="M16" i="120"/>
  <c r="E409" i="120"/>
  <c r="E802" i="120" s="1"/>
  <c r="E1195" i="120" s="1"/>
  <c r="E1588" i="120" s="1"/>
  <c r="E1981" i="120" s="1"/>
  <c r="E2374" i="120" s="1"/>
  <c r="E2767" i="120" s="1"/>
  <c r="D409" i="120"/>
  <c r="D802" i="120" s="1"/>
  <c r="D1195" i="120" s="1"/>
  <c r="D1588" i="120" s="1"/>
  <c r="D1981" i="120" s="1"/>
  <c r="D2374" i="120" s="1"/>
  <c r="D2767" i="120" s="1"/>
  <c r="B409" i="120"/>
  <c r="B802" i="120" s="1"/>
  <c r="B1195" i="120" s="1"/>
  <c r="B1588" i="120" s="1"/>
  <c r="B1981" i="120" s="1"/>
  <c r="B2374" i="120" s="1"/>
  <c r="B2767" i="120" s="1"/>
  <c r="A409" i="120"/>
  <c r="A802" i="120" s="1"/>
  <c r="A1195" i="120" s="1"/>
  <c r="A1588" i="120" s="1"/>
  <c r="A1981" i="120" s="1"/>
  <c r="A2374" i="120" s="1"/>
  <c r="A2767" i="120" s="1"/>
  <c r="M15" i="120"/>
  <c r="H15" i="120"/>
  <c r="E408" i="120"/>
  <c r="E801" i="120" s="1"/>
  <c r="E1194" i="120" s="1"/>
  <c r="E1587" i="120" s="1"/>
  <c r="E1980" i="120" s="1"/>
  <c r="E2373" i="120" s="1"/>
  <c r="E2766" i="120" s="1"/>
  <c r="D408" i="120"/>
  <c r="D801" i="120" s="1"/>
  <c r="D1194" i="120" s="1"/>
  <c r="D1587" i="120" s="1"/>
  <c r="D1980" i="120" s="1"/>
  <c r="D2373" i="120" s="1"/>
  <c r="D2766" i="120" s="1"/>
  <c r="B408" i="120"/>
  <c r="B801" i="120" s="1"/>
  <c r="B1194" i="120" s="1"/>
  <c r="B1587" i="120" s="1"/>
  <c r="B1980" i="120" s="1"/>
  <c r="B2373" i="120" s="1"/>
  <c r="B2766" i="120" s="1"/>
  <c r="A408" i="120"/>
  <c r="A801" i="120" s="1"/>
  <c r="A1194" i="120" s="1"/>
  <c r="A1587" i="120" s="1"/>
  <c r="A1980" i="120" s="1"/>
  <c r="A2373" i="120" s="1"/>
  <c r="A2766" i="120" s="1"/>
  <c r="M14" i="120"/>
  <c r="G407" i="120"/>
  <c r="G800" i="120" s="1"/>
  <c r="G1193" i="120" s="1"/>
  <c r="G1586" i="120" s="1"/>
  <c r="G1979" i="120" s="1"/>
  <c r="G2372" i="120" s="1"/>
  <c r="G2765" i="120" s="1"/>
  <c r="E407" i="120"/>
  <c r="E800" i="120" s="1"/>
  <c r="E1193" i="120" s="1"/>
  <c r="E1586" i="120" s="1"/>
  <c r="E1979" i="120" s="1"/>
  <c r="E2372" i="120" s="1"/>
  <c r="E2765" i="120" s="1"/>
  <c r="D407" i="120"/>
  <c r="D800" i="120" s="1"/>
  <c r="D1193" i="120" s="1"/>
  <c r="D1586" i="120" s="1"/>
  <c r="D1979" i="120" s="1"/>
  <c r="D2372" i="120" s="1"/>
  <c r="D2765" i="120" s="1"/>
  <c r="B407" i="120"/>
  <c r="B800" i="120" s="1"/>
  <c r="B1193" i="120" s="1"/>
  <c r="B1586" i="120" s="1"/>
  <c r="B1979" i="120" s="1"/>
  <c r="B2372" i="120" s="1"/>
  <c r="B2765" i="120" s="1"/>
  <c r="A407" i="120"/>
  <c r="A800" i="120" s="1"/>
  <c r="A1193" i="120" s="1"/>
  <c r="A1586" i="120" s="1"/>
  <c r="A1979" i="120" s="1"/>
  <c r="A2372" i="120" s="1"/>
  <c r="A2765" i="120" s="1"/>
  <c r="M13" i="120"/>
  <c r="E406" i="120"/>
  <c r="E799" i="120" s="1"/>
  <c r="E1192" i="120" s="1"/>
  <c r="E1585" i="120" s="1"/>
  <c r="E1978" i="120" s="1"/>
  <c r="E2371" i="120" s="1"/>
  <c r="E2764" i="120" s="1"/>
  <c r="D406" i="120"/>
  <c r="D799" i="120" s="1"/>
  <c r="D1192" i="120" s="1"/>
  <c r="D1585" i="120" s="1"/>
  <c r="D1978" i="120" s="1"/>
  <c r="D2371" i="120" s="1"/>
  <c r="D2764" i="120" s="1"/>
  <c r="B406" i="120"/>
  <c r="B799" i="120" s="1"/>
  <c r="B1192" i="120" s="1"/>
  <c r="B1585" i="120" s="1"/>
  <c r="B1978" i="120" s="1"/>
  <c r="B2371" i="120" s="1"/>
  <c r="B2764" i="120" s="1"/>
  <c r="A406" i="120"/>
  <c r="A799" i="120" s="1"/>
  <c r="A1192" i="120" s="1"/>
  <c r="A1585" i="120" s="1"/>
  <c r="A1978" i="120" s="1"/>
  <c r="A2371" i="120" s="1"/>
  <c r="A2764" i="120" s="1"/>
  <c r="M12" i="120"/>
  <c r="E405" i="120"/>
  <c r="E798" i="120" s="1"/>
  <c r="E1191" i="120" s="1"/>
  <c r="E1584" i="120" s="1"/>
  <c r="E1977" i="120" s="1"/>
  <c r="E2370" i="120" s="1"/>
  <c r="E2763" i="120" s="1"/>
  <c r="D405" i="120"/>
  <c r="D798" i="120" s="1"/>
  <c r="D1191" i="120" s="1"/>
  <c r="D1584" i="120" s="1"/>
  <c r="D1977" i="120" s="1"/>
  <c r="D2370" i="120" s="1"/>
  <c r="D2763" i="120" s="1"/>
  <c r="B405" i="120"/>
  <c r="B798" i="120" s="1"/>
  <c r="B1191" i="120" s="1"/>
  <c r="B1584" i="120" s="1"/>
  <c r="B1977" i="120" s="1"/>
  <c r="B2370" i="120" s="1"/>
  <c r="B2763" i="120" s="1"/>
  <c r="A405" i="120"/>
  <c r="A798" i="120" s="1"/>
  <c r="A1191" i="120" s="1"/>
  <c r="A1584" i="120" s="1"/>
  <c r="A1977" i="120" s="1"/>
  <c r="A2370" i="120" s="1"/>
  <c r="A2763" i="120" s="1"/>
  <c r="M11" i="120"/>
  <c r="H11" i="120"/>
  <c r="B404" i="120"/>
  <c r="B797" i="120" s="1"/>
  <c r="B1190" i="120" s="1"/>
  <c r="B1583" i="120" s="1"/>
  <c r="B1976" i="120" s="1"/>
  <c r="B2369" i="120" s="1"/>
  <c r="B2762" i="120" s="1"/>
  <c r="A404" i="120"/>
  <c r="A797" i="120" s="1"/>
  <c r="A1190" i="120" s="1"/>
  <c r="A1583" i="120" s="1"/>
  <c r="A1976" i="120" s="1"/>
  <c r="A2369" i="120" s="1"/>
  <c r="A2762" i="120" s="1"/>
  <c r="M10" i="120"/>
  <c r="G403" i="120" s="1"/>
  <c r="F403" i="120"/>
  <c r="H10" i="120"/>
  <c r="E403" i="120"/>
  <c r="E796" i="120" s="1"/>
  <c r="E1189" i="120" s="1"/>
  <c r="E1582" i="120" s="1"/>
  <c r="E1975" i="120" s="1"/>
  <c r="E2368" i="120" s="1"/>
  <c r="E2761" i="120" s="1"/>
  <c r="D403" i="120"/>
  <c r="D796" i="120" s="1"/>
  <c r="D1189" i="120" s="1"/>
  <c r="D1582" i="120" s="1"/>
  <c r="D1975" i="120" s="1"/>
  <c r="D2368" i="120" s="1"/>
  <c r="D2761" i="120" s="1"/>
  <c r="B403" i="120"/>
  <c r="B796" i="120" s="1"/>
  <c r="B1189" i="120" s="1"/>
  <c r="B1582" i="120" s="1"/>
  <c r="B1975" i="120" s="1"/>
  <c r="B2368" i="120" s="1"/>
  <c r="B2761" i="120" s="1"/>
  <c r="A403" i="120"/>
  <c r="A796" i="120" s="1"/>
  <c r="A1189" i="120" s="1"/>
  <c r="A1582" i="120" s="1"/>
  <c r="A1975" i="120" s="1"/>
  <c r="A2368" i="120" s="1"/>
  <c r="A2761" i="120" s="1"/>
  <c r="M9" i="120"/>
  <c r="G402" i="120" s="1"/>
  <c r="F402" i="120"/>
  <c r="H9" i="120"/>
  <c r="E402" i="120"/>
  <c r="E795" i="120" s="1"/>
  <c r="E1188" i="120" s="1"/>
  <c r="E1581" i="120" s="1"/>
  <c r="E1974" i="120" s="1"/>
  <c r="E2367" i="120" s="1"/>
  <c r="E2760" i="120" s="1"/>
  <c r="D402" i="120"/>
  <c r="D795" i="120" s="1"/>
  <c r="D1188" i="120" s="1"/>
  <c r="D1581" i="120" s="1"/>
  <c r="D1974" i="120" s="1"/>
  <c r="D2367" i="120" s="1"/>
  <c r="D2760" i="120" s="1"/>
  <c r="A402" i="120"/>
  <c r="A795" i="120" s="1"/>
  <c r="A1188" i="120" s="1"/>
  <c r="A1581" i="120" s="1"/>
  <c r="A1974" i="120" s="1"/>
  <c r="A2367" i="120" s="1"/>
  <c r="A2760" i="120" s="1"/>
  <c r="M8" i="120"/>
  <c r="G401" i="120" s="1"/>
  <c r="F401" i="120"/>
  <c r="H8" i="120"/>
  <c r="E401" i="120"/>
  <c r="D401" i="120"/>
  <c r="C401" i="120"/>
  <c r="B401" i="120"/>
  <c r="B794" i="120" s="1"/>
  <c r="B1187" i="120" s="1"/>
  <c r="B1580" i="120" s="1"/>
  <c r="B1973" i="120" s="1"/>
  <c r="B2366" i="120" s="1"/>
  <c r="B2759" i="120" s="1"/>
  <c r="A401" i="120"/>
  <c r="A794" i="120" s="1"/>
  <c r="A1187" i="120" s="1"/>
  <c r="A1580" i="120" s="1"/>
  <c r="A1973" i="120" s="1"/>
  <c r="A2366" i="120" s="1"/>
  <c r="A2759" i="120" s="1"/>
  <c r="T274" i="119" l="1"/>
  <c r="T255" i="119"/>
  <c r="T259" i="119"/>
  <c r="T266" i="119"/>
  <c r="T273" i="119"/>
  <c r="T270" i="119"/>
  <c r="T241" i="119"/>
  <c r="P398" i="119"/>
  <c r="T263" i="119"/>
  <c r="T271" i="119"/>
  <c r="T283" i="119"/>
  <c r="AS39" i="119"/>
  <c r="AS398" i="119" s="1"/>
  <c r="AS46" i="119"/>
  <c r="T295" i="119"/>
  <c r="T342" i="119"/>
  <c r="T286" i="119"/>
  <c r="F122" i="119"/>
  <c r="K122" i="119" s="1"/>
  <c r="T276" i="119"/>
  <c r="T298" i="119"/>
  <c r="T314" i="119"/>
  <c r="T330" i="119"/>
  <c r="T351" i="119"/>
  <c r="T362" i="119"/>
  <c r="AR398" i="119"/>
  <c r="U398" i="119"/>
  <c r="Q96" i="119"/>
  <c r="T96" i="119" s="1"/>
  <c r="T398" i="119" s="1"/>
  <c r="T278" i="119"/>
  <c r="T311" i="119"/>
  <c r="T327" i="119"/>
  <c r="T339" i="119"/>
  <c r="T350" i="119"/>
  <c r="T371" i="119"/>
  <c r="T379" i="119"/>
  <c r="T387" i="119"/>
  <c r="T280" i="119"/>
  <c r="T310" i="119"/>
  <c r="T326" i="119"/>
  <c r="T338" i="119"/>
  <c r="T370" i="119"/>
  <c r="T378" i="119"/>
  <c r="T386" i="119"/>
  <c r="T290" i="119"/>
  <c r="AS96" i="119"/>
  <c r="AS98" i="119"/>
  <c r="R398" i="119"/>
  <c r="T282" i="119"/>
  <c r="T358" i="119"/>
  <c r="S398" i="119"/>
  <c r="T279" i="119"/>
  <c r="T284" i="119"/>
  <c r="T292" i="119"/>
  <c r="T294" i="119"/>
  <c r="T306" i="119"/>
  <c r="T322" i="119"/>
  <c r="T346" i="119"/>
  <c r="T393" i="119"/>
  <c r="T396" i="119"/>
  <c r="AS395" i="119"/>
  <c r="G704" i="120"/>
  <c r="G1097" i="120" s="1"/>
  <c r="G1490" i="120" s="1"/>
  <c r="G1883" i="120" s="1"/>
  <c r="G2276" i="120" s="1"/>
  <c r="G2669" i="120" s="1"/>
  <c r="G3062" i="120" s="1"/>
  <c r="G708" i="120"/>
  <c r="G1101" i="120" s="1"/>
  <c r="G1494" i="120" s="1"/>
  <c r="G1887" i="120" s="1"/>
  <c r="G2280" i="120" s="1"/>
  <c r="G2673" i="120" s="1"/>
  <c r="G3066" i="120" s="1"/>
  <c r="F575" i="120"/>
  <c r="F968" i="120" s="1"/>
  <c r="G772" i="120"/>
  <c r="G1165" i="120" s="1"/>
  <c r="G1558" i="120" s="1"/>
  <c r="G1951" i="120" s="1"/>
  <c r="G2344" i="120" s="1"/>
  <c r="G2737" i="120" s="1"/>
  <c r="G3130" i="120" s="1"/>
  <c r="G684" i="120"/>
  <c r="G1077" i="120" s="1"/>
  <c r="G1470" i="120" s="1"/>
  <c r="G1863" i="120" s="1"/>
  <c r="G2256" i="120" s="1"/>
  <c r="G2649" i="120" s="1"/>
  <c r="G3042" i="120" s="1"/>
  <c r="G668" i="120"/>
  <c r="G1061" i="120" s="1"/>
  <c r="G1454" i="120" s="1"/>
  <c r="G1847" i="120" s="1"/>
  <c r="G2240" i="120" s="1"/>
  <c r="G2633" i="120" s="1"/>
  <c r="G3026" i="120" s="1"/>
  <c r="G644" i="120"/>
  <c r="G1037" i="120" s="1"/>
  <c r="G1430" i="120" s="1"/>
  <c r="G1823" i="120" s="1"/>
  <c r="G2216" i="120" s="1"/>
  <c r="G2609" i="120" s="1"/>
  <c r="G3002" i="120" s="1"/>
  <c r="G628" i="120"/>
  <c r="G1021" i="120" s="1"/>
  <c r="G1414" i="120" s="1"/>
  <c r="G1807" i="120" s="1"/>
  <c r="G2200" i="120" s="1"/>
  <c r="G2593" i="120" s="1"/>
  <c r="G2986" i="120" s="1"/>
  <c r="G572" i="120"/>
  <c r="G556" i="120"/>
  <c r="G469" i="120"/>
  <c r="G862" i="120" s="1"/>
  <c r="G1255" i="120" s="1"/>
  <c r="G1648" i="120" s="1"/>
  <c r="G2041" i="120" s="1"/>
  <c r="G2434" i="120" s="1"/>
  <c r="G2827" i="120" s="1"/>
  <c r="G461" i="120"/>
  <c r="G854" i="120" s="1"/>
  <c r="G1247" i="120" s="1"/>
  <c r="G1640" i="120" s="1"/>
  <c r="G2033" i="120" s="1"/>
  <c r="G2426" i="120" s="1"/>
  <c r="G2819" i="120" s="1"/>
  <c r="G427" i="120"/>
  <c r="G820" i="120" s="1"/>
  <c r="G1213" i="120" s="1"/>
  <c r="G1606" i="120" s="1"/>
  <c r="G1999" i="120" s="1"/>
  <c r="G2392" i="120" s="1"/>
  <c r="G2785" i="120" s="1"/>
  <c r="G787" i="120"/>
  <c r="G1180" i="120" s="1"/>
  <c r="G1573" i="120" s="1"/>
  <c r="G1966" i="120" s="1"/>
  <c r="G2359" i="120" s="1"/>
  <c r="G2752" i="120" s="1"/>
  <c r="G3145" i="120" s="1"/>
  <c r="G651" i="120"/>
  <c r="G1044" i="120" s="1"/>
  <c r="G1437" i="120" s="1"/>
  <c r="G1830" i="120" s="1"/>
  <c r="G2223" i="120" s="1"/>
  <c r="G2616" i="120" s="1"/>
  <c r="G3009" i="120" s="1"/>
  <c r="G579" i="120"/>
  <c r="G972" i="120" s="1"/>
  <c r="G1365" i="120" s="1"/>
  <c r="G1758" i="120" s="1"/>
  <c r="G2151" i="120" s="1"/>
  <c r="G2544" i="120" s="1"/>
  <c r="G2937" i="120" s="1"/>
  <c r="G435" i="120"/>
  <c r="G828" i="120" s="1"/>
  <c r="G1221" i="120" s="1"/>
  <c r="G1614" i="120" s="1"/>
  <c r="G2007" i="120" s="1"/>
  <c r="G2400" i="120" s="1"/>
  <c r="G2793" i="120" s="1"/>
  <c r="G409" i="120"/>
  <c r="G802" i="120" s="1"/>
  <c r="G1195" i="120" s="1"/>
  <c r="G1588" i="120" s="1"/>
  <c r="G1981" i="120" s="1"/>
  <c r="G2374" i="120" s="1"/>
  <c r="G2767" i="120" s="1"/>
  <c r="G436" i="120"/>
  <c r="G829" i="120" s="1"/>
  <c r="G1222" i="120" s="1"/>
  <c r="G1615" i="120" s="1"/>
  <c r="G2008" i="120" s="1"/>
  <c r="G2401" i="120" s="1"/>
  <c r="G2794" i="120" s="1"/>
  <c r="G595" i="120"/>
  <c r="G988" i="120" s="1"/>
  <c r="G1381" i="120" s="1"/>
  <c r="G1774" i="120" s="1"/>
  <c r="G2167" i="120" s="1"/>
  <c r="G2560" i="120" s="1"/>
  <c r="G2953" i="120" s="1"/>
  <c r="F591" i="120"/>
  <c r="H107" i="120"/>
  <c r="G780" i="120"/>
  <c r="G1173" i="120" s="1"/>
  <c r="G1566" i="120" s="1"/>
  <c r="G1959" i="120" s="1"/>
  <c r="G2352" i="120" s="1"/>
  <c r="G2745" i="120" s="1"/>
  <c r="G3138" i="120" s="1"/>
  <c r="G748" i="120"/>
  <c r="G1141" i="120" s="1"/>
  <c r="G1534" i="120" s="1"/>
  <c r="G1927" i="120" s="1"/>
  <c r="G2320" i="120" s="1"/>
  <c r="G2713" i="120" s="1"/>
  <c r="G3106" i="120" s="1"/>
  <c r="G716" i="120"/>
  <c r="G1109" i="120" s="1"/>
  <c r="G1502" i="120" s="1"/>
  <c r="G1895" i="120" s="1"/>
  <c r="G652" i="120"/>
  <c r="G1045" i="120" s="1"/>
  <c r="G1438" i="120" s="1"/>
  <c r="G1831" i="120" s="1"/>
  <c r="G2224" i="120" s="1"/>
  <c r="G2617" i="120" s="1"/>
  <c r="G3010" i="120" s="1"/>
  <c r="G612" i="120"/>
  <c r="G1005" i="120" s="1"/>
  <c r="G1398" i="120" s="1"/>
  <c r="G1791" i="120" s="1"/>
  <c r="G2184" i="120" s="1"/>
  <c r="G2577" i="120" s="1"/>
  <c r="G2970" i="120" s="1"/>
  <c r="G580" i="120"/>
  <c r="G973" i="120" s="1"/>
  <c r="G1366" i="120" s="1"/>
  <c r="G1759" i="120" s="1"/>
  <c r="G2152" i="120" s="1"/>
  <c r="G2545" i="120" s="1"/>
  <c r="G2938" i="120" s="1"/>
  <c r="G507" i="120"/>
  <c r="G900" i="120" s="1"/>
  <c r="G1293" i="120" s="1"/>
  <c r="G1686" i="120" s="1"/>
  <c r="G2079" i="120" s="1"/>
  <c r="G2472" i="120" s="1"/>
  <c r="G2865" i="120" s="1"/>
  <c r="G410" i="120"/>
  <c r="G803" i="120" s="1"/>
  <c r="G1196" i="120" s="1"/>
  <c r="G1589" i="120" s="1"/>
  <c r="G1982" i="120" s="1"/>
  <c r="G2375" i="120" s="1"/>
  <c r="G2768" i="120" s="1"/>
  <c r="G486" i="120"/>
  <c r="G879" i="120" s="1"/>
  <c r="G1272" i="120" s="1"/>
  <c r="G1665" i="120" s="1"/>
  <c r="G2058" i="120" s="1"/>
  <c r="G2451" i="120" s="1"/>
  <c r="G2844" i="120" s="1"/>
  <c r="G740" i="120"/>
  <c r="G1133" i="120" s="1"/>
  <c r="G1526" i="120" s="1"/>
  <c r="G1919" i="120" s="1"/>
  <c r="G2312" i="120" s="1"/>
  <c r="G2705" i="120" s="1"/>
  <c r="G3098" i="120" s="1"/>
  <c r="F534" i="120"/>
  <c r="G779" i="120"/>
  <c r="G1172" i="120" s="1"/>
  <c r="G1565" i="120" s="1"/>
  <c r="G1958" i="120" s="1"/>
  <c r="G2351" i="120" s="1"/>
  <c r="G2744" i="120" s="1"/>
  <c r="G3137" i="120" s="1"/>
  <c r="G755" i="120"/>
  <c r="G1148" i="120" s="1"/>
  <c r="G1541" i="120" s="1"/>
  <c r="G1934" i="120" s="1"/>
  <c r="G2327" i="120" s="1"/>
  <c r="G2720" i="120" s="1"/>
  <c r="G3113" i="120" s="1"/>
  <c r="G731" i="120"/>
  <c r="G1124" i="120" s="1"/>
  <c r="G1517" i="120" s="1"/>
  <c r="G1910" i="120" s="1"/>
  <c r="G2303" i="120" s="1"/>
  <c r="G2696" i="120" s="1"/>
  <c r="G3089" i="120" s="1"/>
  <c r="G643" i="120"/>
  <c r="G1036" i="120" s="1"/>
  <c r="G1429" i="120" s="1"/>
  <c r="G1822" i="120" s="1"/>
  <c r="G2215" i="120" s="1"/>
  <c r="G2608" i="120" s="1"/>
  <c r="G3001" i="120" s="1"/>
  <c r="G571" i="120"/>
  <c r="G964" i="120" s="1"/>
  <c r="G1357" i="120" s="1"/>
  <c r="G1750" i="120" s="1"/>
  <c r="G2143" i="120" s="1"/>
  <c r="G2536" i="120" s="1"/>
  <c r="G2929" i="120" s="1"/>
  <c r="G539" i="120"/>
  <c r="G932" i="120" s="1"/>
  <c r="G1325" i="120" s="1"/>
  <c r="G1718" i="120" s="1"/>
  <c r="G2111" i="120" s="1"/>
  <c r="G2504" i="120" s="1"/>
  <c r="G2897" i="120" s="1"/>
  <c r="G515" i="120"/>
  <c r="G908" i="120" s="1"/>
  <c r="G1301" i="120" s="1"/>
  <c r="G1694" i="120" s="1"/>
  <c r="G2087" i="120" s="1"/>
  <c r="G2480" i="120" s="1"/>
  <c r="G2873" i="120" s="1"/>
  <c r="F615" i="120"/>
  <c r="G417" i="120"/>
  <c r="G810" i="120" s="1"/>
  <c r="G1203" i="120" s="1"/>
  <c r="G1596" i="120" s="1"/>
  <c r="G1989" i="120" s="1"/>
  <c r="G2382" i="120" s="1"/>
  <c r="G2775" i="120" s="1"/>
  <c r="G620" i="120"/>
  <c r="G1013" i="120" s="1"/>
  <c r="G1406" i="120" s="1"/>
  <c r="G1799" i="120" s="1"/>
  <c r="G2192" i="120" s="1"/>
  <c r="G2585" i="120" s="1"/>
  <c r="G2978" i="120" s="1"/>
  <c r="G786" i="120"/>
  <c r="G1179" i="120" s="1"/>
  <c r="G1572" i="120" s="1"/>
  <c r="G1965" i="120" s="1"/>
  <c r="G2358" i="120" s="1"/>
  <c r="G2751" i="120" s="1"/>
  <c r="G3144" i="120" s="1"/>
  <c r="G596" i="120"/>
  <c r="G989" i="120" s="1"/>
  <c r="G1382" i="120" s="1"/>
  <c r="G1775" i="120" s="1"/>
  <c r="G2168" i="120" s="1"/>
  <c r="G2561" i="120" s="1"/>
  <c r="G2954" i="120" s="1"/>
  <c r="G604" i="120"/>
  <c r="G997" i="120" s="1"/>
  <c r="G1390" i="120" s="1"/>
  <c r="G1783" i="120" s="1"/>
  <c r="G2176" i="120" s="1"/>
  <c r="G2569" i="120" s="1"/>
  <c r="G2962" i="120" s="1"/>
  <c r="G700" i="120"/>
  <c r="G1093" i="120" s="1"/>
  <c r="G1486" i="120" s="1"/>
  <c r="G1879" i="120" s="1"/>
  <c r="G2272" i="120" s="1"/>
  <c r="G2665" i="120" s="1"/>
  <c r="G3058" i="120" s="1"/>
  <c r="H93" i="120"/>
  <c r="N93" i="120" s="1"/>
  <c r="H113" i="120"/>
  <c r="N113" i="120" s="1"/>
  <c r="G650" i="120"/>
  <c r="G1043" i="120" s="1"/>
  <c r="G701" i="120"/>
  <c r="G1094" i="120" s="1"/>
  <c r="G1487" i="120" s="1"/>
  <c r="G1880" i="120" s="1"/>
  <c r="G2273" i="120" s="1"/>
  <c r="G2666" i="120" s="1"/>
  <c r="G3059" i="120" s="1"/>
  <c r="G750" i="120"/>
  <c r="G1143" i="120" s="1"/>
  <c r="G1536" i="120" s="1"/>
  <c r="G1929" i="120" s="1"/>
  <c r="G2322" i="120" s="1"/>
  <c r="G2715" i="120" s="1"/>
  <c r="G3108" i="120" s="1"/>
  <c r="G516" i="120"/>
  <c r="G477" i="120"/>
  <c r="G870" i="120" s="1"/>
  <c r="G1263" i="120" s="1"/>
  <c r="G1656" i="120" s="1"/>
  <c r="G2049" i="120" s="1"/>
  <c r="G2442" i="120" s="1"/>
  <c r="G2835" i="120" s="1"/>
  <c r="G418" i="120"/>
  <c r="G811" i="120" s="1"/>
  <c r="G1204" i="120" s="1"/>
  <c r="G1597" i="120" s="1"/>
  <c r="G1990" i="120" s="1"/>
  <c r="G2383" i="120" s="1"/>
  <c r="G2776" i="120" s="1"/>
  <c r="G468" i="120"/>
  <c r="G861" i="120" s="1"/>
  <c r="G1254" i="120" s="1"/>
  <c r="G1647" i="120" s="1"/>
  <c r="G2040" i="120" s="1"/>
  <c r="G2433" i="120" s="1"/>
  <c r="G2826" i="120" s="1"/>
  <c r="H148" i="120"/>
  <c r="N148" i="120" s="1"/>
  <c r="F574" i="120"/>
  <c r="G739" i="120"/>
  <c r="G1132" i="120" s="1"/>
  <c r="G1525" i="120" s="1"/>
  <c r="G1918" i="120" s="1"/>
  <c r="G2311" i="120" s="1"/>
  <c r="G2704" i="120" s="1"/>
  <c r="G3097" i="120" s="1"/>
  <c r="G659" i="120"/>
  <c r="G1052" i="120" s="1"/>
  <c r="G1445" i="120" s="1"/>
  <c r="G1838" i="120" s="1"/>
  <c r="G2231" i="120" s="1"/>
  <c r="G2624" i="120" s="1"/>
  <c r="G3017" i="120" s="1"/>
  <c r="G587" i="120"/>
  <c r="G980" i="120" s="1"/>
  <c r="G1373" i="120" s="1"/>
  <c r="G1766" i="120" s="1"/>
  <c r="G2159" i="120" s="1"/>
  <c r="G2552" i="120" s="1"/>
  <c r="G2945" i="120" s="1"/>
  <c r="G547" i="120"/>
  <c r="G940" i="120" s="1"/>
  <c r="G1333" i="120" s="1"/>
  <c r="G1726" i="120" s="1"/>
  <c r="G2119" i="120" s="1"/>
  <c r="G2512" i="120" s="1"/>
  <c r="G2905" i="120" s="1"/>
  <c r="G683" i="120"/>
  <c r="G1076" i="120" s="1"/>
  <c r="G1469" i="120" s="1"/>
  <c r="G1862" i="120" s="1"/>
  <c r="G2255" i="120" s="1"/>
  <c r="G2648" i="120" s="1"/>
  <c r="G3041" i="120" s="1"/>
  <c r="H121" i="120"/>
  <c r="N121" i="120" s="1"/>
  <c r="H216" i="120"/>
  <c r="N216" i="120" s="1"/>
  <c r="F585" i="120"/>
  <c r="F978" i="120" s="1"/>
  <c r="F537" i="120"/>
  <c r="F521" i="120"/>
  <c r="H120" i="120"/>
  <c r="H84" i="120"/>
  <c r="N84" i="120" s="1"/>
  <c r="H59" i="120"/>
  <c r="G774" i="120"/>
  <c r="G1167" i="120" s="1"/>
  <c r="G1560" i="120" s="1"/>
  <c r="G1953" i="120" s="1"/>
  <c r="G2346" i="120" s="1"/>
  <c r="G2739" i="120" s="1"/>
  <c r="G3132" i="120" s="1"/>
  <c r="G766" i="120"/>
  <c r="G1159" i="120" s="1"/>
  <c r="G1552" i="120" s="1"/>
  <c r="G1945" i="120" s="1"/>
  <c r="G2338" i="120" s="1"/>
  <c r="G2731" i="120" s="1"/>
  <c r="G3124" i="120" s="1"/>
  <c r="G726" i="120"/>
  <c r="G1119" i="120" s="1"/>
  <c r="G1512" i="120" s="1"/>
  <c r="G1905" i="120" s="1"/>
  <c r="G2298" i="120" s="1"/>
  <c r="G2691" i="120" s="1"/>
  <c r="G3084" i="120" s="1"/>
  <c r="G718" i="120"/>
  <c r="G1111" i="120" s="1"/>
  <c r="G1504" i="120" s="1"/>
  <c r="G1897" i="120" s="1"/>
  <c r="G2290" i="120" s="1"/>
  <c r="G2683" i="120" s="1"/>
  <c r="G3076" i="120" s="1"/>
  <c r="G654" i="120"/>
  <c r="G1047" i="120" s="1"/>
  <c r="G1440" i="120" s="1"/>
  <c r="G1833" i="120" s="1"/>
  <c r="G2226" i="120" s="1"/>
  <c r="G2619" i="120" s="1"/>
  <c r="G3012" i="120" s="1"/>
  <c r="G638" i="120"/>
  <c r="G1031" i="120" s="1"/>
  <c r="G1424" i="120" s="1"/>
  <c r="G1817" i="120" s="1"/>
  <c r="G2210" i="120" s="1"/>
  <c r="G2603" i="120" s="1"/>
  <c r="G2996" i="120" s="1"/>
  <c r="G630" i="120"/>
  <c r="G1023" i="120" s="1"/>
  <c r="G1416" i="120" s="1"/>
  <c r="G1809" i="120" s="1"/>
  <c r="G2202" i="120" s="1"/>
  <c r="G2595" i="120" s="1"/>
  <c r="G2988" i="120" s="1"/>
  <c r="G622" i="120"/>
  <c r="G1015" i="120" s="1"/>
  <c r="G1408" i="120" s="1"/>
  <c r="G1801" i="120" s="1"/>
  <c r="G2194" i="120" s="1"/>
  <c r="G2587" i="120" s="1"/>
  <c r="G2980" i="120" s="1"/>
  <c r="G598" i="120"/>
  <c r="G991" i="120" s="1"/>
  <c r="G1384" i="120" s="1"/>
  <c r="G1777" i="120" s="1"/>
  <c r="G2170" i="120" s="1"/>
  <c r="G2563" i="120" s="1"/>
  <c r="G2956" i="120" s="1"/>
  <c r="G582" i="120"/>
  <c r="G975" i="120" s="1"/>
  <c r="G1368" i="120" s="1"/>
  <c r="G1761" i="120" s="1"/>
  <c r="G2154" i="120" s="1"/>
  <c r="G2547" i="120" s="1"/>
  <c r="G2940" i="120" s="1"/>
  <c r="G566" i="120"/>
  <c r="G959" i="120" s="1"/>
  <c r="G1352" i="120" s="1"/>
  <c r="G1745" i="120" s="1"/>
  <c r="G2138" i="120" s="1"/>
  <c r="G2531" i="120" s="1"/>
  <c r="G2924" i="120" s="1"/>
  <c r="G558" i="120"/>
  <c r="G951" i="120" s="1"/>
  <c r="G550" i="120"/>
  <c r="G943" i="120" s="1"/>
  <c r="G1336" i="120" s="1"/>
  <c r="G1729" i="120" s="1"/>
  <c r="G2122" i="120" s="1"/>
  <c r="G2515" i="120" s="1"/>
  <c r="G2908" i="120" s="1"/>
  <c r="G542" i="120"/>
  <c r="G935" i="120" s="1"/>
  <c r="G1328" i="120" s="1"/>
  <c r="G1721" i="120" s="1"/>
  <c r="G2114" i="120" s="1"/>
  <c r="G2507" i="120" s="1"/>
  <c r="G2900" i="120" s="1"/>
  <c r="G534" i="120"/>
  <c r="G927" i="120" s="1"/>
  <c r="G526" i="120"/>
  <c r="G919" i="120" s="1"/>
  <c r="G1312" i="120" s="1"/>
  <c r="G1705" i="120" s="1"/>
  <c r="G2098" i="120" s="1"/>
  <c r="G2491" i="120" s="1"/>
  <c r="G2884" i="120" s="1"/>
  <c r="G455" i="120"/>
  <c r="G848" i="120" s="1"/>
  <c r="G1241" i="120" s="1"/>
  <c r="G1634" i="120" s="1"/>
  <c r="G2027" i="120" s="1"/>
  <c r="G2420" i="120" s="1"/>
  <c r="G2813" i="120" s="1"/>
  <c r="G447" i="120"/>
  <c r="G840" i="120" s="1"/>
  <c r="G1233" i="120" s="1"/>
  <c r="G1626" i="120" s="1"/>
  <c r="G2019" i="120" s="1"/>
  <c r="G2412" i="120" s="1"/>
  <c r="G2805" i="120" s="1"/>
  <c r="G444" i="120"/>
  <c r="G837" i="120" s="1"/>
  <c r="G1230" i="120" s="1"/>
  <c r="G1623" i="120" s="1"/>
  <c r="G2016" i="120" s="1"/>
  <c r="G2409" i="120" s="1"/>
  <c r="G2802" i="120" s="1"/>
  <c r="F454" i="120"/>
  <c r="F471" i="120"/>
  <c r="G487" i="120"/>
  <c r="G880" i="120" s="1"/>
  <c r="G1273" i="120" s="1"/>
  <c r="G1666" i="120" s="1"/>
  <c r="G2059" i="120" s="1"/>
  <c r="G2452" i="120" s="1"/>
  <c r="G2845" i="120" s="1"/>
  <c r="G491" i="120"/>
  <c r="G884" i="120" s="1"/>
  <c r="G1277" i="120" s="1"/>
  <c r="G1670" i="120" s="1"/>
  <c r="G2063" i="120" s="1"/>
  <c r="G2456" i="120" s="1"/>
  <c r="G496" i="120"/>
  <c r="G889" i="120" s="1"/>
  <c r="G1282" i="120" s="1"/>
  <c r="G1675" i="120" s="1"/>
  <c r="G2068" i="120" s="1"/>
  <c r="G2461" i="120" s="1"/>
  <c r="G2854" i="120" s="1"/>
  <c r="G518" i="120"/>
  <c r="G911" i="120" s="1"/>
  <c r="G1304" i="120" s="1"/>
  <c r="G1697" i="120" s="1"/>
  <c r="G2090" i="120" s="1"/>
  <c r="G2483" i="120" s="1"/>
  <c r="G2876" i="120" s="1"/>
  <c r="H126" i="120"/>
  <c r="N126" i="120" s="1"/>
  <c r="F527" i="120"/>
  <c r="G694" i="120"/>
  <c r="G1087" i="120" s="1"/>
  <c r="G1480" i="120" s="1"/>
  <c r="G1873" i="120" s="1"/>
  <c r="G2266" i="120" s="1"/>
  <c r="G2659" i="120" s="1"/>
  <c r="G3052" i="120" s="1"/>
  <c r="G715" i="120"/>
  <c r="G1108" i="120" s="1"/>
  <c r="G1501" i="120" s="1"/>
  <c r="G1894" i="120" s="1"/>
  <c r="G2287" i="120" s="1"/>
  <c r="G2680" i="120" s="1"/>
  <c r="G3073" i="120" s="1"/>
  <c r="G737" i="120"/>
  <c r="G1130" i="120" s="1"/>
  <c r="G1523" i="120" s="1"/>
  <c r="G1916" i="120" s="1"/>
  <c r="G2309" i="120" s="1"/>
  <c r="G2702" i="120" s="1"/>
  <c r="G3095" i="120" s="1"/>
  <c r="H190" i="120"/>
  <c r="N190" i="120" s="1"/>
  <c r="F567" i="120"/>
  <c r="H73" i="120"/>
  <c r="N73" i="120" s="1"/>
  <c r="G788" i="120"/>
  <c r="G1181" i="120" s="1"/>
  <c r="G1574" i="120" s="1"/>
  <c r="G1967" i="120" s="1"/>
  <c r="G2360" i="120" s="1"/>
  <c r="G2753" i="120" s="1"/>
  <c r="G3146" i="120" s="1"/>
  <c r="G764" i="120"/>
  <c r="G1157" i="120" s="1"/>
  <c r="G1550" i="120" s="1"/>
  <c r="G1943" i="120" s="1"/>
  <c r="G2336" i="120" s="1"/>
  <c r="G2729" i="120" s="1"/>
  <c r="G3122" i="120" s="1"/>
  <c r="G732" i="120"/>
  <c r="G1125" i="120" s="1"/>
  <c r="G1518" i="120" s="1"/>
  <c r="G1911" i="120" s="1"/>
  <c r="G2304" i="120" s="1"/>
  <c r="G2697" i="120" s="1"/>
  <c r="G3090" i="120" s="1"/>
  <c r="G564" i="120"/>
  <c r="G957" i="120" s="1"/>
  <c r="G1350" i="120" s="1"/>
  <c r="G1743" i="120" s="1"/>
  <c r="G524" i="120"/>
  <c r="G499" i="120"/>
  <c r="G892" i="120" s="1"/>
  <c r="G1285" i="120" s="1"/>
  <c r="G1678" i="120" s="1"/>
  <c r="G2071" i="120" s="1"/>
  <c r="G2464" i="120" s="1"/>
  <c r="G2857" i="120" s="1"/>
  <c r="G452" i="120"/>
  <c r="G845" i="120" s="1"/>
  <c r="G1238" i="120" s="1"/>
  <c r="G1631" i="120" s="1"/>
  <c r="G2024" i="120" s="1"/>
  <c r="G2417" i="120" s="1"/>
  <c r="G2810" i="120" s="1"/>
  <c r="F583" i="120"/>
  <c r="G763" i="120"/>
  <c r="G1156" i="120" s="1"/>
  <c r="G1549" i="120" s="1"/>
  <c r="G1942" i="120" s="1"/>
  <c r="G2335" i="120" s="1"/>
  <c r="G2728" i="120" s="1"/>
  <c r="G3121" i="120" s="1"/>
  <c r="G699" i="120"/>
  <c r="G1092" i="120" s="1"/>
  <c r="G1485" i="120" s="1"/>
  <c r="G1878" i="120" s="1"/>
  <c r="G2271" i="120" s="1"/>
  <c r="G2664" i="120" s="1"/>
  <c r="G3057" i="120" s="1"/>
  <c r="G667" i="120"/>
  <c r="G1060" i="120" s="1"/>
  <c r="G1453" i="120" s="1"/>
  <c r="G1846" i="120" s="1"/>
  <c r="G2239" i="120" s="1"/>
  <c r="G2632" i="120" s="1"/>
  <c r="G3025" i="120" s="1"/>
  <c r="G635" i="120"/>
  <c r="G1028" i="120" s="1"/>
  <c r="G1421" i="120" s="1"/>
  <c r="G1814" i="120" s="1"/>
  <c r="G2207" i="120" s="1"/>
  <c r="G2600" i="120" s="1"/>
  <c r="G2993" i="120" s="1"/>
  <c r="G603" i="120"/>
  <c r="G996" i="120" s="1"/>
  <c r="G1389" i="120" s="1"/>
  <c r="G1782" i="120" s="1"/>
  <c r="G2175" i="120" s="1"/>
  <c r="G2568" i="120" s="1"/>
  <c r="G2961" i="120" s="1"/>
  <c r="G563" i="120"/>
  <c r="G956" i="120" s="1"/>
  <c r="G1349" i="120" s="1"/>
  <c r="G1742" i="120" s="1"/>
  <c r="G2135" i="120" s="1"/>
  <c r="G2528" i="120" s="1"/>
  <c r="G2921" i="120" s="1"/>
  <c r="G523" i="120"/>
  <c r="G916" i="120" s="1"/>
  <c r="G1309" i="120" s="1"/>
  <c r="G1702" i="120" s="1"/>
  <c r="G2095" i="120" s="1"/>
  <c r="G2488" i="120" s="1"/>
  <c r="G2881" i="120" s="1"/>
  <c r="G426" i="120"/>
  <c r="H24" i="120"/>
  <c r="N24" i="120" s="1"/>
  <c r="G2787" i="120"/>
  <c r="H83" i="120"/>
  <c r="G707" i="120"/>
  <c r="G1100" i="120" s="1"/>
  <c r="G1493" i="120" s="1"/>
  <c r="G1886" i="120" s="1"/>
  <c r="G2279" i="120" s="1"/>
  <c r="G2672" i="120" s="1"/>
  <c r="G3065" i="120" s="1"/>
  <c r="G445" i="120"/>
  <c r="G838" i="120" s="1"/>
  <c r="G1231" i="120" s="1"/>
  <c r="G1624" i="120" s="1"/>
  <c r="G2017" i="120" s="1"/>
  <c r="G2410" i="120" s="1"/>
  <c r="G2803" i="120" s="1"/>
  <c r="F592" i="120"/>
  <c r="H183" i="120"/>
  <c r="N183" i="120" s="1"/>
  <c r="F536" i="120"/>
  <c r="H119" i="120"/>
  <c r="N119" i="120" s="1"/>
  <c r="F451" i="120"/>
  <c r="F844" i="120" s="1"/>
  <c r="G781" i="120"/>
  <c r="G1174" i="120" s="1"/>
  <c r="G1567" i="120" s="1"/>
  <c r="G1960" i="120" s="1"/>
  <c r="G2353" i="120" s="1"/>
  <c r="G2746" i="120" s="1"/>
  <c r="G3139" i="120" s="1"/>
  <c r="G773" i="120"/>
  <c r="G1166" i="120" s="1"/>
  <c r="G1559" i="120" s="1"/>
  <c r="G1952" i="120" s="1"/>
  <c r="G2345" i="120" s="1"/>
  <c r="G2738" i="120" s="1"/>
  <c r="G3131" i="120" s="1"/>
  <c r="G757" i="120"/>
  <c r="G1150" i="120" s="1"/>
  <c r="G1543" i="120" s="1"/>
  <c r="G1936" i="120" s="1"/>
  <c r="G2329" i="120" s="1"/>
  <c r="G2722" i="120" s="1"/>
  <c r="G3115" i="120" s="1"/>
  <c r="G749" i="120"/>
  <c r="G1142" i="120" s="1"/>
  <c r="G1535" i="120" s="1"/>
  <c r="G1928" i="120" s="1"/>
  <c r="G2321" i="120" s="1"/>
  <c r="G2714" i="120" s="1"/>
  <c r="G3107" i="120" s="1"/>
  <c r="G725" i="120"/>
  <c r="G1118" i="120" s="1"/>
  <c r="G1511" i="120" s="1"/>
  <c r="G1904" i="120" s="1"/>
  <c r="G2297" i="120" s="1"/>
  <c r="G2690" i="120" s="1"/>
  <c r="G3083" i="120" s="1"/>
  <c r="G693" i="120"/>
  <c r="G1086" i="120" s="1"/>
  <c r="G1479" i="120" s="1"/>
  <c r="G1872" i="120" s="1"/>
  <c r="G2265" i="120" s="1"/>
  <c r="G2658" i="120" s="1"/>
  <c r="G3051" i="120" s="1"/>
  <c r="G685" i="120"/>
  <c r="G1078" i="120" s="1"/>
  <c r="G1471" i="120" s="1"/>
  <c r="G1864" i="120" s="1"/>
  <c r="G2257" i="120" s="1"/>
  <c r="G2650" i="120" s="1"/>
  <c r="G3043" i="120" s="1"/>
  <c r="G677" i="120"/>
  <c r="G1070" i="120" s="1"/>
  <c r="G1463" i="120" s="1"/>
  <c r="G1856" i="120" s="1"/>
  <c r="G2249" i="120" s="1"/>
  <c r="G2642" i="120" s="1"/>
  <c r="G3035" i="120" s="1"/>
  <c r="G661" i="120"/>
  <c r="G1054" i="120" s="1"/>
  <c r="G1447" i="120" s="1"/>
  <c r="G1840" i="120" s="1"/>
  <c r="G2233" i="120" s="1"/>
  <c r="G2626" i="120" s="1"/>
  <c r="G3019" i="120" s="1"/>
  <c r="G653" i="120"/>
  <c r="G1046" i="120" s="1"/>
  <c r="G1439" i="120" s="1"/>
  <c r="G1832" i="120" s="1"/>
  <c r="G2225" i="120" s="1"/>
  <c r="G2618" i="120" s="1"/>
  <c r="G3011" i="120" s="1"/>
  <c r="H212" i="120"/>
  <c r="N212" i="120" s="1"/>
  <c r="G597" i="120"/>
  <c r="G990" i="120" s="1"/>
  <c r="G1383" i="120" s="1"/>
  <c r="G1776" i="120" s="1"/>
  <c r="G2169" i="120" s="1"/>
  <c r="G2562" i="120" s="1"/>
  <c r="G2955" i="120" s="1"/>
  <c r="G565" i="120"/>
  <c r="G958" i="120" s="1"/>
  <c r="G1351" i="120" s="1"/>
  <c r="G1744" i="120" s="1"/>
  <c r="G2137" i="120" s="1"/>
  <c r="G2530" i="120" s="1"/>
  <c r="G2923" i="120" s="1"/>
  <c r="G557" i="120"/>
  <c r="G950" i="120" s="1"/>
  <c r="G1343" i="120" s="1"/>
  <c r="G1736" i="120" s="1"/>
  <c r="G2129" i="120" s="1"/>
  <c r="G2522" i="120" s="1"/>
  <c r="G2915" i="120" s="1"/>
  <c r="H156" i="120"/>
  <c r="G533" i="120"/>
  <c r="G926" i="120" s="1"/>
  <c r="G1319" i="120" s="1"/>
  <c r="G1712" i="120" s="1"/>
  <c r="G2105" i="120" s="1"/>
  <c r="G2498" i="120" s="1"/>
  <c r="G2891" i="120" s="1"/>
  <c r="H124" i="120"/>
  <c r="N124" i="120" s="1"/>
  <c r="G478" i="120"/>
  <c r="G871" i="120" s="1"/>
  <c r="G1264" i="120" s="1"/>
  <c r="G1657" i="120" s="1"/>
  <c r="G2050" i="120" s="1"/>
  <c r="G2443" i="120" s="1"/>
  <c r="G2836" i="120" s="1"/>
  <c r="G470" i="120"/>
  <c r="G863" i="120" s="1"/>
  <c r="G1256" i="120" s="1"/>
  <c r="G1649" i="120" s="1"/>
  <c r="G2042" i="120" s="1"/>
  <c r="G2435" i="120" s="1"/>
  <c r="G2828" i="120" s="1"/>
  <c r="G419" i="120"/>
  <c r="G812" i="120" s="1"/>
  <c r="G1205" i="120" s="1"/>
  <c r="G1598" i="120" s="1"/>
  <c r="G1991" i="120" s="1"/>
  <c r="G2384" i="120" s="1"/>
  <c r="G2777" i="120" s="1"/>
  <c r="H57" i="120"/>
  <c r="H61" i="120"/>
  <c r="N61" i="120" s="1"/>
  <c r="H65" i="120"/>
  <c r="H79" i="120"/>
  <c r="N79" i="120" s="1"/>
  <c r="F475" i="120"/>
  <c r="G519" i="120"/>
  <c r="G912" i="120" s="1"/>
  <c r="G1305" i="120" s="1"/>
  <c r="G1698" i="120" s="1"/>
  <c r="G2091" i="120" s="1"/>
  <c r="G2484" i="120" s="1"/>
  <c r="G2877" i="120" s="1"/>
  <c r="G527" i="120"/>
  <c r="G920" i="120" s="1"/>
  <c r="G1313" i="120" s="1"/>
  <c r="G1706" i="120" s="1"/>
  <c r="G2099" i="120" s="1"/>
  <c r="G2492" i="120" s="1"/>
  <c r="G2885" i="120" s="1"/>
  <c r="H135" i="120"/>
  <c r="N135" i="120" s="1"/>
  <c r="G574" i="120"/>
  <c r="G967" i="120" s="1"/>
  <c r="F577" i="120"/>
  <c r="F582" i="120"/>
  <c r="F584" i="120"/>
  <c r="G613" i="120"/>
  <c r="G1006" i="120" s="1"/>
  <c r="G1399" i="120" s="1"/>
  <c r="G1792" i="120" s="1"/>
  <c r="G2185" i="120" s="1"/>
  <c r="G2578" i="120" s="1"/>
  <c r="G2971" i="120" s="1"/>
  <c r="G692" i="120"/>
  <c r="G1085" i="120" s="1"/>
  <c r="G1478" i="120" s="1"/>
  <c r="G1871" i="120" s="1"/>
  <c r="G2264" i="120" s="1"/>
  <c r="G2657" i="120" s="1"/>
  <c r="G3050" i="120" s="1"/>
  <c r="H206" i="120"/>
  <c r="N206" i="120" s="1"/>
  <c r="G599" i="120"/>
  <c r="G992" i="120" s="1"/>
  <c r="G1385" i="120" s="1"/>
  <c r="G1778" i="120" s="1"/>
  <c r="G2171" i="120" s="1"/>
  <c r="G2564" i="120" s="1"/>
  <c r="G2957" i="120" s="1"/>
  <c r="G614" i="120"/>
  <c r="G1007" i="120" s="1"/>
  <c r="G1400" i="120" s="1"/>
  <c r="G1793" i="120" s="1"/>
  <c r="G2186" i="120" s="1"/>
  <c r="G2579" i="120" s="1"/>
  <c r="G2972" i="120" s="1"/>
  <c r="G2621" i="120"/>
  <c r="G3014" i="120" s="1"/>
  <c r="G691" i="120"/>
  <c r="G1084" i="120" s="1"/>
  <c r="G1477" i="120" s="1"/>
  <c r="G1870" i="120" s="1"/>
  <c r="G2263" i="120" s="1"/>
  <c r="G2656" i="120" s="1"/>
  <c r="G3049" i="120" s="1"/>
  <c r="H115" i="120"/>
  <c r="N115" i="120" s="1"/>
  <c r="G770" i="120"/>
  <c r="G1163" i="120" s="1"/>
  <c r="G1556" i="120" s="1"/>
  <c r="G1949" i="120" s="1"/>
  <c r="G2342" i="120" s="1"/>
  <c r="G2735" i="120" s="1"/>
  <c r="G3128" i="120" s="1"/>
  <c r="G762" i="120"/>
  <c r="G1155" i="120" s="1"/>
  <c r="G1548" i="120" s="1"/>
  <c r="G1941" i="120" s="1"/>
  <c r="G2334" i="120" s="1"/>
  <c r="G2727" i="120" s="1"/>
  <c r="G3120" i="120" s="1"/>
  <c r="G658" i="120"/>
  <c r="G1051" i="120" s="1"/>
  <c r="G1444" i="120" s="1"/>
  <c r="G1837" i="120" s="1"/>
  <c r="G2230" i="120" s="1"/>
  <c r="G2623" i="120" s="1"/>
  <c r="G3016" i="120" s="1"/>
  <c r="G618" i="120"/>
  <c r="G610" i="120"/>
  <c r="G1003" i="120" s="1"/>
  <c r="G1396" i="120" s="1"/>
  <c r="G1789" i="120" s="1"/>
  <c r="G2182" i="120" s="1"/>
  <c r="G2575" i="120" s="1"/>
  <c r="G2968" i="120" s="1"/>
  <c r="G602" i="120"/>
  <c r="G995" i="120" s="1"/>
  <c r="G1388" i="120" s="1"/>
  <c r="G1781" i="120" s="1"/>
  <c r="G2174" i="120" s="1"/>
  <c r="G2567" i="120" s="1"/>
  <c r="G2960" i="120" s="1"/>
  <c r="G570" i="120"/>
  <c r="G963" i="120" s="1"/>
  <c r="G1356" i="120" s="1"/>
  <c r="G1749" i="120" s="1"/>
  <c r="G2142" i="120" s="1"/>
  <c r="G2535" i="120" s="1"/>
  <c r="G2928" i="120" s="1"/>
  <c r="G554" i="120"/>
  <c r="G947" i="120" s="1"/>
  <c r="G1340" i="120" s="1"/>
  <c r="G1733" i="120" s="1"/>
  <c r="G2126" i="120" s="1"/>
  <c r="G2519" i="120" s="1"/>
  <c r="G2912" i="120" s="1"/>
  <c r="G538" i="120"/>
  <c r="G931" i="120" s="1"/>
  <c r="G1324" i="120" s="1"/>
  <c r="G1717" i="120" s="1"/>
  <c r="G2110" i="120" s="1"/>
  <c r="G2503" i="120" s="1"/>
  <c r="G2896" i="120" s="1"/>
  <c r="H137" i="120"/>
  <c r="N137" i="120" s="1"/>
  <c r="F408" i="120"/>
  <c r="G413" i="120"/>
  <c r="G806" i="120" s="1"/>
  <c r="G1199" i="120" s="1"/>
  <c r="G1592" i="120" s="1"/>
  <c r="G1985" i="120" s="1"/>
  <c r="G2378" i="120" s="1"/>
  <c r="G2771" i="120" s="1"/>
  <c r="H63" i="120"/>
  <c r="F463" i="120"/>
  <c r="F856" i="120" s="1"/>
  <c r="H88" i="120"/>
  <c r="G522" i="120"/>
  <c r="G915" i="120" s="1"/>
  <c r="G1308" i="120" s="1"/>
  <c r="G1701" i="120" s="1"/>
  <c r="G2094" i="120" s="1"/>
  <c r="G2487" i="120" s="1"/>
  <c r="G2880" i="120" s="1"/>
  <c r="F531" i="120"/>
  <c r="H531" i="120" s="1"/>
  <c r="N531" i="120" s="1"/>
  <c r="H140" i="120"/>
  <c r="N140" i="120" s="1"/>
  <c r="G578" i="120"/>
  <c r="G971" i="120" s="1"/>
  <c r="G1364" i="120" s="1"/>
  <c r="G1757" i="120" s="1"/>
  <c r="G2150" i="120" s="1"/>
  <c r="G2543" i="120" s="1"/>
  <c r="G2936" i="120" s="1"/>
  <c r="G585" i="120"/>
  <c r="F599" i="120"/>
  <c r="G608" i="120"/>
  <c r="G647" i="120"/>
  <c r="G1040" i="120" s="1"/>
  <c r="G1433" i="120" s="1"/>
  <c r="G1826" i="120" s="1"/>
  <c r="G2219" i="120" s="1"/>
  <c r="G2612" i="120" s="1"/>
  <c r="G3005" i="120" s="1"/>
  <c r="G660" i="120"/>
  <c r="G1053" i="120" s="1"/>
  <c r="G1446" i="120" s="1"/>
  <c r="G1839" i="120" s="1"/>
  <c r="G2232" i="120" s="1"/>
  <c r="G2625" i="120" s="1"/>
  <c r="G3018" i="120" s="1"/>
  <c r="G678" i="120"/>
  <c r="G1071" i="120" s="1"/>
  <c r="G1464" i="120" s="1"/>
  <c r="G1857" i="120" s="1"/>
  <c r="G2250" i="120" s="1"/>
  <c r="G2643" i="120" s="1"/>
  <c r="G3036" i="120" s="1"/>
  <c r="G688" i="120"/>
  <c r="G1081" i="120" s="1"/>
  <c r="G1474" i="120" s="1"/>
  <c r="G1867" i="120" s="1"/>
  <c r="G2260" i="120" s="1"/>
  <c r="G2653" i="120" s="1"/>
  <c r="G3046" i="120" s="1"/>
  <c r="G710" i="120"/>
  <c r="G1103" i="120" s="1"/>
  <c r="G1496" i="120" s="1"/>
  <c r="G1889" i="120" s="1"/>
  <c r="G2282" i="120" s="1"/>
  <c r="G2675" i="120" s="1"/>
  <c r="G3068" i="120" s="1"/>
  <c r="G784" i="120"/>
  <c r="G1177" i="120" s="1"/>
  <c r="G1570" i="120" s="1"/>
  <c r="G1963" i="120" s="1"/>
  <c r="G2356" i="120" s="1"/>
  <c r="G2749" i="120" s="1"/>
  <c r="G3142" i="120" s="1"/>
  <c r="O491" i="120"/>
  <c r="P491" i="120" s="1"/>
  <c r="G687" i="120"/>
  <c r="G1080" i="120" s="1"/>
  <c r="G1473" i="120" s="1"/>
  <c r="G1866" i="120" s="1"/>
  <c r="G2259" i="120" s="1"/>
  <c r="G2652" i="120" s="1"/>
  <c r="G3045" i="120" s="1"/>
  <c r="G754" i="120"/>
  <c r="G1147" i="120" s="1"/>
  <c r="G1540" i="120" s="1"/>
  <c r="G1933" i="120" s="1"/>
  <c r="G2326" i="120" s="1"/>
  <c r="G2719" i="120" s="1"/>
  <c r="G3112" i="120" s="1"/>
  <c r="G722" i="120"/>
  <c r="G690" i="120"/>
  <c r="G1083" i="120" s="1"/>
  <c r="G1476" i="120" s="1"/>
  <c r="G1869" i="120" s="1"/>
  <c r="G2262" i="120" s="1"/>
  <c r="F580" i="120"/>
  <c r="F572" i="120"/>
  <c r="F507" i="120"/>
  <c r="G753" i="120"/>
  <c r="G1146" i="120" s="1"/>
  <c r="G1539" i="120" s="1"/>
  <c r="G1932" i="120" s="1"/>
  <c r="G2325" i="120" s="1"/>
  <c r="G2718" i="120" s="1"/>
  <c r="G3111" i="120" s="1"/>
  <c r="G721" i="120"/>
  <c r="G1114" i="120" s="1"/>
  <c r="G1507" i="120" s="1"/>
  <c r="G1900" i="120" s="1"/>
  <c r="G2293" i="120" s="1"/>
  <c r="G2686" i="120" s="1"/>
  <c r="G3079" i="120" s="1"/>
  <c r="G689" i="120"/>
  <c r="G1082" i="120" s="1"/>
  <c r="G1475" i="120" s="1"/>
  <c r="G1868" i="120" s="1"/>
  <c r="G2261" i="120" s="1"/>
  <c r="G2654" i="120" s="1"/>
  <c r="G3047" i="120" s="1"/>
  <c r="G673" i="120"/>
  <c r="G1066" i="120" s="1"/>
  <c r="G1459" i="120" s="1"/>
  <c r="G1852" i="120" s="1"/>
  <c r="G2245" i="120" s="1"/>
  <c r="G2638" i="120" s="1"/>
  <c r="G3031" i="120" s="1"/>
  <c r="G657" i="120"/>
  <c r="G1050" i="120" s="1"/>
  <c r="G1443" i="120" s="1"/>
  <c r="G1836" i="120" s="1"/>
  <c r="G2229" i="120" s="1"/>
  <c r="G2622" i="120" s="1"/>
  <c r="G3015" i="120" s="1"/>
  <c r="G405" i="120"/>
  <c r="G798" i="120" s="1"/>
  <c r="G1191" i="120" s="1"/>
  <c r="N15" i="120"/>
  <c r="G414" i="120"/>
  <c r="G807" i="120" s="1"/>
  <c r="G1200" i="120" s="1"/>
  <c r="G1593" i="120" s="1"/>
  <c r="G1986" i="120" s="1"/>
  <c r="G2379" i="120" s="1"/>
  <c r="G2772" i="120" s="1"/>
  <c r="F417" i="120"/>
  <c r="F810" i="120" s="1"/>
  <c r="F438" i="120"/>
  <c r="F831" i="120" s="1"/>
  <c r="F1224" i="120" s="1"/>
  <c r="G442" i="120"/>
  <c r="G835" i="120" s="1"/>
  <c r="G1228" i="120" s="1"/>
  <c r="G1621" i="120" s="1"/>
  <c r="G2014" i="120" s="1"/>
  <c r="G2407" i="120" s="1"/>
  <c r="G2800" i="120" s="1"/>
  <c r="F455" i="120"/>
  <c r="F472" i="120"/>
  <c r="G473" i="120"/>
  <c r="G866" i="120" s="1"/>
  <c r="G1259" i="120" s="1"/>
  <c r="G1652" i="120" s="1"/>
  <c r="G2045" i="120" s="1"/>
  <c r="G2438" i="120" s="1"/>
  <c r="G2831" i="120" s="1"/>
  <c r="H89" i="120"/>
  <c r="G514" i="120"/>
  <c r="G907" i="120" s="1"/>
  <c r="G1300" i="120" s="1"/>
  <c r="G1693" i="120" s="1"/>
  <c r="G2086" i="120" s="1"/>
  <c r="G2479" i="120" s="1"/>
  <c r="G2872" i="120" s="1"/>
  <c r="H180" i="120"/>
  <c r="F579" i="120"/>
  <c r="G600" i="120"/>
  <c r="F627" i="120"/>
  <c r="F1020" i="120" s="1"/>
  <c r="G646" i="120"/>
  <c r="G1039" i="120" s="1"/>
  <c r="G1432" i="120" s="1"/>
  <c r="G1825" i="120" s="1"/>
  <c r="G2218" i="120" s="1"/>
  <c r="G2611" i="120" s="1"/>
  <c r="G3004" i="120" s="1"/>
  <c r="G756" i="120"/>
  <c r="G1149" i="120" s="1"/>
  <c r="G1542" i="120" s="1"/>
  <c r="G1935" i="120" s="1"/>
  <c r="G2328" i="120" s="1"/>
  <c r="G2721" i="120" s="1"/>
  <c r="G3114" i="120" s="1"/>
  <c r="G758" i="120"/>
  <c r="G1151" i="120" s="1"/>
  <c r="G1544" i="120" s="1"/>
  <c r="G1937" i="120" s="1"/>
  <c r="G2330" i="120" s="1"/>
  <c r="G2723" i="120" s="1"/>
  <c r="G3116" i="120" s="1"/>
  <c r="G760" i="120"/>
  <c r="G1153" i="120" s="1"/>
  <c r="G1546" i="120" s="1"/>
  <c r="G1939" i="120" s="1"/>
  <c r="G2332" i="120" s="1"/>
  <c r="G2725" i="120" s="1"/>
  <c r="G3118" i="120" s="1"/>
  <c r="F555" i="120"/>
  <c r="G1017" i="120"/>
  <c r="G1410" i="120" s="1"/>
  <c r="G1803" i="120" s="1"/>
  <c r="G2196" i="120" s="1"/>
  <c r="G2589" i="120" s="1"/>
  <c r="G2982" i="120" s="1"/>
  <c r="G676" i="120"/>
  <c r="G1069" i="120" s="1"/>
  <c r="G1462" i="120" s="1"/>
  <c r="G1855" i="120" s="1"/>
  <c r="G2248" i="120" s="1"/>
  <c r="G2641" i="120" s="1"/>
  <c r="G3034" i="120" s="1"/>
  <c r="G724" i="120"/>
  <c r="G1117" i="120" s="1"/>
  <c r="G1510" i="120" s="1"/>
  <c r="G1903" i="120" s="1"/>
  <c r="G2296" i="120" s="1"/>
  <c r="G2689" i="120" s="1"/>
  <c r="G3082" i="120" s="1"/>
  <c r="F619" i="120"/>
  <c r="H218" i="120"/>
  <c r="H178" i="120"/>
  <c r="N178" i="120" s="1"/>
  <c r="F563" i="120"/>
  <c r="H162" i="120"/>
  <c r="N162" i="120" s="1"/>
  <c r="G776" i="120"/>
  <c r="G1169" i="120" s="1"/>
  <c r="G1562" i="120" s="1"/>
  <c r="G1955" i="120" s="1"/>
  <c r="G2348" i="120" s="1"/>
  <c r="G2741" i="120" s="1"/>
  <c r="G3134" i="120" s="1"/>
  <c r="G744" i="120"/>
  <c r="G1137" i="120" s="1"/>
  <c r="G1530" i="120" s="1"/>
  <c r="G1923" i="120" s="1"/>
  <c r="G2316" i="120" s="1"/>
  <c r="G2709" i="120" s="1"/>
  <c r="G3102" i="120" s="1"/>
  <c r="G736" i="120"/>
  <c r="G1129" i="120" s="1"/>
  <c r="G1522" i="120" s="1"/>
  <c r="G1915" i="120" s="1"/>
  <c r="G2308" i="120" s="1"/>
  <c r="G2701" i="120" s="1"/>
  <c r="G3094" i="120" s="1"/>
  <c r="G712" i="120"/>
  <c r="G1105" i="120" s="1"/>
  <c r="G1498" i="120" s="1"/>
  <c r="G1891" i="120" s="1"/>
  <c r="G2284" i="120" s="1"/>
  <c r="G2677" i="120" s="1"/>
  <c r="G3070" i="120" s="1"/>
  <c r="G680" i="120"/>
  <c r="G1073" i="120" s="1"/>
  <c r="G1466" i="120" s="1"/>
  <c r="G1859" i="120" s="1"/>
  <c r="G2252" i="120" s="1"/>
  <c r="G2645" i="120" s="1"/>
  <c r="G3038" i="120" s="1"/>
  <c r="G672" i="120"/>
  <c r="G1065" i="120" s="1"/>
  <c r="G1458" i="120" s="1"/>
  <c r="G1851" i="120" s="1"/>
  <c r="G2244" i="120" s="1"/>
  <c r="G2637" i="120" s="1"/>
  <c r="G3030" i="120" s="1"/>
  <c r="G648" i="120"/>
  <c r="G1041" i="120" s="1"/>
  <c r="G1434" i="120" s="1"/>
  <c r="G1827" i="120" s="1"/>
  <c r="G2220" i="120" s="1"/>
  <c r="G2613" i="120" s="1"/>
  <c r="G3006" i="120" s="1"/>
  <c r="G640" i="120"/>
  <c r="G1033" i="120" s="1"/>
  <c r="G1426" i="120" s="1"/>
  <c r="G1819" i="120" s="1"/>
  <c r="G2212" i="120" s="1"/>
  <c r="G2605" i="120" s="1"/>
  <c r="G2998" i="120" s="1"/>
  <c r="G512" i="120"/>
  <c r="G905" i="120" s="1"/>
  <c r="G1298" i="120" s="1"/>
  <c r="G1691" i="120" s="1"/>
  <c r="G2084" i="120" s="1"/>
  <c r="G2477" i="120" s="1"/>
  <c r="G2870" i="120" s="1"/>
  <c r="G503" i="120"/>
  <c r="G896" i="120" s="1"/>
  <c r="G1289" i="120" s="1"/>
  <c r="G1682" i="120" s="1"/>
  <c r="G2075" i="120" s="1"/>
  <c r="G2468" i="120" s="1"/>
  <c r="G2861" i="120" s="1"/>
  <c r="G425" i="120"/>
  <c r="G818" i="120" s="1"/>
  <c r="G1211" i="120" s="1"/>
  <c r="G1604" i="120" s="1"/>
  <c r="G1997" i="120" s="1"/>
  <c r="G2390" i="120" s="1"/>
  <c r="G2783" i="120" s="1"/>
  <c r="F427" i="120"/>
  <c r="F820" i="120" s="1"/>
  <c r="F1213" i="120" s="1"/>
  <c r="F461" i="120"/>
  <c r="F464" i="120"/>
  <c r="F857" i="120" s="1"/>
  <c r="F470" i="120"/>
  <c r="G476" i="120"/>
  <c r="G869" i="120" s="1"/>
  <c r="G1262" i="120" s="1"/>
  <c r="G1655" i="120" s="1"/>
  <c r="G2048" i="120" s="1"/>
  <c r="G2441" i="120" s="1"/>
  <c r="G2834" i="120" s="1"/>
  <c r="G482" i="120"/>
  <c r="G875" i="120" s="1"/>
  <c r="G1268" i="120" s="1"/>
  <c r="G1661" i="120" s="1"/>
  <c r="G2054" i="120" s="1"/>
  <c r="G2447" i="120" s="1"/>
  <c r="G2840" i="120" s="1"/>
  <c r="F486" i="120"/>
  <c r="G498" i="120"/>
  <c r="G891" i="120" s="1"/>
  <c r="G1284" i="120" s="1"/>
  <c r="G1677" i="120" s="1"/>
  <c r="G2070" i="120" s="1"/>
  <c r="G2463" i="120" s="1"/>
  <c r="G2856" i="120" s="1"/>
  <c r="G502" i="120"/>
  <c r="G895" i="120" s="1"/>
  <c r="G1288" i="120" s="1"/>
  <c r="G1681" i="120" s="1"/>
  <c r="G2074" i="120" s="1"/>
  <c r="G2467" i="120" s="1"/>
  <c r="G2860" i="120" s="1"/>
  <c r="G506" i="120"/>
  <c r="G899" i="120" s="1"/>
  <c r="G1292" i="120" s="1"/>
  <c r="G1685" i="120" s="1"/>
  <c r="G2078" i="120" s="1"/>
  <c r="G2471" i="120" s="1"/>
  <c r="G2864" i="120" s="1"/>
  <c r="F535" i="120"/>
  <c r="F543" i="120"/>
  <c r="F551" i="120"/>
  <c r="G601" i="120"/>
  <c r="G994" i="120" s="1"/>
  <c r="G1387" i="120" s="1"/>
  <c r="G1780" i="120" s="1"/>
  <c r="G2173" i="120" s="1"/>
  <c r="G2566" i="120" s="1"/>
  <c r="G2959" i="120" s="1"/>
  <c r="G642" i="120"/>
  <c r="G1035" i="120" s="1"/>
  <c r="G1428" i="120" s="1"/>
  <c r="G1821" i="120" s="1"/>
  <c r="G2214" i="120" s="1"/>
  <c r="G2607" i="120" s="1"/>
  <c r="G3000" i="120" s="1"/>
  <c r="G662" i="120"/>
  <c r="G1055" i="120" s="1"/>
  <c r="G1448" i="120" s="1"/>
  <c r="G1841" i="120" s="1"/>
  <c r="G2234" i="120" s="1"/>
  <c r="G2627" i="120" s="1"/>
  <c r="G3020" i="120" s="1"/>
  <c r="G742" i="120"/>
  <c r="G1135" i="120" s="1"/>
  <c r="G1528" i="120" s="1"/>
  <c r="G1921" i="120" s="1"/>
  <c r="G2314" i="120" s="1"/>
  <c r="G2707" i="120" s="1"/>
  <c r="G3100" i="120" s="1"/>
  <c r="F626" i="120"/>
  <c r="G775" i="120"/>
  <c r="G1168" i="120" s="1"/>
  <c r="G1561" i="120" s="1"/>
  <c r="G1954" i="120" s="1"/>
  <c r="G2347" i="120" s="1"/>
  <c r="G2740" i="120" s="1"/>
  <c r="G3133" i="120" s="1"/>
  <c r="G735" i="120"/>
  <c r="G1128" i="120" s="1"/>
  <c r="G1521" i="120" s="1"/>
  <c r="G1914" i="120" s="1"/>
  <c r="G2307" i="120" s="1"/>
  <c r="G2700" i="120" s="1"/>
  <c r="G3093" i="120" s="1"/>
  <c r="G727" i="120"/>
  <c r="G1120" i="120" s="1"/>
  <c r="G1513" i="120" s="1"/>
  <c r="G1906" i="120" s="1"/>
  <c r="G2299" i="120" s="1"/>
  <c r="G2692" i="120" s="1"/>
  <c r="G3085" i="120" s="1"/>
  <c r="G711" i="120"/>
  <c r="G1104" i="120" s="1"/>
  <c r="G1497" i="120" s="1"/>
  <c r="G1890" i="120" s="1"/>
  <c r="G2283" i="120" s="1"/>
  <c r="G2676" i="120" s="1"/>
  <c r="G3069" i="120" s="1"/>
  <c r="G695" i="120"/>
  <c r="G1088" i="120" s="1"/>
  <c r="G671" i="120"/>
  <c r="G1064" i="120" s="1"/>
  <c r="G1457" i="120" s="1"/>
  <c r="G1850" i="120" s="1"/>
  <c r="G2243" i="120" s="1"/>
  <c r="G2636" i="120" s="1"/>
  <c r="G3029" i="120" s="1"/>
  <c r="G663" i="120"/>
  <c r="G1056" i="120" s="1"/>
  <c r="G1449" i="120" s="1"/>
  <c r="G1842" i="120" s="1"/>
  <c r="G2235" i="120" s="1"/>
  <c r="G2628" i="120" s="1"/>
  <c r="G3021" i="120" s="1"/>
  <c r="G591" i="120"/>
  <c r="G984" i="120" s="1"/>
  <c r="G1377" i="120" s="1"/>
  <c r="G1770" i="120" s="1"/>
  <c r="G2163" i="120" s="1"/>
  <c r="G2556" i="120" s="1"/>
  <c r="G2949" i="120" s="1"/>
  <c r="G583" i="120"/>
  <c r="G976" i="120" s="1"/>
  <c r="G1369" i="120" s="1"/>
  <c r="G1762" i="120" s="1"/>
  <c r="G2155" i="120" s="1"/>
  <c r="G2548" i="120" s="1"/>
  <c r="G2941" i="120" s="1"/>
  <c r="H158" i="120"/>
  <c r="N158" i="120" s="1"/>
  <c r="G431" i="120"/>
  <c r="G824" i="120" s="1"/>
  <c r="G1217" i="120" s="1"/>
  <c r="G1610" i="120" s="1"/>
  <c r="G2003" i="120" s="1"/>
  <c r="G2396" i="120" s="1"/>
  <c r="G2789" i="120" s="1"/>
  <c r="G438" i="120"/>
  <c r="G831" i="120" s="1"/>
  <c r="G1224" i="120" s="1"/>
  <c r="G1617" i="120" s="1"/>
  <c r="G2010" i="120" s="1"/>
  <c r="G2403" i="120" s="1"/>
  <c r="G2796" i="120" s="1"/>
  <c r="G439" i="120"/>
  <c r="G832" i="120" s="1"/>
  <c r="G1225" i="120" s="1"/>
  <c r="G1618" i="120" s="1"/>
  <c r="G2011" i="120" s="1"/>
  <c r="G2404" i="120" s="1"/>
  <c r="G2797" i="120" s="1"/>
  <c r="G446" i="120"/>
  <c r="G839" i="120" s="1"/>
  <c r="G1232" i="120" s="1"/>
  <c r="G1625" i="120" s="1"/>
  <c r="G2018" i="120" s="1"/>
  <c r="G2411" i="120" s="1"/>
  <c r="G2804" i="120" s="1"/>
  <c r="G474" i="120"/>
  <c r="G867" i="120" s="1"/>
  <c r="G1260" i="120" s="1"/>
  <c r="G1653" i="120" s="1"/>
  <c r="G2046" i="120" s="1"/>
  <c r="G2439" i="120" s="1"/>
  <c r="G2832" i="120" s="1"/>
  <c r="H94" i="120"/>
  <c r="N94" i="120" s="1"/>
  <c r="G494" i="120"/>
  <c r="G887" i="120" s="1"/>
  <c r="G1280" i="120" s="1"/>
  <c r="G1673" i="120" s="1"/>
  <c r="G2066" i="120" s="1"/>
  <c r="G2459" i="120" s="1"/>
  <c r="G2852" i="120" s="1"/>
  <c r="F523" i="120"/>
  <c r="G559" i="120"/>
  <c r="G952" i="120" s="1"/>
  <c r="G1345" i="120" s="1"/>
  <c r="G1738" i="120" s="1"/>
  <c r="G2131" i="120" s="1"/>
  <c r="G2524" i="120" s="1"/>
  <c r="G2917" i="120" s="1"/>
  <c r="F611" i="120"/>
  <c r="G625" i="120"/>
  <c r="G1018" i="120" s="1"/>
  <c r="G1411" i="120" s="1"/>
  <c r="G1804" i="120" s="1"/>
  <c r="G2197" i="120" s="1"/>
  <c r="G2590" i="120" s="1"/>
  <c r="G2983" i="120" s="1"/>
  <c r="G632" i="120"/>
  <c r="O1277" i="120"/>
  <c r="P1277" i="120" s="1"/>
  <c r="G768" i="120"/>
  <c r="G1161" i="120" s="1"/>
  <c r="G1554" i="120" s="1"/>
  <c r="G1947" i="120" s="1"/>
  <c r="G2340" i="120" s="1"/>
  <c r="G2733" i="120" s="1"/>
  <c r="G3126" i="120" s="1"/>
  <c r="F519" i="120"/>
  <c r="F617" i="120"/>
  <c r="F511" i="120"/>
  <c r="F625" i="120"/>
  <c r="G675" i="120"/>
  <c r="G1068" i="120" s="1"/>
  <c r="G1461" i="120" s="1"/>
  <c r="G1854" i="120" s="1"/>
  <c r="G2247" i="120" s="1"/>
  <c r="G2640" i="120" s="1"/>
  <c r="G3033" i="120" s="1"/>
  <c r="G720" i="120"/>
  <c r="G1113" i="120" s="1"/>
  <c r="G1506" i="120" s="1"/>
  <c r="G1899" i="120" s="1"/>
  <c r="G2292" i="120" s="1"/>
  <c r="G2685" i="120" s="1"/>
  <c r="G3078" i="120" s="1"/>
  <c r="G609" i="120"/>
  <c r="G1002" i="120" s="1"/>
  <c r="G1395" i="120" s="1"/>
  <c r="G1788" i="120" s="1"/>
  <c r="G2181" i="120" s="1"/>
  <c r="G2574" i="120" s="1"/>
  <c r="G2967" i="120" s="1"/>
  <c r="G752" i="120"/>
  <c r="G1145" i="120" s="1"/>
  <c r="G1538" i="120" s="1"/>
  <c r="G1931" i="120" s="1"/>
  <c r="G2324" i="120" s="1"/>
  <c r="G2717" i="120" s="1"/>
  <c r="G3110" i="120" s="1"/>
  <c r="F1371" i="120"/>
  <c r="F948" i="120"/>
  <c r="H455" i="120"/>
  <c r="N455" i="120" s="1"/>
  <c r="F848" i="120"/>
  <c r="G577" i="120"/>
  <c r="G970" i="120" s="1"/>
  <c r="G1363" i="120" s="1"/>
  <c r="G1756" i="120" s="1"/>
  <c r="G2149" i="120" s="1"/>
  <c r="G2542" i="120" s="1"/>
  <c r="G2935" i="120" s="1"/>
  <c r="H184" i="120"/>
  <c r="N184" i="120" s="1"/>
  <c r="F1253" i="120"/>
  <c r="G434" i="120"/>
  <c r="G827" i="120" s="1"/>
  <c r="G1220" i="120" s="1"/>
  <c r="G1613" i="120" s="1"/>
  <c r="G2006" i="120" s="1"/>
  <c r="G2399" i="120" s="1"/>
  <c r="G2792" i="120" s="1"/>
  <c r="F482" i="120"/>
  <c r="N89" i="120"/>
  <c r="F487" i="120"/>
  <c r="G909" i="120"/>
  <c r="G1302" i="120" s="1"/>
  <c r="G1695" i="120" s="1"/>
  <c r="G2088" i="120" s="1"/>
  <c r="G2481" i="120" s="1"/>
  <c r="G2874" i="120" s="1"/>
  <c r="H523" i="120"/>
  <c r="N523" i="120" s="1"/>
  <c r="F916" i="120"/>
  <c r="H138" i="120"/>
  <c r="N138" i="120" s="1"/>
  <c r="F532" i="120"/>
  <c r="G561" i="120"/>
  <c r="G954" i="120" s="1"/>
  <c r="G1347" i="120" s="1"/>
  <c r="G1740" i="120" s="1"/>
  <c r="G2133" i="120" s="1"/>
  <c r="G2526" i="120" s="1"/>
  <c r="G2919" i="120" s="1"/>
  <c r="G586" i="120"/>
  <c r="G979" i="120" s="1"/>
  <c r="G1372" i="120" s="1"/>
  <c r="G1765" i="120" s="1"/>
  <c r="G2158" i="120" s="1"/>
  <c r="G2551" i="120" s="1"/>
  <c r="G2944" i="120" s="1"/>
  <c r="G607" i="120"/>
  <c r="G1000" i="120" s="1"/>
  <c r="G1393" i="120" s="1"/>
  <c r="G1786" i="120" s="1"/>
  <c r="G2179" i="120" s="1"/>
  <c r="G2572" i="120" s="1"/>
  <c r="G2965" i="120" s="1"/>
  <c r="F1010" i="120"/>
  <c r="F618" i="120"/>
  <c r="H225" i="120"/>
  <c r="N225" i="120" s="1"/>
  <c r="G769" i="120"/>
  <c r="G1162" i="120" s="1"/>
  <c r="G1555" i="120" s="1"/>
  <c r="G1948" i="120" s="1"/>
  <c r="G2341" i="120" s="1"/>
  <c r="G2734" i="120" s="1"/>
  <c r="G3127" i="120" s="1"/>
  <c r="O1668" i="120"/>
  <c r="P1668" i="120" s="1"/>
  <c r="F526" i="120"/>
  <c r="H133" i="120"/>
  <c r="N133" i="120" s="1"/>
  <c r="G537" i="120"/>
  <c r="G930" i="120" s="1"/>
  <c r="G1323" i="120" s="1"/>
  <c r="G1716" i="120" s="1"/>
  <c r="G2109" i="120" s="1"/>
  <c r="G2502" i="120" s="1"/>
  <c r="G2895" i="120" s="1"/>
  <c r="H144" i="120"/>
  <c r="N144" i="120" s="1"/>
  <c r="F1008" i="120"/>
  <c r="G623" i="120"/>
  <c r="G1016" i="120" s="1"/>
  <c r="G1409" i="120" s="1"/>
  <c r="G1802" i="120" s="1"/>
  <c r="G2195" i="120" s="1"/>
  <c r="G2588" i="120" s="1"/>
  <c r="G2981" i="120" s="1"/>
  <c r="G2076" i="120"/>
  <c r="G2469" i="120" s="1"/>
  <c r="G2862" i="120" s="1"/>
  <c r="O121" i="120"/>
  <c r="P121" i="120" s="1"/>
  <c r="H141" i="120"/>
  <c r="N141" i="120" s="1"/>
  <c r="G545" i="120"/>
  <c r="G938" i="120" s="1"/>
  <c r="G1331" i="120" s="1"/>
  <c r="G1724" i="120" s="1"/>
  <c r="G2117" i="120" s="1"/>
  <c r="G2510" i="120" s="1"/>
  <c r="G2903" i="120" s="1"/>
  <c r="H152" i="120"/>
  <c r="N152" i="120" s="1"/>
  <c r="F1413" i="120"/>
  <c r="G1642" i="120"/>
  <c r="G2035" i="120" s="1"/>
  <c r="G2428" i="120" s="1"/>
  <c r="G2821" i="120" s="1"/>
  <c r="F466" i="120"/>
  <c r="F509" i="120"/>
  <c r="H116" i="120"/>
  <c r="N116" i="120" s="1"/>
  <c r="H170" i="120"/>
  <c r="N170" i="120" s="1"/>
  <c r="G1360" i="120"/>
  <c r="G1753" i="120" s="1"/>
  <c r="G2146" i="120" s="1"/>
  <c r="G2539" i="120" s="1"/>
  <c r="G2932" i="120" s="1"/>
  <c r="G627" i="120"/>
  <c r="G1020" i="120" s="1"/>
  <c r="G1413" i="120" s="1"/>
  <c r="G1806" i="120" s="1"/>
  <c r="G2199" i="120" s="1"/>
  <c r="G2592" i="120" s="1"/>
  <c r="G2985" i="120" s="1"/>
  <c r="H234" i="120"/>
  <c r="N234" i="120" s="1"/>
  <c r="G819" i="120"/>
  <c r="G1212" i="120" s="1"/>
  <c r="G1605" i="120" s="1"/>
  <c r="G1998" i="120" s="1"/>
  <c r="G2391" i="120" s="1"/>
  <c r="G2784" i="120" s="1"/>
  <c r="N59" i="120"/>
  <c r="F516" i="120"/>
  <c r="H123" i="120"/>
  <c r="N123" i="120" s="1"/>
  <c r="H130" i="120"/>
  <c r="N130" i="120" s="1"/>
  <c r="F524" i="120"/>
  <c r="H131" i="120"/>
  <c r="N131" i="120" s="1"/>
  <c r="G645" i="120"/>
  <c r="G1038" i="120" s="1"/>
  <c r="G1431" i="120" s="1"/>
  <c r="G1824" i="120" s="1"/>
  <c r="G2217" i="120" s="1"/>
  <c r="G2610" i="120" s="1"/>
  <c r="G3003" i="120" s="1"/>
  <c r="G808" i="120"/>
  <c r="G1201" i="120" s="1"/>
  <c r="G1594" i="120" s="1"/>
  <c r="G1987" i="120" s="1"/>
  <c r="G2380" i="120" s="1"/>
  <c r="G2773" i="120" s="1"/>
  <c r="F404" i="120"/>
  <c r="N11" i="120"/>
  <c r="G408" i="120"/>
  <c r="G801" i="120" s="1"/>
  <c r="G1194" i="120" s="1"/>
  <c r="G1587" i="120" s="1"/>
  <c r="G1980" i="120" s="1"/>
  <c r="G2373" i="120" s="1"/>
  <c r="G2766" i="120" s="1"/>
  <c r="F469" i="120"/>
  <c r="H76" i="120"/>
  <c r="N76" i="120" s="1"/>
  <c r="F914" i="120"/>
  <c r="F924" i="120"/>
  <c r="F540" i="120"/>
  <c r="G543" i="120"/>
  <c r="G936" i="120" s="1"/>
  <c r="G1329" i="120" s="1"/>
  <c r="G1722" i="120" s="1"/>
  <c r="G2115" i="120" s="1"/>
  <c r="G2508" i="120" s="1"/>
  <c r="G2901" i="120" s="1"/>
  <c r="F558" i="120"/>
  <c r="H165" i="120"/>
  <c r="N165" i="120" s="1"/>
  <c r="F962" i="120"/>
  <c r="G1011" i="120"/>
  <c r="G1404" i="120" s="1"/>
  <c r="G1797" i="120" s="1"/>
  <c r="G2190" i="120" s="1"/>
  <c r="G2583" i="120" s="1"/>
  <c r="G2976" i="120" s="1"/>
  <c r="N228" i="120"/>
  <c r="F622" i="120"/>
  <c r="G629" i="120"/>
  <c r="G1022" i="120" s="1"/>
  <c r="G1415" i="120" s="1"/>
  <c r="G1808" i="120" s="1"/>
  <c r="G2201" i="120" s="1"/>
  <c r="G2594" i="120" s="1"/>
  <c r="G2987" i="120" s="1"/>
  <c r="G747" i="120"/>
  <c r="G1140" i="120" s="1"/>
  <c r="G1533" i="120" s="1"/>
  <c r="G1926" i="120" s="1"/>
  <c r="G2319" i="120" s="1"/>
  <c r="G2712" i="120" s="1"/>
  <c r="G3105" i="120" s="1"/>
  <c r="O1276" i="120"/>
  <c r="P1276" i="120" s="1"/>
  <c r="F450" i="120"/>
  <c r="N57" i="120"/>
  <c r="G472" i="120"/>
  <c r="F938" i="120"/>
  <c r="F556" i="120"/>
  <c r="H163" i="120"/>
  <c r="N163" i="120" s="1"/>
  <c r="F602" i="120"/>
  <c r="G804" i="120"/>
  <c r="G1197" i="120" s="1"/>
  <c r="G1590" i="120" s="1"/>
  <c r="G1983" i="120" s="1"/>
  <c r="G2376" i="120" s="1"/>
  <c r="G2769" i="120" s="1"/>
  <c r="N107" i="120"/>
  <c r="F501" i="120"/>
  <c r="H553" i="120"/>
  <c r="N553" i="120" s="1"/>
  <c r="F946" i="120"/>
  <c r="H181" i="120"/>
  <c r="N181" i="120" s="1"/>
  <c r="G631" i="120"/>
  <c r="G1024" i="120" s="1"/>
  <c r="G1417" i="120" s="1"/>
  <c r="G1810" i="120" s="1"/>
  <c r="G2203" i="120" s="1"/>
  <c r="G2596" i="120" s="1"/>
  <c r="G2989" i="120" s="1"/>
  <c r="H401" i="120"/>
  <c r="H62" i="120"/>
  <c r="N62" i="120" s="1"/>
  <c r="G488" i="120"/>
  <c r="G881" i="120" s="1"/>
  <c r="G1274" i="120" s="1"/>
  <c r="G1667" i="120" s="1"/>
  <c r="G2060" i="120" s="1"/>
  <c r="G2453" i="120" s="1"/>
  <c r="G2846" i="120" s="1"/>
  <c r="F904" i="120"/>
  <c r="G1320" i="120"/>
  <c r="G1713" i="120" s="1"/>
  <c r="G2106" i="120" s="1"/>
  <c r="G2499" i="120" s="1"/>
  <c r="G2892" i="120" s="1"/>
  <c r="F542" i="120"/>
  <c r="H149" i="120"/>
  <c r="N149" i="120" s="1"/>
  <c r="G553" i="120"/>
  <c r="G946" i="120" s="1"/>
  <c r="G1339" i="120" s="1"/>
  <c r="G1732" i="120" s="1"/>
  <c r="G2125" i="120" s="1"/>
  <c r="G2518" i="120" s="1"/>
  <c r="G2911" i="120" s="1"/>
  <c r="H160" i="120"/>
  <c r="N160" i="120" s="1"/>
  <c r="F564" i="120"/>
  <c r="H171" i="120"/>
  <c r="N171" i="120" s="1"/>
  <c r="F610" i="120"/>
  <c r="F453" i="120"/>
  <c r="H70" i="120"/>
  <c r="N70" i="120" s="1"/>
  <c r="F879" i="120"/>
  <c r="H486" i="120"/>
  <c r="N486" i="120" s="1"/>
  <c r="G902" i="120"/>
  <c r="G1295" i="120" s="1"/>
  <c r="G1688" i="120" s="1"/>
  <c r="G2081" i="120" s="1"/>
  <c r="G2474" i="120" s="1"/>
  <c r="G2867" i="120" s="1"/>
  <c r="P122" i="120"/>
  <c r="G416" i="120"/>
  <c r="G809" i="120" s="1"/>
  <c r="G1202" i="120" s="1"/>
  <c r="G1595" i="120" s="1"/>
  <c r="G1988" i="120" s="1"/>
  <c r="G2381" i="120" s="1"/>
  <c r="G2774" i="120" s="1"/>
  <c r="G450" i="120"/>
  <c r="G843" i="120" s="1"/>
  <c r="G1236" i="120" s="1"/>
  <c r="G1629" i="120" s="1"/>
  <c r="G2022" i="120" s="1"/>
  <c r="G2415" i="120" s="1"/>
  <c r="G2808" i="120" s="1"/>
  <c r="G456" i="120"/>
  <c r="G849" i="120" s="1"/>
  <c r="G1242" i="120" s="1"/>
  <c r="G1635" i="120" s="1"/>
  <c r="G2028" i="120" s="1"/>
  <c r="G2421" i="120" s="1"/>
  <c r="G2814" i="120" s="1"/>
  <c r="N63" i="120"/>
  <c r="N83" i="120"/>
  <c r="G521" i="120"/>
  <c r="G914" i="120" s="1"/>
  <c r="G1307" i="120" s="1"/>
  <c r="G1700" i="120" s="1"/>
  <c r="G2093" i="120" s="1"/>
  <c r="G2486" i="120" s="1"/>
  <c r="G2879" i="120" s="1"/>
  <c r="H128" i="120"/>
  <c r="N128" i="120" s="1"/>
  <c r="F936" i="120"/>
  <c r="F548" i="120"/>
  <c r="G1344" i="120"/>
  <c r="G1737" i="120" s="1"/>
  <c r="G2130" i="120" s="1"/>
  <c r="G2523" i="120" s="1"/>
  <c r="G2916" i="120" s="1"/>
  <c r="G569" i="120"/>
  <c r="G962" i="120" s="1"/>
  <c r="G1355" i="120" s="1"/>
  <c r="G1748" i="120" s="1"/>
  <c r="G2141" i="120" s="1"/>
  <c r="G2534" i="120" s="1"/>
  <c r="G2927" i="120" s="1"/>
  <c r="H176" i="120"/>
  <c r="N176" i="120" s="1"/>
  <c r="G615" i="120"/>
  <c r="G1008" i="120" s="1"/>
  <c r="G1401" i="120" s="1"/>
  <c r="G1794" i="120" s="1"/>
  <c r="G2187" i="120" s="1"/>
  <c r="G2580" i="120" s="1"/>
  <c r="G2973" i="120" s="1"/>
  <c r="H619" i="120"/>
  <c r="N619" i="120" s="1"/>
  <c r="F1012" i="120"/>
  <c r="F1237" i="120"/>
  <c r="O2456" i="120"/>
  <c r="P2456" i="120" s="1"/>
  <c r="N65" i="120"/>
  <c r="G480" i="120"/>
  <c r="G873" i="120" s="1"/>
  <c r="G1266" i="120" s="1"/>
  <c r="G1659" i="120" s="1"/>
  <c r="G2052" i="120" s="1"/>
  <c r="G2445" i="120" s="1"/>
  <c r="G2838" i="120" s="1"/>
  <c r="J791" i="120"/>
  <c r="F864" i="120"/>
  <c r="G424" i="120"/>
  <c r="G817" i="120" s="1"/>
  <c r="G1210" i="120" s="1"/>
  <c r="G1603" i="120" s="1"/>
  <c r="G1996" i="120" s="1"/>
  <c r="G2389" i="120" s="1"/>
  <c r="G2782" i="120" s="1"/>
  <c r="G458" i="120"/>
  <c r="G851" i="120" s="1"/>
  <c r="G1244" i="120" s="1"/>
  <c r="G1637" i="120" s="1"/>
  <c r="G2030" i="120" s="1"/>
  <c r="G2423" i="120" s="1"/>
  <c r="G2816" i="120" s="1"/>
  <c r="G529" i="120"/>
  <c r="F930" i="120"/>
  <c r="G555" i="120"/>
  <c r="G948" i="120" s="1"/>
  <c r="G1341" i="120" s="1"/>
  <c r="G1734" i="120" s="1"/>
  <c r="G2127" i="120" s="1"/>
  <c r="G2520" i="120" s="1"/>
  <c r="G2913" i="120" s="1"/>
  <c r="F566" i="120"/>
  <c r="H173" i="120"/>
  <c r="N173" i="120" s="1"/>
  <c r="F970" i="120"/>
  <c r="H579" i="120"/>
  <c r="N579" i="120" s="1"/>
  <c r="F972" i="120"/>
  <c r="F1391" i="120"/>
  <c r="F616" i="120"/>
  <c r="H223" i="120"/>
  <c r="N223" i="120" s="1"/>
  <c r="H625" i="120"/>
  <c r="N625" i="120" s="1"/>
  <c r="F1018" i="120"/>
  <c r="G1063" i="120"/>
  <c r="G1456" i="120" s="1"/>
  <c r="G1849" i="120" s="1"/>
  <c r="G2242" i="120" s="1"/>
  <c r="G2635" i="120" s="1"/>
  <c r="G3028" i="120" s="1"/>
  <c r="G1481" i="120"/>
  <c r="G1874" i="120" s="1"/>
  <c r="G2267" i="120" s="1"/>
  <c r="G2660" i="120" s="1"/>
  <c r="G3053" i="120" s="1"/>
  <c r="G703" i="120"/>
  <c r="G1096" i="120" s="1"/>
  <c r="G1489" i="120" s="1"/>
  <c r="G1882" i="120" s="1"/>
  <c r="G2275" i="120" s="1"/>
  <c r="G2668" i="120" s="1"/>
  <c r="G3061" i="120" s="1"/>
  <c r="G743" i="120"/>
  <c r="G1136" i="120" s="1"/>
  <c r="G1529" i="120" s="1"/>
  <c r="G1922" i="120" s="1"/>
  <c r="G2315" i="120" s="1"/>
  <c r="G2708" i="120" s="1"/>
  <c r="G3101" i="120" s="1"/>
  <c r="G783" i="120"/>
  <c r="G1176" i="120" s="1"/>
  <c r="G1569" i="120" s="1"/>
  <c r="G1962" i="120" s="1"/>
  <c r="G2355" i="120" s="1"/>
  <c r="G2748" i="120" s="1"/>
  <c r="G3141" i="120" s="1"/>
  <c r="M791" i="120"/>
  <c r="F984" i="120"/>
  <c r="H591" i="120"/>
  <c r="N591" i="120" s="1"/>
  <c r="G949" i="120"/>
  <c r="G1342" i="120" s="1"/>
  <c r="G1735" i="120" s="1"/>
  <c r="G2128" i="120" s="1"/>
  <c r="G2521" i="120" s="1"/>
  <c r="G2914" i="120" s="1"/>
  <c r="G2136" i="120"/>
  <c r="G2529" i="120" s="1"/>
  <c r="G2922" i="120" s="1"/>
  <c r="F608" i="120"/>
  <c r="H215" i="120"/>
  <c r="N215" i="120" s="1"/>
  <c r="G619" i="120"/>
  <c r="G1012" i="120" s="1"/>
  <c r="G1405" i="120" s="1"/>
  <c r="G1798" i="120" s="1"/>
  <c r="G2191" i="120" s="1"/>
  <c r="G2584" i="120" s="1"/>
  <c r="G2977" i="120" s="1"/>
  <c r="H226" i="120"/>
  <c r="N226" i="120" s="1"/>
  <c r="G639" i="120"/>
  <c r="G1032" i="120" s="1"/>
  <c r="G1425" i="120" s="1"/>
  <c r="G1818" i="120" s="1"/>
  <c r="G2211" i="120" s="1"/>
  <c r="G2604" i="120" s="1"/>
  <c r="G2997" i="120" s="1"/>
  <c r="N9" i="120"/>
  <c r="G422" i="120"/>
  <c r="G815" i="120" s="1"/>
  <c r="G1208" i="120" s="1"/>
  <c r="G1601" i="120" s="1"/>
  <c r="G1994" i="120" s="1"/>
  <c r="G2387" i="120" s="1"/>
  <c r="G2780" i="120" s="1"/>
  <c r="G430" i="120"/>
  <c r="G823" i="120" s="1"/>
  <c r="G1216" i="120" s="1"/>
  <c r="G1609" i="120" s="1"/>
  <c r="G2002" i="120" s="1"/>
  <c r="G2395" i="120" s="1"/>
  <c r="G2788" i="120" s="1"/>
  <c r="G443" i="120"/>
  <c r="G836" i="120" s="1"/>
  <c r="G1229" i="120" s="1"/>
  <c r="G1622" i="120" s="1"/>
  <c r="G2015" i="120" s="1"/>
  <c r="G2408" i="120" s="1"/>
  <c r="G2801" i="120" s="1"/>
  <c r="G459" i="120"/>
  <c r="G852" i="120" s="1"/>
  <c r="G1245" i="120" s="1"/>
  <c r="G1638" i="120" s="1"/>
  <c r="G2031" i="120" s="1"/>
  <c r="G2424" i="120" s="1"/>
  <c r="G2817" i="120" s="1"/>
  <c r="G467" i="120"/>
  <c r="G475" i="120"/>
  <c r="G868" i="120" s="1"/>
  <c r="G1261" i="120" s="1"/>
  <c r="G1654" i="120" s="1"/>
  <c r="G2047" i="120" s="1"/>
  <c r="G2440" i="120" s="1"/>
  <c r="G2833" i="120" s="1"/>
  <c r="G483" i="120"/>
  <c r="G876" i="120" s="1"/>
  <c r="G1269" i="120" s="1"/>
  <c r="G1662" i="120" s="1"/>
  <c r="G2055" i="120" s="1"/>
  <c r="G2448" i="120" s="1"/>
  <c r="G2841" i="120" s="1"/>
  <c r="F522" i="120"/>
  <c r="H129" i="120"/>
  <c r="N129" i="120" s="1"/>
  <c r="F530" i="120"/>
  <c r="F538" i="120"/>
  <c r="H145" i="120"/>
  <c r="N145" i="120" s="1"/>
  <c r="F546" i="120"/>
  <c r="H153" i="120"/>
  <c r="N153" i="120" s="1"/>
  <c r="F554" i="120"/>
  <c r="H161" i="120"/>
  <c r="N161" i="120" s="1"/>
  <c r="F562" i="120"/>
  <c r="F570" i="120"/>
  <c r="F578" i="120"/>
  <c r="H185" i="120"/>
  <c r="N185" i="120" s="1"/>
  <c r="F586" i="120"/>
  <c r="H193" i="120"/>
  <c r="N193" i="120" s="1"/>
  <c r="G594" i="120"/>
  <c r="G987" i="120" s="1"/>
  <c r="G1380" i="120" s="1"/>
  <c r="G1773" i="120" s="1"/>
  <c r="G2166" i="120" s="1"/>
  <c r="G2559" i="120" s="1"/>
  <c r="G2952" i="120" s="1"/>
  <c r="F597" i="120"/>
  <c r="F600" i="120"/>
  <c r="H207" i="120"/>
  <c r="N207" i="120" s="1"/>
  <c r="G605" i="120"/>
  <c r="G1001" i="120"/>
  <c r="G1394" i="120" s="1"/>
  <c r="G1787" i="120" s="1"/>
  <c r="G2180" i="120" s="1"/>
  <c r="G2573" i="120" s="1"/>
  <c r="G2966" i="120" s="1"/>
  <c r="G1025" i="120"/>
  <c r="G1418" i="120" s="1"/>
  <c r="G1811" i="120" s="1"/>
  <c r="G2204" i="120" s="1"/>
  <c r="G2597" i="120" s="1"/>
  <c r="G2990" i="120" s="1"/>
  <c r="G636" i="120"/>
  <c r="G1029" i="120" s="1"/>
  <c r="G1422" i="120" s="1"/>
  <c r="G1815" i="120" s="1"/>
  <c r="G2208" i="120" s="1"/>
  <c r="G2601" i="120" s="1"/>
  <c r="G2994" i="120" s="1"/>
  <c r="G1057" i="120"/>
  <c r="G1450" i="120" s="1"/>
  <c r="G1843" i="120" s="1"/>
  <c r="G2236" i="120" s="1"/>
  <c r="G2629" i="120" s="1"/>
  <c r="G3022" i="120" s="1"/>
  <c r="G686" i="120"/>
  <c r="G1079" i="120" s="1"/>
  <c r="G1472" i="120" s="1"/>
  <c r="G1865" i="120" s="1"/>
  <c r="G2258" i="120" s="1"/>
  <c r="G2651" i="120" s="1"/>
  <c r="G3044" i="120" s="1"/>
  <c r="G723" i="120"/>
  <c r="G1116" i="120" s="1"/>
  <c r="G1509" i="120" s="1"/>
  <c r="G1902" i="120" s="1"/>
  <c r="G2295" i="120" s="1"/>
  <c r="G2688" i="120" s="1"/>
  <c r="G3081" i="120" s="1"/>
  <c r="G759" i="120"/>
  <c r="G1152" i="120" s="1"/>
  <c r="G1545" i="120" s="1"/>
  <c r="G1938" i="120" s="1"/>
  <c r="G2331" i="120" s="1"/>
  <c r="G2724" i="120" s="1"/>
  <c r="G3117" i="120" s="1"/>
  <c r="G567" i="120"/>
  <c r="G960" i="120" s="1"/>
  <c r="G1353" i="120" s="1"/>
  <c r="G1746" i="120" s="1"/>
  <c r="G2139" i="120" s="1"/>
  <c r="G2532" i="120" s="1"/>
  <c r="G2925" i="120" s="1"/>
  <c r="I1184" i="120"/>
  <c r="H475" i="120"/>
  <c r="N475" i="120" s="1"/>
  <c r="F868" i="120"/>
  <c r="H507" i="120"/>
  <c r="N507" i="120" s="1"/>
  <c r="F900" i="120"/>
  <c r="G917" i="120"/>
  <c r="G1310" i="120" s="1"/>
  <c r="G1703" i="120" s="1"/>
  <c r="G2096" i="120" s="1"/>
  <c r="G2489" i="120" s="1"/>
  <c r="G2882" i="120" s="1"/>
  <c r="G1436" i="120"/>
  <c r="G1829" i="120" s="1"/>
  <c r="G2222" i="120" s="1"/>
  <c r="G2615" i="120" s="1"/>
  <c r="G3008" i="120" s="1"/>
  <c r="H403" i="120"/>
  <c r="N403" i="120" s="1"/>
  <c r="G2849" i="120"/>
  <c r="G406" i="120"/>
  <c r="G799" i="120" s="1"/>
  <c r="G1192" i="120" s="1"/>
  <c r="G1585" i="120" s="1"/>
  <c r="G1978" i="120" s="1"/>
  <c r="G2371" i="120" s="1"/>
  <c r="G2764" i="120" s="1"/>
  <c r="N10" i="120"/>
  <c r="F452" i="120"/>
  <c r="F457" i="120"/>
  <c r="H66" i="120"/>
  <c r="N66" i="120" s="1"/>
  <c r="F460" i="120"/>
  <c r="H74" i="120"/>
  <c r="N74" i="120" s="1"/>
  <c r="F468" i="120"/>
  <c r="F473" i="120"/>
  <c r="H82" i="120"/>
  <c r="N82" i="120" s="1"/>
  <c r="F476" i="120"/>
  <c r="F481" i="120"/>
  <c r="F505" i="120"/>
  <c r="H114" i="120"/>
  <c r="N114" i="120" s="1"/>
  <c r="F513" i="120"/>
  <c r="F517" i="120"/>
  <c r="H134" i="120"/>
  <c r="N134" i="120" s="1"/>
  <c r="G530" i="120"/>
  <c r="G923" i="120" s="1"/>
  <c r="G1316" i="120" s="1"/>
  <c r="G1709" i="120" s="1"/>
  <c r="G2102" i="120" s="1"/>
  <c r="G2495" i="120" s="1"/>
  <c r="G2888" i="120" s="1"/>
  <c r="F533" i="120"/>
  <c r="F541" i="120"/>
  <c r="H150" i="120"/>
  <c r="N150" i="120" s="1"/>
  <c r="G546" i="120"/>
  <c r="G939" i="120" s="1"/>
  <c r="G1332" i="120" s="1"/>
  <c r="G1725" i="120" s="1"/>
  <c r="G2118" i="120" s="1"/>
  <c r="G2511" i="120" s="1"/>
  <c r="G2904" i="120" s="1"/>
  <c r="F549" i="120"/>
  <c r="F557" i="120"/>
  <c r="F565" i="120"/>
  <c r="F573" i="120"/>
  <c r="F589" i="120"/>
  <c r="G993" i="120"/>
  <c r="G1386" i="120" s="1"/>
  <c r="G1779" i="120" s="1"/>
  <c r="G2172" i="120" s="1"/>
  <c r="G2565" i="120" s="1"/>
  <c r="G2958" i="120" s="1"/>
  <c r="F606" i="120"/>
  <c r="H213" i="120"/>
  <c r="N213" i="120" s="1"/>
  <c r="G611" i="120"/>
  <c r="G1004" i="120" s="1"/>
  <c r="G1397" i="120" s="1"/>
  <c r="G1790" i="120" s="1"/>
  <c r="G2183" i="120" s="1"/>
  <c r="G2576" i="120" s="1"/>
  <c r="G2969" i="120" s="1"/>
  <c r="H233" i="120"/>
  <c r="N233" i="120" s="1"/>
  <c r="G679" i="120"/>
  <c r="G1072" i="120" s="1"/>
  <c r="G1465" i="120" s="1"/>
  <c r="G1858" i="120" s="1"/>
  <c r="G2251" i="120" s="1"/>
  <c r="G2644" i="120" s="1"/>
  <c r="G3037" i="120" s="1"/>
  <c r="G705" i="120"/>
  <c r="G1098" i="120" s="1"/>
  <c r="G1491" i="120" s="1"/>
  <c r="G1884" i="120" s="1"/>
  <c r="G2277" i="120" s="1"/>
  <c r="G2670" i="120" s="1"/>
  <c r="G3063" i="120" s="1"/>
  <c r="G2288" i="120"/>
  <c r="G2681" i="120" s="1"/>
  <c r="G3074" i="120" s="1"/>
  <c r="G734" i="120"/>
  <c r="G1127" i="120" s="1"/>
  <c r="G1520" i="120" s="1"/>
  <c r="G1913" i="120" s="1"/>
  <c r="G2306" i="120" s="1"/>
  <c r="G2699" i="120" s="1"/>
  <c r="G3092" i="120" s="1"/>
  <c r="G767" i="120"/>
  <c r="G1160" i="120" s="1"/>
  <c r="G1553" i="120" s="1"/>
  <c r="G1946" i="120" s="1"/>
  <c r="G2339" i="120" s="1"/>
  <c r="G2732" i="120" s="1"/>
  <c r="G3125" i="120" s="1"/>
  <c r="G771" i="120"/>
  <c r="G1164" i="120" s="1"/>
  <c r="G1557" i="120" s="1"/>
  <c r="G1950" i="120" s="1"/>
  <c r="G2343" i="120" s="1"/>
  <c r="G2736" i="120" s="1"/>
  <c r="G3129" i="120" s="1"/>
  <c r="G2655" i="120"/>
  <c r="G3048" i="120" s="1"/>
  <c r="M797" i="120"/>
  <c r="M1184" i="120" s="1"/>
  <c r="J1184" i="120"/>
  <c r="M1191" i="120"/>
  <c r="M1577" i="120" s="1"/>
  <c r="J1577" i="120"/>
  <c r="F852" i="120"/>
  <c r="G965" i="120"/>
  <c r="G1358" i="120" s="1"/>
  <c r="G1751" i="120" s="1"/>
  <c r="G2144" i="120" s="1"/>
  <c r="G2537" i="120" s="1"/>
  <c r="G2930" i="120" s="1"/>
  <c r="F841" i="120"/>
  <c r="F865" i="120"/>
  <c r="H402" i="120"/>
  <c r="N402" i="120" s="1"/>
  <c r="N8" i="120"/>
  <c r="G404" i="120"/>
  <c r="G797" i="120" s="1"/>
  <c r="G412" i="120"/>
  <c r="G805" i="120" s="1"/>
  <c r="G1198" i="120" s="1"/>
  <c r="G1591" i="120" s="1"/>
  <c r="G1984" i="120" s="1"/>
  <c r="G2377" i="120" s="1"/>
  <c r="G2770" i="120" s="1"/>
  <c r="G420" i="120"/>
  <c r="G813" i="120" s="1"/>
  <c r="G1206" i="120" s="1"/>
  <c r="G1599" i="120" s="1"/>
  <c r="G1992" i="120" s="1"/>
  <c r="G2385" i="120" s="1"/>
  <c r="G2778" i="120" s="1"/>
  <c r="G428" i="120"/>
  <c r="G821" i="120" s="1"/>
  <c r="G1214" i="120" s="1"/>
  <c r="G1607" i="120" s="1"/>
  <c r="G2000" i="120" s="1"/>
  <c r="G2393" i="120" s="1"/>
  <c r="G2786" i="120" s="1"/>
  <c r="G441" i="120"/>
  <c r="G834" i="120" s="1"/>
  <c r="G1227" i="120" s="1"/>
  <c r="G1620" i="120" s="1"/>
  <c r="G2013" i="120" s="1"/>
  <c r="G2406" i="120" s="1"/>
  <c r="G2799" i="120" s="1"/>
  <c r="G449" i="120"/>
  <c r="G842" i="120" s="1"/>
  <c r="G1235" i="120" s="1"/>
  <c r="G1628" i="120" s="1"/>
  <c r="G2021" i="120" s="1"/>
  <c r="G2414" i="120" s="1"/>
  <c r="G2807" i="120" s="1"/>
  <c r="G457" i="120"/>
  <c r="G850" i="120" s="1"/>
  <c r="G1243" i="120" s="1"/>
  <c r="G1636" i="120" s="1"/>
  <c r="G2029" i="120" s="1"/>
  <c r="G2422" i="120" s="1"/>
  <c r="G2815" i="120" s="1"/>
  <c r="G465" i="120"/>
  <c r="G858" i="120" s="1"/>
  <c r="G1251" i="120" s="1"/>
  <c r="G1644" i="120" s="1"/>
  <c r="G2037" i="120" s="1"/>
  <c r="G2430" i="120" s="1"/>
  <c r="G2823" i="120" s="1"/>
  <c r="G481" i="120"/>
  <c r="G874" i="120" s="1"/>
  <c r="G1267" i="120" s="1"/>
  <c r="G1660" i="120" s="1"/>
  <c r="G2053" i="120" s="1"/>
  <c r="G2446" i="120" s="1"/>
  <c r="G2839" i="120" s="1"/>
  <c r="G497" i="120"/>
  <c r="G890" i="120" s="1"/>
  <c r="G1283" i="120" s="1"/>
  <c r="G1676" i="120" s="1"/>
  <c r="G2069" i="120" s="1"/>
  <c r="G2462" i="120" s="1"/>
  <c r="G2855" i="120" s="1"/>
  <c r="G500" i="120"/>
  <c r="G893" i="120" s="1"/>
  <c r="G1286" i="120" s="1"/>
  <c r="G1679" i="120" s="1"/>
  <c r="G2072" i="120" s="1"/>
  <c r="G2465" i="120" s="1"/>
  <c r="G2858" i="120" s="1"/>
  <c r="G505" i="120"/>
  <c r="G898" i="120" s="1"/>
  <c r="G1291" i="120" s="1"/>
  <c r="G1684" i="120" s="1"/>
  <c r="G2077" i="120" s="1"/>
  <c r="G2470" i="120" s="1"/>
  <c r="G2863" i="120" s="1"/>
  <c r="G508" i="120"/>
  <c r="G901" i="120" s="1"/>
  <c r="G1294" i="120" s="1"/>
  <c r="G1687" i="120" s="1"/>
  <c r="G2080" i="120" s="1"/>
  <c r="G2473" i="120" s="1"/>
  <c r="G2866" i="120" s="1"/>
  <c r="G513" i="120"/>
  <c r="G906" i="120" s="1"/>
  <c r="G1299" i="120" s="1"/>
  <c r="G1692" i="120" s="1"/>
  <c r="G2085" i="120" s="1"/>
  <c r="G2478" i="120" s="1"/>
  <c r="G2871" i="120" s="1"/>
  <c r="G517" i="120"/>
  <c r="G910" i="120" s="1"/>
  <c r="G1303" i="120" s="1"/>
  <c r="G1696" i="120" s="1"/>
  <c r="G2089" i="120" s="1"/>
  <c r="G2482" i="120" s="1"/>
  <c r="G2875" i="120" s="1"/>
  <c r="F520" i="120"/>
  <c r="H127" i="120"/>
  <c r="N127" i="120" s="1"/>
  <c r="G525" i="120"/>
  <c r="G918" i="120" s="1"/>
  <c r="G1311" i="120" s="1"/>
  <c r="G1704" i="120" s="1"/>
  <c r="G2097" i="120" s="1"/>
  <c r="G2490" i="120" s="1"/>
  <c r="G2883" i="120" s="1"/>
  <c r="F528" i="120"/>
  <c r="F928" i="120"/>
  <c r="H143" i="120"/>
  <c r="N143" i="120" s="1"/>
  <c r="G541" i="120"/>
  <c r="G934" i="120" s="1"/>
  <c r="G1327" i="120" s="1"/>
  <c r="G1720" i="120" s="1"/>
  <c r="G2113" i="120" s="1"/>
  <c r="G2506" i="120" s="1"/>
  <c r="G2899" i="120" s="1"/>
  <c r="F544" i="120"/>
  <c r="H151" i="120"/>
  <c r="N151" i="120" s="1"/>
  <c r="G549" i="120"/>
  <c r="G942" i="120" s="1"/>
  <c r="G1335" i="120" s="1"/>
  <c r="G1728" i="120" s="1"/>
  <c r="G2121" i="120" s="1"/>
  <c r="G2514" i="120" s="1"/>
  <c r="G2907" i="120" s="1"/>
  <c r="F944" i="120"/>
  <c r="F552" i="120"/>
  <c r="H159" i="120"/>
  <c r="N159" i="120" s="1"/>
  <c r="F560" i="120"/>
  <c r="H167" i="120"/>
  <c r="N167" i="120" s="1"/>
  <c r="F568" i="120"/>
  <c r="H175" i="120"/>
  <c r="N175" i="120" s="1"/>
  <c r="G573" i="120"/>
  <c r="G966" i="120" s="1"/>
  <c r="G1359" i="120" s="1"/>
  <c r="G1752" i="120" s="1"/>
  <c r="G2145" i="120" s="1"/>
  <c r="G2538" i="120" s="1"/>
  <c r="G2931" i="120" s="1"/>
  <c r="F576" i="120"/>
  <c r="G581" i="120"/>
  <c r="G974" i="120" s="1"/>
  <c r="G1367" i="120" s="1"/>
  <c r="G1760" i="120" s="1"/>
  <c r="G2153" i="120" s="1"/>
  <c r="G2546" i="120" s="1"/>
  <c r="G2939" i="120" s="1"/>
  <c r="H191" i="120"/>
  <c r="N191" i="120" s="1"/>
  <c r="G589" i="120"/>
  <c r="G982" i="120" s="1"/>
  <c r="G1375" i="120" s="1"/>
  <c r="G1768" i="120" s="1"/>
  <c r="G2161" i="120" s="1"/>
  <c r="G2554" i="120" s="1"/>
  <c r="G2947" i="120" s="1"/>
  <c r="G606" i="120"/>
  <c r="G999" i="120" s="1"/>
  <c r="G1392" i="120" s="1"/>
  <c r="G1785" i="120" s="1"/>
  <c r="G2178" i="120" s="1"/>
  <c r="G2571" i="120" s="1"/>
  <c r="G2964" i="120" s="1"/>
  <c r="N218" i="120"/>
  <c r="G626" i="120"/>
  <c r="G1019" i="120" s="1"/>
  <c r="G1412" i="120" s="1"/>
  <c r="G1805" i="120" s="1"/>
  <c r="G2198" i="120" s="1"/>
  <c r="G2591" i="120" s="1"/>
  <c r="G2984" i="120" s="1"/>
  <c r="G782" i="120"/>
  <c r="G1175" i="120" s="1"/>
  <c r="G1568" i="120" s="1"/>
  <c r="G1961" i="120" s="1"/>
  <c r="G2354" i="120" s="1"/>
  <c r="G2747" i="120" s="1"/>
  <c r="G3140" i="120" s="1"/>
  <c r="H427" i="120"/>
  <c r="N427" i="120" s="1"/>
  <c r="F515" i="120"/>
  <c r="N88" i="120"/>
  <c r="N112" i="120"/>
  <c r="N120" i="120"/>
  <c r="G520" i="120"/>
  <c r="G913" i="120" s="1"/>
  <c r="G1306" i="120" s="1"/>
  <c r="G1699" i="120" s="1"/>
  <c r="G2092" i="120" s="1"/>
  <c r="G2485" i="120" s="1"/>
  <c r="G2878" i="120" s="1"/>
  <c r="G528" i="120"/>
  <c r="G921" i="120" s="1"/>
  <c r="G1314" i="120" s="1"/>
  <c r="G1707" i="120" s="1"/>
  <c r="G2100" i="120" s="1"/>
  <c r="G2493" i="120" s="1"/>
  <c r="G2886" i="120" s="1"/>
  <c r="G536" i="120"/>
  <c r="G929" i="120" s="1"/>
  <c r="G1322" i="120" s="1"/>
  <c r="G1715" i="120" s="1"/>
  <c r="G2108" i="120" s="1"/>
  <c r="G2501" i="120" s="1"/>
  <c r="G2894" i="120" s="1"/>
  <c r="G544" i="120"/>
  <c r="G937" i="120" s="1"/>
  <c r="G1330" i="120" s="1"/>
  <c r="G1723" i="120" s="1"/>
  <c r="G2116" i="120" s="1"/>
  <c r="G2509" i="120" s="1"/>
  <c r="G2902" i="120" s="1"/>
  <c r="N156" i="120"/>
  <c r="G552" i="120"/>
  <c r="G945" i="120" s="1"/>
  <c r="G1338" i="120" s="1"/>
  <c r="G1731" i="120" s="1"/>
  <c r="G2124" i="120" s="1"/>
  <c r="G2517" i="120" s="1"/>
  <c r="G2910" i="120" s="1"/>
  <c r="G560" i="120"/>
  <c r="G953" i="120" s="1"/>
  <c r="G1346" i="120" s="1"/>
  <c r="G1739" i="120" s="1"/>
  <c r="G2132" i="120" s="1"/>
  <c r="G2525" i="120" s="1"/>
  <c r="G2918" i="120" s="1"/>
  <c r="G568" i="120"/>
  <c r="G961" i="120" s="1"/>
  <c r="G1354" i="120" s="1"/>
  <c r="G1747" i="120" s="1"/>
  <c r="G2140" i="120" s="1"/>
  <c r="G2533" i="120" s="1"/>
  <c r="G2926" i="120" s="1"/>
  <c r="N180" i="120"/>
  <c r="G576" i="120"/>
  <c r="G969" i="120" s="1"/>
  <c r="G1362" i="120" s="1"/>
  <c r="G1755" i="120" s="1"/>
  <c r="G2148" i="120" s="1"/>
  <c r="G2541" i="120" s="1"/>
  <c r="G2934" i="120" s="1"/>
  <c r="G584" i="120"/>
  <c r="G977" i="120" s="1"/>
  <c r="G1370" i="120" s="1"/>
  <c r="G1763" i="120" s="1"/>
  <c r="G2156" i="120" s="1"/>
  <c r="G2549" i="120" s="1"/>
  <c r="G2942" i="120" s="1"/>
  <c r="N196" i="120"/>
  <c r="F590" i="120"/>
  <c r="F1004" i="120"/>
  <c r="F621" i="120"/>
  <c r="F624" i="120"/>
  <c r="H231" i="120"/>
  <c r="N231" i="120" s="1"/>
  <c r="G634" i="120"/>
  <c r="G1027" i="120" s="1"/>
  <c r="G1420" i="120" s="1"/>
  <c r="G1813" i="120" s="1"/>
  <c r="G2206" i="120" s="1"/>
  <c r="G2599" i="120" s="1"/>
  <c r="G2992" i="120" s="1"/>
  <c r="G637" i="120"/>
  <c r="G1030" i="120" s="1"/>
  <c r="G1423" i="120" s="1"/>
  <c r="G1816" i="120" s="1"/>
  <c r="G2209" i="120" s="1"/>
  <c r="G2602" i="120" s="1"/>
  <c r="G2995" i="120" s="1"/>
  <c r="G655" i="120"/>
  <c r="G1048" i="120" s="1"/>
  <c r="G1441" i="120" s="1"/>
  <c r="G1834" i="120" s="1"/>
  <c r="G2227" i="120" s="1"/>
  <c r="G2620" i="120" s="1"/>
  <c r="G3013" i="120" s="1"/>
  <c r="G666" i="120"/>
  <c r="G1059" i="120" s="1"/>
  <c r="G1452" i="120" s="1"/>
  <c r="G1845" i="120" s="1"/>
  <c r="G2238" i="120" s="1"/>
  <c r="G2631" i="120" s="1"/>
  <c r="G3024" i="120" s="1"/>
  <c r="G669" i="120"/>
  <c r="G1062" i="120" s="1"/>
  <c r="G1455" i="120" s="1"/>
  <c r="G1848" i="120" s="1"/>
  <c r="G2241" i="120" s="1"/>
  <c r="G2634" i="120" s="1"/>
  <c r="G3027" i="120" s="1"/>
  <c r="G702" i="120"/>
  <c r="G1095" i="120" s="1"/>
  <c r="G1488" i="120" s="1"/>
  <c r="G1881" i="120" s="1"/>
  <c r="G2274" i="120" s="1"/>
  <c r="G2667" i="120" s="1"/>
  <c r="G3060" i="120" s="1"/>
  <c r="I791" i="120"/>
  <c r="O490" i="120"/>
  <c r="P490" i="120" s="1"/>
  <c r="H627" i="120"/>
  <c r="N627" i="120" s="1"/>
  <c r="G719" i="120"/>
  <c r="G1112" i="120" s="1"/>
  <c r="G1505" i="120" s="1"/>
  <c r="G1898" i="120" s="1"/>
  <c r="G2291" i="120" s="1"/>
  <c r="G2684" i="120" s="1"/>
  <c r="G3077" i="120" s="1"/>
  <c r="G751" i="120"/>
  <c r="G1144" i="120" s="1"/>
  <c r="G1537" i="120" s="1"/>
  <c r="G1930" i="120" s="1"/>
  <c r="G2323" i="120" s="1"/>
  <c r="G2716" i="120" s="1"/>
  <c r="G3109" i="120" s="1"/>
  <c r="G1115" i="120"/>
  <c r="G1508" i="120" s="1"/>
  <c r="G1901" i="120" s="1"/>
  <c r="G2294" i="120" s="1"/>
  <c r="G2687" i="120" s="1"/>
  <c r="G3080" i="120" s="1"/>
  <c r="O1275" i="120"/>
  <c r="P1275" i="120" s="1"/>
  <c r="O2061" i="120"/>
  <c r="P2061" i="120" s="1"/>
  <c r="G633" i="120"/>
  <c r="G1026" i="120" s="1"/>
  <c r="G1419" i="120" s="1"/>
  <c r="G1812" i="120" s="1"/>
  <c r="G2205" i="120" s="1"/>
  <c r="G2598" i="120" s="1"/>
  <c r="G2991" i="120" s="1"/>
  <c r="G649" i="120"/>
  <c r="G1042" i="120" s="1"/>
  <c r="G1435" i="120" s="1"/>
  <c r="G1828" i="120" s="1"/>
  <c r="G2221" i="120" s="1"/>
  <c r="G2614" i="120" s="1"/>
  <c r="G3007" i="120" s="1"/>
  <c r="G665" i="120"/>
  <c r="G1058" i="120" s="1"/>
  <c r="G1451" i="120" s="1"/>
  <c r="G1844" i="120" s="1"/>
  <c r="G2237" i="120" s="1"/>
  <c r="G2630" i="120" s="1"/>
  <c r="G3023" i="120" s="1"/>
  <c r="G681" i="120"/>
  <c r="G1074" i="120" s="1"/>
  <c r="G1467" i="120" s="1"/>
  <c r="G1860" i="120" s="1"/>
  <c r="G2253" i="120" s="1"/>
  <c r="G2646" i="120" s="1"/>
  <c r="G3039" i="120" s="1"/>
  <c r="G697" i="120"/>
  <c r="G1090" i="120" s="1"/>
  <c r="G1483" i="120" s="1"/>
  <c r="G1876" i="120" s="1"/>
  <c r="G2269" i="120" s="1"/>
  <c r="G2662" i="120" s="1"/>
  <c r="G3055" i="120" s="1"/>
  <c r="G713" i="120"/>
  <c r="G1106" i="120" s="1"/>
  <c r="G1499" i="120" s="1"/>
  <c r="G1892" i="120" s="1"/>
  <c r="G2285" i="120" s="1"/>
  <c r="G2678" i="120" s="1"/>
  <c r="G3071" i="120" s="1"/>
  <c r="G729" i="120"/>
  <c r="G1122" i="120" s="1"/>
  <c r="G1515" i="120" s="1"/>
  <c r="G1908" i="120" s="1"/>
  <c r="G2301" i="120" s="1"/>
  <c r="G2694" i="120" s="1"/>
  <c r="G3087" i="120" s="1"/>
  <c r="G745" i="120"/>
  <c r="G1138" i="120" s="1"/>
  <c r="G1531" i="120" s="1"/>
  <c r="G1924" i="120" s="1"/>
  <c r="G2317" i="120" s="1"/>
  <c r="G2710" i="120" s="1"/>
  <c r="G3103" i="120" s="1"/>
  <c r="G761" i="120"/>
  <c r="G1154" i="120" s="1"/>
  <c r="G1547" i="120" s="1"/>
  <c r="G1940" i="120" s="1"/>
  <c r="G2333" i="120" s="1"/>
  <c r="G2726" i="120" s="1"/>
  <c r="G3119" i="120" s="1"/>
  <c r="G777" i="120"/>
  <c r="G1170" i="120" s="1"/>
  <c r="G1563" i="120" s="1"/>
  <c r="G1956" i="120" s="1"/>
  <c r="G2349" i="120" s="1"/>
  <c r="G2742" i="120" s="1"/>
  <c r="G3135" i="120" s="1"/>
  <c r="F588" i="120"/>
  <c r="G593" i="120"/>
  <c r="G986" i="120" s="1"/>
  <c r="G1379" i="120" s="1"/>
  <c r="G1772" i="120" s="1"/>
  <c r="G2165" i="120" s="1"/>
  <c r="G2558" i="120" s="1"/>
  <c r="G2951" i="120" s="1"/>
  <c r="F596" i="120"/>
  <c r="H203" i="120"/>
  <c r="N203" i="120" s="1"/>
  <c r="F604" i="120"/>
  <c r="G617" i="120"/>
  <c r="G1010" i="120" s="1"/>
  <c r="G1403" i="120" s="1"/>
  <c r="G1796" i="120" s="1"/>
  <c r="G2189" i="120" s="1"/>
  <c r="G2582" i="120" s="1"/>
  <c r="G2975" i="120" s="1"/>
  <c r="F620" i="120"/>
  <c r="H227" i="120"/>
  <c r="N227" i="120" s="1"/>
  <c r="O882" i="120"/>
  <c r="P882" i="120" s="1"/>
  <c r="O2062" i="120"/>
  <c r="P2062" i="120" s="1"/>
  <c r="G682" i="120"/>
  <c r="G1075" i="120" s="1"/>
  <c r="G1468" i="120" s="1"/>
  <c r="G1861" i="120" s="1"/>
  <c r="G2254" i="120" s="1"/>
  <c r="G2647" i="120" s="1"/>
  <c r="G3040" i="120" s="1"/>
  <c r="G698" i="120"/>
  <c r="G1091" i="120" s="1"/>
  <c r="G1484" i="120" s="1"/>
  <c r="G1877" i="120" s="1"/>
  <c r="G2270" i="120" s="1"/>
  <c r="G2663" i="120" s="1"/>
  <c r="G3056" i="120" s="1"/>
  <c r="G714" i="120"/>
  <c r="G1107" i="120" s="1"/>
  <c r="G1500" i="120" s="1"/>
  <c r="G1893" i="120" s="1"/>
  <c r="G2286" i="120" s="1"/>
  <c r="G2679" i="120" s="1"/>
  <c r="G3072" i="120" s="1"/>
  <c r="G717" i="120"/>
  <c r="G1110" i="120" s="1"/>
  <c r="G1503" i="120" s="1"/>
  <c r="G1896" i="120" s="1"/>
  <c r="G2289" i="120" s="1"/>
  <c r="G2682" i="120" s="1"/>
  <c r="G3075" i="120" s="1"/>
  <c r="G730" i="120"/>
  <c r="G1123" i="120" s="1"/>
  <c r="G1516" i="120" s="1"/>
  <c r="G1909" i="120" s="1"/>
  <c r="G2302" i="120" s="1"/>
  <c r="G2695" i="120" s="1"/>
  <c r="G3088" i="120" s="1"/>
  <c r="G733" i="120"/>
  <c r="G1126" i="120" s="1"/>
  <c r="G1519" i="120" s="1"/>
  <c r="G1912" i="120" s="1"/>
  <c r="G2305" i="120" s="1"/>
  <c r="G2698" i="120" s="1"/>
  <c r="G3091" i="120" s="1"/>
  <c r="G746" i="120"/>
  <c r="G1139" i="120" s="1"/>
  <c r="G1532" i="120" s="1"/>
  <c r="G1925" i="120" s="1"/>
  <c r="G2318" i="120" s="1"/>
  <c r="G2711" i="120" s="1"/>
  <c r="G3104" i="120" s="1"/>
  <c r="G765" i="120"/>
  <c r="G1158" i="120" s="1"/>
  <c r="G1551" i="120" s="1"/>
  <c r="G1944" i="120" s="1"/>
  <c r="G2337" i="120" s="1"/>
  <c r="G2730" i="120" s="1"/>
  <c r="G3123" i="120" s="1"/>
  <c r="G778" i="120"/>
  <c r="G1171" i="120" s="1"/>
  <c r="G1564" i="120" s="1"/>
  <c r="G1957" i="120" s="1"/>
  <c r="G2350" i="120" s="1"/>
  <c r="G2743" i="120" s="1"/>
  <c r="G3136" i="120" s="1"/>
  <c r="F494" i="120"/>
  <c r="F500" i="120"/>
  <c r="F506" i="120"/>
  <c r="F512" i="120"/>
  <c r="F514" i="120"/>
  <c r="M3149" i="120"/>
  <c r="I1577" i="120"/>
  <c r="I1970" i="120"/>
  <c r="M1583" i="120"/>
  <c r="M1970" i="120" s="1"/>
  <c r="J1970" i="120"/>
  <c r="O1670" i="120"/>
  <c r="P1670" i="120" s="1"/>
  <c r="M2756" i="120"/>
  <c r="O2454" i="120"/>
  <c r="P2454" i="120" s="1"/>
  <c r="I2363" i="120"/>
  <c r="O2455" i="120"/>
  <c r="P2455" i="120" s="1"/>
  <c r="J2363" i="120"/>
  <c r="I2756" i="120"/>
  <c r="O2848" i="120"/>
  <c r="P2848" i="120" s="1"/>
  <c r="M1976" i="120"/>
  <c r="M2363" i="120" s="1"/>
  <c r="J2756" i="120"/>
  <c r="O2847" i="120"/>
  <c r="P2847" i="120" s="1"/>
  <c r="I3149" i="120"/>
  <c r="J3149" i="120"/>
  <c r="Q398" i="119" l="1"/>
  <c r="F863" i="120"/>
  <c r="H470" i="120"/>
  <c r="N470" i="120" s="1"/>
  <c r="G592" i="120"/>
  <c r="G985" i="120" s="1"/>
  <c r="G1378" i="120" s="1"/>
  <c r="G1771" i="120" s="1"/>
  <c r="G2164" i="120" s="1"/>
  <c r="G2557" i="120" s="1"/>
  <c r="G2950" i="120" s="1"/>
  <c r="H199" i="120"/>
  <c r="N199" i="120" s="1"/>
  <c r="F529" i="120"/>
  <c r="F922" i="120" s="1"/>
  <c r="F1315" i="120" s="1"/>
  <c r="F1708" i="120" s="1"/>
  <c r="F2101" i="120" s="1"/>
  <c r="H136" i="120"/>
  <c r="N136" i="120" s="1"/>
  <c r="H208" i="120"/>
  <c r="N208" i="120" s="1"/>
  <c r="F601" i="120"/>
  <c r="H230" i="120"/>
  <c r="N230" i="120" s="1"/>
  <c r="F623" i="120"/>
  <c r="H179" i="120"/>
  <c r="N179" i="120" s="1"/>
  <c r="G511" i="120"/>
  <c r="H118" i="120"/>
  <c r="N118" i="120" s="1"/>
  <c r="H219" i="120"/>
  <c r="N219" i="120" s="1"/>
  <c r="F612" i="120"/>
  <c r="H612" i="120" s="1"/>
  <c r="N612" i="120" s="1"/>
  <c r="F614" i="120"/>
  <c r="H221" i="120"/>
  <c r="N221" i="120" s="1"/>
  <c r="G540" i="120"/>
  <c r="G933" i="120" s="1"/>
  <c r="G1326" i="120" s="1"/>
  <c r="G1719" i="120" s="1"/>
  <c r="G2112" i="120" s="1"/>
  <c r="G2505" i="120" s="1"/>
  <c r="G2898" i="120" s="1"/>
  <c r="H147" i="120"/>
  <c r="N147" i="120" s="1"/>
  <c r="H527" i="120"/>
  <c r="N527" i="120" s="1"/>
  <c r="F920" i="120"/>
  <c r="F1313" i="120" s="1"/>
  <c r="F847" i="120"/>
  <c r="F1240" i="120" s="1"/>
  <c r="H454" i="120"/>
  <c r="N454" i="120" s="1"/>
  <c r="F518" i="120"/>
  <c r="H125" i="120"/>
  <c r="N125" i="120" s="1"/>
  <c r="G860" i="120"/>
  <c r="H467" i="120"/>
  <c r="N467" i="120" s="1"/>
  <c r="F992" i="120"/>
  <c r="H992" i="120" s="1"/>
  <c r="N992" i="120" s="1"/>
  <c r="H599" i="120"/>
  <c r="N599" i="120" s="1"/>
  <c r="F508" i="120"/>
  <c r="F901" i="120" s="1"/>
  <c r="G785" i="120"/>
  <c r="G1178" i="120" s="1"/>
  <c r="G1571" i="120" s="1"/>
  <c r="G1964" i="120" s="1"/>
  <c r="G2357" i="120" s="1"/>
  <c r="G2750" i="120" s="1"/>
  <c r="G3143" i="120" s="1"/>
  <c r="G998" i="120"/>
  <c r="H605" i="120"/>
  <c r="N605" i="120" s="1"/>
  <c r="H563" i="120"/>
  <c r="N563" i="120" s="1"/>
  <c r="F956" i="120"/>
  <c r="F561" i="120"/>
  <c r="H168" i="120"/>
  <c r="N168" i="120" s="1"/>
  <c r="G590" i="120"/>
  <c r="G983" i="120" s="1"/>
  <c r="G1376" i="120" s="1"/>
  <c r="G1769" i="120" s="1"/>
  <c r="G2162" i="120" s="1"/>
  <c r="G2555" i="120" s="1"/>
  <c r="G2948" i="120" s="1"/>
  <c r="H197" i="120"/>
  <c r="N197" i="120" s="1"/>
  <c r="H537" i="120"/>
  <c r="N537" i="120" s="1"/>
  <c r="G865" i="120"/>
  <c r="G1258" i="120" s="1"/>
  <c r="G1651" i="120" s="1"/>
  <c r="G2044" i="120" s="1"/>
  <c r="G2437" i="120" s="1"/>
  <c r="G2830" i="120" s="1"/>
  <c r="H472" i="120"/>
  <c r="N472" i="120" s="1"/>
  <c r="H229" i="120"/>
  <c r="N229" i="120" s="1"/>
  <c r="F594" i="120"/>
  <c r="H201" i="120"/>
  <c r="N201" i="120" s="1"/>
  <c r="G451" i="120"/>
  <c r="G844" i="120" s="1"/>
  <c r="G1237" i="120" s="1"/>
  <c r="G1630" i="120" s="1"/>
  <c r="G2023" i="120" s="1"/>
  <c r="G2416" i="120" s="1"/>
  <c r="G2809" i="120" s="1"/>
  <c r="H58" i="120"/>
  <c r="N58" i="120" s="1"/>
  <c r="G464" i="120"/>
  <c r="G857" i="120" s="1"/>
  <c r="G1250" i="120" s="1"/>
  <c r="G1643" i="120" s="1"/>
  <c r="G2036" i="120" s="1"/>
  <c r="G2429" i="120" s="1"/>
  <c r="G2822" i="120" s="1"/>
  <c r="H71" i="120"/>
  <c r="N71" i="120" s="1"/>
  <c r="G453" i="120"/>
  <c r="G846" i="120" s="1"/>
  <c r="G1239" i="120" s="1"/>
  <c r="G1632" i="120" s="1"/>
  <c r="G2025" i="120" s="1"/>
  <c r="G2418" i="120" s="1"/>
  <c r="G2811" i="120" s="1"/>
  <c r="H60" i="120"/>
  <c r="N60" i="120" s="1"/>
  <c r="F550" i="120"/>
  <c r="H157" i="120"/>
  <c r="N157" i="120" s="1"/>
  <c r="H56" i="120"/>
  <c r="N56" i="120" s="1"/>
  <c r="F449" i="120"/>
  <c r="H449" i="120" s="1"/>
  <c r="N449" i="120" s="1"/>
  <c r="F801" i="120"/>
  <c r="H408" i="120"/>
  <c r="N408" i="120" s="1"/>
  <c r="H55" i="120"/>
  <c r="N55" i="120" s="1"/>
  <c r="G448" i="120"/>
  <c r="F976" i="120"/>
  <c r="F1369" i="120" s="1"/>
  <c r="H583" i="120"/>
  <c r="N583" i="120" s="1"/>
  <c r="G588" i="120"/>
  <c r="G981" i="120" s="1"/>
  <c r="G1374" i="120" s="1"/>
  <c r="G1767" i="120" s="1"/>
  <c r="G2160" i="120" s="1"/>
  <c r="G2553" i="120" s="1"/>
  <c r="G2946" i="120" s="1"/>
  <c r="H195" i="120"/>
  <c r="N195" i="120" s="1"/>
  <c r="F960" i="120"/>
  <c r="H567" i="120"/>
  <c r="N567" i="120" s="1"/>
  <c r="G460" i="120"/>
  <c r="G853" i="120" s="1"/>
  <c r="G1246" i="120" s="1"/>
  <c r="G1639" i="120" s="1"/>
  <c r="G2032" i="120" s="1"/>
  <c r="G2425" i="120" s="1"/>
  <c r="G2818" i="120" s="1"/>
  <c r="H67" i="120"/>
  <c r="N67" i="120" s="1"/>
  <c r="F598" i="120"/>
  <c r="F991" i="120" s="1"/>
  <c r="H205" i="120"/>
  <c r="N205" i="120" s="1"/>
  <c r="G532" i="120"/>
  <c r="G925" i="120" s="1"/>
  <c r="G1318" i="120" s="1"/>
  <c r="G1711" i="120" s="1"/>
  <c r="G2104" i="120" s="1"/>
  <c r="G2497" i="120" s="1"/>
  <c r="G2890" i="120" s="1"/>
  <c r="H139" i="120"/>
  <c r="N139" i="120" s="1"/>
  <c r="F559" i="120"/>
  <c r="H166" i="120"/>
  <c r="N166" i="120" s="1"/>
  <c r="F613" i="120"/>
  <c r="H220" i="120"/>
  <c r="N220" i="120" s="1"/>
  <c r="G562" i="120"/>
  <c r="G955" i="120" s="1"/>
  <c r="G1348" i="120" s="1"/>
  <c r="G1741" i="120" s="1"/>
  <c r="G2134" i="120" s="1"/>
  <c r="G2527" i="120" s="1"/>
  <c r="G2920" i="120" s="1"/>
  <c r="H169" i="120"/>
  <c r="N169" i="120" s="1"/>
  <c r="F912" i="120"/>
  <c r="F1305" i="120" s="1"/>
  <c r="H519" i="120"/>
  <c r="N519" i="120" s="1"/>
  <c r="H204" i="120"/>
  <c r="N204" i="120" s="1"/>
  <c r="F628" i="120"/>
  <c r="H235" i="120"/>
  <c r="N235" i="120" s="1"/>
  <c r="H202" i="120"/>
  <c r="N202" i="120" s="1"/>
  <c r="F595" i="120"/>
  <c r="F988" i="120" s="1"/>
  <c r="G978" i="120"/>
  <c r="G1371" i="120" s="1"/>
  <c r="G1764" i="120" s="1"/>
  <c r="G2157" i="120" s="1"/>
  <c r="G2550" i="120" s="1"/>
  <c r="G2943" i="120" s="1"/>
  <c r="H585" i="120"/>
  <c r="N585" i="120" s="1"/>
  <c r="G471" i="120"/>
  <c r="H78" i="120"/>
  <c r="N78" i="120" s="1"/>
  <c r="G501" i="120"/>
  <c r="G894" i="120" s="1"/>
  <c r="G1287" i="120" s="1"/>
  <c r="G1680" i="120" s="1"/>
  <c r="G2073" i="120" s="1"/>
  <c r="G2466" i="120" s="1"/>
  <c r="G2859" i="120" s="1"/>
  <c r="H108" i="120"/>
  <c r="N108" i="120" s="1"/>
  <c r="F477" i="120"/>
  <c r="H209" i="120"/>
  <c r="N209" i="120" s="1"/>
  <c r="H188" i="120"/>
  <c r="N188" i="120" s="1"/>
  <c r="F581" i="120"/>
  <c r="F974" i="120" s="1"/>
  <c r="G548" i="120"/>
  <c r="G941" i="120" s="1"/>
  <c r="G1334" i="120" s="1"/>
  <c r="G1727" i="120" s="1"/>
  <c r="G2120" i="120" s="1"/>
  <c r="G2513" i="120" s="1"/>
  <c r="G2906" i="120" s="1"/>
  <c r="H155" i="120"/>
  <c r="N155" i="120" s="1"/>
  <c r="F539" i="120"/>
  <c r="H146" i="120"/>
  <c r="N146" i="120" s="1"/>
  <c r="H132" i="120"/>
  <c r="N132" i="120" s="1"/>
  <c r="H109" i="120"/>
  <c r="N109" i="120" s="1"/>
  <c r="F458" i="120"/>
  <c r="F851" i="120" s="1"/>
  <c r="H831" i="120"/>
  <c r="N831" i="120" s="1"/>
  <c r="F525" i="120"/>
  <c r="F918" i="120" s="1"/>
  <c r="H177" i="120"/>
  <c r="N177" i="120" s="1"/>
  <c r="H463" i="120"/>
  <c r="N463" i="120" s="1"/>
  <c r="F609" i="120"/>
  <c r="F462" i="120"/>
  <c r="H69" i="120"/>
  <c r="N69" i="120" s="1"/>
  <c r="H174" i="120"/>
  <c r="N174" i="120" s="1"/>
  <c r="H154" i="120"/>
  <c r="N154" i="120" s="1"/>
  <c r="H186" i="120"/>
  <c r="N186" i="120" s="1"/>
  <c r="F571" i="120"/>
  <c r="F607" i="120"/>
  <c r="H214" i="120"/>
  <c r="N214" i="120" s="1"/>
  <c r="H224" i="120"/>
  <c r="N224" i="120" s="1"/>
  <c r="H122" i="120"/>
  <c r="N122" i="120" s="1"/>
  <c r="G454" i="120"/>
  <c r="G847" i="120" s="1"/>
  <c r="G1240" i="120" s="1"/>
  <c r="G1633" i="120" s="1"/>
  <c r="G2026" i="120" s="1"/>
  <c r="G2419" i="120" s="1"/>
  <c r="G2812" i="120" s="1"/>
  <c r="H72" i="120"/>
  <c r="N72" i="120" s="1"/>
  <c r="F502" i="120"/>
  <c r="F895" i="120" s="1"/>
  <c r="H211" i="120"/>
  <c r="N211" i="120" s="1"/>
  <c r="F465" i="120"/>
  <c r="H820" i="120"/>
  <c r="N820" i="120" s="1"/>
  <c r="H187" i="120"/>
  <c r="N187" i="120" s="1"/>
  <c r="H68" i="120"/>
  <c r="N68" i="120" s="1"/>
  <c r="F547" i="120"/>
  <c r="H172" i="120"/>
  <c r="N172" i="120" s="1"/>
  <c r="H75" i="120"/>
  <c r="N75" i="120" s="1"/>
  <c r="H34" i="120"/>
  <c r="N34" i="120" s="1"/>
  <c r="H189" i="120"/>
  <c r="N189" i="120" s="1"/>
  <c r="H192" i="120"/>
  <c r="N192" i="120" s="1"/>
  <c r="H555" i="120"/>
  <c r="N555" i="120" s="1"/>
  <c r="F456" i="120"/>
  <c r="H182" i="120"/>
  <c r="N182" i="120" s="1"/>
  <c r="H194" i="120"/>
  <c r="N194" i="120" s="1"/>
  <c r="F587" i="120"/>
  <c r="F980" i="120" s="1"/>
  <c r="H142" i="120"/>
  <c r="N142" i="120" s="1"/>
  <c r="G535" i="120"/>
  <c r="H164" i="120"/>
  <c r="N164" i="120" s="1"/>
  <c r="H101" i="120"/>
  <c r="N101" i="120" s="1"/>
  <c r="G741" i="120"/>
  <c r="G1134" i="120" s="1"/>
  <c r="G1527" i="120" s="1"/>
  <c r="G1920" i="120" s="1"/>
  <c r="G2313" i="120" s="1"/>
  <c r="G2706" i="120" s="1"/>
  <c r="G3099" i="120" s="1"/>
  <c r="F593" i="120"/>
  <c r="F986" i="120" s="1"/>
  <c r="F1379" i="120" s="1"/>
  <c r="F1772" i="120" s="1"/>
  <c r="H200" i="120"/>
  <c r="N200" i="120" s="1"/>
  <c r="H232" i="120"/>
  <c r="N232" i="120" s="1"/>
  <c r="G575" i="120"/>
  <c r="H80" i="120"/>
  <c r="N80" i="120" s="1"/>
  <c r="F603" i="120"/>
  <c r="H210" i="120"/>
  <c r="N210" i="120" s="1"/>
  <c r="H438" i="120"/>
  <c r="N438" i="120" s="1"/>
  <c r="H198" i="120"/>
  <c r="N198" i="120" s="1"/>
  <c r="H217" i="120"/>
  <c r="N217" i="120" s="1"/>
  <c r="H77" i="120"/>
  <c r="N77" i="120" s="1"/>
  <c r="H64" i="120"/>
  <c r="N64" i="120" s="1"/>
  <c r="G551" i="120"/>
  <c r="H222" i="120"/>
  <c r="N222" i="120" s="1"/>
  <c r="F977" i="120"/>
  <c r="H584" i="120"/>
  <c r="N584" i="120" s="1"/>
  <c r="F929" i="120"/>
  <c r="H536" i="120"/>
  <c r="N536" i="120" s="1"/>
  <c r="H1012" i="120"/>
  <c r="N1012" i="120" s="1"/>
  <c r="F1405" i="120"/>
  <c r="H569" i="120"/>
  <c r="N569" i="120" s="1"/>
  <c r="F971" i="120"/>
  <c r="H578" i="120"/>
  <c r="N578" i="120" s="1"/>
  <c r="H1018" i="120"/>
  <c r="N1018" i="120" s="1"/>
  <c r="F1411" i="120"/>
  <c r="F1365" i="120"/>
  <c r="H972" i="120"/>
  <c r="N972" i="120" s="1"/>
  <c r="H477" i="120"/>
  <c r="N477" i="120" s="1"/>
  <c r="F870" i="120"/>
  <c r="F1003" i="120"/>
  <c r="H610" i="120"/>
  <c r="N610" i="120" s="1"/>
  <c r="N401" i="120"/>
  <c r="F1331" i="120"/>
  <c r="H938" i="120"/>
  <c r="N938" i="120" s="1"/>
  <c r="F1015" i="120"/>
  <c r="H622" i="120"/>
  <c r="N622" i="120" s="1"/>
  <c r="F1355" i="120"/>
  <c r="H962" i="120"/>
  <c r="N962" i="120" s="1"/>
  <c r="F1317" i="120"/>
  <c r="H924" i="120"/>
  <c r="N924" i="120" s="1"/>
  <c r="F927" i="120"/>
  <c r="H534" i="120"/>
  <c r="N534" i="120" s="1"/>
  <c r="H1008" i="120"/>
  <c r="N1008" i="120" s="1"/>
  <c r="F1401" i="120"/>
  <c r="F1011" i="120"/>
  <c r="H618" i="120"/>
  <c r="N618" i="120" s="1"/>
  <c r="F842" i="120"/>
  <c r="F1016" i="120"/>
  <c r="H623" i="120"/>
  <c r="N623" i="120" s="1"/>
  <c r="F1337" i="120"/>
  <c r="F797" i="120"/>
  <c r="H404" i="120"/>
  <c r="N404" i="120" s="1"/>
  <c r="F975" i="120"/>
  <c r="H582" i="120"/>
  <c r="N582" i="120" s="1"/>
  <c r="H1413" i="120"/>
  <c r="N1413" i="120" s="1"/>
  <c r="F1806" i="120"/>
  <c r="H615" i="120"/>
  <c r="N615" i="120" s="1"/>
  <c r="H617" i="120"/>
  <c r="N617" i="120" s="1"/>
  <c r="F875" i="120"/>
  <c r="H482" i="120"/>
  <c r="N482" i="120" s="1"/>
  <c r="F1241" i="120"/>
  <c r="H848" i="120"/>
  <c r="N848" i="120" s="1"/>
  <c r="G1584" i="120"/>
  <c r="G1977" i="120" s="1"/>
  <c r="G2370" i="120" s="1"/>
  <c r="G2763" i="120" s="1"/>
  <c r="H473" i="120"/>
  <c r="N473" i="120" s="1"/>
  <c r="F866" i="120"/>
  <c r="F979" i="120"/>
  <c r="H586" i="120"/>
  <c r="N586" i="120" s="1"/>
  <c r="F947" i="120"/>
  <c r="H554" i="120"/>
  <c r="N554" i="120" s="1"/>
  <c r="F915" i="120"/>
  <c r="H522" i="120"/>
  <c r="N522" i="120" s="1"/>
  <c r="F911" i="120"/>
  <c r="H518" i="120"/>
  <c r="N518" i="120" s="1"/>
  <c r="F943" i="120"/>
  <c r="H550" i="120"/>
  <c r="N550" i="120" s="1"/>
  <c r="F935" i="120"/>
  <c r="H542" i="120"/>
  <c r="N542" i="120" s="1"/>
  <c r="F967" i="120"/>
  <c r="H574" i="120"/>
  <c r="N574" i="120" s="1"/>
  <c r="F949" i="120"/>
  <c r="H556" i="120"/>
  <c r="N556" i="120" s="1"/>
  <c r="F902" i="120"/>
  <c r="H509" i="120"/>
  <c r="N509" i="120" s="1"/>
  <c r="F887" i="120"/>
  <c r="H494" i="120"/>
  <c r="N494" i="120" s="1"/>
  <c r="F983" i="120"/>
  <c r="F982" i="120"/>
  <c r="H589" i="120"/>
  <c r="N589" i="120" s="1"/>
  <c r="H976" i="120"/>
  <c r="N976" i="120" s="1"/>
  <c r="H912" i="120"/>
  <c r="N912" i="120" s="1"/>
  <c r="F1297" i="120"/>
  <c r="H604" i="120"/>
  <c r="N604" i="120" s="1"/>
  <c r="F997" i="120"/>
  <c r="H1004" i="120"/>
  <c r="N1004" i="120" s="1"/>
  <c r="F1397" i="120"/>
  <c r="H587" i="120"/>
  <c r="N587" i="120" s="1"/>
  <c r="H606" i="120"/>
  <c r="N606" i="120" s="1"/>
  <c r="F999" i="120"/>
  <c r="F853" i="120"/>
  <c r="H460" i="120"/>
  <c r="N460" i="120" s="1"/>
  <c r="F1007" i="120"/>
  <c r="H614" i="120"/>
  <c r="N614" i="120" s="1"/>
  <c r="F990" i="120"/>
  <c r="H597" i="120"/>
  <c r="N597" i="120" s="1"/>
  <c r="F963" i="120"/>
  <c r="H570" i="120"/>
  <c r="N570" i="120" s="1"/>
  <c r="F931" i="120"/>
  <c r="H538" i="120"/>
  <c r="N538" i="120" s="1"/>
  <c r="F1377" i="120"/>
  <c r="H984" i="120"/>
  <c r="N984" i="120" s="1"/>
  <c r="H577" i="120"/>
  <c r="N577" i="120" s="1"/>
  <c r="F1323" i="120"/>
  <c r="H930" i="120"/>
  <c r="N930" i="120" s="1"/>
  <c r="F1349" i="120"/>
  <c r="H956" i="120"/>
  <c r="N956" i="120" s="1"/>
  <c r="F1272" i="120"/>
  <c r="H879" i="120"/>
  <c r="N879" i="120" s="1"/>
  <c r="F957" i="120"/>
  <c r="H564" i="120"/>
  <c r="N564" i="120" s="1"/>
  <c r="F894" i="120"/>
  <c r="H501" i="120"/>
  <c r="N501" i="120" s="1"/>
  <c r="F951" i="120"/>
  <c r="H558" i="120"/>
  <c r="N558" i="120" s="1"/>
  <c r="F1307" i="120"/>
  <c r="H914" i="120"/>
  <c r="N914" i="120" s="1"/>
  <c r="H469" i="120"/>
  <c r="N469" i="120" s="1"/>
  <c r="F862" i="120"/>
  <c r="H1020" i="120"/>
  <c r="N1020" i="120" s="1"/>
  <c r="H1010" i="120"/>
  <c r="N1010" i="120" s="1"/>
  <c r="F1403" i="120"/>
  <c r="F1646" i="120"/>
  <c r="H978" i="120"/>
  <c r="N978" i="120" s="1"/>
  <c r="F961" i="120"/>
  <c r="H568" i="120"/>
  <c r="N568" i="120" s="1"/>
  <c r="F913" i="120"/>
  <c r="H520" i="120"/>
  <c r="N520" i="120" s="1"/>
  <c r="F861" i="120"/>
  <c r="H468" i="120"/>
  <c r="N468" i="120" s="1"/>
  <c r="H600" i="120"/>
  <c r="N600" i="120" s="1"/>
  <c r="F993" i="120"/>
  <c r="F843" i="120"/>
  <c r="H450" i="120"/>
  <c r="N450" i="120" s="1"/>
  <c r="H487" i="120"/>
  <c r="N487" i="120" s="1"/>
  <c r="F880" i="120"/>
  <c r="F981" i="120"/>
  <c r="F1353" i="120"/>
  <c r="H960" i="120"/>
  <c r="N960" i="120" s="1"/>
  <c r="F1321" i="120"/>
  <c r="H1224" i="120"/>
  <c r="N1224" i="120" s="1"/>
  <c r="F1617" i="120"/>
  <c r="F1373" i="120"/>
  <c r="H980" i="120"/>
  <c r="N980" i="120" s="1"/>
  <c r="F910" i="120"/>
  <c r="H517" i="120"/>
  <c r="N517" i="120" s="1"/>
  <c r="F965" i="120"/>
  <c r="H572" i="120"/>
  <c r="N572" i="120" s="1"/>
  <c r="F899" i="120"/>
  <c r="H506" i="120"/>
  <c r="N506" i="120" s="1"/>
  <c r="F1021" i="120"/>
  <c r="H628" i="120"/>
  <c r="N628" i="120" s="1"/>
  <c r="H611" i="120"/>
  <c r="N611" i="120" s="1"/>
  <c r="F1258" i="120"/>
  <c r="H865" i="120"/>
  <c r="N865" i="120" s="1"/>
  <c r="F1245" i="120"/>
  <c r="H852" i="120"/>
  <c r="N852" i="120" s="1"/>
  <c r="F906" i="120"/>
  <c r="H513" i="120"/>
  <c r="N513" i="120" s="1"/>
  <c r="H481" i="120"/>
  <c r="N481" i="120" s="1"/>
  <c r="F874" i="120"/>
  <c r="F1001" i="120"/>
  <c r="H608" i="120"/>
  <c r="N608" i="120" s="1"/>
  <c r="F1009" i="120"/>
  <c r="H616" i="120"/>
  <c r="N616" i="120" s="1"/>
  <c r="F1363" i="120"/>
  <c r="H970" i="120"/>
  <c r="N970" i="120" s="1"/>
  <c r="F1203" i="120"/>
  <c r="H810" i="120"/>
  <c r="N810" i="120" s="1"/>
  <c r="F941" i="120"/>
  <c r="H521" i="120"/>
  <c r="N521" i="120" s="1"/>
  <c r="F917" i="120"/>
  <c r="H524" i="120"/>
  <c r="N524" i="120" s="1"/>
  <c r="F1309" i="120"/>
  <c r="H916" i="120"/>
  <c r="N916" i="120" s="1"/>
  <c r="F1249" i="120"/>
  <c r="H856" i="120"/>
  <c r="N856" i="120" s="1"/>
  <c r="F1764" i="120"/>
  <c r="F907" i="120"/>
  <c r="H514" i="120"/>
  <c r="N514" i="120" s="1"/>
  <c r="F1019" i="120"/>
  <c r="H626" i="120"/>
  <c r="N626" i="120" s="1"/>
  <c r="F1017" i="120"/>
  <c r="H624" i="120"/>
  <c r="N624" i="120" s="1"/>
  <c r="F945" i="120"/>
  <c r="H552" i="120"/>
  <c r="N552" i="120" s="1"/>
  <c r="G1190" i="120"/>
  <c r="F985" i="120"/>
  <c r="H592" i="120"/>
  <c r="N592" i="120" s="1"/>
  <c r="H453" i="120"/>
  <c r="N453" i="120" s="1"/>
  <c r="F846" i="120"/>
  <c r="F1339" i="120"/>
  <c r="H946" i="120"/>
  <c r="N946" i="120" s="1"/>
  <c r="H621" i="120"/>
  <c r="N621" i="120" s="1"/>
  <c r="F1014" i="120"/>
  <c r="F942" i="120"/>
  <c r="H549" i="120"/>
  <c r="N549" i="120" s="1"/>
  <c r="H465" i="120"/>
  <c r="N465" i="120" s="1"/>
  <c r="F858" i="120"/>
  <c r="F1261" i="120"/>
  <c r="H868" i="120"/>
  <c r="N868" i="120" s="1"/>
  <c r="F1257" i="120"/>
  <c r="H515" i="120"/>
  <c r="N515" i="120" s="1"/>
  <c r="F908" i="120"/>
  <c r="F969" i="120"/>
  <c r="H576" i="120"/>
  <c r="N576" i="120" s="1"/>
  <c r="F953" i="120"/>
  <c r="H560" i="120"/>
  <c r="N560" i="120" s="1"/>
  <c r="F937" i="120"/>
  <c r="H544" i="120"/>
  <c r="N544" i="120" s="1"/>
  <c r="F921" i="120"/>
  <c r="H528" i="120"/>
  <c r="N528" i="120" s="1"/>
  <c r="H464" i="120"/>
  <c r="N464" i="120" s="1"/>
  <c r="H459" i="120"/>
  <c r="N459" i="120" s="1"/>
  <c r="F966" i="120"/>
  <c r="H573" i="120"/>
  <c r="N573" i="120" s="1"/>
  <c r="F934" i="120"/>
  <c r="H541" i="120"/>
  <c r="N541" i="120" s="1"/>
  <c r="F869" i="120"/>
  <c r="H476" i="120"/>
  <c r="N476" i="120" s="1"/>
  <c r="H457" i="120"/>
  <c r="N457" i="120" s="1"/>
  <c r="F850" i="120"/>
  <c r="F955" i="120"/>
  <c r="F923" i="120"/>
  <c r="H530" i="120"/>
  <c r="N530" i="120" s="1"/>
  <c r="F1194" i="120"/>
  <c r="H801" i="120"/>
  <c r="N801" i="120" s="1"/>
  <c r="G922" i="120"/>
  <c r="H417" i="120"/>
  <c r="N417" i="120" s="1"/>
  <c r="F1630" i="120"/>
  <c r="H1237" i="120"/>
  <c r="N1237" i="120" s="1"/>
  <c r="F973" i="120"/>
  <c r="H580" i="120"/>
  <c r="N580" i="120" s="1"/>
  <c r="F1361" i="120"/>
  <c r="F995" i="120"/>
  <c r="H602" i="120"/>
  <c r="N602" i="120" s="1"/>
  <c r="F859" i="120"/>
  <c r="H466" i="120"/>
  <c r="N466" i="120" s="1"/>
  <c r="H988" i="120"/>
  <c r="N988" i="120" s="1"/>
  <c r="F1381" i="120"/>
  <c r="F1293" i="120"/>
  <c r="H900" i="120"/>
  <c r="N900" i="120" s="1"/>
  <c r="F1329" i="120"/>
  <c r="H936" i="120"/>
  <c r="N936" i="120" s="1"/>
  <c r="F933" i="120"/>
  <c r="H540" i="120"/>
  <c r="N540" i="120" s="1"/>
  <c r="F909" i="120"/>
  <c r="H516" i="120"/>
  <c r="N516" i="120" s="1"/>
  <c r="F905" i="120"/>
  <c r="H512" i="120"/>
  <c r="N512" i="120" s="1"/>
  <c r="H545" i="120"/>
  <c r="N545" i="120" s="1"/>
  <c r="F925" i="120"/>
  <c r="F950" i="120"/>
  <c r="H557" i="120"/>
  <c r="N557" i="120" s="1"/>
  <c r="F939" i="120"/>
  <c r="H546" i="120"/>
  <c r="N546" i="120" s="1"/>
  <c r="F1234" i="120"/>
  <c r="F893" i="120"/>
  <c r="H500" i="120"/>
  <c r="N500" i="120" s="1"/>
  <c r="F1013" i="120"/>
  <c r="H620" i="120"/>
  <c r="N620" i="120" s="1"/>
  <c r="F989" i="120"/>
  <c r="H596" i="120"/>
  <c r="N596" i="120" s="1"/>
  <c r="F994" i="120"/>
  <c r="H601" i="120"/>
  <c r="N601" i="120" s="1"/>
  <c r="F1250" i="120"/>
  <c r="H857" i="120"/>
  <c r="N857" i="120" s="1"/>
  <c r="F958" i="120"/>
  <c r="H565" i="120"/>
  <c r="N565" i="120" s="1"/>
  <c r="F926" i="120"/>
  <c r="H533" i="120"/>
  <c r="N533" i="120" s="1"/>
  <c r="F898" i="120"/>
  <c r="H505" i="120"/>
  <c r="N505" i="120" s="1"/>
  <c r="F845" i="120"/>
  <c r="H452" i="120"/>
  <c r="N452" i="120" s="1"/>
  <c r="F987" i="120"/>
  <c r="H594" i="120"/>
  <c r="N594" i="120" s="1"/>
  <c r="F1606" i="120"/>
  <c r="H1213" i="120"/>
  <c r="N1213" i="120" s="1"/>
  <c r="F1784" i="120"/>
  <c r="F959" i="120"/>
  <c r="H566" i="120"/>
  <c r="N566" i="120" s="1"/>
  <c r="H543" i="120"/>
  <c r="N543" i="120" s="1"/>
  <c r="F919" i="120"/>
  <c r="H526" i="120"/>
  <c r="N526" i="120" s="1"/>
  <c r="H595" i="120"/>
  <c r="N595" i="120" s="1"/>
  <c r="H461" i="120"/>
  <c r="N461" i="120" s="1"/>
  <c r="F854" i="120"/>
  <c r="F1341" i="120"/>
  <c r="H948" i="120"/>
  <c r="N948" i="120" s="1"/>
  <c r="H548" i="120" l="1"/>
  <c r="N548" i="120" s="1"/>
  <c r="H525" i="120"/>
  <c r="N525" i="120" s="1"/>
  <c r="F1005" i="120"/>
  <c r="H603" i="120"/>
  <c r="N603" i="120" s="1"/>
  <c r="F996" i="120"/>
  <c r="H451" i="120"/>
  <c r="N451" i="120" s="1"/>
  <c r="H502" i="120"/>
  <c r="N502" i="120" s="1"/>
  <c r="H1371" i="120"/>
  <c r="N1371" i="120" s="1"/>
  <c r="H844" i="120"/>
  <c r="N844" i="120" s="1"/>
  <c r="H508" i="120"/>
  <c r="N508" i="120" s="1"/>
  <c r="H1379" i="120"/>
  <c r="N1379" i="120" s="1"/>
  <c r="F1385" i="120"/>
  <c r="G944" i="120"/>
  <c r="H551" i="120"/>
  <c r="N551" i="120" s="1"/>
  <c r="F855" i="120"/>
  <c r="H462" i="120"/>
  <c r="N462" i="120" s="1"/>
  <c r="G841" i="120"/>
  <c r="H448" i="120"/>
  <c r="N448" i="120" s="1"/>
  <c r="H547" i="120"/>
  <c r="N547" i="120" s="1"/>
  <c r="F940" i="120"/>
  <c r="H593" i="120"/>
  <c r="N593" i="120" s="1"/>
  <c r="F954" i="120"/>
  <c r="H561" i="120"/>
  <c r="N561" i="120" s="1"/>
  <c r="H581" i="120"/>
  <c r="N581" i="120" s="1"/>
  <c r="H598" i="120"/>
  <c r="N598" i="120" s="1"/>
  <c r="G968" i="120"/>
  <c r="H575" i="120"/>
  <c r="N575" i="120" s="1"/>
  <c r="G928" i="120"/>
  <c r="H535" i="120"/>
  <c r="N535" i="120" s="1"/>
  <c r="H609" i="120"/>
  <c r="N609" i="120" s="1"/>
  <c r="F1002" i="120"/>
  <c r="F1006" i="120"/>
  <c r="H613" i="120"/>
  <c r="N613" i="120" s="1"/>
  <c r="G1253" i="120"/>
  <c r="H860" i="120"/>
  <c r="N860" i="120" s="1"/>
  <c r="G864" i="120"/>
  <c r="H471" i="120"/>
  <c r="N471" i="120" s="1"/>
  <c r="H532" i="120"/>
  <c r="N532" i="120" s="1"/>
  <c r="H986" i="120"/>
  <c r="N986" i="120" s="1"/>
  <c r="F849" i="120"/>
  <c r="H456" i="120"/>
  <c r="N456" i="120" s="1"/>
  <c r="G904" i="120"/>
  <c r="H511" i="120"/>
  <c r="N511" i="120" s="1"/>
  <c r="H458" i="120"/>
  <c r="N458" i="120" s="1"/>
  <c r="H529" i="120"/>
  <c r="N529" i="120" s="1"/>
  <c r="H588" i="120"/>
  <c r="N588" i="120" s="1"/>
  <c r="H920" i="120"/>
  <c r="N920" i="120" s="1"/>
  <c r="H590" i="120"/>
  <c r="N590" i="120" s="1"/>
  <c r="H847" i="120"/>
  <c r="N847" i="120" s="1"/>
  <c r="H607" i="120"/>
  <c r="N607" i="120" s="1"/>
  <c r="F1000" i="120"/>
  <c r="H539" i="120"/>
  <c r="N539" i="120" s="1"/>
  <c r="F932" i="120"/>
  <c r="H562" i="120"/>
  <c r="N562" i="120" s="1"/>
  <c r="F964" i="120"/>
  <c r="H571" i="120"/>
  <c r="N571" i="120" s="1"/>
  <c r="F952" i="120"/>
  <c r="H559" i="120"/>
  <c r="N559" i="120" s="1"/>
  <c r="G1391" i="120"/>
  <c r="H998" i="120"/>
  <c r="N998" i="120" s="1"/>
  <c r="F1256" i="120"/>
  <c r="H863" i="120"/>
  <c r="N863" i="120" s="1"/>
  <c r="F1327" i="120"/>
  <c r="H934" i="120"/>
  <c r="N934" i="120" s="1"/>
  <c r="F1654" i="120"/>
  <c r="H1261" i="120"/>
  <c r="N1261" i="120" s="1"/>
  <c r="F1267" i="120"/>
  <c r="H874" i="120"/>
  <c r="N874" i="120" s="1"/>
  <c r="H1373" i="120"/>
  <c r="N1373" i="120" s="1"/>
  <c r="F1766" i="120"/>
  <c r="F2494" i="120"/>
  <c r="F1324" i="120"/>
  <c r="H931" i="120"/>
  <c r="N931" i="120" s="1"/>
  <c r="F1246" i="120"/>
  <c r="H853" i="120"/>
  <c r="N853" i="120" s="1"/>
  <c r="H1369" i="120"/>
  <c r="N1369" i="120" s="1"/>
  <c r="F1762" i="120"/>
  <c r="H1331" i="120"/>
  <c r="N1331" i="120" s="1"/>
  <c r="F1724" i="120"/>
  <c r="H971" i="120"/>
  <c r="N971" i="120" s="1"/>
  <c r="F1364" i="120"/>
  <c r="F1351" i="120"/>
  <c r="H958" i="120"/>
  <c r="N958" i="120" s="1"/>
  <c r="F1343" i="120"/>
  <c r="H950" i="120"/>
  <c r="N950" i="120" s="1"/>
  <c r="H1339" i="120"/>
  <c r="N1339" i="120" s="1"/>
  <c r="F1732" i="120"/>
  <c r="F2010" i="120"/>
  <c r="H1617" i="120"/>
  <c r="N1617" i="120" s="1"/>
  <c r="F1665" i="120"/>
  <c r="H1272" i="120"/>
  <c r="N1272" i="120" s="1"/>
  <c r="F1375" i="120"/>
  <c r="H982" i="120"/>
  <c r="N982" i="120" s="1"/>
  <c r="H967" i="120"/>
  <c r="N967" i="120" s="1"/>
  <c r="F1360" i="120"/>
  <c r="H1016" i="120"/>
  <c r="N1016" i="120" s="1"/>
  <c r="F1409" i="120"/>
  <c r="F1263" i="120"/>
  <c r="H870" i="120"/>
  <c r="N870" i="120" s="1"/>
  <c r="F1298" i="120"/>
  <c r="H905" i="120"/>
  <c r="N905" i="120" s="1"/>
  <c r="H859" i="120"/>
  <c r="N859" i="120" s="1"/>
  <c r="F1252" i="120"/>
  <c r="H955" i="120"/>
  <c r="N955" i="120" s="1"/>
  <c r="F1348" i="120"/>
  <c r="F1359" i="120"/>
  <c r="H966" i="120"/>
  <c r="N966" i="120" s="1"/>
  <c r="F1374" i="120"/>
  <c r="H981" i="120"/>
  <c r="N981" i="120" s="1"/>
  <c r="F1354" i="120"/>
  <c r="H961" i="120"/>
  <c r="N961" i="120" s="1"/>
  <c r="F1770" i="120"/>
  <c r="H1377" i="120"/>
  <c r="N1377" i="120" s="1"/>
  <c r="F1367" i="120"/>
  <c r="H974" i="120"/>
  <c r="N974" i="120" s="1"/>
  <c r="F1380" i="120"/>
  <c r="H987" i="120"/>
  <c r="N987" i="120" s="1"/>
  <c r="H939" i="120"/>
  <c r="N939" i="120" s="1"/>
  <c r="F1332" i="120"/>
  <c r="H1381" i="120"/>
  <c r="N1381" i="120" s="1"/>
  <c r="F1774" i="120"/>
  <c r="F1243" i="120"/>
  <c r="H850" i="120"/>
  <c r="N850" i="120" s="1"/>
  <c r="F1346" i="120"/>
  <c r="H953" i="120"/>
  <c r="N953" i="120" s="1"/>
  <c r="F1651" i="120"/>
  <c r="H1258" i="120"/>
  <c r="N1258" i="120" s="1"/>
  <c r="H1313" i="120"/>
  <c r="N1313" i="120" s="1"/>
  <c r="F1706" i="120"/>
  <c r="F1287" i="120"/>
  <c r="H894" i="120"/>
  <c r="N894" i="120" s="1"/>
  <c r="H1323" i="120"/>
  <c r="N1323" i="120" s="1"/>
  <c r="F1716" i="120"/>
  <c r="F2177" i="120"/>
  <c r="F1335" i="120"/>
  <c r="H942" i="120"/>
  <c r="N942" i="120" s="1"/>
  <c r="H1403" i="120"/>
  <c r="N1403" i="120" s="1"/>
  <c r="F1796" i="120"/>
  <c r="F1235" i="120"/>
  <c r="H842" i="120"/>
  <c r="N842" i="120" s="1"/>
  <c r="H1355" i="120"/>
  <c r="N1355" i="120" s="1"/>
  <c r="F1748" i="120"/>
  <c r="H1003" i="120"/>
  <c r="N1003" i="120" s="1"/>
  <c r="F1396" i="120"/>
  <c r="F1633" i="120"/>
  <c r="H1240" i="120"/>
  <c r="N1240" i="120" s="1"/>
  <c r="H973" i="120"/>
  <c r="N973" i="120" s="1"/>
  <c r="F1366" i="120"/>
  <c r="F1362" i="120"/>
  <c r="H969" i="120"/>
  <c r="N969" i="120" s="1"/>
  <c r="F1378" i="120"/>
  <c r="H985" i="120"/>
  <c r="N985" i="120" s="1"/>
  <c r="H907" i="120"/>
  <c r="N907" i="120" s="1"/>
  <c r="F1300" i="120"/>
  <c r="H941" i="120"/>
  <c r="N941" i="120" s="1"/>
  <c r="F1334" i="120"/>
  <c r="F1394" i="120"/>
  <c r="H1001" i="120"/>
  <c r="N1001" i="120" s="1"/>
  <c r="F1295" i="120"/>
  <c r="H902" i="120"/>
  <c r="N902" i="120" s="1"/>
  <c r="H935" i="120"/>
  <c r="N935" i="120" s="1"/>
  <c r="F1328" i="120"/>
  <c r="F1340" i="120"/>
  <c r="H947" i="120"/>
  <c r="N947" i="120" s="1"/>
  <c r="F1190" i="120"/>
  <c r="H797" i="120"/>
  <c r="F1404" i="120"/>
  <c r="H1011" i="120"/>
  <c r="N1011" i="120" s="1"/>
  <c r="F1370" i="120"/>
  <c r="H977" i="120"/>
  <c r="N977" i="120" s="1"/>
  <c r="F1247" i="120"/>
  <c r="H854" i="120"/>
  <c r="N854" i="120" s="1"/>
  <c r="F1406" i="120"/>
  <c r="H1013" i="120"/>
  <c r="N1013" i="120" s="1"/>
  <c r="H933" i="120"/>
  <c r="N933" i="120" s="1"/>
  <c r="F1326" i="120"/>
  <c r="H923" i="120"/>
  <c r="N923" i="120" s="1"/>
  <c r="F1316" i="120"/>
  <c r="F1292" i="120"/>
  <c r="H899" i="120"/>
  <c r="N899" i="120" s="1"/>
  <c r="H1401" i="120"/>
  <c r="N1401" i="120" s="1"/>
  <c r="F1794" i="120"/>
  <c r="F1251" i="120"/>
  <c r="H858" i="120"/>
  <c r="N858" i="120" s="1"/>
  <c r="H1014" i="120"/>
  <c r="N1014" i="120" s="1"/>
  <c r="F1407" i="120"/>
  <c r="F1642" i="120"/>
  <c r="H1249" i="120"/>
  <c r="N1249" i="120" s="1"/>
  <c r="H1009" i="120"/>
  <c r="N1009" i="120" s="1"/>
  <c r="F1402" i="120"/>
  <c r="F1280" i="120"/>
  <c r="H887" i="120"/>
  <c r="N887" i="120" s="1"/>
  <c r="H1385" i="120"/>
  <c r="N1385" i="120" s="1"/>
  <c r="F1778" i="120"/>
  <c r="H994" i="120"/>
  <c r="N994" i="120" s="1"/>
  <c r="F1387" i="120"/>
  <c r="H1329" i="120"/>
  <c r="N1329" i="120" s="1"/>
  <c r="F1722" i="120"/>
  <c r="F1358" i="120"/>
  <c r="H965" i="120"/>
  <c r="N965" i="120" s="1"/>
  <c r="H1307" i="120"/>
  <c r="N1307" i="120" s="1"/>
  <c r="F1700" i="120"/>
  <c r="F1356" i="120"/>
  <c r="H963" i="120"/>
  <c r="N963" i="120" s="1"/>
  <c r="H991" i="120"/>
  <c r="N991" i="120" s="1"/>
  <c r="F1384" i="120"/>
  <c r="F1388" i="120"/>
  <c r="H995" i="120"/>
  <c r="N995" i="120" s="1"/>
  <c r="F2023" i="120"/>
  <c r="H1630" i="120"/>
  <c r="N1630" i="120" s="1"/>
  <c r="F1410" i="120"/>
  <c r="H1017" i="120"/>
  <c r="N1017" i="120" s="1"/>
  <c r="F1596" i="120"/>
  <c r="H1203" i="120"/>
  <c r="N1203" i="120" s="1"/>
  <c r="H999" i="120"/>
  <c r="N999" i="120" s="1"/>
  <c r="F1392" i="120"/>
  <c r="F1390" i="120"/>
  <c r="H997" i="120"/>
  <c r="N997" i="120" s="1"/>
  <c r="F1304" i="120"/>
  <c r="H911" i="120"/>
  <c r="N911" i="120" s="1"/>
  <c r="F1322" i="120"/>
  <c r="H929" i="120"/>
  <c r="N929" i="120" s="1"/>
  <c r="F1714" i="120"/>
  <c r="F1236" i="120"/>
  <c r="H843" i="120"/>
  <c r="N843" i="120" s="1"/>
  <c r="F1344" i="120"/>
  <c r="H951" i="120"/>
  <c r="N951" i="120" s="1"/>
  <c r="H990" i="120"/>
  <c r="N990" i="120" s="1"/>
  <c r="F1383" i="120"/>
  <c r="F1259" i="120"/>
  <c r="H866" i="120"/>
  <c r="N866" i="120" s="1"/>
  <c r="H1341" i="120"/>
  <c r="N1341" i="120" s="1"/>
  <c r="F1734" i="120"/>
  <c r="F1291" i="120"/>
  <c r="H898" i="120"/>
  <c r="N898" i="120" s="1"/>
  <c r="H925" i="120"/>
  <c r="N925" i="120" s="1"/>
  <c r="F1318" i="120"/>
  <c r="H909" i="120"/>
  <c r="N909" i="120" s="1"/>
  <c r="F1302" i="120"/>
  <c r="H1293" i="120"/>
  <c r="N1293" i="120" s="1"/>
  <c r="F1686" i="120"/>
  <c r="F1587" i="120"/>
  <c r="H1194" i="120"/>
  <c r="N1194" i="120" s="1"/>
  <c r="F1262" i="120"/>
  <c r="H869" i="120"/>
  <c r="N869" i="120" s="1"/>
  <c r="F1650" i="120"/>
  <c r="G1583" i="120"/>
  <c r="F2157" i="120"/>
  <c r="H1764" i="120"/>
  <c r="N1764" i="120" s="1"/>
  <c r="H917" i="120"/>
  <c r="N917" i="120" s="1"/>
  <c r="F1310" i="120"/>
  <c r="F1303" i="120"/>
  <c r="H910" i="120"/>
  <c r="N910" i="120" s="1"/>
  <c r="H1353" i="120"/>
  <c r="N1353" i="120" s="1"/>
  <c r="F1746" i="120"/>
  <c r="F1254" i="120"/>
  <c r="H861" i="120"/>
  <c r="N861" i="120" s="1"/>
  <c r="F1400" i="120"/>
  <c r="H1007" i="120"/>
  <c r="N1007" i="120" s="1"/>
  <c r="H1305" i="120"/>
  <c r="N1305" i="120" s="1"/>
  <c r="F1698" i="120"/>
  <c r="F1634" i="120"/>
  <c r="H1241" i="120"/>
  <c r="N1241" i="120" s="1"/>
  <c r="F2199" i="120"/>
  <c r="H1806" i="120"/>
  <c r="N1806" i="120" s="1"/>
  <c r="F1320" i="120"/>
  <c r="H927" i="120"/>
  <c r="N927" i="120" s="1"/>
  <c r="H1015" i="120"/>
  <c r="N1015" i="120" s="1"/>
  <c r="F1408" i="120"/>
  <c r="H1365" i="120"/>
  <c r="N1365" i="120" s="1"/>
  <c r="F1758" i="120"/>
  <c r="F1306" i="120"/>
  <c r="H913" i="120"/>
  <c r="N913" i="120" s="1"/>
  <c r="F1268" i="120"/>
  <c r="H875" i="120"/>
  <c r="N875" i="120" s="1"/>
  <c r="H1405" i="120"/>
  <c r="N1405" i="120" s="1"/>
  <c r="F1798" i="120"/>
  <c r="F1999" i="120"/>
  <c r="H1606" i="120"/>
  <c r="N1606" i="120" s="1"/>
  <c r="F1330" i="120"/>
  <c r="H937" i="120"/>
  <c r="N937" i="120" s="1"/>
  <c r="F1338" i="120"/>
  <c r="H945" i="120"/>
  <c r="N945" i="120" s="1"/>
  <c r="H901" i="120"/>
  <c r="N901" i="120" s="1"/>
  <c r="F1294" i="120"/>
  <c r="H1772" i="120"/>
  <c r="N1772" i="120" s="1"/>
  <c r="F2165" i="120"/>
  <c r="F1643" i="120"/>
  <c r="H1250" i="120"/>
  <c r="N1250" i="120" s="1"/>
  <c r="F1239" i="120"/>
  <c r="H846" i="120"/>
  <c r="N846" i="120" s="1"/>
  <c r="H1317" i="120"/>
  <c r="N1317" i="120" s="1"/>
  <c r="F1710" i="120"/>
  <c r="F1352" i="120"/>
  <c r="H959" i="120"/>
  <c r="N959" i="120" s="1"/>
  <c r="F1238" i="120"/>
  <c r="H845" i="120"/>
  <c r="N845" i="120" s="1"/>
  <c r="F1299" i="120"/>
  <c r="H906" i="120"/>
  <c r="N906" i="120" s="1"/>
  <c r="H993" i="120"/>
  <c r="N993" i="120" s="1"/>
  <c r="F1386" i="120"/>
  <c r="H1349" i="120"/>
  <c r="N1349" i="120" s="1"/>
  <c r="F1742" i="120"/>
  <c r="H1397" i="120"/>
  <c r="N1397" i="120" s="1"/>
  <c r="F1790" i="120"/>
  <c r="F1376" i="120"/>
  <c r="H983" i="120"/>
  <c r="N983" i="120" s="1"/>
  <c r="F1308" i="120"/>
  <c r="H915" i="120"/>
  <c r="N915" i="120" s="1"/>
  <c r="F1368" i="120"/>
  <c r="H975" i="120"/>
  <c r="N975" i="120" s="1"/>
  <c r="H1309" i="120"/>
  <c r="N1309" i="120" s="1"/>
  <c r="F1702" i="120"/>
  <c r="F1690" i="120"/>
  <c r="H989" i="120"/>
  <c r="N989" i="120" s="1"/>
  <c r="F1382" i="120"/>
  <c r="F1312" i="120"/>
  <c r="H919" i="120"/>
  <c r="N919" i="120" s="1"/>
  <c r="F1244" i="120"/>
  <c r="H851" i="120"/>
  <c r="N851" i="120" s="1"/>
  <c r="F1319" i="120"/>
  <c r="H926" i="120"/>
  <c r="N926" i="120" s="1"/>
  <c r="H893" i="120"/>
  <c r="N893" i="120" s="1"/>
  <c r="F1286" i="120"/>
  <c r="F1627" i="120"/>
  <c r="F1754" i="120"/>
  <c r="G1315" i="120"/>
  <c r="H922" i="120"/>
  <c r="N922" i="120" s="1"/>
  <c r="F1314" i="120"/>
  <c r="H921" i="120"/>
  <c r="N921" i="120" s="1"/>
  <c r="F1301" i="120"/>
  <c r="H908" i="120"/>
  <c r="N908" i="120" s="1"/>
  <c r="F1288" i="120"/>
  <c r="H895" i="120"/>
  <c r="N895" i="120" s="1"/>
  <c r="H1019" i="120"/>
  <c r="N1019" i="120" s="1"/>
  <c r="F1412" i="120"/>
  <c r="H1363" i="120"/>
  <c r="N1363" i="120" s="1"/>
  <c r="F1756" i="120"/>
  <c r="H1245" i="120"/>
  <c r="N1245" i="120" s="1"/>
  <c r="F1638" i="120"/>
  <c r="H1021" i="120"/>
  <c r="N1021" i="120" s="1"/>
  <c r="F1414" i="120"/>
  <c r="F1273" i="120"/>
  <c r="H880" i="120"/>
  <c r="N880" i="120" s="1"/>
  <c r="F2039" i="120"/>
  <c r="F1255" i="120"/>
  <c r="H862" i="120"/>
  <c r="N862" i="120" s="1"/>
  <c r="H957" i="120"/>
  <c r="N957" i="120" s="1"/>
  <c r="F1350" i="120"/>
  <c r="F1311" i="120"/>
  <c r="H918" i="120"/>
  <c r="N918" i="120" s="1"/>
  <c r="F1342" i="120"/>
  <c r="H949" i="120"/>
  <c r="N949" i="120" s="1"/>
  <c r="F1336" i="120"/>
  <c r="H943" i="120"/>
  <c r="N943" i="120" s="1"/>
  <c r="F1372" i="120"/>
  <c r="H979" i="120"/>
  <c r="N979" i="120" s="1"/>
  <c r="F1730" i="120"/>
  <c r="H1005" i="120"/>
  <c r="N1005" i="120" s="1"/>
  <c r="F1398" i="120"/>
  <c r="F1804" i="120"/>
  <c r="H1411" i="120"/>
  <c r="N1411" i="120" s="1"/>
  <c r="H996" i="120" l="1"/>
  <c r="N996" i="120" s="1"/>
  <c r="F1389" i="120"/>
  <c r="G1257" i="120"/>
  <c r="H864" i="120"/>
  <c r="N864" i="120" s="1"/>
  <c r="G1321" i="120"/>
  <c r="H928" i="120"/>
  <c r="N928" i="120" s="1"/>
  <c r="F1333" i="120"/>
  <c r="H940" i="120"/>
  <c r="N940" i="120" s="1"/>
  <c r="F1347" i="120"/>
  <c r="H954" i="120"/>
  <c r="N954" i="120" s="1"/>
  <c r="G1784" i="120"/>
  <c r="H1391" i="120"/>
  <c r="N1391" i="120" s="1"/>
  <c r="F1393" i="120"/>
  <c r="H1000" i="120"/>
  <c r="N1000" i="120" s="1"/>
  <c r="H849" i="120"/>
  <c r="N849" i="120" s="1"/>
  <c r="F1242" i="120"/>
  <c r="H1006" i="120"/>
  <c r="N1006" i="120" s="1"/>
  <c r="F1399" i="120"/>
  <c r="H964" i="120"/>
  <c r="N964" i="120" s="1"/>
  <c r="F1357" i="120"/>
  <c r="F1395" i="120"/>
  <c r="H1002" i="120"/>
  <c r="N1002" i="120" s="1"/>
  <c r="H855" i="120"/>
  <c r="N855" i="120" s="1"/>
  <c r="F1248" i="120"/>
  <c r="H932" i="120"/>
  <c r="N932" i="120" s="1"/>
  <c r="F1325" i="120"/>
  <c r="G1337" i="120"/>
  <c r="H944" i="120"/>
  <c r="N944" i="120" s="1"/>
  <c r="G1297" i="120"/>
  <c r="H904" i="120"/>
  <c r="N904" i="120" s="1"/>
  <c r="G1646" i="120"/>
  <c r="H1253" i="120"/>
  <c r="N1253" i="120" s="1"/>
  <c r="G1361" i="120"/>
  <c r="H968" i="120"/>
  <c r="N968" i="120" s="1"/>
  <c r="F1649" i="120"/>
  <c r="H1256" i="120"/>
  <c r="N1256" i="120" s="1"/>
  <c r="F1345" i="120"/>
  <c r="H952" i="120"/>
  <c r="N952" i="120" s="1"/>
  <c r="G1234" i="120"/>
  <c r="H841" i="120"/>
  <c r="N841" i="120" s="1"/>
  <c r="F2123" i="120"/>
  <c r="F2149" i="120"/>
  <c r="H1756" i="120"/>
  <c r="N1756" i="120" s="1"/>
  <c r="F1707" i="120"/>
  <c r="H1314" i="120"/>
  <c r="N1314" i="120" s="1"/>
  <c r="H1238" i="120"/>
  <c r="N1238" i="120" s="1"/>
  <c r="F1631" i="120"/>
  <c r="F2139" i="120"/>
  <c r="H1746" i="120"/>
  <c r="N1746" i="120" s="1"/>
  <c r="F1749" i="120"/>
  <c r="H1356" i="120"/>
  <c r="N1356" i="120" s="1"/>
  <c r="F1685" i="120"/>
  <c r="H1292" i="120"/>
  <c r="N1292" i="120" s="1"/>
  <c r="F1640" i="120"/>
  <c r="H1247" i="120"/>
  <c r="N1247" i="120" s="1"/>
  <c r="F1583" i="120"/>
  <c r="H1190" i="120"/>
  <c r="F2570" i="120"/>
  <c r="F1666" i="120"/>
  <c r="H1273" i="120"/>
  <c r="N1273" i="120" s="1"/>
  <c r="F2095" i="120"/>
  <c r="H1702" i="120"/>
  <c r="N1702" i="120" s="1"/>
  <c r="F1731" i="120"/>
  <c r="H1338" i="120"/>
  <c r="N1338" i="120" s="1"/>
  <c r="F1661" i="120"/>
  <c r="H1268" i="120"/>
  <c r="N1268" i="120" s="1"/>
  <c r="F1713" i="120"/>
  <c r="H1320" i="120"/>
  <c r="N1320" i="120" s="1"/>
  <c r="F2550" i="120"/>
  <c r="H2157" i="120"/>
  <c r="N2157" i="120" s="1"/>
  <c r="H1587" i="120"/>
  <c r="N1587" i="120" s="1"/>
  <c r="F1980" i="120"/>
  <c r="F1755" i="120"/>
  <c r="H1362" i="120"/>
  <c r="N1362" i="120" s="1"/>
  <c r="F1628" i="120"/>
  <c r="H1235" i="120"/>
  <c r="N1235" i="120" s="1"/>
  <c r="H1351" i="120"/>
  <c r="N1351" i="120" s="1"/>
  <c r="F1744" i="120"/>
  <c r="F2155" i="120"/>
  <c r="H1762" i="120"/>
  <c r="N1762" i="120" s="1"/>
  <c r="F1723" i="120"/>
  <c r="H1330" i="120"/>
  <c r="N1330" i="120" s="1"/>
  <c r="F1697" i="120"/>
  <c r="H1304" i="120"/>
  <c r="N1304" i="120" s="1"/>
  <c r="F2416" i="120"/>
  <c r="H2023" i="120"/>
  <c r="N2023" i="120" s="1"/>
  <c r="F1733" i="120"/>
  <c r="H1340" i="120"/>
  <c r="N1340" i="120" s="1"/>
  <c r="H1375" i="120"/>
  <c r="N1375" i="120" s="1"/>
  <c r="F1768" i="120"/>
  <c r="H1343" i="120"/>
  <c r="N1343" i="120" s="1"/>
  <c r="F1736" i="120"/>
  <c r="F1660" i="120"/>
  <c r="H1267" i="120"/>
  <c r="N1267" i="120" s="1"/>
  <c r="F1807" i="120"/>
  <c r="H1414" i="120"/>
  <c r="N1414" i="120" s="1"/>
  <c r="G1708" i="120"/>
  <c r="H1315" i="120"/>
  <c r="N1315" i="120" s="1"/>
  <c r="F2020" i="120"/>
  <c r="F1705" i="120"/>
  <c r="H1312" i="120"/>
  <c r="N1312" i="120" s="1"/>
  <c r="H1299" i="120"/>
  <c r="N1299" i="120" s="1"/>
  <c r="F1692" i="120"/>
  <c r="F2036" i="120"/>
  <c r="H1643" i="120"/>
  <c r="N1643" i="120" s="1"/>
  <c r="F2558" i="120"/>
  <c r="H2165" i="120"/>
  <c r="N2165" i="120" s="1"/>
  <c r="F2091" i="120"/>
  <c r="H1698" i="120"/>
  <c r="N1698" i="120" s="1"/>
  <c r="G1976" i="120"/>
  <c r="F1695" i="120"/>
  <c r="H1302" i="120"/>
  <c r="N1302" i="120" s="1"/>
  <c r="F2127" i="120"/>
  <c r="H1734" i="120"/>
  <c r="N1734" i="120" s="1"/>
  <c r="H1383" i="120"/>
  <c r="N1383" i="120" s="1"/>
  <c r="F1776" i="120"/>
  <c r="F2107" i="120"/>
  <c r="F1751" i="120"/>
  <c r="H1358" i="120"/>
  <c r="N1358" i="120" s="1"/>
  <c r="F1799" i="120"/>
  <c r="H1406" i="120"/>
  <c r="N1406" i="120" s="1"/>
  <c r="F1789" i="120"/>
  <c r="H1396" i="120"/>
  <c r="N1396" i="120" s="1"/>
  <c r="F1757" i="120"/>
  <c r="H1364" i="120"/>
  <c r="N1364" i="120" s="1"/>
  <c r="F2159" i="120"/>
  <c r="H1766" i="120"/>
  <c r="N1766" i="120" s="1"/>
  <c r="F1701" i="120"/>
  <c r="H1308" i="120"/>
  <c r="N1308" i="120" s="1"/>
  <c r="F1735" i="120"/>
  <c r="H1342" i="120"/>
  <c r="N1342" i="120" s="1"/>
  <c r="F1783" i="120"/>
  <c r="H1390" i="120"/>
  <c r="N1390" i="120" s="1"/>
  <c r="F1803" i="120"/>
  <c r="H1410" i="120"/>
  <c r="N1410" i="120" s="1"/>
  <c r="F2093" i="120"/>
  <c r="H1700" i="120"/>
  <c r="N1700" i="120" s="1"/>
  <c r="F1719" i="120"/>
  <c r="H1326" i="120"/>
  <c r="N1326" i="120" s="1"/>
  <c r="F1771" i="120"/>
  <c r="H1378" i="120"/>
  <c r="N1378" i="120" s="1"/>
  <c r="H1287" i="120"/>
  <c r="N1287" i="120" s="1"/>
  <c r="F1680" i="120"/>
  <c r="F1636" i="120"/>
  <c r="H1243" i="120"/>
  <c r="N1243" i="120" s="1"/>
  <c r="F2163" i="120"/>
  <c r="H1770" i="120"/>
  <c r="N1770" i="120" s="1"/>
  <c r="F2047" i="120"/>
  <c r="H1654" i="120"/>
  <c r="N1654" i="120" s="1"/>
  <c r="F1805" i="120"/>
  <c r="H1412" i="120"/>
  <c r="N1412" i="120" s="1"/>
  <c r="F1637" i="120"/>
  <c r="H1244" i="120"/>
  <c r="N1244" i="120" s="1"/>
  <c r="F2151" i="120"/>
  <c r="H1758" i="120"/>
  <c r="N1758" i="120" s="1"/>
  <c r="F1673" i="120"/>
  <c r="H1280" i="120"/>
  <c r="N1280" i="120" s="1"/>
  <c r="F1763" i="120"/>
  <c r="H1370" i="120"/>
  <c r="N1370" i="120" s="1"/>
  <c r="F1693" i="120"/>
  <c r="H1300" i="120"/>
  <c r="N1300" i="120" s="1"/>
  <c r="F2099" i="120"/>
  <c r="H1706" i="120"/>
  <c r="N1706" i="120" s="1"/>
  <c r="H1774" i="120"/>
  <c r="N1774" i="120" s="1"/>
  <c r="F2167" i="120"/>
  <c r="F1645" i="120"/>
  <c r="H1252" i="120"/>
  <c r="N1252" i="120" s="1"/>
  <c r="F1802" i="120"/>
  <c r="H1409" i="120"/>
  <c r="N1409" i="120" s="1"/>
  <c r="H1255" i="120"/>
  <c r="N1255" i="120" s="1"/>
  <c r="F1648" i="120"/>
  <c r="F2043" i="120"/>
  <c r="H1291" i="120"/>
  <c r="N1291" i="120" s="1"/>
  <c r="F1684" i="120"/>
  <c r="F1629" i="120"/>
  <c r="H1236" i="120"/>
  <c r="N1236" i="120" s="1"/>
  <c r="H1387" i="120"/>
  <c r="N1387" i="120" s="1"/>
  <c r="F1780" i="120"/>
  <c r="H1407" i="120"/>
  <c r="N1407" i="120" s="1"/>
  <c r="F1800" i="120"/>
  <c r="H1794" i="120"/>
  <c r="N1794" i="120" s="1"/>
  <c r="F2187" i="120"/>
  <c r="H1633" i="120"/>
  <c r="N1633" i="120" s="1"/>
  <c r="F2026" i="120"/>
  <c r="F1773" i="120"/>
  <c r="H1380" i="120"/>
  <c r="N1380" i="120" s="1"/>
  <c r="F2058" i="120"/>
  <c r="H1665" i="120"/>
  <c r="N1665" i="120" s="1"/>
  <c r="H1327" i="120"/>
  <c r="N1327" i="120" s="1"/>
  <c r="F1720" i="120"/>
  <c r="F2147" i="120"/>
  <c r="F2135" i="120"/>
  <c r="H1742" i="120"/>
  <c r="N1742" i="120" s="1"/>
  <c r="F2103" i="120"/>
  <c r="H1710" i="120"/>
  <c r="N1710" i="120" s="1"/>
  <c r="H1999" i="120"/>
  <c r="N1999" i="120" s="1"/>
  <c r="F2392" i="120"/>
  <c r="F1699" i="120"/>
  <c r="H1306" i="120"/>
  <c r="N1306" i="120" s="1"/>
  <c r="F2592" i="120"/>
  <c r="H2199" i="120"/>
  <c r="N2199" i="120" s="1"/>
  <c r="F1647" i="120"/>
  <c r="H1254" i="120"/>
  <c r="N1254" i="120" s="1"/>
  <c r="F1781" i="120"/>
  <c r="H1388" i="120"/>
  <c r="N1388" i="120" s="1"/>
  <c r="F1777" i="120"/>
  <c r="H1384" i="120"/>
  <c r="N1384" i="120" s="1"/>
  <c r="F2171" i="120"/>
  <c r="H1778" i="120"/>
  <c r="N1778" i="120" s="1"/>
  <c r="F1787" i="120"/>
  <c r="H1394" i="120"/>
  <c r="N1394" i="120" s="1"/>
  <c r="F1747" i="120"/>
  <c r="H1354" i="120"/>
  <c r="N1354" i="120" s="1"/>
  <c r="H1359" i="120"/>
  <c r="N1359" i="120" s="1"/>
  <c r="F1752" i="120"/>
  <c r="F1656" i="120"/>
  <c r="H1263" i="120"/>
  <c r="N1263" i="120" s="1"/>
  <c r="F2403" i="120"/>
  <c r="H2010" i="120"/>
  <c r="N2010" i="120" s="1"/>
  <c r="F1639" i="120"/>
  <c r="H1246" i="120"/>
  <c r="N1246" i="120" s="1"/>
  <c r="F1743" i="120"/>
  <c r="H1350" i="120"/>
  <c r="N1350" i="120" s="1"/>
  <c r="F1681" i="120"/>
  <c r="H1288" i="120"/>
  <c r="N1288" i="120" s="1"/>
  <c r="F1687" i="120"/>
  <c r="H1294" i="120"/>
  <c r="N1294" i="120" s="1"/>
  <c r="F1769" i="120"/>
  <c r="H1376" i="120"/>
  <c r="N1376" i="120" s="1"/>
  <c r="F1745" i="120"/>
  <c r="H1352" i="120"/>
  <c r="N1352" i="120" s="1"/>
  <c r="F2079" i="120"/>
  <c r="H1686" i="120"/>
  <c r="N1686" i="120" s="1"/>
  <c r="F1785" i="120"/>
  <c r="H1392" i="120"/>
  <c r="N1392" i="120" s="1"/>
  <c r="F2035" i="120"/>
  <c r="H1642" i="120"/>
  <c r="N1642" i="120" s="1"/>
  <c r="F1765" i="120"/>
  <c r="H1372" i="120"/>
  <c r="N1372" i="120" s="1"/>
  <c r="F2083" i="120"/>
  <c r="F2183" i="120"/>
  <c r="H1790" i="120"/>
  <c r="N1790" i="120" s="1"/>
  <c r="H1303" i="120"/>
  <c r="N1303" i="120" s="1"/>
  <c r="F1696" i="120"/>
  <c r="F2887" i="120"/>
  <c r="F1791" i="120"/>
  <c r="H1398" i="120"/>
  <c r="N1398" i="120" s="1"/>
  <c r="F2031" i="120"/>
  <c r="H1638" i="120"/>
  <c r="N1638" i="120" s="1"/>
  <c r="H1301" i="120"/>
  <c r="N1301" i="120" s="1"/>
  <c r="F1694" i="120"/>
  <c r="H1319" i="120"/>
  <c r="N1319" i="120" s="1"/>
  <c r="F1712" i="120"/>
  <c r="F1761" i="120"/>
  <c r="H1368" i="120"/>
  <c r="N1368" i="120" s="1"/>
  <c r="H1239" i="120"/>
  <c r="N1239" i="120" s="1"/>
  <c r="F1632" i="120"/>
  <c r="F2191" i="120"/>
  <c r="H1798" i="120"/>
  <c r="N1798" i="120" s="1"/>
  <c r="F1801" i="120"/>
  <c r="H1408" i="120"/>
  <c r="N1408" i="120" s="1"/>
  <c r="F1703" i="120"/>
  <c r="H1310" i="120"/>
  <c r="N1310" i="120" s="1"/>
  <c r="F1711" i="120"/>
  <c r="H1318" i="120"/>
  <c r="N1318" i="120" s="1"/>
  <c r="F1644" i="120"/>
  <c r="H1251" i="120"/>
  <c r="N1251" i="120" s="1"/>
  <c r="F1797" i="120"/>
  <c r="H1404" i="120"/>
  <c r="N1404" i="120" s="1"/>
  <c r="F1721" i="120"/>
  <c r="H1328" i="120"/>
  <c r="N1328" i="120" s="1"/>
  <c r="F1727" i="120"/>
  <c r="H1334" i="120"/>
  <c r="N1334" i="120" s="1"/>
  <c r="F1759" i="120"/>
  <c r="H1366" i="120"/>
  <c r="N1366" i="120" s="1"/>
  <c r="F2141" i="120"/>
  <c r="H1748" i="120"/>
  <c r="N1748" i="120" s="1"/>
  <c r="H1796" i="120"/>
  <c r="N1796" i="120" s="1"/>
  <c r="F2189" i="120"/>
  <c r="F2109" i="120"/>
  <c r="H1716" i="120"/>
  <c r="N1716" i="120" s="1"/>
  <c r="F1725" i="120"/>
  <c r="H1332" i="120"/>
  <c r="N1332" i="120" s="1"/>
  <c r="F1741" i="120"/>
  <c r="H1348" i="120"/>
  <c r="N1348" i="120" s="1"/>
  <c r="F1753" i="120"/>
  <c r="H1360" i="120"/>
  <c r="N1360" i="120" s="1"/>
  <c r="F2125" i="120"/>
  <c r="H1732" i="120"/>
  <c r="N1732" i="120" s="1"/>
  <c r="F2117" i="120"/>
  <c r="H1724" i="120"/>
  <c r="N1724" i="120" s="1"/>
  <c r="H1804" i="120"/>
  <c r="N1804" i="120" s="1"/>
  <c r="F2197" i="120"/>
  <c r="F1729" i="120"/>
  <c r="H1336" i="120"/>
  <c r="N1336" i="120" s="1"/>
  <c r="H1311" i="120"/>
  <c r="N1311" i="120" s="1"/>
  <c r="F1704" i="120"/>
  <c r="F2432" i="120"/>
  <c r="F1679" i="120"/>
  <c r="H1286" i="120"/>
  <c r="N1286" i="120" s="1"/>
  <c r="F1775" i="120"/>
  <c r="H1382" i="120"/>
  <c r="N1382" i="120" s="1"/>
  <c r="F1779" i="120"/>
  <c r="H1386" i="120"/>
  <c r="N1386" i="120" s="1"/>
  <c r="F2027" i="120"/>
  <c r="H1634" i="120"/>
  <c r="N1634" i="120" s="1"/>
  <c r="F1793" i="120"/>
  <c r="H1400" i="120"/>
  <c r="N1400" i="120" s="1"/>
  <c r="F1655" i="120"/>
  <c r="H1262" i="120"/>
  <c r="N1262" i="120" s="1"/>
  <c r="F1652" i="120"/>
  <c r="H1259" i="120"/>
  <c r="N1259" i="120" s="1"/>
  <c r="F1737" i="120"/>
  <c r="H1344" i="120"/>
  <c r="N1344" i="120" s="1"/>
  <c r="F1715" i="120"/>
  <c r="H1322" i="120"/>
  <c r="N1322" i="120" s="1"/>
  <c r="F1989" i="120"/>
  <c r="H1596" i="120"/>
  <c r="N1596" i="120" s="1"/>
  <c r="F2115" i="120"/>
  <c r="H1722" i="120"/>
  <c r="N1722" i="120" s="1"/>
  <c r="F1795" i="120"/>
  <c r="H1402" i="120"/>
  <c r="N1402" i="120" s="1"/>
  <c r="F1709" i="120"/>
  <c r="H1316" i="120"/>
  <c r="N1316" i="120" s="1"/>
  <c r="N797" i="120"/>
  <c r="H1295" i="120"/>
  <c r="N1295" i="120" s="1"/>
  <c r="F1688" i="120"/>
  <c r="H1335" i="120"/>
  <c r="N1335" i="120" s="1"/>
  <c r="F1728" i="120"/>
  <c r="F2044" i="120"/>
  <c r="H1651" i="120"/>
  <c r="N1651" i="120" s="1"/>
  <c r="F1739" i="120"/>
  <c r="H1346" i="120"/>
  <c r="N1346" i="120" s="1"/>
  <c r="H1367" i="120"/>
  <c r="N1367" i="120" s="1"/>
  <c r="F1760" i="120"/>
  <c r="F1767" i="120"/>
  <c r="H1374" i="120"/>
  <c r="N1374" i="120" s="1"/>
  <c r="F1691" i="120"/>
  <c r="H1298" i="120"/>
  <c r="N1298" i="120" s="1"/>
  <c r="F1717" i="120"/>
  <c r="H1324" i="120"/>
  <c r="N1324" i="120" s="1"/>
  <c r="F1738" i="120" l="1"/>
  <c r="H1345" i="120"/>
  <c r="N1345" i="120" s="1"/>
  <c r="G1690" i="120"/>
  <c r="H1297" i="120"/>
  <c r="N1297" i="120" s="1"/>
  <c r="F1788" i="120"/>
  <c r="H1395" i="120"/>
  <c r="N1395" i="120" s="1"/>
  <c r="H1393" i="120"/>
  <c r="N1393" i="120" s="1"/>
  <c r="F1786" i="120"/>
  <c r="G1714" i="120"/>
  <c r="H1321" i="120"/>
  <c r="N1321" i="120" s="1"/>
  <c r="H1242" i="120"/>
  <c r="N1242" i="120" s="1"/>
  <c r="F1635" i="120"/>
  <c r="G1627" i="120"/>
  <c r="H1234" i="120"/>
  <c r="N1234" i="120" s="1"/>
  <c r="G2039" i="120"/>
  <c r="H1646" i="120"/>
  <c r="N1646" i="120" s="1"/>
  <c r="H1649" i="120"/>
  <c r="N1649" i="120" s="1"/>
  <c r="F2042" i="120"/>
  <c r="G1730" i="120"/>
  <c r="H1337" i="120"/>
  <c r="N1337" i="120" s="1"/>
  <c r="G2177" i="120"/>
  <c r="H1784" i="120"/>
  <c r="N1784" i="120" s="1"/>
  <c r="G1650" i="120"/>
  <c r="H1257" i="120"/>
  <c r="N1257" i="120" s="1"/>
  <c r="F1750" i="120"/>
  <c r="H1357" i="120"/>
  <c r="N1357" i="120" s="1"/>
  <c r="F1718" i="120"/>
  <c r="H1325" i="120"/>
  <c r="N1325" i="120" s="1"/>
  <c r="F1792" i="120"/>
  <c r="H1399" i="120"/>
  <c r="N1399" i="120" s="1"/>
  <c r="H1389" i="120"/>
  <c r="N1389" i="120" s="1"/>
  <c r="F1782" i="120"/>
  <c r="H1248" i="120"/>
  <c r="N1248" i="120" s="1"/>
  <c r="F1641" i="120"/>
  <c r="H1333" i="120"/>
  <c r="N1333" i="120" s="1"/>
  <c r="F1726" i="120"/>
  <c r="G1754" i="120"/>
  <c r="H1361" i="120"/>
  <c r="N1361" i="120" s="1"/>
  <c r="H1347" i="120"/>
  <c r="N1347" i="120" s="1"/>
  <c r="F1740" i="120"/>
  <c r="F2022" i="120"/>
  <c r="H1629" i="120"/>
  <c r="N1629" i="120" s="1"/>
  <c r="F2112" i="120"/>
  <c r="H1719" i="120"/>
  <c r="N1719" i="120" s="1"/>
  <c r="F2132" i="120"/>
  <c r="H1739" i="120"/>
  <c r="N1739" i="120" s="1"/>
  <c r="F2102" i="120"/>
  <c r="H1709" i="120"/>
  <c r="N1709" i="120" s="1"/>
  <c r="H1793" i="120"/>
  <c r="N1793" i="120" s="1"/>
  <c r="F2186" i="120"/>
  <c r="F2168" i="120"/>
  <c r="H1775" i="120"/>
  <c r="N1775" i="120" s="1"/>
  <c r="F2136" i="120"/>
  <c r="H1743" i="120"/>
  <c r="N1743" i="120" s="1"/>
  <c r="F2170" i="120"/>
  <c r="H1777" i="120"/>
  <c r="N1777" i="120" s="1"/>
  <c r="F2193" i="120"/>
  <c r="H1800" i="120"/>
  <c r="N1800" i="120" s="1"/>
  <c r="F2142" i="120"/>
  <c r="H1749" i="120"/>
  <c r="N1749" i="120" s="1"/>
  <c r="F2121" i="120"/>
  <c r="H1728" i="120"/>
  <c r="N1728" i="120" s="1"/>
  <c r="F2582" i="120"/>
  <c r="H2189" i="120"/>
  <c r="N2189" i="120" s="1"/>
  <c r="F2087" i="120"/>
  <c r="H1694" i="120"/>
  <c r="N1694" i="120" s="1"/>
  <c r="F2528" i="120"/>
  <c r="H2135" i="120"/>
  <c r="N2135" i="120" s="1"/>
  <c r="F2038" i="120"/>
  <c r="H1645" i="120"/>
  <c r="N1645" i="120" s="1"/>
  <c r="F2066" i="120"/>
  <c r="H1673" i="120"/>
  <c r="N1673" i="120" s="1"/>
  <c r="F2198" i="120"/>
  <c r="H1805" i="120"/>
  <c r="N1805" i="120" s="1"/>
  <c r="F2128" i="120"/>
  <c r="H1735" i="120"/>
  <c r="N1735" i="120" s="1"/>
  <c r="F2552" i="120"/>
  <c r="H2159" i="120"/>
  <c r="N2159" i="120" s="1"/>
  <c r="F2951" i="120"/>
  <c r="H2951" i="120" s="1"/>
  <c r="N2951" i="120" s="1"/>
  <c r="H2558" i="120"/>
  <c r="N2558" i="120" s="1"/>
  <c r="H2027" i="120"/>
  <c r="N2027" i="120" s="1"/>
  <c r="F2420" i="120"/>
  <c r="F2072" i="120"/>
  <c r="H1679" i="120"/>
  <c r="N1679" i="120" s="1"/>
  <c r="F2184" i="120"/>
  <c r="H1791" i="120"/>
  <c r="N1791" i="120" s="1"/>
  <c r="F2576" i="120"/>
  <c r="H2183" i="120"/>
  <c r="N2183" i="120" s="1"/>
  <c r="F2080" i="120"/>
  <c r="H1687" i="120"/>
  <c r="N1687" i="120" s="1"/>
  <c r="F2140" i="120"/>
  <c r="H1747" i="120"/>
  <c r="N1747" i="120" s="1"/>
  <c r="F2113" i="120"/>
  <c r="H1720" i="120"/>
  <c r="N1720" i="120" s="1"/>
  <c r="H1780" i="120"/>
  <c r="N1780" i="120" s="1"/>
  <c r="F2173" i="120"/>
  <c r="F2560" i="120"/>
  <c r="H2167" i="120"/>
  <c r="N2167" i="120" s="1"/>
  <c r="F2073" i="120"/>
  <c r="H1680" i="120"/>
  <c r="N1680" i="120" s="1"/>
  <c r="F2081" i="120"/>
  <c r="H1688" i="120"/>
  <c r="N1688" i="120" s="1"/>
  <c r="F2156" i="120"/>
  <c r="H1763" i="120"/>
  <c r="N1763" i="120" s="1"/>
  <c r="F2544" i="120"/>
  <c r="H2151" i="120"/>
  <c r="N2151" i="120" s="1"/>
  <c r="H2047" i="120"/>
  <c r="N2047" i="120" s="1"/>
  <c r="F2440" i="120"/>
  <c r="F2486" i="120"/>
  <c r="H2093" i="120"/>
  <c r="N2093" i="120" s="1"/>
  <c r="F2094" i="120"/>
  <c r="H1701" i="120"/>
  <c r="N1701" i="120" s="1"/>
  <c r="F2150" i="120"/>
  <c r="H1757" i="120"/>
  <c r="N1757" i="120" s="1"/>
  <c r="F2484" i="120"/>
  <c r="H2091" i="120"/>
  <c r="N2091" i="120" s="1"/>
  <c r="F2429" i="120"/>
  <c r="H2036" i="120"/>
  <c r="N2036" i="120" s="1"/>
  <c r="F2413" i="120"/>
  <c r="F2126" i="120"/>
  <c r="H1733" i="120"/>
  <c r="N1733" i="120" s="1"/>
  <c r="F2090" i="120"/>
  <c r="H1697" i="120"/>
  <c r="N1697" i="120" s="1"/>
  <c r="F2548" i="120"/>
  <c r="H2155" i="120"/>
  <c r="N2155" i="120" s="1"/>
  <c r="F2021" i="120"/>
  <c r="H1628" i="120"/>
  <c r="N1628" i="120" s="1"/>
  <c r="F2059" i="120"/>
  <c r="H1666" i="120"/>
  <c r="N1666" i="120" s="1"/>
  <c r="F2110" i="120"/>
  <c r="H1717" i="120"/>
  <c r="N1717" i="120" s="1"/>
  <c r="F2160" i="120"/>
  <c r="H1767" i="120"/>
  <c r="N1767" i="120" s="1"/>
  <c r="F2437" i="120"/>
  <c r="H2044" i="120"/>
  <c r="N2044" i="120" s="1"/>
  <c r="H1989" i="120"/>
  <c r="N1989" i="120" s="1"/>
  <c r="F2382" i="120"/>
  <c r="F2045" i="120"/>
  <c r="H1652" i="120"/>
  <c r="N1652" i="120" s="1"/>
  <c r="F2122" i="120"/>
  <c r="H1729" i="120"/>
  <c r="N1729" i="120" s="1"/>
  <c r="F2510" i="120"/>
  <c r="H2117" i="120"/>
  <c r="N2117" i="120" s="1"/>
  <c r="F2134" i="120"/>
  <c r="H1741" i="120"/>
  <c r="N1741" i="120" s="1"/>
  <c r="F2534" i="120"/>
  <c r="H2141" i="120"/>
  <c r="N2141" i="120" s="1"/>
  <c r="F2114" i="120"/>
  <c r="H1721" i="120"/>
  <c r="N1721" i="120" s="1"/>
  <c r="F2037" i="120"/>
  <c r="H1644" i="120"/>
  <c r="N1644" i="120" s="1"/>
  <c r="F2104" i="120"/>
  <c r="H1711" i="120"/>
  <c r="N1711" i="120" s="1"/>
  <c r="F2154" i="120"/>
  <c r="H1761" i="120"/>
  <c r="N1761" i="120" s="1"/>
  <c r="F2049" i="120"/>
  <c r="H1656" i="120"/>
  <c r="N1656" i="120" s="1"/>
  <c r="F2564" i="120"/>
  <c r="H2171" i="120"/>
  <c r="N2171" i="120" s="1"/>
  <c r="H1781" i="120"/>
  <c r="N1781" i="120" s="1"/>
  <c r="F2174" i="120"/>
  <c r="F2419" i="120"/>
  <c r="H2026" i="120"/>
  <c r="N2026" i="120" s="1"/>
  <c r="F2041" i="120"/>
  <c r="H1648" i="120"/>
  <c r="N1648" i="120" s="1"/>
  <c r="F2129" i="120"/>
  <c r="H1736" i="120"/>
  <c r="N1736" i="120" s="1"/>
  <c r="F2033" i="120"/>
  <c r="H1640" i="120"/>
  <c r="N1640" i="120" s="1"/>
  <c r="F2089" i="120"/>
  <c r="H1696" i="120"/>
  <c r="N1696" i="120" s="1"/>
  <c r="F2145" i="120"/>
  <c r="H1752" i="120"/>
  <c r="N1752" i="120" s="1"/>
  <c r="F2166" i="120"/>
  <c r="H1773" i="120"/>
  <c r="N1773" i="120" s="1"/>
  <c r="F2492" i="120"/>
  <c r="H2099" i="120"/>
  <c r="N2099" i="120" s="1"/>
  <c r="F2144" i="120"/>
  <c r="H1751" i="120"/>
  <c r="N1751" i="120" s="1"/>
  <c r="F2098" i="120"/>
  <c r="H1705" i="120"/>
  <c r="N1705" i="120" s="1"/>
  <c r="H1661" i="120"/>
  <c r="N1661" i="120" s="1"/>
  <c r="F2054" i="120"/>
  <c r="F2108" i="120"/>
  <c r="H1715" i="120"/>
  <c r="N1715" i="120" s="1"/>
  <c r="F2476" i="120"/>
  <c r="F2138" i="120"/>
  <c r="H1745" i="120"/>
  <c r="N1745" i="120" s="1"/>
  <c r="F2077" i="120"/>
  <c r="H1684" i="120"/>
  <c r="N1684" i="120" s="1"/>
  <c r="F2100" i="120"/>
  <c r="H1707" i="120"/>
  <c r="N1707" i="120" s="1"/>
  <c r="F2097" i="120"/>
  <c r="H1704" i="120"/>
  <c r="N1704" i="120" s="1"/>
  <c r="F2192" i="120"/>
  <c r="H1799" i="120"/>
  <c r="N1799" i="120" s="1"/>
  <c r="F2520" i="120"/>
  <c r="H2127" i="120"/>
  <c r="N2127" i="120" s="1"/>
  <c r="H1807" i="120"/>
  <c r="N1807" i="120" s="1"/>
  <c r="F2200" i="120"/>
  <c r="F2943" i="120"/>
  <c r="H2943" i="120" s="1"/>
  <c r="N2943" i="120" s="1"/>
  <c r="H2550" i="120"/>
  <c r="N2550" i="120" s="1"/>
  <c r="H1583" i="120"/>
  <c r="F1976" i="120"/>
  <c r="F2146" i="120"/>
  <c r="H1753" i="120"/>
  <c r="N1753" i="120" s="1"/>
  <c r="H1801" i="120"/>
  <c r="N1801" i="120" s="1"/>
  <c r="F2194" i="120"/>
  <c r="H2035" i="120"/>
  <c r="N2035" i="120" s="1"/>
  <c r="F2428" i="120"/>
  <c r="F2542" i="120"/>
  <c r="H2149" i="120"/>
  <c r="N2149" i="120" s="1"/>
  <c r="F2164" i="120"/>
  <c r="H1771" i="120"/>
  <c r="N1771" i="120" s="1"/>
  <c r="F2153" i="120"/>
  <c r="H1760" i="120"/>
  <c r="N1760" i="120" s="1"/>
  <c r="F2590" i="120"/>
  <c r="H2197" i="120"/>
  <c r="N2197" i="120" s="1"/>
  <c r="F2105" i="120"/>
  <c r="H1712" i="120"/>
  <c r="N1712" i="120" s="1"/>
  <c r="H1647" i="120"/>
  <c r="N1647" i="120" s="1"/>
  <c r="F2040" i="120"/>
  <c r="F2092" i="120"/>
  <c r="H1699" i="120"/>
  <c r="N1699" i="120" s="1"/>
  <c r="F2496" i="120"/>
  <c r="H2103" i="120"/>
  <c r="N2103" i="120" s="1"/>
  <c r="F2451" i="120"/>
  <c r="H2058" i="120"/>
  <c r="N2058" i="120" s="1"/>
  <c r="F2086" i="120"/>
  <c r="H1693" i="120"/>
  <c r="N1693" i="120" s="1"/>
  <c r="F2030" i="120"/>
  <c r="H1637" i="120"/>
  <c r="N1637" i="120" s="1"/>
  <c r="F2556" i="120"/>
  <c r="H2163" i="120"/>
  <c r="N2163" i="120" s="1"/>
  <c r="H1803" i="120"/>
  <c r="N1803" i="120" s="1"/>
  <c r="F2196" i="120"/>
  <c r="F2182" i="120"/>
  <c r="H1789" i="120"/>
  <c r="N1789" i="120" s="1"/>
  <c r="F2500" i="120"/>
  <c r="F2088" i="120"/>
  <c r="H1695" i="120"/>
  <c r="N1695" i="120" s="1"/>
  <c r="G2101" i="120"/>
  <c r="H1708" i="120"/>
  <c r="N1708" i="120" s="1"/>
  <c r="F2116" i="120"/>
  <c r="H1723" i="120"/>
  <c r="N1723" i="120" s="1"/>
  <c r="F2148" i="120"/>
  <c r="H1755" i="120"/>
  <c r="N1755" i="120" s="1"/>
  <c r="F2106" i="120"/>
  <c r="H1713" i="120"/>
  <c r="N1713" i="120" s="1"/>
  <c r="F2488" i="120"/>
  <c r="H2095" i="120"/>
  <c r="N2095" i="120" s="1"/>
  <c r="F2963" i="120"/>
  <c r="F2024" i="120"/>
  <c r="H1631" i="120"/>
  <c r="N1631" i="120" s="1"/>
  <c r="F2025" i="120"/>
  <c r="H1632" i="120"/>
  <c r="N1632" i="120" s="1"/>
  <c r="F2985" i="120"/>
  <c r="H2985" i="120" s="1"/>
  <c r="N2985" i="120" s="1"/>
  <c r="H2592" i="120"/>
  <c r="N2592" i="120" s="1"/>
  <c r="H1802" i="120"/>
  <c r="N1802" i="120" s="1"/>
  <c r="F2195" i="120"/>
  <c r="F2029" i="120"/>
  <c r="H1636" i="120"/>
  <c r="N1636" i="120" s="1"/>
  <c r="H1783" i="120"/>
  <c r="N1783" i="120" s="1"/>
  <c r="F2176" i="120"/>
  <c r="F2508" i="120"/>
  <c r="H2115" i="120"/>
  <c r="N2115" i="120" s="1"/>
  <c r="F2048" i="120"/>
  <c r="H1655" i="120"/>
  <c r="N1655" i="120" s="1"/>
  <c r="F2502" i="120"/>
  <c r="H2109" i="120"/>
  <c r="N2109" i="120" s="1"/>
  <c r="F2096" i="120"/>
  <c r="H1703" i="120"/>
  <c r="N1703" i="120" s="1"/>
  <c r="F2472" i="120"/>
  <c r="H2079" i="120"/>
  <c r="N2079" i="120" s="1"/>
  <c r="F2796" i="120"/>
  <c r="H2796" i="120" s="1"/>
  <c r="N2796" i="120" s="1"/>
  <c r="H2403" i="120"/>
  <c r="N2403" i="120" s="1"/>
  <c r="G2369" i="120"/>
  <c r="N1190" i="120"/>
  <c r="F2540" i="120"/>
  <c r="F2053" i="120"/>
  <c r="H1660" i="120"/>
  <c r="N1660" i="120" s="1"/>
  <c r="F2809" i="120"/>
  <c r="H2809" i="120" s="1"/>
  <c r="N2809" i="120" s="1"/>
  <c r="H2416" i="120"/>
  <c r="N2416" i="120" s="1"/>
  <c r="F2124" i="120"/>
  <c r="H1731" i="120"/>
  <c r="N1731" i="120" s="1"/>
  <c r="F2084" i="120"/>
  <c r="H1691" i="120"/>
  <c r="N1691" i="120" s="1"/>
  <c r="F2130" i="120"/>
  <c r="H1737" i="120"/>
  <c r="N1737" i="120" s="1"/>
  <c r="F2172" i="120"/>
  <c r="H1779" i="120"/>
  <c r="N1779" i="120" s="1"/>
  <c r="F2120" i="120"/>
  <c r="H1727" i="120"/>
  <c r="N1727" i="120" s="1"/>
  <c r="F2162" i="120"/>
  <c r="H1769" i="120"/>
  <c r="N1769" i="120" s="1"/>
  <c r="F2085" i="120"/>
  <c r="H1692" i="120"/>
  <c r="N1692" i="120" s="1"/>
  <c r="F2532" i="120"/>
  <c r="H2139" i="120"/>
  <c r="N2139" i="120" s="1"/>
  <c r="F2436" i="120"/>
  <c r="F2188" i="120"/>
  <c r="H1795" i="120"/>
  <c r="N1795" i="120" s="1"/>
  <c r="F2825" i="120"/>
  <c r="F2518" i="120"/>
  <c r="H2125" i="120"/>
  <c r="N2125" i="120" s="1"/>
  <c r="F2118" i="120"/>
  <c r="H1725" i="120"/>
  <c r="N1725" i="120" s="1"/>
  <c r="F2152" i="120"/>
  <c r="H1759" i="120"/>
  <c r="N1759" i="120" s="1"/>
  <c r="H1797" i="120"/>
  <c r="N1797" i="120" s="1"/>
  <c r="F2190" i="120"/>
  <c r="F2584" i="120"/>
  <c r="H2191" i="120"/>
  <c r="N2191" i="120" s="1"/>
  <c r="H2031" i="120"/>
  <c r="N2031" i="120" s="1"/>
  <c r="F2424" i="120"/>
  <c r="F2158" i="120"/>
  <c r="H1765" i="120"/>
  <c r="N1765" i="120" s="1"/>
  <c r="F2178" i="120"/>
  <c r="H1785" i="120"/>
  <c r="N1785" i="120" s="1"/>
  <c r="F2074" i="120"/>
  <c r="H1681" i="120"/>
  <c r="N1681" i="120" s="1"/>
  <c r="F2032" i="120"/>
  <c r="H1639" i="120"/>
  <c r="N1639" i="120" s="1"/>
  <c r="H1787" i="120"/>
  <c r="N1787" i="120" s="1"/>
  <c r="F2180" i="120"/>
  <c r="F2785" i="120"/>
  <c r="H2785" i="120" s="1"/>
  <c r="N2785" i="120" s="1"/>
  <c r="H2392" i="120"/>
  <c r="N2392" i="120" s="1"/>
  <c r="F2580" i="120"/>
  <c r="H2187" i="120"/>
  <c r="N2187" i="120" s="1"/>
  <c r="F2169" i="120"/>
  <c r="H1776" i="120"/>
  <c r="N1776" i="120" s="1"/>
  <c r="H1768" i="120"/>
  <c r="N1768" i="120" s="1"/>
  <c r="F2161" i="120"/>
  <c r="F2137" i="120"/>
  <c r="H1744" i="120"/>
  <c r="N1744" i="120" s="1"/>
  <c r="F2373" i="120"/>
  <c r="H1980" i="120"/>
  <c r="N1980" i="120" s="1"/>
  <c r="F2078" i="120"/>
  <c r="H1685" i="120"/>
  <c r="N1685" i="120" s="1"/>
  <c r="F2516" i="120"/>
  <c r="H1786" i="120" l="1"/>
  <c r="N1786" i="120" s="1"/>
  <c r="F2179" i="120"/>
  <c r="F2175" i="120"/>
  <c r="H1782" i="120"/>
  <c r="N1782" i="120" s="1"/>
  <c r="G2043" i="120"/>
  <c r="H1650" i="120"/>
  <c r="N1650" i="120" s="1"/>
  <c r="G2432" i="120"/>
  <c r="H2039" i="120"/>
  <c r="N2039" i="120" s="1"/>
  <c r="F2185" i="120"/>
  <c r="H1792" i="120"/>
  <c r="N1792" i="120" s="1"/>
  <c r="H1788" i="120"/>
  <c r="N1788" i="120" s="1"/>
  <c r="F2181" i="120"/>
  <c r="F2119" i="120"/>
  <c r="H1726" i="120"/>
  <c r="N1726" i="120" s="1"/>
  <c r="H1635" i="120"/>
  <c r="N1635" i="120" s="1"/>
  <c r="F2028" i="120"/>
  <c r="F2111" i="120"/>
  <c r="H1718" i="120"/>
  <c r="N1718" i="120" s="1"/>
  <c r="G2123" i="120"/>
  <c r="H1730" i="120"/>
  <c r="N1730" i="120" s="1"/>
  <c r="G2083" i="120"/>
  <c r="H1690" i="120"/>
  <c r="N1690" i="120" s="1"/>
  <c r="G2147" i="120"/>
  <c r="H1754" i="120"/>
  <c r="N1754" i="120" s="1"/>
  <c r="G2570" i="120"/>
  <c r="H2177" i="120"/>
  <c r="N2177" i="120" s="1"/>
  <c r="G2020" i="120"/>
  <c r="H1627" i="120"/>
  <c r="N1627" i="120" s="1"/>
  <c r="F2034" i="120"/>
  <c r="H1641" i="120"/>
  <c r="N1641" i="120" s="1"/>
  <c r="F2435" i="120"/>
  <c r="H2042" i="120"/>
  <c r="N2042" i="120" s="1"/>
  <c r="F2133" i="120"/>
  <c r="H1740" i="120"/>
  <c r="N1740" i="120" s="1"/>
  <c r="H1750" i="120"/>
  <c r="N1750" i="120" s="1"/>
  <c r="F2143" i="120"/>
  <c r="G2107" i="120"/>
  <c r="H1714" i="120"/>
  <c r="N1714" i="120" s="1"/>
  <c r="H1738" i="120"/>
  <c r="N1738" i="120" s="1"/>
  <c r="F2131" i="120"/>
  <c r="H2180" i="120"/>
  <c r="N2180" i="120" s="1"/>
  <c r="F2573" i="120"/>
  <c r="F2821" i="120"/>
  <c r="H2821" i="120" s="1"/>
  <c r="N2821" i="120" s="1"/>
  <c r="H2428" i="120"/>
  <c r="N2428" i="120" s="1"/>
  <c r="F2885" i="120"/>
  <c r="H2885" i="120" s="1"/>
  <c r="N2885" i="120" s="1"/>
  <c r="H2492" i="120"/>
  <c r="N2492" i="120" s="1"/>
  <c r="F2530" i="120"/>
  <c r="H2137" i="120"/>
  <c r="N2137" i="120" s="1"/>
  <c r="H2118" i="120"/>
  <c r="N2118" i="120" s="1"/>
  <c r="F2511" i="120"/>
  <c r="H2160" i="120"/>
  <c r="N2160" i="120" s="1"/>
  <c r="F2553" i="120"/>
  <c r="F2483" i="120"/>
  <c r="H2090" i="120"/>
  <c r="N2090" i="120" s="1"/>
  <c r="F2431" i="120"/>
  <c r="H2038" i="120"/>
  <c r="N2038" i="120" s="1"/>
  <c r="F2975" i="120"/>
  <c r="H2975" i="120" s="1"/>
  <c r="N2975" i="120" s="1"/>
  <c r="H2582" i="120"/>
  <c r="N2582" i="120" s="1"/>
  <c r="F2505" i="120"/>
  <c r="H2112" i="120"/>
  <c r="N2112" i="120" s="1"/>
  <c r="H2194" i="120"/>
  <c r="N2194" i="120" s="1"/>
  <c r="F2587" i="120"/>
  <c r="F2490" i="120"/>
  <c r="H2097" i="120"/>
  <c r="N2097" i="120" s="1"/>
  <c r="F2833" i="120"/>
  <c r="H2833" i="120" s="1"/>
  <c r="N2833" i="120" s="1"/>
  <c r="H2440" i="120"/>
  <c r="N2440" i="120" s="1"/>
  <c r="F2925" i="120"/>
  <c r="H2925" i="120" s="1"/>
  <c r="N2925" i="120" s="1"/>
  <c r="H2532" i="120"/>
  <c r="N2532" i="120" s="1"/>
  <c r="F2477" i="120"/>
  <c r="H2084" i="120"/>
  <c r="N2084" i="120" s="1"/>
  <c r="F2933" i="120"/>
  <c r="H2148" i="120"/>
  <c r="N2148" i="120" s="1"/>
  <c r="F2541" i="120"/>
  <c r="F2935" i="120"/>
  <c r="H2935" i="120" s="1"/>
  <c r="N2935" i="120" s="1"/>
  <c r="H2542" i="120"/>
  <c r="N2542" i="120" s="1"/>
  <c r="H2104" i="120"/>
  <c r="N2104" i="120" s="1"/>
  <c r="F2497" i="120"/>
  <c r="F2822" i="120"/>
  <c r="H2822" i="120" s="1"/>
  <c r="N2822" i="120" s="1"/>
  <c r="H2429" i="120"/>
  <c r="N2429" i="120" s="1"/>
  <c r="F2533" i="120"/>
  <c r="H2140" i="120"/>
  <c r="N2140" i="120" s="1"/>
  <c r="F2465" i="120"/>
  <c r="H2072" i="120"/>
  <c r="N2072" i="120" s="1"/>
  <c r="F2521" i="120"/>
  <c r="H2128" i="120"/>
  <c r="N2128" i="120" s="1"/>
  <c r="F2817" i="120"/>
  <c r="H2817" i="120" s="1"/>
  <c r="N2817" i="120" s="1"/>
  <c r="H2424" i="120"/>
  <c r="N2424" i="120" s="1"/>
  <c r="F2482" i="120"/>
  <c r="H2089" i="120"/>
  <c r="N2089" i="120" s="1"/>
  <c r="F2471" i="120"/>
  <c r="H2078" i="120"/>
  <c r="N2078" i="120" s="1"/>
  <c r="F2425" i="120"/>
  <c r="H2032" i="120"/>
  <c r="N2032" i="120" s="1"/>
  <c r="H2178" i="120"/>
  <c r="N2178" i="120" s="1"/>
  <c r="F2571" i="120"/>
  <c r="F2478" i="120"/>
  <c r="H2085" i="120"/>
  <c r="N2085" i="120" s="1"/>
  <c r="H2162" i="120"/>
  <c r="N2162" i="120" s="1"/>
  <c r="F2555" i="120"/>
  <c r="F2565" i="120"/>
  <c r="H2172" i="120"/>
  <c r="N2172" i="120" s="1"/>
  <c r="H2096" i="120"/>
  <c r="N2096" i="120" s="1"/>
  <c r="F2489" i="120"/>
  <c r="H2025" i="120"/>
  <c r="N2025" i="120" s="1"/>
  <c r="F2418" i="120"/>
  <c r="F2881" i="120"/>
  <c r="H2881" i="120" s="1"/>
  <c r="N2881" i="120" s="1"/>
  <c r="H2488" i="120"/>
  <c r="N2488" i="120" s="1"/>
  <c r="F2893" i="120"/>
  <c r="F2498" i="120"/>
  <c r="H2105" i="120"/>
  <c r="N2105" i="120" s="1"/>
  <c r="F2447" i="120"/>
  <c r="H2054" i="120"/>
  <c r="N2054" i="120" s="1"/>
  <c r="F2430" i="120"/>
  <c r="H2037" i="120"/>
  <c r="N2037" i="120" s="1"/>
  <c r="F2903" i="120"/>
  <c r="H2903" i="120" s="1"/>
  <c r="N2903" i="120" s="1"/>
  <c r="H2510" i="120"/>
  <c r="N2510" i="120" s="1"/>
  <c r="F2877" i="120"/>
  <c r="H2877" i="120" s="1"/>
  <c r="N2877" i="120" s="1"/>
  <c r="H2484" i="120"/>
  <c r="N2484" i="120" s="1"/>
  <c r="H2150" i="120"/>
  <c r="N2150" i="120" s="1"/>
  <c r="F2543" i="120"/>
  <c r="F2937" i="120"/>
  <c r="H2937" i="120" s="1"/>
  <c r="N2937" i="120" s="1"/>
  <c r="H2544" i="120"/>
  <c r="N2544" i="120" s="1"/>
  <c r="F2466" i="120"/>
  <c r="H2073" i="120"/>
  <c r="N2073" i="120" s="1"/>
  <c r="F2969" i="120"/>
  <c r="H2969" i="120" s="1"/>
  <c r="N2969" i="120" s="1"/>
  <c r="H2576" i="120"/>
  <c r="N2576" i="120" s="1"/>
  <c r="H2066" i="120"/>
  <c r="N2066" i="120" s="1"/>
  <c r="F2459" i="120"/>
  <c r="H2142" i="120"/>
  <c r="N2142" i="120" s="1"/>
  <c r="F2535" i="120"/>
  <c r="H2168" i="120"/>
  <c r="N2168" i="120" s="1"/>
  <c r="F2561" i="120"/>
  <c r="F2415" i="120"/>
  <c r="H2022" i="120"/>
  <c r="N2022" i="120" s="1"/>
  <c r="F2491" i="120"/>
  <c r="H2098" i="120"/>
  <c r="N2098" i="120" s="1"/>
  <c r="F2538" i="120"/>
  <c r="H2145" i="120"/>
  <c r="N2145" i="120" s="1"/>
  <c r="H2033" i="120"/>
  <c r="N2033" i="120" s="1"/>
  <c r="F2426" i="120"/>
  <c r="F2909" i="120"/>
  <c r="H2120" i="120"/>
  <c r="N2120" i="120" s="1"/>
  <c r="F2513" i="120"/>
  <c r="F2446" i="120"/>
  <c r="H2053" i="120"/>
  <c r="N2053" i="120" s="1"/>
  <c r="F2895" i="120"/>
  <c r="H2895" i="120" s="1"/>
  <c r="N2895" i="120" s="1"/>
  <c r="H2502" i="120"/>
  <c r="N2502" i="120" s="1"/>
  <c r="F2485" i="120"/>
  <c r="H2092" i="120"/>
  <c r="N2092" i="120" s="1"/>
  <c r="H2164" i="120"/>
  <c r="N2164" i="120" s="1"/>
  <c r="F2557" i="120"/>
  <c r="F2927" i="120"/>
  <c r="H2927" i="120" s="1"/>
  <c r="N2927" i="120" s="1"/>
  <c r="H2534" i="120"/>
  <c r="N2534" i="120" s="1"/>
  <c r="F2806" i="120"/>
  <c r="H2102" i="120"/>
  <c r="N2102" i="120" s="1"/>
  <c r="F2495" i="120"/>
  <c r="F2531" i="120"/>
  <c r="H2138" i="120"/>
  <c r="N2138" i="120" s="1"/>
  <c r="F2434" i="120"/>
  <c r="H2041" i="120"/>
  <c r="N2041" i="120" s="1"/>
  <c r="F2973" i="120"/>
  <c r="H2973" i="120" s="1"/>
  <c r="N2973" i="120" s="1"/>
  <c r="H2580" i="120"/>
  <c r="N2580" i="120" s="1"/>
  <c r="F2911" i="120"/>
  <c r="H2911" i="120" s="1"/>
  <c r="N2911" i="120" s="1"/>
  <c r="H2518" i="120"/>
  <c r="N2518" i="120" s="1"/>
  <c r="H2116" i="120"/>
  <c r="N2116" i="120" s="1"/>
  <c r="F2509" i="120"/>
  <c r="H2088" i="120"/>
  <c r="N2088" i="120" s="1"/>
  <c r="F2481" i="120"/>
  <c r="F2949" i="120"/>
  <c r="H2949" i="120" s="1"/>
  <c r="N2949" i="120" s="1"/>
  <c r="H2556" i="120"/>
  <c r="N2556" i="120" s="1"/>
  <c r="F2503" i="120"/>
  <c r="H2110" i="120"/>
  <c r="N2110" i="120" s="1"/>
  <c r="F2519" i="120"/>
  <c r="H2126" i="120"/>
  <c r="N2126" i="120" s="1"/>
  <c r="F2506" i="120"/>
  <c r="H2113" i="120"/>
  <c r="N2113" i="120" s="1"/>
  <c r="F2591" i="120"/>
  <c r="H2198" i="120"/>
  <c r="N2198" i="120" s="1"/>
  <c r="F2514" i="120"/>
  <c r="H2121" i="120"/>
  <c r="N2121" i="120" s="1"/>
  <c r="F2563" i="120"/>
  <c r="H2170" i="120"/>
  <c r="N2170" i="120" s="1"/>
  <c r="H2132" i="120"/>
  <c r="N2132" i="120" s="1"/>
  <c r="F2525" i="120"/>
  <c r="F2588" i="120"/>
  <c r="H2195" i="120"/>
  <c r="N2195" i="120" s="1"/>
  <c r="F2869" i="120"/>
  <c r="H2166" i="120"/>
  <c r="N2166" i="120" s="1"/>
  <c r="F2559" i="120"/>
  <c r="H2564" i="120"/>
  <c r="N2564" i="120" s="1"/>
  <c r="F2957" i="120"/>
  <c r="H2957" i="120" s="1"/>
  <c r="N2957" i="120" s="1"/>
  <c r="F2813" i="120"/>
  <c r="H2813" i="120" s="1"/>
  <c r="N2813" i="120" s="1"/>
  <c r="H2420" i="120"/>
  <c r="N2420" i="120" s="1"/>
  <c r="F2554" i="120"/>
  <c r="H2161" i="120"/>
  <c r="N2161" i="120" s="1"/>
  <c r="F2589" i="120"/>
  <c r="H2196" i="120"/>
  <c r="N2196" i="120" s="1"/>
  <c r="F2369" i="120"/>
  <c r="H1976" i="120"/>
  <c r="F2585" i="120"/>
  <c r="H2192" i="120"/>
  <c r="N2192" i="120" s="1"/>
  <c r="H2100" i="120"/>
  <c r="N2100" i="120" s="1"/>
  <c r="F2493" i="120"/>
  <c r="F2501" i="120"/>
  <c r="H2108" i="120"/>
  <c r="N2108" i="120" s="1"/>
  <c r="F2812" i="120"/>
  <c r="H2812" i="120" s="1"/>
  <c r="N2812" i="120" s="1"/>
  <c r="H2419" i="120"/>
  <c r="N2419" i="120" s="1"/>
  <c r="F2579" i="120"/>
  <c r="H2186" i="120"/>
  <c r="N2186" i="120" s="1"/>
  <c r="F2522" i="120"/>
  <c r="H2129" i="120"/>
  <c r="N2129" i="120" s="1"/>
  <c r="F2775" i="120"/>
  <c r="H2775" i="120" s="1"/>
  <c r="N2775" i="120" s="1"/>
  <c r="H2382" i="120"/>
  <c r="N2382" i="120" s="1"/>
  <c r="F2566" i="120"/>
  <c r="H2173" i="120"/>
  <c r="N2173" i="120" s="1"/>
  <c r="F2901" i="120"/>
  <c r="H2901" i="120" s="1"/>
  <c r="N2901" i="120" s="1"/>
  <c r="H2508" i="120"/>
  <c r="N2508" i="120" s="1"/>
  <c r="F2575" i="120"/>
  <c r="H2182" i="120"/>
  <c r="N2182" i="120" s="1"/>
  <c r="H2086" i="120"/>
  <c r="N2086" i="120" s="1"/>
  <c r="F2479" i="120"/>
  <c r="H2174" i="120"/>
  <c r="N2174" i="120" s="1"/>
  <c r="F2567" i="120"/>
  <c r="F2433" i="120"/>
  <c r="H2040" i="120"/>
  <c r="N2040" i="120" s="1"/>
  <c r="F2913" i="120"/>
  <c r="H2913" i="120" s="1"/>
  <c r="N2913" i="120" s="1"/>
  <c r="H2520" i="120"/>
  <c r="N2520" i="120" s="1"/>
  <c r="F2537" i="120"/>
  <c r="H2144" i="120"/>
  <c r="N2144" i="120" s="1"/>
  <c r="F2865" i="120"/>
  <c r="H2865" i="120" s="1"/>
  <c r="N2865" i="120" s="1"/>
  <c r="H2472" i="120"/>
  <c r="N2472" i="120" s="1"/>
  <c r="G2494" i="120"/>
  <c r="H2101" i="120"/>
  <c r="N2101" i="120" s="1"/>
  <c r="H2134" i="120"/>
  <c r="N2134" i="120" s="1"/>
  <c r="F2527" i="120"/>
  <c r="F2474" i="120"/>
  <c r="H2081" i="120"/>
  <c r="N2081" i="120" s="1"/>
  <c r="F2583" i="120"/>
  <c r="H2190" i="120"/>
  <c r="N2190" i="120" s="1"/>
  <c r="F2829" i="120"/>
  <c r="H2176" i="120"/>
  <c r="N2176" i="120" s="1"/>
  <c r="F2569" i="120"/>
  <c r="F2470" i="120"/>
  <c r="H2077" i="120"/>
  <c r="N2077" i="120" s="1"/>
  <c r="H2049" i="120"/>
  <c r="N2049" i="120" s="1"/>
  <c r="F2442" i="120"/>
  <c r="H2373" i="120"/>
  <c r="N2373" i="120" s="1"/>
  <c r="F2766" i="120"/>
  <c r="H2766" i="120" s="1"/>
  <c r="N2766" i="120" s="1"/>
  <c r="F2562" i="120"/>
  <c r="H2169" i="120"/>
  <c r="N2169" i="120" s="1"/>
  <c r="F2467" i="120"/>
  <c r="H2074" i="120"/>
  <c r="N2074" i="120" s="1"/>
  <c r="H2158" i="120"/>
  <c r="N2158" i="120" s="1"/>
  <c r="F2551" i="120"/>
  <c r="F2977" i="120"/>
  <c r="H2977" i="120" s="1"/>
  <c r="N2977" i="120" s="1"/>
  <c r="H2584" i="120"/>
  <c r="N2584" i="120" s="1"/>
  <c r="F2545" i="120"/>
  <c r="H2152" i="120"/>
  <c r="N2152" i="120" s="1"/>
  <c r="H2188" i="120"/>
  <c r="N2188" i="120" s="1"/>
  <c r="F2581" i="120"/>
  <c r="H2130" i="120"/>
  <c r="N2130" i="120" s="1"/>
  <c r="F2523" i="120"/>
  <c r="F2517" i="120"/>
  <c r="H2124" i="120"/>
  <c r="N2124" i="120" s="1"/>
  <c r="G2762" i="120"/>
  <c r="F2441" i="120"/>
  <c r="H2048" i="120"/>
  <c r="N2048" i="120" s="1"/>
  <c r="F2422" i="120"/>
  <c r="H2029" i="120"/>
  <c r="N2029" i="120" s="1"/>
  <c r="F2417" i="120"/>
  <c r="H2024" i="120"/>
  <c r="N2024" i="120" s="1"/>
  <c r="F2499" i="120"/>
  <c r="H2106" i="120"/>
  <c r="N2106" i="120" s="1"/>
  <c r="F2423" i="120"/>
  <c r="H2030" i="120"/>
  <c r="N2030" i="120" s="1"/>
  <c r="F2844" i="120"/>
  <c r="H2844" i="120" s="1"/>
  <c r="N2844" i="120" s="1"/>
  <c r="H2451" i="120"/>
  <c r="N2451" i="120" s="1"/>
  <c r="H2496" i="120"/>
  <c r="N2496" i="120" s="1"/>
  <c r="F2889" i="120"/>
  <c r="H2889" i="120" s="1"/>
  <c r="N2889" i="120" s="1"/>
  <c r="F2983" i="120"/>
  <c r="H2983" i="120" s="1"/>
  <c r="N2983" i="120" s="1"/>
  <c r="H2590" i="120"/>
  <c r="N2590" i="120" s="1"/>
  <c r="F2546" i="120"/>
  <c r="H2153" i="120"/>
  <c r="N2153" i="120" s="1"/>
  <c r="H2146" i="120"/>
  <c r="N2146" i="120" s="1"/>
  <c r="F2539" i="120"/>
  <c r="N1583" i="120"/>
  <c r="H2200" i="120"/>
  <c r="N2200" i="120" s="1"/>
  <c r="F2593" i="120"/>
  <c r="F2547" i="120"/>
  <c r="H2154" i="120"/>
  <c r="N2154" i="120" s="1"/>
  <c r="F2507" i="120"/>
  <c r="H2114" i="120"/>
  <c r="N2114" i="120" s="1"/>
  <c r="F2515" i="120"/>
  <c r="H2122" i="120"/>
  <c r="N2122" i="120" s="1"/>
  <c r="F2438" i="120"/>
  <c r="H2045" i="120"/>
  <c r="N2045" i="120" s="1"/>
  <c r="H2437" i="120"/>
  <c r="N2437" i="120" s="1"/>
  <c r="F2830" i="120"/>
  <c r="H2830" i="120" s="1"/>
  <c r="N2830" i="120" s="1"/>
  <c r="H2059" i="120"/>
  <c r="N2059" i="120" s="1"/>
  <c r="F2452" i="120"/>
  <c r="F2414" i="120"/>
  <c r="H2021" i="120"/>
  <c r="N2021" i="120" s="1"/>
  <c r="H2548" i="120"/>
  <c r="N2548" i="120" s="1"/>
  <c r="F2941" i="120"/>
  <c r="H2941" i="120" s="1"/>
  <c r="N2941" i="120" s="1"/>
  <c r="H2094" i="120"/>
  <c r="N2094" i="120" s="1"/>
  <c r="F2487" i="120"/>
  <c r="F2879" i="120"/>
  <c r="H2879" i="120" s="1"/>
  <c r="N2879" i="120" s="1"/>
  <c r="H2486" i="120"/>
  <c r="N2486" i="120" s="1"/>
  <c r="F2549" i="120"/>
  <c r="H2156" i="120"/>
  <c r="N2156" i="120" s="1"/>
  <c r="F2953" i="120"/>
  <c r="H2953" i="120" s="1"/>
  <c r="N2953" i="120" s="1"/>
  <c r="H2560" i="120"/>
  <c r="N2560" i="120" s="1"/>
  <c r="H2080" i="120"/>
  <c r="N2080" i="120" s="1"/>
  <c r="F2473" i="120"/>
  <c r="H2184" i="120"/>
  <c r="N2184" i="120" s="1"/>
  <c r="F2577" i="120"/>
  <c r="F2945" i="120"/>
  <c r="H2945" i="120" s="1"/>
  <c r="N2945" i="120" s="1"/>
  <c r="H2552" i="120"/>
  <c r="N2552" i="120" s="1"/>
  <c r="F2921" i="120"/>
  <c r="H2921" i="120" s="1"/>
  <c r="N2921" i="120" s="1"/>
  <c r="H2528" i="120"/>
  <c r="N2528" i="120" s="1"/>
  <c r="F2480" i="120"/>
  <c r="H2087" i="120"/>
  <c r="N2087" i="120" s="1"/>
  <c r="F2586" i="120"/>
  <c r="H2193" i="120"/>
  <c r="N2193" i="120" s="1"/>
  <c r="F2529" i="120"/>
  <c r="H2136" i="120"/>
  <c r="N2136" i="120" s="1"/>
  <c r="G2825" i="120" l="1"/>
  <c r="H2825" i="120" s="1"/>
  <c r="N2825" i="120" s="1"/>
  <c r="H2432" i="120"/>
  <c r="N2432" i="120" s="1"/>
  <c r="H2119" i="120"/>
  <c r="N2119" i="120" s="1"/>
  <c r="F2512" i="120"/>
  <c r="G2436" i="120"/>
  <c r="H2043" i="120"/>
  <c r="N2043" i="120" s="1"/>
  <c r="F2828" i="120"/>
  <c r="H2828" i="120" s="1"/>
  <c r="N2828" i="120" s="1"/>
  <c r="H2435" i="120"/>
  <c r="N2435" i="120" s="1"/>
  <c r="F2504" i="120"/>
  <c r="H2111" i="120"/>
  <c r="N2111" i="120" s="1"/>
  <c r="H2185" i="120"/>
  <c r="N2185" i="120" s="1"/>
  <c r="F2578" i="120"/>
  <c r="F2568" i="120"/>
  <c r="H2175" i="120"/>
  <c r="N2175" i="120" s="1"/>
  <c r="G2413" i="120"/>
  <c r="H2020" i="120"/>
  <c r="N2020" i="120" s="1"/>
  <c r="F2574" i="120"/>
  <c r="H2181" i="120"/>
  <c r="N2181" i="120" s="1"/>
  <c r="F2421" i="120"/>
  <c r="H2028" i="120"/>
  <c r="N2028" i="120" s="1"/>
  <c r="F2572" i="120"/>
  <c r="H2179" i="120"/>
  <c r="N2179" i="120" s="1"/>
  <c r="F2536" i="120"/>
  <c r="H2143" i="120"/>
  <c r="N2143" i="120" s="1"/>
  <c r="G2476" i="120"/>
  <c r="H2083" i="120"/>
  <c r="N2083" i="120" s="1"/>
  <c r="F2526" i="120"/>
  <c r="H2133" i="120"/>
  <c r="N2133" i="120" s="1"/>
  <c r="G2516" i="120"/>
  <c r="H2123" i="120"/>
  <c r="N2123" i="120" s="1"/>
  <c r="F2524" i="120"/>
  <c r="H2131" i="120"/>
  <c r="N2131" i="120" s="1"/>
  <c r="G2963" i="120"/>
  <c r="H2963" i="120" s="1"/>
  <c r="N2963" i="120" s="1"/>
  <c r="H2570" i="120"/>
  <c r="N2570" i="120" s="1"/>
  <c r="G2500" i="120"/>
  <c r="H2107" i="120"/>
  <c r="N2107" i="120" s="1"/>
  <c r="H2034" i="120"/>
  <c r="N2034" i="120" s="1"/>
  <c r="F2427" i="120"/>
  <c r="G2540" i="120"/>
  <c r="H2147" i="120"/>
  <c r="N2147" i="120" s="1"/>
  <c r="F2815" i="120"/>
  <c r="H2815" i="120" s="1"/>
  <c r="N2815" i="120" s="1"/>
  <c r="H2422" i="120"/>
  <c r="N2422" i="120" s="1"/>
  <c r="F2819" i="120"/>
  <c r="H2819" i="120" s="1"/>
  <c r="N2819" i="120" s="1"/>
  <c r="H2426" i="120"/>
  <c r="N2426" i="120" s="1"/>
  <c r="F2866" i="120"/>
  <c r="H2866" i="120" s="1"/>
  <c r="N2866" i="120" s="1"/>
  <c r="H2473" i="120"/>
  <c r="N2473" i="120" s="1"/>
  <c r="F2845" i="120"/>
  <c r="H2845" i="120" s="1"/>
  <c r="N2845" i="120" s="1"/>
  <c r="H2452" i="120"/>
  <c r="N2452" i="120" s="1"/>
  <c r="F2916" i="120"/>
  <c r="H2916" i="120" s="1"/>
  <c r="N2916" i="120" s="1"/>
  <c r="H2523" i="120"/>
  <c r="N2523" i="120" s="1"/>
  <c r="F2899" i="120"/>
  <c r="H2899" i="120" s="1"/>
  <c r="N2899" i="120" s="1"/>
  <c r="H2506" i="120"/>
  <c r="N2506" i="120" s="1"/>
  <c r="F2898" i="120"/>
  <c r="H2898" i="120" s="1"/>
  <c r="N2898" i="120" s="1"/>
  <c r="H2505" i="120"/>
  <c r="N2505" i="120" s="1"/>
  <c r="F2900" i="120"/>
  <c r="H2900" i="120" s="1"/>
  <c r="N2900" i="120" s="1"/>
  <c r="H2507" i="120"/>
  <c r="N2507" i="120" s="1"/>
  <c r="F2860" i="120"/>
  <c r="H2860" i="120" s="1"/>
  <c r="N2860" i="120" s="1"/>
  <c r="H2467" i="120"/>
  <c r="N2467" i="120" s="1"/>
  <c r="F2867" i="120"/>
  <c r="H2867" i="120" s="1"/>
  <c r="N2867" i="120" s="1"/>
  <c r="H2474" i="120"/>
  <c r="N2474" i="120" s="1"/>
  <c r="F2852" i="120"/>
  <c r="H2852" i="120" s="1"/>
  <c r="N2852" i="120" s="1"/>
  <c r="H2459" i="120"/>
  <c r="N2459" i="120" s="1"/>
  <c r="F2934" i="120"/>
  <c r="H2934" i="120" s="1"/>
  <c r="N2934" i="120" s="1"/>
  <c r="H2541" i="120"/>
  <c r="N2541" i="120" s="1"/>
  <c r="F2872" i="120"/>
  <c r="H2872" i="120" s="1"/>
  <c r="N2872" i="120" s="1"/>
  <c r="H2479" i="120"/>
  <c r="N2479" i="120" s="1"/>
  <c r="F2924" i="120"/>
  <c r="H2924" i="120" s="1"/>
  <c r="N2924" i="120" s="1"/>
  <c r="H2531" i="120"/>
  <c r="N2531" i="120" s="1"/>
  <c r="F2939" i="120"/>
  <c r="H2939" i="120" s="1"/>
  <c r="N2939" i="120" s="1"/>
  <c r="H2546" i="120"/>
  <c r="N2546" i="120" s="1"/>
  <c r="F2810" i="120"/>
  <c r="H2810" i="120" s="1"/>
  <c r="N2810" i="120" s="1"/>
  <c r="H2417" i="120"/>
  <c r="N2417" i="120" s="1"/>
  <c r="H2441" i="120"/>
  <c r="N2441" i="120" s="1"/>
  <c r="F2834" i="120"/>
  <c r="H2834" i="120" s="1"/>
  <c r="N2834" i="120" s="1"/>
  <c r="F2938" i="120"/>
  <c r="H2938" i="120" s="1"/>
  <c r="N2938" i="120" s="1"/>
  <c r="H2545" i="120"/>
  <c r="N2545" i="120" s="1"/>
  <c r="F2976" i="120"/>
  <c r="H2976" i="120" s="1"/>
  <c r="N2976" i="120" s="1"/>
  <c r="H2583" i="120"/>
  <c r="N2583" i="120" s="1"/>
  <c r="F2888" i="120"/>
  <c r="H2888" i="120" s="1"/>
  <c r="N2888" i="120" s="1"/>
  <c r="H2495" i="120"/>
  <c r="N2495" i="120" s="1"/>
  <c r="F2950" i="120"/>
  <c r="H2950" i="120" s="1"/>
  <c r="N2950" i="120" s="1"/>
  <c r="H2557" i="120"/>
  <c r="N2557" i="120" s="1"/>
  <c r="F2906" i="120"/>
  <c r="H2906" i="120" s="1"/>
  <c r="N2906" i="120" s="1"/>
  <c r="H2513" i="120"/>
  <c r="N2513" i="120" s="1"/>
  <c r="F2928" i="120"/>
  <c r="H2928" i="120" s="1"/>
  <c r="N2928" i="120" s="1"/>
  <c r="H2535" i="120"/>
  <c r="N2535" i="120" s="1"/>
  <c r="F2936" i="120"/>
  <c r="H2936" i="120" s="1"/>
  <c r="N2936" i="120" s="1"/>
  <c r="H2543" i="120"/>
  <c r="N2543" i="120" s="1"/>
  <c r="F2980" i="120"/>
  <c r="H2980" i="120" s="1"/>
  <c r="N2980" i="120" s="1"/>
  <c r="H2587" i="120"/>
  <c r="N2587" i="120" s="1"/>
  <c r="F2978" i="120"/>
  <c r="H2978" i="120" s="1"/>
  <c r="N2978" i="120" s="1"/>
  <c r="H2585" i="120"/>
  <c r="N2585" i="120" s="1"/>
  <c r="F2902" i="120"/>
  <c r="H2902" i="120" s="1"/>
  <c r="N2902" i="120" s="1"/>
  <c r="H2509" i="120"/>
  <c r="N2509" i="120" s="1"/>
  <c r="F2882" i="120"/>
  <c r="H2882" i="120" s="1"/>
  <c r="N2882" i="120" s="1"/>
  <c r="H2489" i="120"/>
  <c r="N2489" i="120" s="1"/>
  <c r="F2986" i="120"/>
  <c r="H2986" i="120" s="1"/>
  <c r="N2986" i="120" s="1"/>
  <c r="H2593" i="120"/>
  <c r="N2593" i="120" s="1"/>
  <c r="F2982" i="120"/>
  <c r="H2982" i="120" s="1"/>
  <c r="N2982" i="120" s="1"/>
  <c r="H2589" i="120"/>
  <c r="N2589" i="120" s="1"/>
  <c r="F2840" i="120"/>
  <c r="H2840" i="120" s="1"/>
  <c r="N2840" i="120" s="1"/>
  <c r="H2447" i="120"/>
  <c r="N2447" i="120" s="1"/>
  <c r="F2958" i="120"/>
  <c r="H2958" i="120" s="1"/>
  <c r="N2958" i="120" s="1"/>
  <c r="H2565" i="120"/>
  <c r="N2565" i="120" s="1"/>
  <c r="F2864" i="120"/>
  <c r="H2864" i="120" s="1"/>
  <c r="N2864" i="120" s="1"/>
  <c r="H2471" i="120"/>
  <c r="N2471" i="120" s="1"/>
  <c r="F2926" i="120"/>
  <c r="H2926" i="120" s="1"/>
  <c r="N2926" i="120" s="1"/>
  <c r="H2533" i="120"/>
  <c r="N2533" i="120" s="1"/>
  <c r="H2490" i="120"/>
  <c r="N2490" i="120" s="1"/>
  <c r="F2883" i="120"/>
  <c r="H2883" i="120" s="1"/>
  <c r="N2883" i="120" s="1"/>
  <c r="F2824" i="120"/>
  <c r="H2824" i="120" s="1"/>
  <c r="N2824" i="120" s="1"/>
  <c r="H2431" i="120"/>
  <c r="N2431" i="120" s="1"/>
  <c r="F2876" i="120"/>
  <c r="H2876" i="120" s="1"/>
  <c r="N2876" i="120" s="1"/>
  <c r="H2483" i="120"/>
  <c r="N2483" i="120" s="1"/>
  <c r="F2892" i="120"/>
  <c r="H2892" i="120" s="1"/>
  <c r="N2892" i="120" s="1"/>
  <c r="H2499" i="120"/>
  <c r="N2499" i="120" s="1"/>
  <c r="F2827" i="120"/>
  <c r="H2827" i="120" s="1"/>
  <c r="N2827" i="120" s="1"/>
  <c r="H2434" i="120"/>
  <c r="N2434" i="120" s="1"/>
  <c r="F2808" i="120"/>
  <c r="H2808" i="120" s="1"/>
  <c r="N2808" i="120" s="1"/>
  <c r="H2415" i="120"/>
  <c r="N2415" i="120" s="1"/>
  <c r="F2962" i="120"/>
  <c r="H2962" i="120" s="1"/>
  <c r="N2962" i="120" s="1"/>
  <c r="H2569" i="120"/>
  <c r="N2569" i="120" s="1"/>
  <c r="F2920" i="120"/>
  <c r="H2920" i="120" s="1"/>
  <c r="N2920" i="120" s="1"/>
  <c r="H2527" i="120"/>
  <c r="N2527" i="120" s="1"/>
  <c r="N1976" i="120"/>
  <c r="F2956" i="120"/>
  <c r="H2956" i="120" s="1"/>
  <c r="N2956" i="120" s="1"/>
  <c r="H2563" i="120"/>
  <c r="N2563" i="120" s="1"/>
  <c r="F2884" i="120"/>
  <c r="H2884" i="120" s="1"/>
  <c r="N2884" i="120" s="1"/>
  <c r="H2491" i="120"/>
  <c r="N2491" i="120" s="1"/>
  <c r="F2823" i="120"/>
  <c r="H2823" i="120" s="1"/>
  <c r="N2823" i="120" s="1"/>
  <c r="H2430" i="120"/>
  <c r="N2430" i="120" s="1"/>
  <c r="F2871" i="120"/>
  <c r="H2871" i="120" s="1"/>
  <c r="N2871" i="120" s="1"/>
  <c r="H2478" i="120"/>
  <c r="N2478" i="120" s="1"/>
  <c r="F2875" i="120"/>
  <c r="H2875" i="120" s="1"/>
  <c r="N2875" i="120" s="1"/>
  <c r="H2482" i="120"/>
  <c r="N2482" i="120" s="1"/>
  <c r="F2914" i="120"/>
  <c r="H2914" i="120" s="1"/>
  <c r="N2914" i="120" s="1"/>
  <c r="H2521" i="120"/>
  <c r="N2521" i="120" s="1"/>
  <c r="F2807" i="120"/>
  <c r="H2807" i="120" s="1"/>
  <c r="N2807" i="120" s="1"/>
  <c r="H2414" i="120"/>
  <c r="N2414" i="120" s="1"/>
  <c r="F2910" i="120"/>
  <c r="H2910" i="120" s="1"/>
  <c r="N2910" i="120" s="1"/>
  <c r="H2517" i="120"/>
  <c r="N2517" i="120" s="1"/>
  <c r="F2915" i="120"/>
  <c r="H2915" i="120" s="1"/>
  <c r="N2915" i="120" s="1"/>
  <c r="H2522" i="120"/>
  <c r="N2522" i="120" s="1"/>
  <c r="F2811" i="120"/>
  <c r="H2811" i="120" s="1"/>
  <c r="N2811" i="120" s="1"/>
  <c r="H2418" i="120"/>
  <c r="N2418" i="120" s="1"/>
  <c r="F2904" i="120"/>
  <c r="H2904" i="120" s="1"/>
  <c r="N2904" i="120" s="1"/>
  <c r="H2511" i="120"/>
  <c r="N2511" i="120" s="1"/>
  <c r="F2912" i="120"/>
  <c r="H2912" i="120" s="1"/>
  <c r="N2912" i="120" s="1"/>
  <c r="H2519" i="120"/>
  <c r="N2519" i="120" s="1"/>
  <c r="F2826" i="120"/>
  <c r="H2826" i="120" s="1"/>
  <c r="N2826" i="120" s="1"/>
  <c r="H2433" i="120"/>
  <c r="N2433" i="120" s="1"/>
  <c r="F2948" i="120"/>
  <c r="H2948" i="120" s="1"/>
  <c r="N2948" i="120" s="1"/>
  <c r="H2555" i="120"/>
  <c r="N2555" i="120" s="1"/>
  <c r="F2946" i="120"/>
  <c r="H2946" i="120" s="1"/>
  <c r="N2946" i="120" s="1"/>
  <c r="H2553" i="120"/>
  <c r="N2553" i="120" s="1"/>
  <c r="F2984" i="120"/>
  <c r="H2984" i="120" s="1"/>
  <c r="N2984" i="120" s="1"/>
  <c r="H2591" i="120"/>
  <c r="N2591" i="120" s="1"/>
  <c r="F2896" i="120"/>
  <c r="H2896" i="120" s="1"/>
  <c r="N2896" i="120" s="1"/>
  <c r="H2503" i="120"/>
  <c r="N2503" i="120" s="1"/>
  <c r="F2839" i="120"/>
  <c r="H2839" i="120" s="1"/>
  <c r="N2839" i="120" s="1"/>
  <c r="H2446" i="120"/>
  <c r="N2446" i="120" s="1"/>
  <c r="F2931" i="120"/>
  <c r="H2931" i="120" s="1"/>
  <c r="N2931" i="120" s="1"/>
  <c r="H2538" i="120"/>
  <c r="N2538" i="120" s="1"/>
  <c r="H2498" i="120"/>
  <c r="N2498" i="120" s="1"/>
  <c r="F2891" i="120"/>
  <c r="H2891" i="120" s="1"/>
  <c r="N2891" i="120" s="1"/>
  <c r="F2940" i="120"/>
  <c r="H2940" i="120" s="1"/>
  <c r="N2940" i="120" s="1"/>
  <c r="H2547" i="120"/>
  <c r="N2547" i="120" s="1"/>
  <c r="F2831" i="120"/>
  <c r="H2831" i="120" s="1"/>
  <c r="N2831" i="120" s="1"/>
  <c r="H2438" i="120"/>
  <c r="N2438" i="120" s="1"/>
  <c r="F2816" i="120"/>
  <c r="H2816" i="120" s="1"/>
  <c r="N2816" i="120" s="1"/>
  <c r="H2423" i="120"/>
  <c r="N2423" i="120" s="1"/>
  <c r="H2562" i="120"/>
  <c r="N2562" i="120" s="1"/>
  <c r="F2955" i="120"/>
  <c r="H2955" i="120" s="1"/>
  <c r="N2955" i="120" s="1"/>
  <c r="F2968" i="120"/>
  <c r="H2968" i="120" s="1"/>
  <c r="N2968" i="120" s="1"/>
  <c r="H2575" i="120"/>
  <c r="N2575" i="120" s="1"/>
  <c r="F2972" i="120"/>
  <c r="H2972" i="120" s="1"/>
  <c r="N2972" i="120" s="1"/>
  <c r="H2579" i="120"/>
  <c r="N2579" i="120" s="1"/>
  <c r="F2894" i="120"/>
  <c r="H2894" i="120" s="1"/>
  <c r="N2894" i="120" s="1"/>
  <c r="H2501" i="120"/>
  <c r="N2501" i="120" s="1"/>
  <c r="F2952" i="120"/>
  <c r="H2952" i="120" s="1"/>
  <c r="N2952" i="120" s="1"/>
  <c r="H2559" i="120"/>
  <c r="N2559" i="120" s="1"/>
  <c r="F2874" i="120"/>
  <c r="H2874" i="120" s="1"/>
  <c r="N2874" i="120" s="1"/>
  <c r="H2481" i="120"/>
  <c r="N2481" i="120" s="1"/>
  <c r="F2954" i="120"/>
  <c r="H2954" i="120" s="1"/>
  <c r="N2954" i="120" s="1"/>
  <c r="H2561" i="120"/>
  <c r="N2561" i="120" s="1"/>
  <c r="F2966" i="120"/>
  <c r="H2966" i="120" s="1"/>
  <c r="N2966" i="120" s="1"/>
  <c r="H2573" i="120"/>
  <c r="N2573" i="120" s="1"/>
  <c r="F2979" i="120"/>
  <c r="H2979" i="120" s="1"/>
  <c r="N2979" i="120" s="1"/>
  <c r="H2586" i="120"/>
  <c r="N2586" i="120" s="1"/>
  <c r="F2908" i="120"/>
  <c r="H2908" i="120" s="1"/>
  <c r="N2908" i="120" s="1"/>
  <c r="H2515" i="120"/>
  <c r="N2515" i="120" s="1"/>
  <c r="F2964" i="120"/>
  <c r="H2964" i="120" s="1"/>
  <c r="N2964" i="120" s="1"/>
  <c r="H2571" i="120"/>
  <c r="N2571" i="120" s="1"/>
  <c r="F2890" i="120"/>
  <c r="H2890" i="120" s="1"/>
  <c r="N2890" i="120" s="1"/>
  <c r="H2497" i="120"/>
  <c r="N2497" i="120" s="1"/>
  <c r="F2835" i="120"/>
  <c r="H2835" i="120" s="1"/>
  <c r="N2835" i="120" s="1"/>
  <c r="H2442" i="120"/>
  <c r="N2442" i="120" s="1"/>
  <c r="F2863" i="120"/>
  <c r="H2863" i="120" s="1"/>
  <c r="N2863" i="120" s="1"/>
  <c r="H2470" i="120"/>
  <c r="N2470" i="120" s="1"/>
  <c r="G2887" i="120"/>
  <c r="H2887" i="120" s="1"/>
  <c r="N2887" i="120" s="1"/>
  <c r="H2494" i="120"/>
  <c r="N2494" i="120" s="1"/>
  <c r="F2930" i="120"/>
  <c r="H2930" i="120" s="1"/>
  <c r="N2930" i="120" s="1"/>
  <c r="H2537" i="120"/>
  <c r="N2537" i="120" s="1"/>
  <c r="H2566" i="120"/>
  <c r="N2566" i="120" s="1"/>
  <c r="F2959" i="120"/>
  <c r="H2959" i="120" s="1"/>
  <c r="N2959" i="120" s="1"/>
  <c r="F2918" i="120"/>
  <c r="H2918" i="120" s="1"/>
  <c r="N2918" i="120" s="1"/>
  <c r="H2525" i="120"/>
  <c r="N2525" i="120" s="1"/>
  <c r="F2886" i="120"/>
  <c r="H2886" i="120" s="1"/>
  <c r="N2886" i="120" s="1"/>
  <c r="H2493" i="120"/>
  <c r="N2493" i="120" s="1"/>
  <c r="F2947" i="120"/>
  <c r="H2947" i="120" s="1"/>
  <c r="N2947" i="120" s="1"/>
  <c r="H2554" i="120"/>
  <c r="N2554" i="120" s="1"/>
  <c r="F2859" i="120"/>
  <c r="H2859" i="120" s="1"/>
  <c r="N2859" i="120" s="1"/>
  <c r="H2466" i="120"/>
  <c r="N2466" i="120" s="1"/>
  <c r="F2818" i="120"/>
  <c r="H2818" i="120" s="1"/>
  <c r="N2818" i="120" s="1"/>
  <c r="H2425" i="120"/>
  <c r="N2425" i="120" s="1"/>
  <c r="F2873" i="120"/>
  <c r="H2873" i="120" s="1"/>
  <c r="N2873" i="120" s="1"/>
  <c r="H2480" i="120"/>
  <c r="N2480" i="120" s="1"/>
  <c r="F2942" i="120"/>
  <c r="H2942" i="120" s="1"/>
  <c r="N2942" i="120" s="1"/>
  <c r="H2549" i="120"/>
  <c r="N2549" i="120" s="1"/>
  <c r="F2932" i="120"/>
  <c r="H2932" i="120" s="1"/>
  <c r="N2932" i="120" s="1"/>
  <c r="H2539" i="120"/>
  <c r="N2539" i="120" s="1"/>
  <c r="F2922" i="120"/>
  <c r="H2922" i="120" s="1"/>
  <c r="N2922" i="120" s="1"/>
  <c r="H2529" i="120"/>
  <c r="N2529" i="120" s="1"/>
  <c r="F2970" i="120"/>
  <c r="H2970" i="120" s="1"/>
  <c r="N2970" i="120" s="1"/>
  <c r="H2577" i="120"/>
  <c r="N2577" i="120" s="1"/>
  <c r="F2880" i="120"/>
  <c r="H2880" i="120" s="1"/>
  <c r="N2880" i="120" s="1"/>
  <c r="H2487" i="120"/>
  <c r="N2487" i="120" s="1"/>
  <c r="F2974" i="120"/>
  <c r="H2974" i="120" s="1"/>
  <c r="N2974" i="120" s="1"/>
  <c r="H2581" i="120"/>
  <c r="N2581" i="120" s="1"/>
  <c r="F2944" i="120"/>
  <c r="H2944" i="120" s="1"/>
  <c r="N2944" i="120" s="1"/>
  <c r="H2551" i="120"/>
  <c r="N2551" i="120" s="1"/>
  <c r="F2960" i="120"/>
  <c r="H2960" i="120" s="1"/>
  <c r="N2960" i="120" s="1"/>
  <c r="H2567" i="120"/>
  <c r="N2567" i="120" s="1"/>
  <c r="F2762" i="120"/>
  <c r="H2369" i="120"/>
  <c r="F2981" i="120"/>
  <c r="H2981" i="120" s="1"/>
  <c r="N2981" i="120" s="1"/>
  <c r="H2588" i="120"/>
  <c r="N2588" i="120" s="1"/>
  <c r="H2514" i="120"/>
  <c r="N2514" i="120" s="1"/>
  <c r="F2907" i="120"/>
  <c r="H2907" i="120" s="1"/>
  <c r="N2907" i="120" s="1"/>
  <c r="F2878" i="120"/>
  <c r="H2878" i="120" s="1"/>
  <c r="N2878" i="120" s="1"/>
  <c r="H2485" i="120"/>
  <c r="N2485" i="120" s="1"/>
  <c r="F2858" i="120"/>
  <c r="H2858" i="120" s="1"/>
  <c r="N2858" i="120" s="1"/>
  <c r="H2465" i="120"/>
  <c r="N2465" i="120" s="1"/>
  <c r="F2870" i="120"/>
  <c r="H2870" i="120" s="1"/>
  <c r="N2870" i="120" s="1"/>
  <c r="H2477" i="120"/>
  <c r="N2477" i="120" s="1"/>
  <c r="F2923" i="120"/>
  <c r="H2923" i="120" s="1"/>
  <c r="N2923" i="120" s="1"/>
  <c r="H2530" i="120"/>
  <c r="N2530" i="120" s="1"/>
  <c r="G2909" i="120" l="1"/>
  <c r="H2909" i="120" s="1"/>
  <c r="N2909" i="120" s="1"/>
  <c r="H2516" i="120"/>
  <c r="N2516" i="120" s="1"/>
  <c r="G2893" i="120"/>
  <c r="H2893" i="120" s="1"/>
  <c r="N2893" i="120" s="1"/>
  <c r="H2500" i="120"/>
  <c r="N2500" i="120" s="1"/>
  <c r="F2929" i="120"/>
  <c r="H2929" i="120" s="1"/>
  <c r="N2929" i="120" s="1"/>
  <c r="H2536" i="120"/>
  <c r="N2536" i="120" s="1"/>
  <c r="G2806" i="120"/>
  <c r="H2806" i="120" s="1"/>
  <c r="N2806" i="120" s="1"/>
  <c r="H2413" i="120"/>
  <c r="N2413" i="120" s="1"/>
  <c r="G2933" i="120"/>
  <c r="H2933" i="120" s="1"/>
  <c r="N2933" i="120" s="1"/>
  <c r="H2540" i="120"/>
  <c r="N2540" i="120" s="1"/>
  <c r="F2820" i="120"/>
  <c r="H2820" i="120" s="1"/>
  <c r="N2820" i="120" s="1"/>
  <c r="H2427" i="120"/>
  <c r="N2427" i="120" s="1"/>
  <c r="F2814" i="120"/>
  <c r="H2814" i="120" s="1"/>
  <c r="N2814" i="120" s="1"/>
  <c r="H2421" i="120"/>
  <c r="N2421" i="120" s="1"/>
  <c r="H2578" i="120"/>
  <c r="N2578" i="120" s="1"/>
  <c r="F2971" i="120"/>
  <c r="H2971" i="120" s="1"/>
  <c r="N2971" i="120" s="1"/>
  <c r="H2512" i="120"/>
  <c r="N2512" i="120" s="1"/>
  <c r="F2905" i="120"/>
  <c r="H2905" i="120" s="1"/>
  <c r="N2905" i="120" s="1"/>
  <c r="F2919" i="120"/>
  <c r="H2919" i="120" s="1"/>
  <c r="N2919" i="120" s="1"/>
  <c r="H2526" i="120"/>
  <c r="N2526" i="120" s="1"/>
  <c r="F2967" i="120"/>
  <c r="H2967" i="120" s="1"/>
  <c r="N2967" i="120" s="1"/>
  <c r="H2574" i="120"/>
  <c r="N2574" i="120" s="1"/>
  <c r="H2504" i="120"/>
  <c r="N2504" i="120" s="1"/>
  <c r="F2897" i="120"/>
  <c r="H2897" i="120" s="1"/>
  <c r="N2897" i="120" s="1"/>
  <c r="F2965" i="120"/>
  <c r="H2965" i="120" s="1"/>
  <c r="N2965" i="120" s="1"/>
  <c r="H2572" i="120"/>
  <c r="N2572" i="120" s="1"/>
  <c r="H2524" i="120"/>
  <c r="N2524" i="120" s="1"/>
  <c r="F2917" i="120"/>
  <c r="H2917" i="120" s="1"/>
  <c r="N2917" i="120" s="1"/>
  <c r="G2869" i="120"/>
  <c r="H2869" i="120" s="1"/>
  <c r="N2869" i="120" s="1"/>
  <c r="H2476" i="120"/>
  <c r="N2476" i="120" s="1"/>
  <c r="H2568" i="120"/>
  <c r="N2568" i="120" s="1"/>
  <c r="F2961" i="120"/>
  <c r="H2961" i="120" s="1"/>
  <c r="N2961" i="120" s="1"/>
  <c r="G2829" i="120"/>
  <c r="H2829" i="120" s="1"/>
  <c r="N2829" i="120" s="1"/>
  <c r="H2436" i="120"/>
  <c r="N2436" i="120" s="1"/>
  <c r="N2369" i="120"/>
  <c r="H2762" i="120"/>
  <c r="N2762" i="120" l="1"/>
  <c r="H360" i="120" l="1"/>
  <c r="N360" i="120" s="1"/>
  <c r="F633" i="120"/>
  <c r="H296" i="120"/>
  <c r="N296" i="120" s="1"/>
  <c r="H248" i="120"/>
  <c r="N248" i="120" s="1"/>
  <c r="F679" i="120"/>
  <c r="H312" i="120"/>
  <c r="N312" i="120" s="1"/>
  <c r="H350" i="120"/>
  <c r="N350" i="120" s="1"/>
  <c r="H286" i="120"/>
  <c r="N286" i="120" s="1"/>
  <c r="G789" i="120"/>
  <c r="G1182" i="120" s="1"/>
  <c r="G1575" i="120" s="1"/>
  <c r="G1968" i="120" s="1"/>
  <c r="G2361" i="120" s="1"/>
  <c r="G2754" i="120" s="1"/>
  <c r="G3147" i="120" s="1"/>
  <c r="H346" i="120"/>
  <c r="N346" i="120" s="1"/>
  <c r="H256" i="120"/>
  <c r="N256" i="120" s="1"/>
  <c r="H366" i="120"/>
  <c r="N366" i="120" s="1"/>
  <c r="H288" i="120"/>
  <c r="N288" i="120" s="1"/>
  <c r="H300" i="120"/>
  <c r="N300" i="120" s="1"/>
  <c r="G790" i="120"/>
  <c r="G1183" i="120" s="1"/>
  <c r="G1576" i="120" s="1"/>
  <c r="G1969" i="120" s="1"/>
  <c r="G2362" i="120" s="1"/>
  <c r="G2755" i="120" s="1"/>
  <c r="G3148" i="120" s="1"/>
  <c r="F743" i="120"/>
  <c r="F647" i="120"/>
  <c r="F737" i="120"/>
  <c r="H240" i="120"/>
  <c r="N240" i="120" s="1"/>
  <c r="H344" i="120"/>
  <c r="N344" i="120" s="1"/>
  <c r="H264" i="120"/>
  <c r="N264" i="120" s="1"/>
  <c r="H382" i="120"/>
  <c r="N382" i="120" s="1"/>
  <c r="H330" i="120"/>
  <c r="N330" i="120" s="1"/>
  <c r="H368" i="120"/>
  <c r="N368" i="120" s="1"/>
  <c r="H282" i="120"/>
  <c r="N282" i="120" s="1"/>
  <c r="F695" i="120"/>
  <c r="F790" i="120"/>
  <c r="H328" i="120"/>
  <c r="N328" i="120" s="1"/>
  <c r="F681" i="120"/>
  <c r="H270" i="120"/>
  <c r="N270" i="120" s="1"/>
  <c r="H304" i="120"/>
  <c r="N304" i="120" s="1"/>
  <c r="F759" i="120"/>
  <c r="H284" i="120"/>
  <c r="N284" i="120" s="1"/>
  <c r="H302" i="120"/>
  <c r="N302" i="120" s="1"/>
  <c r="H352" i="120"/>
  <c r="N352" i="120" s="1"/>
  <c r="F689" i="120"/>
  <c r="H378" i="120"/>
  <c r="N378" i="120" s="1"/>
  <c r="H250" i="120"/>
  <c r="N250" i="120" s="1"/>
  <c r="H298" i="120"/>
  <c r="N298" i="120" s="1"/>
  <c r="H394" i="120"/>
  <c r="N394" i="120" s="1"/>
  <c r="H314" i="120"/>
  <c r="N314" i="120" s="1"/>
  <c r="H318" i="120"/>
  <c r="N318" i="120" s="1"/>
  <c r="F775" i="120"/>
  <c r="F745" i="120"/>
  <c r="H316" i="120"/>
  <c r="N316" i="120" s="1"/>
  <c r="F761" i="120"/>
  <c r="H320" i="120"/>
  <c r="N320" i="120" s="1"/>
  <c r="H254" i="120"/>
  <c r="N254" i="120" s="1"/>
  <c r="H376" i="120"/>
  <c r="N376" i="120" s="1"/>
  <c r="F657" i="120"/>
  <c r="H266" i="120"/>
  <c r="N266" i="120" s="1"/>
  <c r="H384" i="120"/>
  <c r="N384" i="120" s="1"/>
  <c r="H336" i="120"/>
  <c r="N336" i="120" s="1"/>
  <c r="F769" i="120"/>
  <c r="H272" i="120"/>
  <c r="N272" i="120" s="1"/>
  <c r="H280" i="120"/>
  <c r="N280" i="120" s="1"/>
  <c r="H362" i="120"/>
  <c r="N362" i="120" s="1"/>
  <c r="F659" i="120"/>
  <c r="F643" i="120"/>
  <c r="F787" i="120"/>
  <c r="F754" i="120" l="1"/>
  <c r="H361" i="120"/>
  <c r="N361" i="120" s="1"/>
  <c r="F642" i="120"/>
  <c r="H249" i="120"/>
  <c r="N249" i="120" s="1"/>
  <c r="H357" i="120"/>
  <c r="N357" i="120" s="1"/>
  <c r="F750" i="120"/>
  <c r="F1088" i="120"/>
  <c r="H695" i="120"/>
  <c r="N695" i="120" s="1"/>
  <c r="F1072" i="120"/>
  <c r="H679" i="120"/>
  <c r="N679" i="120" s="1"/>
  <c r="F728" i="120"/>
  <c r="H335" i="120"/>
  <c r="N335" i="120" s="1"/>
  <c r="H393" i="120"/>
  <c r="N393" i="120" s="1"/>
  <c r="F786" i="120"/>
  <c r="F680" i="120"/>
  <c r="H287" i="120"/>
  <c r="N287" i="120" s="1"/>
  <c r="H337" i="120"/>
  <c r="N337" i="120" s="1"/>
  <c r="F730" i="120"/>
  <c r="F702" i="120"/>
  <c r="H309" i="120"/>
  <c r="N309" i="120" s="1"/>
  <c r="F760" i="120"/>
  <c r="H367" i="120"/>
  <c r="N367" i="120" s="1"/>
  <c r="H388" i="120"/>
  <c r="N388" i="120" s="1"/>
  <c r="F781" i="120"/>
  <c r="H295" i="120"/>
  <c r="N295" i="120" s="1"/>
  <c r="F688" i="120"/>
  <c r="F752" i="120"/>
  <c r="H359" i="120"/>
  <c r="N359" i="120" s="1"/>
  <c r="H321" i="120"/>
  <c r="N321" i="120" s="1"/>
  <c r="F714" i="120"/>
  <c r="F665" i="120"/>
  <c r="F709" i="120"/>
  <c r="H244" i="120"/>
  <c r="N244" i="120" s="1"/>
  <c r="F637" i="120"/>
  <c r="F751" i="120"/>
  <c r="H358" i="120"/>
  <c r="N358" i="120" s="1"/>
  <c r="H689" i="120"/>
  <c r="N689" i="120" s="1"/>
  <c r="F1082" i="120"/>
  <c r="F715" i="120"/>
  <c r="H322" i="120"/>
  <c r="N322" i="120" s="1"/>
  <c r="F753" i="120"/>
  <c r="F763" i="120"/>
  <c r="H370" i="120"/>
  <c r="N370" i="120" s="1"/>
  <c r="H245" i="120"/>
  <c r="N245" i="120" s="1"/>
  <c r="F638" i="120"/>
  <c r="H255" i="120"/>
  <c r="N255" i="120" s="1"/>
  <c r="F648" i="120"/>
  <c r="F675" i="120"/>
  <c r="F756" i="120"/>
  <c r="H363" i="120"/>
  <c r="N363" i="120" s="1"/>
  <c r="H345" i="120"/>
  <c r="N345" i="120" s="1"/>
  <c r="F738" i="120"/>
  <c r="H273" i="120"/>
  <c r="N273" i="120" s="1"/>
  <c r="F666" i="120"/>
  <c r="F696" i="120"/>
  <c r="H303" i="120"/>
  <c r="N303" i="120" s="1"/>
  <c r="F660" i="120"/>
  <c r="H267" i="120"/>
  <c r="N267" i="120" s="1"/>
  <c r="F771" i="120"/>
  <c r="H290" i="120"/>
  <c r="N290" i="120" s="1"/>
  <c r="F683" i="120"/>
  <c r="F656" i="120"/>
  <c r="H263" i="120"/>
  <c r="N263" i="120" s="1"/>
  <c r="H340" i="120"/>
  <c r="N340" i="120" s="1"/>
  <c r="F733" i="120"/>
  <c r="F734" i="120"/>
  <c r="H341" i="120"/>
  <c r="N341" i="120" s="1"/>
  <c r="F732" i="120"/>
  <c r="H339" i="120"/>
  <c r="N339" i="120" s="1"/>
  <c r="F663" i="120"/>
  <c r="F661" i="120"/>
  <c r="H268" i="120"/>
  <c r="N268" i="120" s="1"/>
  <c r="H395" i="120"/>
  <c r="N395" i="120" s="1"/>
  <c r="F788" i="120"/>
  <c r="F766" i="120"/>
  <c r="H373" i="120"/>
  <c r="N373" i="120" s="1"/>
  <c r="F691" i="120"/>
  <c r="F712" i="120"/>
  <c r="H319" i="120"/>
  <c r="N319" i="120" s="1"/>
  <c r="H659" i="120"/>
  <c r="N659" i="120" s="1"/>
  <c r="F1052" i="120"/>
  <c r="F652" i="120"/>
  <c r="H259" i="120"/>
  <c r="N259" i="120" s="1"/>
  <c r="H258" i="120"/>
  <c r="N258" i="120" s="1"/>
  <c r="F651" i="120"/>
  <c r="H356" i="120"/>
  <c r="N356" i="120" s="1"/>
  <c r="F749" i="120"/>
  <c r="F631" i="120"/>
  <c r="H238" i="120"/>
  <c r="N238" i="120" s="1"/>
  <c r="F639" i="120"/>
  <c r="H246" i="120"/>
  <c r="N246" i="120" s="1"/>
  <c r="H347" i="120"/>
  <c r="N347" i="120" s="1"/>
  <c r="F740" i="120"/>
  <c r="F724" i="120"/>
  <c r="H331" i="120"/>
  <c r="N331" i="120" s="1"/>
  <c r="F722" i="120"/>
  <c r="H329" i="120"/>
  <c r="N329" i="120" s="1"/>
  <c r="F780" i="120"/>
  <c r="H387" i="120"/>
  <c r="N387" i="120" s="1"/>
  <c r="H299" i="120"/>
  <c r="N299" i="120" s="1"/>
  <c r="F692" i="120"/>
  <c r="F784" i="120"/>
  <c r="H391" i="120"/>
  <c r="N391" i="120" s="1"/>
  <c r="F1040" i="120"/>
  <c r="H647" i="120"/>
  <c r="N647" i="120" s="1"/>
  <c r="F690" i="120"/>
  <c r="H297" i="120"/>
  <c r="N297" i="120" s="1"/>
  <c r="H324" i="120"/>
  <c r="N324" i="120" s="1"/>
  <c r="F717" i="120"/>
  <c r="F671" i="120"/>
  <c r="H278" i="120"/>
  <c r="N278" i="120" s="1"/>
  <c r="F635" i="120"/>
  <c r="H242" i="120"/>
  <c r="N242" i="120" s="1"/>
  <c r="F785" i="120"/>
  <c r="H392" i="120"/>
  <c r="N392" i="120" s="1"/>
  <c r="F700" i="120"/>
  <c r="H307" i="120"/>
  <c r="N307" i="120" s="1"/>
  <c r="F676" i="120"/>
  <c r="H283" i="120"/>
  <c r="N283" i="120" s="1"/>
  <c r="H372" i="120"/>
  <c r="N372" i="120" s="1"/>
  <c r="F765" i="120"/>
  <c r="F677" i="120"/>
  <c r="F708" i="120"/>
  <c r="H315" i="120"/>
  <c r="N315" i="120" s="1"/>
  <c r="F1138" i="120"/>
  <c r="H745" i="120"/>
  <c r="N745" i="120" s="1"/>
  <c r="F711" i="120"/>
  <c r="F698" i="120"/>
  <c r="H305" i="120"/>
  <c r="N305" i="120" s="1"/>
  <c r="F755" i="120"/>
  <c r="F641" i="120"/>
  <c r="H397" i="120"/>
  <c r="N397" i="120" s="1"/>
  <c r="F644" i="120"/>
  <c r="H251" i="120"/>
  <c r="N251" i="120" s="1"/>
  <c r="F716" i="120"/>
  <c r="H323" i="120"/>
  <c r="N323" i="120" s="1"/>
  <c r="F678" i="120"/>
  <c r="H285" i="120"/>
  <c r="N285" i="120" s="1"/>
  <c r="F704" i="120"/>
  <c r="H311" i="120"/>
  <c r="N311" i="120" s="1"/>
  <c r="F721" i="120"/>
  <c r="F764" i="120"/>
  <c r="H371" i="120"/>
  <c r="N371" i="120" s="1"/>
  <c r="H265" i="120"/>
  <c r="N265" i="120" s="1"/>
  <c r="F658" i="120"/>
  <c r="F744" i="120"/>
  <c r="H351" i="120"/>
  <c r="N351" i="120" s="1"/>
  <c r="H247" i="120"/>
  <c r="N247" i="120" s="1"/>
  <c r="F640" i="120"/>
  <c r="F719" i="120"/>
  <c r="H326" i="120"/>
  <c r="N326" i="120" s="1"/>
  <c r="H386" i="120"/>
  <c r="N386" i="120" s="1"/>
  <c r="F779" i="120"/>
  <c r="F747" i="120"/>
  <c r="H354" i="120"/>
  <c r="N354" i="120" s="1"/>
  <c r="F707" i="120"/>
  <c r="F636" i="120"/>
  <c r="H243" i="120"/>
  <c r="N243" i="120" s="1"/>
  <c r="F782" i="120"/>
  <c r="H389" i="120"/>
  <c r="N389" i="120" s="1"/>
  <c r="H343" i="120"/>
  <c r="N343" i="120" s="1"/>
  <c r="F736" i="120"/>
  <c r="F645" i="120"/>
  <c r="H252" i="120"/>
  <c r="N252" i="120" s="1"/>
  <c r="F1074" i="120"/>
  <c r="H681" i="120"/>
  <c r="N681" i="120" s="1"/>
  <c r="F758" i="120"/>
  <c r="H365" i="120"/>
  <c r="N365" i="120" s="1"/>
  <c r="H334" i="120"/>
  <c r="N334" i="120" s="1"/>
  <c r="F727" i="120"/>
  <c r="H737" i="120"/>
  <c r="N737" i="120" s="1"/>
  <c r="F1130" i="120"/>
  <c r="F687" i="120"/>
  <c r="H294" i="120"/>
  <c r="N294" i="120" s="1"/>
  <c r="F634" i="120"/>
  <c r="H241" i="120"/>
  <c r="N241" i="120" s="1"/>
  <c r="F1026" i="120"/>
  <c r="H633" i="120"/>
  <c r="N633" i="120" s="1"/>
  <c r="F670" i="120"/>
  <c r="H277" i="120"/>
  <c r="N277" i="120" s="1"/>
  <c r="H276" i="120"/>
  <c r="N276" i="120" s="1"/>
  <c r="F669" i="120"/>
  <c r="F789" i="120"/>
  <c r="H396" i="120"/>
  <c r="N396" i="120" s="1"/>
  <c r="F703" i="120"/>
  <c r="H310" i="120"/>
  <c r="N310" i="120" s="1"/>
  <c r="H257" i="120"/>
  <c r="N257" i="120" s="1"/>
  <c r="F650" i="120"/>
  <c r="F773" i="120"/>
  <c r="H380" i="120"/>
  <c r="N380" i="120" s="1"/>
  <c r="H364" i="120"/>
  <c r="N364" i="120" s="1"/>
  <c r="F757" i="120"/>
  <c r="F1180" i="120"/>
  <c r="H787" i="120"/>
  <c r="N787" i="120" s="1"/>
  <c r="F723" i="120"/>
  <c r="H253" i="120"/>
  <c r="N253" i="120" s="1"/>
  <c r="F646" i="120"/>
  <c r="F667" i="120"/>
  <c r="H274" i="120"/>
  <c r="N274" i="120" s="1"/>
  <c r="H260" i="120"/>
  <c r="N260" i="120" s="1"/>
  <c r="F653" i="120"/>
  <c r="F1168" i="120"/>
  <c r="H775" i="120"/>
  <c r="N775" i="120" s="1"/>
  <c r="F741" i="120"/>
  <c r="H348" i="120"/>
  <c r="N348" i="120" s="1"/>
  <c r="H289" i="120"/>
  <c r="N289" i="120" s="1"/>
  <c r="F682" i="120"/>
  <c r="F655" i="120"/>
  <c r="H262" i="120"/>
  <c r="N262" i="120" s="1"/>
  <c r="H338" i="120"/>
  <c r="N338" i="120" s="1"/>
  <c r="F731" i="120"/>
  <c r="F725" i="120"/>
  <c r="H332" i="120"/>
  <c r="N332" i="120" s="1"/>
  <c r="F649" i="120"/>
  <c r="F662" i="120"/>
  <c r="H269" i="120"/>
  <c r="N269" i="120" s="1"/>
  <c r="F674" i="120"/>
  <c r="H281" i="120"/>
  <c r="N281" i="120" s="1"/>
  <c r="F720" i="120"/>
  <c r="H327" i="120"/>
  <c r="N327" i="120" s="1"/>
  <c r="F767" i="120"/>
  <c r="H374" i="120"/>
  <c r="N374" i="120" s="1"/>
  <c r="F1152" i="120"/>
  <c r="H759" i="120"/>
  <c r="N759" i="120" s="1"/>
  <c r="F705" i="120"/>
  <c r="F783" i="120"/>
  <c r="H390" i="120"/>
  <c r="N390" i="120" s="1"/>
  <c r="F1183" i="120"/>
  <c r="H790" i="120"/>
  <c r="N790" i="120" s="1"/>
  <c r="H743" i="120"/>
  <c r="N743" i="120" s="1"/>
  <c r="F1136" i="120"/>
  <c r="H369" i="120"/>
  <c r="N369" i="120" s="1"/>
  <c r="F762" i="120"/>
  <c r="F1036" i="120"/>
  <c r="H643" i="120"/>
  <c r="N643" i="120" s="1"/>
  <c r="F664" i="120"/>
  <c r="H271" i="120"/>
  <c r="N271" i="120" s="1"/>
  <c r="H301" i="120"/>
  <c r="N301" i="120" s="1"/>
  <c r="F694" i="120"/>
  <c r="H239" i="120"/>
  <c r="N239" i="120" s="1"/>
  <c r="F632" i="120"/>
  <c r="F629" i="120"/>
  <c r="H236" i="120"/>
  <c r="N236" i="120" s="1"/>
  <c r="H291" i="120"/>
  <c r="N291" i="120" s="1"/>
  <c r="F684" i="120"/>
  <c r="H375" i="120"/>
  <c r="N375" i="120" s="1"/>
  <c r="F768" i="120"/>
  <c r="F776" i="120"/>
  <c r="H383" i="120"/>
  <c r="N383" i="120" s="1"/>
  <c r="H306" i="120"/>
  <c r="N306" i="120" s="1"/>
  <c r="F699" i="120"/>
  <c r="H377" i="120"/>
  <c r="N377" i="120" s="1"/>
  <c r="F770" i="120"/>
  <c r="F673" i="120"/>
  <c r="F1050" i="120"/>
  <c r="H657" i="120"/>
  <c r="N657" i="120" s="1"/>
  <c r="F774" i="120"/>
  <c r="H381" i="120"/>
  <c r="N381" i="120" s="1"/>
  <c r="F672" i="120"/>
  <c r="H279" i="120"/>
  <c r="N279" i="120" s="1"/>
  <c r="F697" i="120"/>
  <c r="H353" i="120"/>
  <c r="N353" i="120" s="1"/>
  <c r="F746" i="120"/>
  <c r="F654" i="120"/>
  <c r="H261" i="120"/>
  <c r="N261" i="120" s="1"/>
  <c r="F729" i="120"/>
  <c r="H317" i="120"/>
  <c r="N317" i="120" s="1"/>
  <c r="F710" i="120"/>
  <c r="F748" i="120"/>
  <c r="H355" i="120"/>
  <c r="N355" i="120" s="1"/>
  <c r="F772" i="120"/>
  <c r="H379" i="120"/>
  <c r="N379" i="120" s="1"/>
  <c r="F630" i="120"/>
  <c r="H237" i="120"/>
  <c r="N237" i="120" s="1"/>
  <c r="F1162" i="120"/>
  <c r="H769" i="120"/>
  <c r="N769" i="120" s="1"/>
  <c r="F1154" i="120"/>
  <c r="H761" i="120"/>
  <c r="N761" i="120" s="1"/>
  <c r="F693" i="120"/>
  <c r="F777" i="120"/>
  <c r="H325" i="120"/>
  <c r="N325" i="120" s="1"/>
  <c r="F718" i="120"/>
  <c r="H308" i="120"/>
  <c r="N308" i="120" s="1"/>
  <c r="F701" i="120"/>
  <c r="H275" i="120"/>
  <c r="N275" i="120" s="1"/>
  <c r="F668" i="120"/>
  <c r="F713" i="120"/>
  <c r="F686" i="120"/>
  <c r="H293" i="120"/>
  <c r="N293" i="120" s="1"/>
  <c r="F735" i="120"/>
  <c r="H342" i="120"/>
  <c r="N342" i="120" s="1"/>
  <c r="H333" i="120"/>
  <c r="N333" i="120" s="1"/>
  <c r="F726" i="120"/>
  <c r="H385" i="120"/>
  <c r="N385" i="120" s="1"/>
  <c r="F778" i="120"/>
  <c r="F739" i="120"/>
  <c r="H292" i="120"/>
  <c r="N292" i="120" s="1"/>
  <c r="F685" i="120"/>
  <c r="F706" i="120"/>
  <c r="H313" i="120"/>
  <c r="N313" i="120" s="1"/>
  <c r="F742" i="120"/>
  <c r="H349" i="120"/>
  <c r="N349" i="120" s="1"/>
  <c r="H1162" i="120" l="1"/>
  <c r="N1162" i="120" s="1"/>
  <c r="F1555" i="120"/>
  <c r="F1132" i="120"/>
  <c r="H739" i="120"/>
  <c r="N739" i="120" s="1"/>
  <c r="F1122" i="120"/>
  <c r="H729" i="120"/>
  <c r="N729" i="120" s="1"/>
  <c r="H699" i="120"/>
  <c r="N699" i="120" s="1"/>
  <c r="F1092" i="120"/>
  <c r="F1545" i="120"/>
  <c r="H1152" i="120"/>
  <c r="N1152" i="120" s="1"/>
  <c r="F1055" i="120"/>
  <c r="H662" i="120"/>
  <c r="N662" i="120" s="1"/>
  <c r="F1151" i="120"/>
  <c r="H758" i="120"/>
  <c r="N758" i="120" s="1"/>
  <c r="H711" i="120"/>
  <c r="N711" i="120" s="1"/>
  <c r="F1104" i="120"/>
  <c r="H717" i="120"/>
  <c r="N717" i="120" s="1"/>
  <c r="F1110" i="120"/>
  <c r="F1164" i="120"/>
  <c r="H771" i="120"/>
  <c r="N771" i="120" s="1"/>
  <c r="H1082" i="120"/>
  <c r="N1082" i="120" s="1"/>
  <c r="F1475" i="120"/>
  <c r="H1036" i="120"/>
  <c r="N1036" i="120" s="1"/>
  <c r="F1429" i="120"/>
  <c r="F1042" i="120"/>
  <c r="H649" i="120"/>
  <c r="N649" i="120" s="1"/>
  <c r="H667" i="120"/>
  <c r="N667" i="120" s="1"/>
  <c r="F1060" i="120"/>
  <c r="F1112" i="120"/>
  <c r="H719" i="120"/>
  <c r="N719" i="120" s="1"/>
  <c r="F1069" i="120"/>
  <c r="H676" i="120"/>
  <c r="N676" i="120" s="1"/>
  <c r="F1115" i="120"/>
  <c r="H722" i="120"/>
  <c r="N722" i="120" s="1"/>
  <c r="F1044" i="120"/>
  <c r="H651" i="120"/>
  <c r="N651" i="120" s="1"/>
  <c r="H763" i="120"/>
  <c r="N763" i="120" s="1"/>
  <c r="F1156" i="120"/>
  <c r="F1107" i="120"/>
  <c r="H714" i="120"/>
  <c r="N714" i="120" s="1"/>
  <c r="H1088" i="120"/>
  <c r="N1088" i="120" s="1"/>
  <c r="F1481" i="120"/>
  <c r="H777" i="120"/>
  <c r="N777" i="120" s="1"/>
  <c r="F1170" i="120"/>
  <c r="F1039" i="120"/>
  <c r="H646" i="120"/>
  <c r="N646" i="120" s="1"/>
  <c r="H670" i="120"/>
  <c r="N670" i="120" s="1"/>
  <c r="F1063" i="120"/>
  <c r="F1467" i="120"/>
  <c r="H1074" i="120"/>
  <c r="N1074" i="120" s="1"/>
  <c r="F1033" i="120"/>
  <c r="H640" i="120"/>
  <c r="N640" i="120" s="1"/>
  <c r="F1037" i="120"/>
  <c r="H644" i="120"/>
  <c r="N644" i="120" s="1"/>
  <c r="F1054" i="120"/>
  <c r="H661" i="120"/>
  <c r="N661" i="120" s="1"/>
  <c r="F1053" i="120"/>
  <c r="H660" i="120"/>
  <c r="N660" i="120" s="1"/>
  <c r="H753" i="120"/>
  <c r="N753" i="120" s="1"/>
  <c r="F1146" i="120"/>
  <c r="F1143" i="120"/>
  <c r="H750" i="120"/>
  <c r="N750" i="120" s="1"/>
  <c r="F1135" i="120"/>
  <c r="H742" i="120"/>
  <c r="N742" i="120" s="1"/>
  <c r="H726" i="120"/>
  <c r="N726" i="120" s="1"/>
  <c r="F1119" i="120"/>
  <c r="F1086" i="120"/>
  <c r="H693" i="120"/>
  <c r="N693" i="120" s="1"/>
  <c r="F1169" i="120"/>
  <c r="H776" i="120"/>
  <c r="N776" i="120" s="1"/>
  <c r="H741" i="120"/>
  <c r="N741" i="120" s="1"/>
  <c r="F1134" i="120"/>
  <c r="F1523" i="120"/>
  <c r="H1130" i="120"/>
  <c r="N1130" i="120" s="1"/>
  <c r="F1100" i="120"/>
  <c r="H707" i="120"/>
  <c r="N707" i="120" s="1"/>
  <c r="H690" i="120"/>
  <c r="N690" i="120" s="1"/>
  <c r="F1083" i="120"/>
  <c r="F1117" i="120"/>
  <c r="H724" i="120"/>
  <c r="N724" i="120" s="1"/>
  <c r="H701" i="120"/>
  <c r="N701" i="120" s="1"/>
  <c r="F1094" i="120"/>
  <c r="F1139" i="120"/>
  <c r="H746" i="120"/>
  <c r="N746" i="120" s="1"/>
  <c r="H1050" i="120"/>
  <c r="N1050" i="120" s="1"/>
  <c r="F1443" i="120"/>
  <c r="H768" i="120"/>
  <c r="N768" i="120" s="1"/>
  <c r="F1161" i="120"/>
  <c r="F1087" i="120"/>
  <c r="H694" i="120"/>
  <c r="N694" i="120" s="1"/>
  <c r="F1113" i="120"/>
  <c r="H720" i="120"/>
  <c r="N720" i="120" s="1"/>
  <c r="F1124" i="120"/>
  <c r="H731" i="120"/>
  <c r="N731" i="120" s="1"/>
  <c r="F1116" i="120"/>
  <c r="H723" i="120"/>
  <c r="N723" i="120" s="1"/>
  <c r="F1096" i="120"/>
  <c r="H703" i="120"/>
  <c r="N703" i="120" s="1"/>
  <c r="H645" i="120"/>
  <c r="N645" i="120" s="1"/>
  <c r="F1038" i="120"/>
  <c r="F1097" i="120"/>
  <c r="H704" i="120"/>
  <c r="N704" i="120" s="1"/>
  <c r="H641" i="120"/>
  <c r="N641" i="120" s="1"/>
  <c r="F1034" i="120"/>
  <c r="H708" i="120"/>
  <c r="N708" i="120" s="1"/>
  <c r="F1101" i="120"/>
  <c r="F1133" i="120"/>
  <c r="H740" i="120"/>
  <c r="N740" i="120" s="1"/>
  <c r="F1142" i="120"/>
  <c r="H749" i="120"/>
  <c r="N749" i="120" s="1"/>
  <c r="H652" i="120"/>
  <c r="N652" i="120" s="1"/>
  <c r="F1045" i="120"/>
  <c r="H766" i="120"/>
  <c r="N766" i="120" s="1"/>
  <c r="F1159" i="120"/>
  <c r="F1089" i="120"/>
  <c r="H696" i="120"/>
  <c r="N696" i="120" s="1"/>
  <c r="F1041" i="120"/>
  <c r="H648" i="120"/>
  <c r="N648" i="120" s="1"/>
  <c r="H637" i="120"/>
  <c r="N637" i="120" s="1"/>
  <c r="F1030" i="120"/>
  <c r="F1145" i="120"/>
  <c r="H752" i="120"/>
  <c r="N752" i="120" s="1"/>
  <c r="D515" i="120"/>
  <c r="D908" i="120" s="1"/>
  <c r="D1301" i="120" s="1"/>
  <c r="D1694" i="120" s="1"/>
  <c r="D2087" i="120" s="1"/>
  <c r="D2480" i="120" s="1"/>
  <c r="D2873" i="120" s="1"/>
  <c r="F1079" i="120"/>
  <c r="H686" i="120"/>
  <c r="N686" i="120" s="1"/>
  <c r="F1065" i="120"/>
  <c r="H672" i="120"/>
  <c r="N672" i="120" s="1"/>
  <c r="H1136" i="120"/>
  <c r="N1136" i="120" s="1"/>
  <c r="F1529" i="120"/>
  <c r="H682" i="120"/>
  <c r="N682" i="120" s="1"/>
  <c r="F1075" i="120"/>
  <c r="F1027" i="120"/>
  <c r="H634" i="120"/>
  <c r="N634" i="120" s="1"/>
  <c r="F1175" i="120"/>
  <c r="H782" i="120"/>
  <c r="N782" i="120" s="1"/>
  <c r="F1109" i="120"/>
  <c r="H716" i="120"/>
  <c r="N716" i="120" s="1"/>
  <c r="H692" i="120"/>
  <c r="N692" i="120" s="1"/>
  <c r="F1085" i="120"/>
  <c r="H665" i="120"/>
  <c r="N665" i="120" s="1"/>
  <c r="F1058" i="120"/>
  <c r="F1171" i="120"/>
  <c r="H778" i="120"/>
  <c r="N778" i="120" s="1"/>
  <c r="F1106" i="120"/>
  <c r="H713" i="120"/>
  <c r="N713" i="120" s="1"/>
  <c r="F1023" i="120"/>
  <c r="H630" i="120"/>
  <c r="N630" i="120" s="1"/>
  <c r="H654" i="120"/>
  <c r="N654" i="120" s="1"/>
  <c r="F1047" i="120"/>
  <c r="F1022" i="120"/>
  <c r="H629" i="120"/>
  <c r="N629" i="120" s="1"/>
  <c r="F1157" i="120"/>
  <c r="H764" i="120"/>
  <c r="N764" i="120" s="1"/>
  <c r="F1032" i="120"/>
  <c r="H639" i="120"/>
  <c r="N639" i="120" s="1"/>
  <c r="H712" i="120"/>
  <c r="N712" i="120" s="1"/>
  <c r="F1105" i="120"/>
  <c r="H734" i="120"/>
  <c r="N734" i="120" s="1"/>
  <c r="F1127" i="120"/>
  <c r="H680" i="120"/>
  <c r="N680" i="120" s="1"/>
  <c r="F1073" i="120"/>
  <c r="F1061" i="120"/>
  <c r="H668" i="120"/>
  <c r="N668" i="120" s="1"/>
  <c r="F1167" i="120"/>
  <c r="H774" i="120"/>
  <c r="N774" i="120" s="1"/>
  <c r="F1025" i="120"/>
  <c r="H632" i="120"/>
  <c r="N632" i="120" s="1"/>
  <c r="H762" i="120"/>
  <c r="N762" i="120" s="1"/>
  <c r="F1155" i="120"/>
  <c r="F1160" i="120"/>
  <c r="H767" i="120"/>
  <c r="N767" i="120" s="1"/>
  <c r="H687" i="120"/>
  <c r="N687" i="120" s="1"/>
  <c r="F1080" i="120"/>
  <c r="H636" i="120"/>
  <c r="N636" i="120" s="1"/>
  <c r="F1029" i="120"/>
  <c r="H721" i="120"/>
  <c r="N721" i="120" s="1"/>
  <c r="F1114" i="120"/>
  <c r="H1138" i="120"/>
  <c r="N1138" i="120" s="1"/>
  <c r="F1531" i="120"/>
  <c r="H691" i="120"/>
  <c r="N691" i="120" s="1"/>
  <c r="F1084" i="120"/>
  <c r="H733" i="120"/>
  <c r="N733" i="120" s="1"/>
  <c r="F1126" i="120"/>
  <c r="H756" i="120"/>
  <c r="N756" i="120" s="1"/>
  <c r="F1149" i="120"/>
  <c r="H786" i="120"/>
  <c r="N786" i="120" s="1"/>
  <c r="F1179" i="120"/>
  <c r="F1165" i="120"/>
  <c r="H772" i="120"/>
  <c r="N772" i="120" s="1"/>
  <c r="H1183" i="120"/>
  <c r="N1183" i="120" s="1"/>
  <c r="F1576" i="120"/>
  <c r="H725" i="120"/>
  <c r="N725" i="120" s="1"/>
  <c r="F1118" i="120"/>
  <c r="F1150" i="120"/>
  <c r="H757" i="120"/>
  <c r="N757" i="120" s="1"/>
  <c r="F1093" i="120"/>
  <c r="H700" i="120"/>
  <c r="N700" i="120" s="1"/>
  <c r="H780" i="120"/>
  <c r="N780" i="120" s="1"/>
  <c r="F1173" i="120"/>
  <c r="F1024" i="120"/>
  <c r="H631" i="120"/>
  <c r="N631" i="120" s="1"/>
  <c r="F1068" i="120"/>
  <c r="H675" i="120"/>
  <c r="N675" i="120" s="1"/>
  <c r="H751" i="120"/>
  <c r="N751" i="120" s="1"/>
  <c r="F1144" i="120"/>
  <c r="H760" i="120"/>
  <c r="N760" i="120" s="1"/>
  <c r="F1153" i="120"/>
  <c r="F1099" i="120"/>
  <c r="H706" i="120"/>
  <c r="N706" i="120" s="1"/>
  <c r="F1547" i="120"/>
  <c r="H1154" i="120"/>
  <c r="N1154" i="120" s="1"/>
  <c r="F1141" i="120"/>
  <c r="H748" i="120"/>
  <c r="N748" i="120" s="1"/>
  <c r="F1066" i="120"/>
  <c r="H673" i="120"/>
  <c r="N673" i="120" s="1"/>
  <c r="H783" i="120"/>
  <c r="N783" i="120" s="1"/>
  <c r="F1176" i="120"/>
  <c r="H1168" i="120"/>
  <c r="N1168" i="120" s="1"/>
  <c r="F1561" i="120"/>
  <c r="F1120" i="120"/>
  <c r="H727" i="120"/>
  <c r="N727" i="120" s="1"/>
  <c r="F1129" i="120"/>
  <c r="H736" i="120"/>
  <c r="N736" i="120" s="1"/>
  <c r="F1140" i="120"/>
  <c r="H747" i="120"/>
  <c r="N747" i="120" s="1"/>
  <c r="F1137" i="120"/>
  <c r="H744" i="120"/>
  <c r="N744" i="120" s="1"/>
  <c r="F1148" i="120"/>
  <c r="H755" i="120"/>
  <c r="N755" i="120" s="1"/>
  <c r="H677" i="120"/>
  <c r="N677" i="120" s="1"/>
  <c r="F1070" i="120"/>
  <c r="F1178" i="120"/>
  <c r="H785" i="120"/>
  <c r="N785" i="120" s="1"/>
  <c r="H1040" i="120"/>
  <c r="N1040" i="120" s="1"/>
  <c r="F1433" i="120"/>
  <c r="F1445" i="120"/>
  <c r="H1052" i="120"/>
  <c r="N1052" i="120" s="1"/>
  <c r="F1181" i="120"/>
  <c r="H788" i="120"/>
  <c r="N788" i="120" s="1"/>
  <c r="H663" i="120"/>
  <c r="N663" i="120" s="1"/>
  <c r="F1056" i="120"/>
  <c r="H656" i="120"/>
  <c r="N656" i="120" s="1"/>
  <c r="F1049" i="120"/>
  <c r="H666" i="120"/>
  <c r="N666" i="120" s="1"/>
  <c r="F1059" i="120"/>
  <c r="H688" i="120"/>
  <c r="N688" i="120" s="1"/>
  <c r="F1081" i="120"/>
  <c r="H702" i="120"/>
  <c r="N702" i="120" s="1"/>
  <c r="F1095" i="120"/>
  <c r="H728" i="120"/>
  <c r="N728" i="120" s="1"/>
  <c r="F1121" i="120"/>
  <c r="F1035" i="120"/>
  <c r="H642" i="120"/>
  <c r="N642" i="120" s="1"/>
  <c r="F1078" i="120"/>
  <c r="H685" i="120"/>
  <c r="N685" i="120" s="1"/>
  <c r="F1128" i="120"/>
  <c r="H735" i="120"/>
  <c r="N735" i="120" s="1"/>
  <c r="F1111" i="120"/>
  <c r="H718" i="120"/>
  <c r="N718" i="120" s="1"/>
  <c r="H710" i="120"/>
  <c r="N710" i="120" s="1"/>
  <c r="F1103" i="120"/>
  <c r="F1090" i="120"/>
  <c r="H697" i="120"/>
  <c r="N697" i="120" s="1"/>
  <c r="H770" i="120"/>
  <c r="N770" i="120" s="1"/>
  <c r="F1163" i="120"/>
  <c r="H684" i="120"/>
  <c r="N684" i="120" s="1"/>
  <c r="F1077" i="120"/>
  <c r="F1098" i="120"/>
  <c r="H705" i="120"/>
  <c r="N705" i="120" s="1"/>
  <c r="F1067" i="120"/>
  <c r="H674" i="120"/>
  <c r="N674" i="120" s="1"/>
  <c r="F1046" i="120"/>
  <c r="H653" i="120"/>
  <c r="N653" i="120" s="1"/>
  <c r="F1573" i="120"/>
  <c r="H1180" i="120"/>
  <c r="N1180" i="120" s="1"/>
  <c r="F1166" i="120"/>
  <c r="H773" i="120"/>
  <c r="N773" i="120" s="1"/>
  <c r="F1182" i="120"/>
  <c r="H789" i="120"/>
  <c r="N789" i="120" s="1"/>
  <c r="F1419" i="120"/>
  <c r="H1026" i="120"/>
  <c r="N1026" i="120" s="1"/>
  <c r="F1172" i="120"/>
  <c r="H779" i="120"/>
  <c r="N779" i="120" s="1"/>
  <c r="F1051" i="120"/>
  <c r="H658" i="120"/>
  <c r="N658" i="120" s="1"/>
  <c r="H678" i="120"/>
  <c r="N678" i="120" s="1"/>
  <c r="F1071" i="120"/>
  <c r="F1158" i="120"/>
  <c r="H765" i="120"/>
  <c r="N765" i="120" s="1"/>
  <c r="F1076" i="120"/>
  <c r="H683" i="120"/>
  <c r="N683" i="120" s="1"/>
  <c r="F1031" i="120"/>
  <c r="H638" i="120"/>
  <c r="N638" i="120" s="1"/>
  <c r="F1102" i="120"/>
  <c r="H709" i="120"/>
  <c r="N709" i="120" s="1"/>
  <c r="F1123" i="120"/>
  <c r="H730" i="120"/>
  <c r="N730" i="120" s="1"/>
  <c r="F1057" i="120"/>
  <c r="H664" i="120"/>
  <c r="N664" i="120" s="1"/>
  <c r="H655" i="120"/>
  <c r="N655" i="120" s="1"/>
  <c r="F1048" i="120"/>
  <c r="F1043" i="120"/>
  <c r="H650" i="120"/>
  <c r="N650" i="120" s="1"/>
  <c r="F1062" i="120"/>
  <c r="H669" i="120"/>
  <c r="N669" i="120" s="1"/>
  <c r="H698" i="120"/>
  <c r="N698" i="120" s="1"/>
  <c r="F1091" i="120"/>
  <c r="F1028" i="120"/>
  <c r="H635" i="120"/>
  <c r="N635" i="120" s="1"/>
  <c r="H671" i="120"/>
  <c r="N671" i="120" s="1"/>
  <c r="F1064" i="120"/>
  <c r="F1177" i="120"/>
  <c r="H784" i="120"/>
  <c r="N784" i="120" s="1"/>
  <c r="F1125" i="120"/>
  <c r="H732" i="120"/>
  <c r="N732" i="120" s="1"/>
  <c r="F1131" i="120"/>
  <c r="H738" i="120"/>
  <c r="N738" i="120" s="1"/>
  <c r="H715" i="120"/>
  <c r="N715" i="120" s="1"/>
  <c r="F1108" i="120"/>
  <c r="H781" i="120"/>
  <c r="N781" i="120" s="1"/>
  <c r="F1174" i="120"/>
  <c r="H1072" i="120"/>
  <c r="N1072" i="120" s="1"/>
  <c r="F1465" i="120"/>
  <c r="H754" i="120"/>
  <c r="N754" i="120" s="1"/>
  <c r="F1147" i="120"/>
  <c r="D516" i="120"/>
  <c r="D909" i="120" s="1"/>
  <c r="D1302" i="120" s="1"/>
  <c r="D1695" i="120" s="1"/>
  <c r="D2088" i="120" s="1"/>
  <c r="D2481" i="120" s="1"/>
  <c r="D2874" i="120" s="1"/>
  <c r="H1043" i="120" l="1"/>
  <c r="N1043" i="120" s="1"/>
  <c r="F1436" i="120"/>
  <c r="H1114" i="120"/>
  <c r="N1114" i="120" s="1"/>
  <c r="F1507" i="120"/>
  <c r="H1023" i="120"/>
  <c r="N1023" i="120" s="1"/>
  <c r="F1416" i="120"/>
  <c r="F1526" i="120"/>
  <c r="H1133" i="120"/>
  <c r="N1133" i="120" s="1"/>
  <c r="H1124" i="120"/>
  <c r="N1124" i="120" s="1"/>
  <c r="F1517" i="120"/>
  <c r="F1527" i="120"/>
  <c r="H1134" i="120"/>
  <c r="N1134" i="120" s="1"/>
  <c r="H1033" i="120"/>
  <c r="N1033" i="120" s="1"/>
  <c r="F1426" i="120"/>
  <c r="F1868" i="120"/>
  <c r="H1475" i="120"/>
  <c r="N1475" i="120" s="1"/>
  <c r="H1048" i="120"/>
  <c r="N1048" i="120" s="1"/>
  <c r="F1441" i="120"/>
  <c r="H1056" i="120"/>
  <c r="N1056" i="120" s="1"/>
  <c r="F1449" i="120"/>
  <c r="F1569" i="120"/>
  <c r="H1176" i="120"/>
  <c r="N1176" i="120" s="1"/>
  <c r="H1159" i="120"/>
  <c r="N1159" i="120" s="1"/>
  <c r="F1552" i="120"/>
  <c r="F1424" i="120"/>
  <c r="H1031" i="120"/>
  <c r="N1031" i="120" s="1"/>
  <c r="H1067" i="120"/>
  <c r="N1067" i="120" s="1"/>
  <c r="F1460" i="120"/>
  <c r="F1571" i="120"/>
  <c r="H1178" i="120"/>
  <c r="N1178" i="120" s="1"/>
  <c r="F1492" i="120"/>
  <c r="H1099" i="120"/>
  <c r="N1099" i="120" s="1"/>
  <c r="F1499" i="120"/>
  <c r="H1106" i="120"/>
  <c r="N1106" i="120" s="1"/>
  <c r="F1538" i="120"/>
  <c r="H1145" i="120"/>
  <c r="N1145" i="120" s="1"/>
  <c r="H1113" i="120"/>
  <c r="N1113" i="120" s="1"/>
  <c r="F1506" i="120"/>
  <c r="H1481" i="120"/>
  <c r="N1481" i="120" s="1"/>
  <c r="F1874" i="120"/>
  <c r="F1423" i="120"/>
  <c r="H1030" i="120"/>
  <c r="N1030" i="120" s="1"/>
  <c r="F1494" i="120"/>
  <c r="H1101" i="120"/>
  <c r="N1101" i="120" s="1"/>
  <c r="F1562" i="120"/>
  <c r="H1169" i="120"/>
  <c r="N1169" i="120" s="1"/>
  <c r="F1435" i="120"/>
  <c r="H1042" i="120"/>
  <c r="N1042" i="120" s="1"/>
  <c r="F1450" i="120"/>
  <c r="H1057" i="120"/>
  <c r="N1057" i="120" s="1"/>
  <c r="H1076" i="120"/>
  <c r="N1076" i="120" s="1"/>
  <c r="F1469" i="120"/>
  <c r="H1051" i="120"/>
  <c r="N1051" i="120" s="1"/>
  <c r="F1444" i="120"/>
  <c r="H1166" i="120"/>
  <c r="N1166" i="120" s="1"/>
  <c r="F1559" i="120"/>
  <c r="H1098" i="120"/>
  <c r="N1098" i="120" s="1"/>
  <c r="F1491" i="120"/>
  <c r="H1090" i="120"/>
  <c r="N1090" i="120" s="1"/>
  <c r="F1483" i="120"/>
  <c r="F1471" i="120"/>
  <c r="H1078" i="120"/>
  <c r="N1078" i="120" s="1"/>
  <c r="F1574" i="120"/>
  <c r="H1181" i="120"/>
  <c r="N1181" i="120" s="1"/>
  <c r="H1129" i="120"/>
  <c r="N1129" i="120" s="1"/>
  <c r="F1522" i="120"/>
  <c r="H1066" i="120"/>
  <c r="N1066" i="120" s="1"/>
  <c r="F1459" i="120"/>
  <c r="F1486" i="120"/>
  <c r="H1093" i="120"/>
  <c r="N1093" i="120" s="1"/>
  <c r="F1558" i="120"/>
  <c r="H1165" i="120"/>
  <c r="N1165" i="120" s="1"/>
  <c r="H1084" i="120"/>
  <c r="N1084" i="120" s="1"/>
  <c r="F1477" i="120"/>
  <c r="H1080" i="120"/>
  <c r="N1080" i="120" s="1"/>
  <c r="F1473" i="120"/>
  <c r="H1022" i="120"/>
  <c r="N1022" i="120" s="1"/>
  <c r="F1415" i="120"/>
  <c r="H1171" i="120"/>
  <c r="N1171" i="120" s="1"/>
  <c r="F1564" i="120"/>
  <c r="H1175" i="120"/>
  <c r="N1175" i="120" s="1"/>
  <c r="F1568" i="120"/>
  <c r="H1065" i="120"/>
  <c r="N1065" i="120" s="1"/>
  <c r="F1458" i="120"/>
  <c r="H1096" i="120"/>
  <c r="N1096" i="120" s="1"/>
  <c r="F1489" i="120"/>
  <c r="F1532" i="120"/>
  <c r="H1139" i="120"/>
  <c r="N1139" i="120" s="1"/>
  <c r="H1054" i="120"/>
  <c r="N1054" i="120" s="1"/>
  <c r="F1447" i="120"/>
  <c r="H1429" i="120"/>
  <c r="N1429" i="120" s="1"/>
  <c r="F1822" i="120"/>
  <c r="H1110" i="120"/>
  <c r="N1110" i="120" s="1"/>
  <c r="F1503" i="120"/>
  <c r="H1158" i="120"/>
  <c r="N1158" i="120" s="1"/>
  <c r="F1551" i="120"/>
  <c r="F1504" i="120"/>
  <c r="H1111" i="120"/>
  <c r="N1111" i="120" s="1"/>
  <c r="H1547" i="120"/>
  <c r="N1547" i="120" s="1"/>
  <c r="F1940" i="120"/>
  <c r="H1149" i="120"/>
  <c r="N1149" i="120" s="1"/>
  <c r="F1542" i="120"/>
  <c r="H1089" i="120"/>
  <c r="N1089" i="120" s="1"/>
  <c r="F1482" i="120"/>
  <c r="F1490" i="120"/>
  <c r="H1097" i="120"/>
  <c r="N1097" i="120" s="1"/>
  <c r="H1465" i="120"/>
  <c r="N1465" i="120" s="1"/>
  <c r="F1858" i="120"/>
  <c r="F1556" i="120"/>
  <c r="H1163" i="120"/>
  <c r="N1163" i="120" s="1"/>
  <c r="H1144" i="120"/>
  <c r="N1144" i="120" s="1"/>
  <c r="F1537" i="120"/>
  <c r="H1038" i="120"/>
  <c r="N1038" i="120" s="1"/>
  <c r="F1431" i="120"/>
  <c r="H1122" i="120"/>
  <c r="N1122" i="120" s="1"/>
  <c r="F1515" i="120"/>
  <c r="H1028" i="120"/>
  <c r="N1028" i="120" s="1"/>
  <c r="F1421" i="120"/>
  <c r="H1128" i="120"/>
  <c r="N1128" i="120" s="1"/>
  <c r="F1521" i="120"/>
  <c r="F1476" i="120"/>
  <c r="H1083" i="120"/>
  <c r="N1083" i="120" s="1"/>
  <c r="H1467" i="120"/>
  <c r="N1467" i="120" s="1"/>
  <c r="F1860" i="120"/>
  <c r="F1567" i="120"/>
  <c r="H1174" i="120"/>
  <c r="N1174" i="120" s="1"/>
  <c r="F1474" i="120"/>
  <c r="H1081" i="120"/>
  <c r="N1081" i="120" s="1"/>
  <c r="F1463" i="120"/>
  <c r="H1070" i="120"/>
  <c r="N1070" i="120" s="1"/>
  <c r="F1418" i="120"/>
  <c r="H1025" i="120"/>
  <c r="N1025" i="120" s="1"/>
  <c r="H1127" i="120"/>
  <c r="N1127" i="120" s="1"/>
  <c r="F1520" i="120"/>
  <c r="H1045" i="120"/>
  <c r="N1045" i="120" s="1"/>
  <c r="F1438" i="120"/>
  <c r="H1063" i="120"/>
  <c r="N1063" i="120" s="1"/>
  <c r="F1456" i="120"/>
  <c r="F1508" i="120"/>
  <c r="H1115" i="120"/>
  <c r="N1115" i="120" s="1"/>
  <c r="F1557" i="120"/>
  <c r="H1164" i="120"/>
  <c r="N1164" i="120" s="1"/>
  <c r="F1448" i="120"/>
  <c r="H1055" i="120"/>
  <c r="N1055" i="120" s="1"/>
  <c r="F1501" i="120"/>
  <c r="H1108" i="120"/>
  <c r="N1108" i="120" s="1"/>
  <c r="F1496" i="120"/>
  <c r="H1103" i="120"/>
  <c r="N1103" i="120" s="1"/>
  <c r="F1452" i="120"/>
  <c r="H1059" i="120"/>
  <c r="N1059" i="120" s="1"/>
  <c r="F1560" i="120"/>
  <c r="H1167" i="120"/>
  <c r="N1167" i="120" s="1"/>
  <c r="F1498" i="120"/>
  <c r="H1105" i="120"/>
  <c r="N1105" i="120" s="1"/>
  <c r="F1440" i="120"/>
  <c r="H1047" i="120"/>
  <c r="N1047" i="120" s="1"/>
  <c r="H1058" i="120"/>
  <c r="N1058" i="120" s="1"/>
  <c r="F1451" i="120"/>
  <c r="H1034" i="120"/>
  <c r="N1034" i="120" s="1"/>
  <c r="F1427" i="120"/>
  <c r="H1094" i="120"/>
  <c r="N1094" i="120" s="1"/>
  <c r="F1487" i="120"/>
  <c r="F1493" i="120"/>
  <c r="H1100" i="120"/>
  <c r="N1100" i="120" s="1"/>
  <c r="H1086" i="120"/>
  <c r="N1086" i="120" s="1"/>
  <c r="F1479" i="120"/>
  <c r="H1107" i="120"/>
  <c r="N1107" i="120" s="1"/>
  <c r="F1500" i="120"/>
  <c r="H1069" i="120"/>
  <c r="N1069" i="120" s="1"/>
  <c r="F1462" i="120"/>
  <c r="H1545" i="120"/>
  <c r="N1545" i="120" s="1"/>
  <c r="F1938" i="120"/>
  <c r="F1525" i="120"/>
  <c r="H1132" i="120"/>
  <c r="N1132" i="120" s="1"/>
  <c r="H1419" i="120"/>
  <c r="N1419" i="120" s="1"/>
  <c r="F1812" i="120"/>
  <c r="F1530" i="120"/>
  <c r="H1137" i="120"/>
  <c r="N1137" i="120" s="1"/>
  <c r="H1024" i="120"/>
  <c r="N1024" i="120" s="1"/>
  <c r="F1417" i="120"/>
  <c r="H1032" i="120"/>
  <c r="N1032" i="120" s="1"/>
  <c r="F1425" i="120"/>
  <c r="H1060" i="120"/>
  <c r="N1060" i="120" s="1"/>
  <c r="F1453" i="120"/>
  <c r="F1488" i="120"/>
  <c r="H1095" i="120"/>
  <c r="N1095" i="120" s="1"/>
  <c r="H1576" i="120"/>
  <c r="N1576" i="120" s="1"/>
  <c r="F1969" i="120"/>
  <c r="H1073" i="120"/>
  <c r="N1073" i="120" s="1"/>
  <c r="F1466" i="120"/>
  <c r="F1528" i="120"/>
  <c r="H1135" i="120"/>
  <c r="N1135" i="120" s="1"/>
  <c r="F1533" i="120"/>
  <c r="H1140" i="120"/>
  <c r="N1140" i="120" s="1"/>
  <c r="F1422" i="120"/>
  <c r="H1029" i="120"/>
  <c r="N1029" i="120" s="1"/>
  <c r="H1157" i="120"/>
  <c r="N1157" i="120" s="1"/>
  <c r="F1550" i="120"/>
  <c r="F1502" i="120"/>
  <c r="H1109" i="120"/>
  <c r="N1109" i="120" s="1"/>
  <c r="H1091" i="120"/>
  <c r="N1091" i="120" s="1"/>
  <c r="F1484" i="120"/>
  <c r="H1177" i="120"/>
  <c r="N1177" i="120" s="1"/>
  <c r="F1570" i="120"/>
  <c r="H1062" i="120"/>
  <c r="N1062" i="120" s="1"/>
  <c r="F1455" i="120"/>
  <c r="F1516" i="120"/>
  <c r="H1123" i="120"/>
  <c r="N1123" i="120" s="1"/>
  <c r="H1172" i="120"/>
  <c r="N1172" i="120" s="1"/>
  <c r="F1565" i="120"/>
  <c r="H1573" i="120"/>
  <c r="N1573" i="120" s="1"/>
  <c r="F1966" i="120"/>
  <c r="F1428" i="120"/>
  <c r="H1035" i="120"/>
  <c r="N1035" i="120" s="1"/>
  <c r="H1445" i="120"/>
  <c r="N1445" i="120" s="1"/>
  <c r="F1838" i="120"/>
  <c r="F1541" i="120"/>
  <c r="H1148" i="120"/>
  <c r="N1148" i="120" s="1"/>
  <c r="F1513" i="120"/>
  <c r="H1120" i="120"/>
  <c r="N1120" i="120" s="1"/>
  <c r="H1141" i="120"/>
  <c r="N1141" i="120" s="1"/>
  <c r="F1534" i="120"/>
  <c r="H1068" i="120"/>
  <c r="N1068" i="120" s="1"/>
  <c r="F1461" i="120"/>
  <c r="H1150" i="120"/>
  <c r="N1150" i="120" s="1"/>
  <c r="F1543" i="120"/>
  <c r="F1572" i="120"/>
  <c r="H1179" i="120"/>
  <c r="N1179" i="120" s="1"/>
  <c r="H1531" i="120"/>
  <c r="N1531" i="120" s="1"/>
  <c r="F1924" i="120"/>
  <c r="H1027" i="120"/>
  <c r="N1027" i="120" s="1"/>
  <c r="F1420" i="120"/>
  <c r="F1472" i="120"/>
  <c r="H1079" i="120"/>
  <c r="N1079" i="120" s="1"/>
  <c r="F1434" i="120"/>
  <c r="H1041" i="120"/>
  <c r="N1041" i="120" s="1"/>
  <c r="H1142" i="120"/>
  <c r="N1142" i="120" s="1"/>
  <c r="F1535" i="120"/>
  <c r="F1509" i="120"/>
  <c r="H1116" i="120"/>
  <c r="N1116" i="120" s="1"/>
  <c r="H1087" i="120"/>
  <c r="N1087" i="120" s="1"/>
  <c r="F1480" i="120"/>
  <c r="H1119" i="120"/>
  <c r="N1119" i="120" s="1"/>
  <c r="F1512" i="120"/>
  <c r="F1536" i="120"/>
  <c r="H1143" i="120"/>
  <c r="N1143" i="120" s="1"/>
  <c r="H1037" i="120"/>
  <c r="N1037" i="120" s="1"/>
  <c r="F1430" i="120"/>
  <c r="H1039" i="120"/>
  <c r="N1039" i="120" s="1"/>
  <c r="F1432" i="120"/>
  <c r="F1549" i="120"/>
  <c r="H1156" i="120"/>
  <c r="N1156" i="120" s="1"/>
  <c r="H1104" i="120"/>
  <c r="N1104" i="120" s="1"/>
  <c r="F1497" i="120"/>
  <c r="F1485" i="120"/>
  <c r="H1092" i="120"/>
  <c r="N1092" i="120" s="1"/>
  <c r="H1555" i="120"/>
  <c r="N1555" i="120" s="1"/>
  <c r="F1948" i="120"/>
  <c r="H1131" i="120"/>
  <c r="N1131" i="120" s="1"/>
  <c r="F1524" i="120"/>
  <c r="H1102" i="120"/>
  <c r="N1102" i="120" s="1"/>
  <c r="F1495" i="120"/>
  <c r="H1046" i="120"/>
  <c r="N1046" i="120" s="1"/>
  <c r="F1439" i="120"/>
  <c r="F1548" i="120"/>
  <c r="H1155" i="120"/>
  <c r="N1155" i="120" s="1"/>
  <c r="H1071" i="120"/>
  <c r="N1071" i="120" s="1"/>
  <c r="F1464" i="120"/>
  <c r="H1173" i="120"/>
  <c r="N1173" i="120" s="1"/>
  <c r="F1566" i="120"/>
  <c r="F1922" i="120"/>
  <c r="H1529" i="120"/>
  <c r="N1529" i="120" s="1"/>
  <c r="H1443" i="120"/>
  <c r="N1443" i="120" s="1"/>
  <c r="F1836" i="120"/>
  <c r="F1510" i="120"/>
  <c r="H1117" i="120"/>
  <c r="N1117" i="120" s="1"/>
  <c r="F1437" i="120"/>
  <c r="H1044" i="120"/>
  <c r="N1044" i="120" s="1"/>
  <c r="F1544" i="120"/>
  <c r="H1151" i="120"/>
  <c r="N1151" i="120" s="1"/>
  <c r="F1518" i="120"/>
  <c r="H1125" i="120"/>
  <c r="N1125" i="120" s="1"/>
  <c r="H1182" i="120"/>
  <c r="N1182" i="120" s="1"/>
  <c r="F1575" i="120"/>
  <c r="F1519" i="120"/>
  <c r="H1126" i="120"/>
  <c r="N1126" i="120" s="1"/>
  <c r="F1446" i="120"/>
  <c r="H1053" i="120"/>
  <c r="N1053" i="120" s="1"/>
  <c r="E514" i="120"/>
  <c r="E907" i="120" s="1"/>
  <c r="E1300" i="120" s="1"/>
  <c r="E1693" i="120" s="1"/>
  <c r="E2086" i="120" s="1"/>
  <c r="E2479" i="120" s="1"/>
  <c r="E2872" i="120" s="1"/>
  <c r="F1540" i="120"/>
  <c r="H1147" i="120"/>
  <c r="N1147" i="120" s="1"/>
  <c r="H1064" i="120"/>
  <c r="N1064" i="120" s="1"/>
  <c r="F1457" i="120"/>
  <c r="F1470" i="120"/>
  <c r="H1077" i="120"/>
  <c r="N1077" i="120" s="1"/>
  <c r="H1121" i="120"/>
  <c r="N1121" i="120" s="1"/>
  <c r="F1514" i="120"/>
  <c r="H1049" i="120"/>
  <c r="N1049" i="120" s="1"/>
  <c r="F1442" i="120"/>
  <c r="H1433" i="120"/>
  <c r="N1433" i="120" s="1"/>
  <c r="F1826" i="120"/>
  <c r="H1561" i="120"/>
  <c r="N1561" i="120" s="1"/>
  <c r="F1954" i="120"/>
  <c r="H1153" i="120"/>
  <c r="N1153" i="120" s="1"/>
  <c r="F1546" i="120"/>
  <c r="F1511" i="120"/>
  <c r="H1118" i="120"/>
  <c r="N1118" i="120" s="1"/>
  <c r="F1553" i="120"/>
  <c r="H1160" i="120"/>
  <c r="N1160" i="120" s="1"/>
  <c r="F1454" i="120"/>
  <c r="H1061" i="120"/>
  <c r="N1061" i="120" s="1"/>
  <c r="H1085" i="120"/>
  <c r="N1085" i="120" s="1"/>
  <c r="F1478" i="120"/>
  <c r="H1075" i="120"/>
  <c r="N1075" i="120" s="1"/>
  <c r="F1468" i="120"/>
  <c r="H1161" i="120"/>
  <c r="N1161" i="120" s="1"/>
  <c r="F1554" i="120"/>
  <c r="H1523" i="120"/>
  <c r="N1523" i="120" s="1"/>
  <c r="F1916" i="120"/>
  <c r="H1146" i="120"/>
  <c r="N1146" i="120" s="1"/>
  <c r="F1539" i="120"/>
  <c r="H1170" i="120"/>
  <c r="N1170" i="120" s="1"/>
  <c r="F1563" i="120"/>
  <c r="H1112" i="120"/>
  <c r="N1112" i="120" s="1"/>
  <c r="F1505" i="120"/>
  <c r="M398" i="120"/>
  <c r="H1563" i="120" l="1"/>
  <c r="N1563" i="120" s="1"/>
  <c r="F1956" i="120"/>
  <c r="F1850" i="120"/>
  <c r="H1457" i="120"/>
  <c r="N1457" i="120" s="1"/>
  <c r="F1888" i="120"/>
  <c r="H1495" i="120"/>
  <c r="N1495" i="120" s="1"/>
  <c r="H1461" i="120"/>
  <c r="N1461" i="120" s="1"/>
  <c r="F1854" i="120"/>
  <c r="F1958" i="120"/>
  <c r="H1565" i="120"/>
  <c r="N1565" i="120" s="1"/>
  <c r="F1963" i="120"/>
  <c r="H1570" i="120"/>
  <c r="N1570" i="120" s="1"/>
  <c r="F1859" i="120"/>
  <c r="H1466" i="120"/>
  <c r="N1466" i="120" s="1"/>
  <c r="H1425" i="120"/>
  <c r="N1425" i="120" s="1"/>
  <c r="F1818" i="120"/>
  <c r="F1872" i="120"/>
  <c r="H1479" i="120"/>
  <c r="N1479" i="120" s="1"/>
  <c r="F1844" i="120"/>
  <c r="H1451" i="120"/>
  <c r="N1451" i="120" s="1"/>
  <c r="H1448" i="120"/>
  <c r="N1448" i="120" s="1"/>
  <c r="F1841" i="120"/>
  <c r="F1867" i="120"/>
  <c r="H1474" i="120"/>
  <c r="N1474" i="120" s="1"/>
  <c r="F2267" i="120"/>
  <c r="H1874" i="120"/>
  <c r="N1874" i="120" s="1"/>
  <c r="H1552" i="120"/>
  <c r="N1552" i="120" s="1"/>
  <c r="F1945" i="120"/>
  <c r="F1912" i="120"/>
  <c r="H1519" i="120"/>
  <c r="N1519" i="120" s="1"/>
  <c r="F1918" i="120"/>
  <c r="H1525" i="120"/>
  <c r="N1525" i="120" s="1"/>
  <c r="F1814" i="120"/>
  <c r="H1421" i="120"/>
  <c r="N1421" i="120" s="1"/>
  <c r="F1935" i="120"/>
  <c r="H1542" i="120"/>
  <c r="N1542" i="120" s="1"/>
  <c r="F1957" i="120"/>
  <c r="H1564" i="120"/>
  <c r="N1564" i="120" s="1"/>
  <c r="H1522" i="120"/>
  <c r="N1522" i="120" s="1"/>
  <c r="F1915" i="120"/>
  <c r="H1491" i="120"/>
  <c r="N1491" i="120" s="1"/>
  <c r="F1884" i="120"/>
  <c r="H1435" i="120"/>
  <c r="N1435" i="120" s="1"/>
  <c r="F1828" i="120"/>
  <c r="F2261" i="120"/>
  <c r="H1868" i="120"/>
  <c r="N1868" i="120" s="1"/>
  <c r="H1575" i="120"/>
  <c r="N1575" i="120" s="1"/>
  <c r="F1968" i="120"/>
  <c r="F1857" i="120"/>
  <c r="H1464" i="120"/>
  <c r="N1464" i="120" s="1"/>
  <c r="F1928" i="120"/>
  <c r="H1535" i="120"/>
  <c r="N1535" i="120" s="1"/>
  <c r="H1534" i="120"/>
  <c r="N1534" i="120" s="1"/>
  <c r="F1927" i="120"/>
  <c r="H1484" i="120"/>
  <c r="N1484" i="120" s="1"/>
  <c r="F1877" i="120"/>
  <c r="H1417" i="120"/>
  <c r="N1417" i="120" s="1"/>
  <c r="F1810" i="120"/>
  <c r="F2331" i="120"/>
  <c r="H1938" i="120"/>
  <c r="N1938" i="120" s="1"/>
  <c r="F1949" i="120"/>
  <c r="H1556" i="120"/>
  <c r="N1556" i="120" s="1"/>
  <c r="F1951" i="120"/>
  <c r="H1558" i="120"/>
  <c r="N1558" i="120" s="1"/>
  <c r="H1416" i="120"/>
  <c r="N1416" i="120" s="1"/>
  <c r="F1809" i="120"/>
  <c r="H1540" i="120"/>
  <c r="N1540" i="120" s="1"/>
  <c r="F1933" i="120"/>
  <c r="F1821" i="120"/>
  <c r="H1428" i="120"/>
  <c r="N1428" i="120" s="1"/>
  <c r="F1815" i="120"/>
  <c r="H1422" i="120"/>
  <c r="N1422" i="120" s="1"/>
  <c r="F1886" i="120"/>
  <c r="H1493" i="120"/>
  <c r="N1493" i="120" s="1"/>
  <c r="F1889" i="120"/>
  <c r="H1496" i="120"/>
  <c r="N1496" i="120" s="1"/>
  <c r="H1860" i="120"/>
  <c r="N1860" i="120" s="1"/>
  <c r="F2253" i="120"/>
  <c r="F1908" i="120"/>
  <c r="H1515" i="120"/>
  <c r="N1515" i="120" s="1"/>
  <c r="H1940" i="120"/>
  <c r="N1940" i="120" s="1"/>
  <c r="F2333" i="120"/>
  <c r="F1808" i="120"/>
  <c r="H1415" i="120"/>
  <c r="N1415" i="120" s="1"/>
  <c r="H1836" i="120"/>
  <c r="N1836" i="120" s="1"/>
  <c r="F2229" i="120"/>
  <c r="H1487" i="120"/>
  <c r="N1487" i="120" s="1"/>
  <c r="F1880" i="120"/>
  <c r="F1901" i="120"/>
  <c r="H1508" i="120"/>
  <c r="N1508" i="120" s="1"/>
  <c r="H1486" i="120"/>
  <c r="N1486" i="120" s="1"/>
  <c r="F1879" i="120"/>
  <c r="F1942" i="120"/>
  <c r="H1549" i="120"/>
  <c r="N1549" i="120" s="1"/>
  <c r="H1434" i="120"/>
  <c r="N1434" i="120" s="1"/>
  <c r="F1827" i="120"/>
  <c r="F1926" i="120"/>
  <c r="H1533" i="120"/>
  <c r="N1533" i="120" s="1"/>
  <c r="H1530" i="120"/>
  <c r="N1530" i="120" s="1"/>
  <c r="F1923" i="120"/>
  <c r="F1894" i="120"/>
  <c r="H1501" i="120"/>
  <c r="N1501" i="120" s="1"/>
  <c r="F1849" i="120"/>
  <c r="H1456" i="120"/>
  <c r="N1456" i="120" s="1"/>
  <c r="F1824" i="120"/>
  <c r="H1431" i="120"/>
  <c r="N1431" i="120" s="1"/>
  <c r="H1447" i="120"/>
  <c r="N1447" i="120" s="1"/>
  <c r="F1840" i="120"/>
  <c r="F1851" i="120"/>
  <c r="H1458" i="120"/>
  <c r="N1458" i="120" s="1"/>
  <c r="H1473" i="120"/>
  <c r="N1473" i="120" s="1"/>
  <c r="F1866" i="120"/>
  <c r="H1444" i="120"/>
  <c r="N1444" i="120" s="1"/>
  <c r="F1837" i="120"/>
  <c r="F1887" i="120"/>
  <c r="H1494" i="120"/>
  <c r="N1494" i="120" s="1"/>
  <c r="F1931" i="120"/>
  <c r="H1538" i="120"/>
  <c r="N1538" i="120" s="1"/>
  <c r="H1527" i="120"/>
  <c r="N1527" i="120" s="1"/>
  <c r="F1920" i="120"/>
  <c r="H1554" i="120"/>
  <c r="N1554" i="120" s="1"/>
  <c r="F1947" i="120"/>
  <c r="F2219" i="120"/>
  <c r="H1826" i="120"/>
  <c r="N1826" i="120" s="1"/>
  <c r="F1959" i="120"/>
  <c r="H1566" i="120"/>
  <c r="N1566" i="120" s="1"/>
  <c r="F1890" i="120"/>
  <c r="H1497" i="120"/>
  <c r="N1497" i="120" s="1"/>
  <c r="F1823" i="120"/>
  <c r="H1430" i="120"/>
  <c r="N1430" i="120" s="1"/>
  <c r="F1813" i="120"/>
  <c r="H1420" i="120"/>
  <c r="N1420" i="120" s="1"/>
  <c r="H1838" i="120"/>
  <c r="N1838" i="120" s="1"/>
  <c r="F2231" i="120"/>
  <c r="H1550" i="120"/>
  <c r="N1550" i="120" s="1"/>
  <c r="F1943" i="120"/>
  <c r="H1532" i="120"/>
  <c r="N1532" i="120" s="1"/>
  <c r="F1925" i="120"/>
  <c r="F1946" i="120"/>
  <c r="H1553" i="120"/>
  <c r="N1553" i="120" s="1"/>
  <c r="H1437" i="120"/>
  <c r="N1437" i="120" s="1"/>
  <c r="F1830" i="120"/>
  <c r="F1902" i="120"/>
  <c r="H1509" i="120"/>
  <c r="N1509" i="120" s="1"/>
  <c r="F1845" i="120"/>
  <c r="H1452" i="120"/>
  <c r="N1452" i="120" s="1"/>
  <c r="F1913" i="120"/>
  <c r="H1520" i="120"/>
  <c r="N1520" i="120" s="1"/>
  <c r="H1503" i="120"/>
  <c r="N1503" i="120" s="1"/>
  <c r="F1896" i="120"/>
  <c r="F1885" i="120"/>
  <c r="H1492" i="120"/>
  <c r="N1492" i="120" s="1"/>
  <c r="F1919" i="120"/>
  <c r="H1526" i="120"/>
  <c r="N1526" i="120" s="1"/>
  <c r="H1539" i="120"/>
  <c r="N1539" i="120" s="1"/>
  <c r="F1932" i="120"/>
  <c r="F1861" i="120"/>
  <c r="H1468" i="120"/>
  <c r="N1468" i="120" s="1"/>
  <c r="H1442" i="120"/>
  <c r="N1442" i="120" s="1"/>
  <c r="F1835" i="120"/>
  <c r="F1917" i="120"/>
  <c r="H1524" i="120"/>
  <c r="N1524" i="120" s="1"/>
  <c r="H1924" i="120"/>
  <c r="N1924" i="120" s="1"/>
  <c r="F2317" i="120"/>
  <c r="F2362" i="120"/>
  <c r="H1969" i="120"/>
  <c r="N1969" i="120" s="1"/>
  <c r="F1950" i="120"/>
  <c r="H1557" i="120"/>
  <c r="N1557" i="120" s="1"/>
  <c r="H1567" i="120"/>
  <c r="N1567" i="120" s="1"/>
  <c r="F1960" i="120"/>
  <c r="H1450" i="120"/>
  <c r="N1450" i="120" s="1"/>
  <c r="F1843" i="120"/>
  <c r="H1506" i="120"/>
  <c r="N1506" i="120" s="1"/>
  <c r="F1899" i="120"/>
  <c r="F1819" i="120"/>
  <c r="H1426" i="120"/>
  <c r="N1426" i="120" s="1"/>
  <c r="F1904" i="120"/>
  <c r="H1511" i="120"/>
  <c r="N1511" i="120" s="1"/>
  <c r="H1536" i="120"/>
  <c r="N1536" i="120" s="1"/>
  <c r="F1929" i="120"/>
  <c r="H1440" i="120"/>
  <c r="N1440" i="120" s="1"/>
  <c r="F1833" i="120"/>
  <c r="F2251" i="120"/>
  <c r="H1858" i="120"/>
  <c r="N1858" i="120" s="1"/>
  <c r="F2215" i="120"/>
  <c r="H1822" i="120"/>
  <c r="N1822" i="120" s="1"/>
  <c r="F1882" i="120"/>
  <c r="H1489" i="120"/>
  <c r="N1489" i="120" s="1"/>
  <c r="H1559" i="120"/>
  <c r="N1559" i="120" s="1"/>
  <c r="F1952" i="120"/>
  <c r="H1562" i="120"/>
  <c r="N1562" i="120" s="1"/>
  <c r="F1955" i="120"/>
  <c r="F1964" i="120"/>
  <c r="H1571" i="120"/>
  <c r="N1571" i="120" s="1"/>
  <c r="F2309" i="120"/>
  <c r="H1916" i="120"/>
  <c r="N1916" i="120" s="1"/>
  <c r="F1871" i="120"/>
  <c r="H1478" i="120"/>
  <c r="N1478" i="120" s="1"/>
  <c r="H1546" i="120"/>
  <c r="N1546" i="120" s="1"/>
  <c r="F1939" i="120"/>
  <c r="F1907" i="120"/>
  <c r="H1514" i="120"/>
  <c r="N1514" i="120" s="1"/>
  <c r="F2341" i="120"/>
  <c r="H1948" i="120"/>
  <c r="N1948" i="120" s="1"/>
  <c r="H1512" i="120"/>
  <c r="N1512" i="120" s="1"/>
  <c r="F1905" i="120"/>
  <c r="F1855" i="120"/>
  <c r="H1462" i="120"/>
  <c r="N1462" i="120" s="1"/>
  <c r="F1811" i="120"/>
  <c r="H1418" i="120"/>
  <c r="N1418" i="120" s="1"/>
  <c r="F1967" i="120"/>
  <c r="H1574" i="120"/>
  <c r="N1574" i="120" s="1"/>
  <c r="F1853" i="120"/>
  <c r="H1460" i="120"/>
  <c r="N1460" i="120" s="1"/>
  <c r="F1842" i="120"/>
  <c r="H1449" i="120"/>
  <c r="N1449" i="120" s="1"/>
  <c r="F1900" i="120"/>
  <c r="H1507" i="120"/>
  <c r="N1507" i="120" s="1"/>
  <c r="F1911" i="120"/>
  <c r="H1518" i="120"/>
  <c r="N1518" i="120" s="1"/>
  <c r="H1548" i="120"/>
  <c r="N1548" i="120" s="1"/>
  <c r="F1941" i="120"/>
  <c r="F1965" i="120"/>
  <c r="H1572" i="120"/>
  <c r="N1572" i="120" s="1"/>
  <c r="H1513" i="120"/>
  <c r="N1513" i="120" s="1"/>
  <c r="F1906" i="120"/>
  <c r="H1516" i="120"/>
  <c r="N1516" i="120" s="1"/>
  <c r="F1909" i="120"/>
  <c r="H1488" i="120"/>
  <c r="N1488" i="120" s="1"/>
  <c r="F1881" i="120"/>
  <c r="F1891" i="120"/>
  <c r="H1498" i="120"/>
  <c r="N1498" i="120" s="1"/>
  <c r="H1505" i="120"/>
  <c r="N1505" i="120" s="1"/>
  <c r="F1898" i="120"/>
  <c r="F2347" i="120"/>
  <c r="H1954" i="120"/>
  <c r="N1954" i="120" s="1"/>
  <c r="H1439" i="120"/>
  <c r="N1439" i="120" s="1"/>
  <c r="F1832" i="120"/>
  <c r="F1825" i="120"/>
  <c r="H1432" i="120"/>
  <c r="N1432" i="120" s="1"/>
  <c r="F1873" i="120"/>
  <c r="H1480" i="120"/>
  <c r="N1480" i="120" s="1"/>
  <c r="H1543" i="120"/>
  <c r="N1543" i="120" s="1"/>
  <c r="F1936" i="120"/>
  <c r="H1966" i="120"/>
  <c r="N1966" i="120" s="1"/>
  <c r="F2359" i="120"/>
  <c r="H1455" i="120"/>
  <c r="N1455" i="120" s="1"/>
  <c r="F1848" i="120"/>
  <c r="H1453" i="120"/>
  <c r="N1453" i="120" s="1"/>
  <c r="F1846" i="120"/>
  <c r="F2205" i="120"/>
  <c r="H1812" i="120"/>
  <c r="N1812" i="120" s="1"/>
  <c r="F1893" i="120"/>
  <c r="H1500" i="120"/>
  <c r="N1500" i="120" s="1"/>
  <c r="H1427" i="120"/>
  <c r="N1427" i="120" s="1"/>
  <c r="F1820" i="120"/>
  <c r="F1856" i="120"/>
  <c r="H1463" i="120"/>
  <c r="N1463" i="120" s="1"/>
  <c r="H1476" i="120"/>
  <c r="N1476" i="120" s="1"/>
  <c r="F1869" i="120"/>
  <c r="F1883" i="120"/>
  <c r="H1490" i="120"/>
  <c r="N1490" i="120" s="1"/>
  <c r="F1897" i="120"/>
  <c r="H1504" i="120"/>
  <c r="N1504" i="120" s="1"/>
  <c r="F1864" i="120"/>
  <c r="H1471" i="120"/>
  <c r="N1471" i="120" s="1"/>
  <c r="H1441" i="120"/>
  <c r="N1441" i="120" s="1"/>
  <c r="F1834" i="120"/>
  <c r="F1910" i="120"/>
  <c r="H1517" i="120"/>
  <c r="N1517" i="120" s="1"/>
  <c r="H1436" i="120"/>
  <c r="N1436" i="120" s="1"/>
  <c r="F1829" i="120"/>
  <c r="F1903" i="120"/>
  <c r="H1510" i="120"/>
  <c r="N1510" i="120" s="1"/>
  <c r="H1569" i="120"/>
  <c r="N1569" i="120" s="1"/>
  <c r="F1962" i="120"/>
  <c r="H1454" i="120"/>
  <c r="N1454" i="120" s="1"/>
  <c r="F1847" i="120"/>
  <c r="F1863" i="120"/>
  <c r="H1470" i="120"/>
  <c r="N1470" i="120" s="1"/>
  <c r="F1839" i="120"/>
  <c r="H1446" i="120"/>
  <c r="N1446" i="120" s="1"/>
  <c r="H1544" i="120"/>
  <c r="N1544" i="120" s="1"/>
  <c r="F1937" i="120"/>
  <c r="F2315" i="120"/>
  <c r="H1922" i="120"/>
  <c r="N1922" i="120" s="1"/>
  <c r="H1485" i="120"/>
  <c r="N1485" i="120" s="1"/>
  <c r="F1878" i="120"/>
  <c r="H1472" i="120"/>
  <c r="N1472" i="120" s="1"/>
  <c r="F1865" i="120"/>
  <c r="H1541" i="120"/>
  <c r="N1541" i="120" s="1"/>
  <c r="F1934" i="120"/>
  <c r="H1502" i="120"/>
  <c r="N1502" i="120" s="1"/>
  <c r="F1895" i="120"/>
  <c r="H1528" i="120"/>
  <c r="N1528" i="120" s="1"/>
  <c r="F1921" i="120"/>
  <c r="F1953" i="120"/>
  <c r="H1560" i="120"/>
  <c r="N1560" i="120" s="1"/>
  <c r="F1831" i="120"/>
  <c r="H1438" i="120"/>
  <c r="N1438" i="120" s="1"/>
  <c r="H1521" i="120"/>
  <c r="N1521" i="120" s="1"/>
  <c r="F1914" i="120"/>
  <c r="H1537" i="120"/>
  <c r="N1537" i="120" s="1"/>
  <c r="F1930" i="120"/>
  <c r="F1875" i="120"/>
  <c r="H1482" i="120"/>
  <c r="N1482" i="120" s="1"/>
  <c r="H1551" i="120"/>
  <c r="N1551" i="120" s="1"/>
  <c r="F1944" i="120"/>
  <c r="H1568" i="120"/>
  <c r="N1568" i="120" s="1"/>
  <c r="F1961" i="120"/>
  <c r="H1477" i="120"/>
  <c r="N1477" i="120" s="1"/>
  <c r="F1870" i="120"/>
  <c r="H1459" i="120"/>
  <c r="N1459" i="120" s="1"/>
  <c r="F1852" i="120"/>
  <c r="H1483" i="120"/>
  <c r="N1483" i="120" s="1"/>
  <c r="F1876" i="120"/>
  <c r="H1469" i="120"/>
  <c r="N1469" i="120" s="1"/>
  <c r="F1862" i="120"/>
  <c r="H1423" i="120"/>
  <c r="N1423" i="120" s="1"/>
  <c r="F1816" i="120"/>
  <c r="H1499" i="120"/>
  <c r="N1499" i="120" s="1"/>
  <c r="F1892" i="120"/>
  <c r="F1817" i="120"/>
  <c r="H1424" i="120"/>
  <c r="N1424" i="120" s="1"/>
  <c r="C498" i="120"/>
  <c r="C891" i="120" s="1"/>
  <c r="C1284" i="120" s="1"/>
  <c r="C1677" i="120" s="1"/>
  <c r="C2070" i="120" s="1"/>
  <c r="C2463" i="120" s="1"/>
  <c r="C2856" i="120" s="1"/>
  <c r="F2291" i="120" l="1"/>
  <c r="H1898" i="120"/>
  <c r="N1898" i="120" s="1"/>
  <c r="H1833" i="120"/>
  <c r="N1833" i="120" s="1"/>
  <c r="F2226" i="120"/>
  <c r="F2318" i="120"/>
  <c r="H1925" i="120"/>
  <c r="N1925" i="120" s="1"/>
  <c r="F2272" i="120"/>
  <c r="H1879" i="120"/>
  <c r="N1879" i="120" s="1"/>
  <c r="F2646" i="120"/>
  <c r="H2253" i="120"/>
  <c r="N2253" i="120" s="1"/>
  <c r="F2270" i="120"/>
  <c r="H1877" i="120"/>
  <c r="N1877" i="120" s="1"/>
  <c r="F2308" i="120"/>
  <c r="H1915" i="120"/>
  <c r="N1915" i="120" s="1"/>
  <c r="F2211" i="120"/>
  <c r="H1818" i="120"/>
  <c r="N1818" i="120" s="1"/>
  <c r="H1961" i="120"/>
  <c r="N1961" i="120" s="1"/>
  <c r="F2354" i="120"/>
  <c r="F2240" i="120"/>
  <c r="H1847" i="120"/>
  <c r="N1847" i="120" s="1"/>
  <c r="F2304" i="120"/>
  <c r="H1911" i="120"/>
  <c r="N1911" i="120" s="1"/>
  <c r="F2319" i="120"/>
  <c r="H1926" i="120"/>
  <c r="N1926" i="120" s="1"/>
  <c r="H1867" i="120"/>
  <c r="N1867" i="120" s="1"/>
  <c r="F2260" i="120"/>
  <c r="F2752" i="120"/>
  <c r="H2359" i="120"/>
  <c r="N2359" i="120" s="1"/>
  <c r="H1829" i="120"/>
  <c r="N1829" i="120" s="1"/>
  <c r="F2222" i="120"/>
  <c r="H1820" i="120"/>
  <c r="N1820" i="120" s="1"/>
  <c r="F2213" i="120"/>
  <c r="F2302" i="120"/>
  <c r="H1909" i="120"/>
  <c r="N1909" i="120" s="1"/>
  <c r="F2345" i="120"/>
  <c r="H1952" i="120"/>
  <c r="N1952" i="120" s="1"/>
  <c r="F2292" i="120"/>
  <c r="H1899" i="120"/>
  <c r="N1899" i="120" s="1"/>
  <c r="F2622" i="120"/>
  <c r="H2229" i="120"/>
  <c r="N2229" i="120" s="1"/>
  <c r="F2361" i="120"/>
  <c r="H1968" i="120"/>
  <c r="N1968" i="120" s="1"/>
  <c r="F2247" i="120"/>
  <c r="H1854" i="120"/>
  <c r="N1854" i="120" s="1"/>
  <c r="H1862" i="120"/>
  <c r="N1862" i="120" s="1"/>
  <c r="F2255" i="120"/>
  <c r="F2290" i="120"/>
  <c r="H1897" i="120"/>
  <c r="N1897" i="120" s="1"/>
  <c r="F2702" i="120"/>
  <c r="H2309" i="120"/>
  <c r="N2309" i="120" s="1"/>
  <c r="H1917" i="120"/>
  <c r="N1917" i="120" s="1"/>
  <c r="F2310" i="120"/>
  <c r="F2311" i="120"/>
  <c r="H1918" i="120"/>
  <c r="N1918" i="120" s="1"/>
  <c r="H1943" i="120"/>
  <c r="N1943" i="120" s="1"/>
  <c r="F2336" i="120"/>
  <c r="H1866" i="120"/>
  <c r="N1866" i="120" s="1"/>
  <c r="F2259" i="120"/>
  <c r="H1927" i="120"/>
  <c r="N1927" i="120" s="1"/>
  <c r="F2320" i="120"/>
  <c r="H1876" i="120"/>
  <c r="N1876" i="120" s="1"/>
  <c r="F2269" i="120"/>
  <c r="F2330" i="120"/>
  <c r="H1937" i="120"/>
  <c r="N1937" i="120" s="1"/>
  <c r="H1907" i="120"/>
  <c r="N1907" i="120" s="1"/>
  <c r="F2300" i="120"/>
  <c r="F2295" i="120"/>
  <c r="H1902" i="120"/>
  <c r="N1902" i="120" s="1"/>
  <c r="F2283" i="120"/>
  <c r="H1890" i="120"/>
  <c r="N1890" i="120" s="1"/>
  <c r="H1849" i="120"/>
  <c r="N1849" i="120" s="1"/>
  <c r="F2242" i="120"/>
  <c r="F2282" i="120"/>
  <c r="H1889" i="120"/>
  <c r="N1889" i="120" s="1"/>
  <c r="F2224" i="120"/>
  <c r="H1831" i="120"/>
  <c r="N1831" i="120" s="1"/>
  <c r="F2329" i="120"/>
  <c r="H1936" i="120"/>
  <c r="N1936" i="120" s="1"/>
  <c r="H1939" i="120"/>
  <c r="N1939" i="120" s="1"/>
  <c r="F2332" i="120"/>
  <c r="F2710" i="120"/>
  <c r="H2317" i="120"/>
  <c r="N2317" i="120" s="1"/>
  <c r="H1896" i="120"/>
  <c r="N1896" i="120" s="1"/>
  <c r="F2289" i="120"/>
  <c r="H1830" i="120"/>
  <c r="N1830" i="120" s="1"/>
  <c r="F2223" i="120"/>
  <c r="F2624" i="120"/>
  <c r="H2231" i="120"/>
  <c r="N2231" i="120" s="1"/>
  <c r="F2220" i="120"/>
  <c r="H1827" i="120"/>
  <c r="N1827" i="120" s="1"/>
  <c r="F2273" i="120"/>
  <c r="H1880" i="120"/>
  <c r="N1880" i="120" s="1"/>
  <c r="F2326" i="120"/>
  <c r="H1933" i="120"/>
  <c r="N1933" i="120" s="1"/>
  <c r="H1828" i="120"/>
  <c r="N1828" i="120" s="1"/>
  <c r="F2221" i="120"/>
  <c r="F2338" i="120"/>
  <c r="H1945" i="120"/>
  <c r="N1945" i="120" s="1"/>
  <c r="F2209" i="120"/>
  <c r="H1816" i="120"/>
  <c r="N1816" i="120" s="1"/>
  <c r="H1852" i="120"/>
  <c r="N1852" i="120" s="1"/>
  <c r="F2245" i="120"/>
  <c r="H1865" i="120"/>
  <c r="N1865" i="120" s="1"/>
  <c r="F2258" i="120"/>
  <c r="F2598" i="120"/>
  <c r="H2205" i="120"/>
  <c r="N2205" i="120" s="1"/>
  <c r="F2740" i="120"/>
  <c r="H2347" i="120"/>
  <c r="N2347" i="120" s="1"/>
  <c r="F2284" i="120"/>
  <c r="H1891" i="120"/>
  <c r="N1891" i="120" s="1"/>
  <c r="H1965" i="120"/>
  <c r="N1965" i="120" s="1"/>
  <c r="F2358" i="120"/>
  <c r="F2235" i="120"/>
  <c r="H1842" i="120"/>
  <c r="N1842" i="120" s="1"/>
  <c r="F2248" i="120"/>
  <c r="H1855" i="120"/>
  <c r="N1855" i="120" s="1"/>
  <c r="H2215" i="120"/>
  <c r="N2215" i="120" s="1"/>
  <c r="F2608" i="120"/>
  <c r="F2297" i="120"/>
  <c r="H1904" i="120"/>
  <c r="N1904" i="120" s="1"/>
  <c r="H1861" i="120"/>
  <c r="N1861" i="120" s="1"/>
  <c r="F2254" i="120"/>
  <c r="H1959" i="120"/>
  <c r="N1959" i="120" s="1"/>
  <c r="F2352" i="120"/>
  <c r="F2324" i="120"/>
  <c r="H1931" i="120"/>
  <c r="N1931" i="120" s="1"/>
  <c r="H1851" i="120"/>
  <c r="N1851" i="120" s="1"/>
  <c r="F2244" i="120"/>
  <c r="H1894" i="120"/>
  <c r="N1894" i="120" s="1"/>
  <c r="F2287" i="120"/>
  <c r="F2279" i="120"/>
  <c r="H1886" i="120"/>
  <c r="N1886" i="120" s="1"/>
  <c r="H2331" i="120"/>
  <c r="N2331" i="120" s="1"/>
  <c r="F2724" i="120"/>
  <c r="F2321" i="120"/>
  <c r="H1928" i="120"/>
  <c r="N1928" i="120" s="1"/>
  <c r="F2328" i="120"/>
  <c r="H1935" i="120"/>
  <c r="N1935" i="120" s="1"/>
  <c r="H1844" i="120"/>
  <c r="N1844" i="120" s="1"/>
  <c r="F2237" i="120"/>
  <c r="F2356" i="120"/>
  <c r="H1963" i="120"/>
  <c r="N1963" i="120" s="1"/>
  <c r="F2243" i="120"/>
  <c r="H1850" i="120"/>
  <c r="N1850" i="120" s="1"/>
  <c r="F2230" i="120"/>
  <c r="H1837" i="120"/>
  <c r="N1837" i="120" s="1"/>
  <c r="H1914" i="120"/>
  <c r="N1914" i="120" s="1"/>
  <c r="F2307" i="120"/>
  <c r="F2218" i="120"/>
  <c r="H1825" i="120"/>
  <c r="N1825" i="120" s="1"/>
  <c r="H2341" i="120"/>
  <c r="N2341" i="120" s="1"/>
  <c r="F2734" i="120"/>
  <c r="F2312" i="120"/>
  <c r="H1919" i="120"/>
  <c r="N1919" i="120" s="1"/>
  <c r="F2216" i="120"/>
  <c r="H1823" i="120"/>
  <c r="N1823" i="120" s="1"/>
  <c r="F2217" i="120"/>
  <c r="H1824" i="120"/>
  <c r="N1824" i="120" s="1"/>
  <c r="F2344" i="120"/>
  <c r="H1951" i="120"/>
  <c r="N1951" i="120" s="1"/>
  <c r="F2708" i="120"/>
  <c r="H2315" i="120"/>
  <c r="N2315" i="120" s="1"/>
  <c r="F2322" i="120"/>
  <c r="H1929" i="120"/>
  <c r="N1929" i="120" s="1"/>
  <c r="F2313" i="120"/>
  <c r="H1920" i="120"/>
  <c r="N1920" i="120" s="1"/>
  <c r="F2234" i="120"/>
  <c r="H1841" i="120"/>
  <c r="N1841" i="120" s="1"/>
  <c r="F2337" i="120"/>
  <c r="H1944" i="120"/>
  <c r="N1944" i="120" s="1"/>
  <c r="H1934" i="120"/>
  <c r="N1934" i="120" s="1"/>
  <c r="F2327" i="120"/>
  <c r="F2303" i="120"/>
  <c r="H1910" i="120"/>
  <c r="N1910" i="120" s="1"/>
  <c r="F2286" i="120"/>
  <c r="H1893" i="120"/>
  <c r="N1893" i="120" s="1"/>
  <c r="F2204" i="120"/>
  <c r="H1811" i="120"/>
  <c r="N1811" i="120" s="1"/>
  <c r="H1882" i="120"/>
  <c r="N1882" i="120" s="1"/>
  <c r="F2275" i="120"/>
  <c r="H2362" i="120"/>
  <c r="N2362" i="120" s="1"/>
  <c r="F2755" i="120"/>
  <c r="F2294" i="120"/>
  <c r="H1901" i="120"/>
  <c r="N1901" i="120" s="1"/>
  <c r="F2214" i="120"/>
  <c r="H1821" i="120"/>
  <c r="N1821" i="120" s="1"/>
  <c r="H1957" i="120"/>
  <c r="N1957" i="120" s="1"/>
  <c r="F2350" i="120"/>
  <c r="F2281" i="120"/>
  <c r="H1888" i="120"/>
  <c r="N1888" i="120" s="1"/>
  <c r="F2262" i="120"/>
  <c r="H1869" i="120"/>
  <c r="N1869" i="120" s="1"/>
  <c r="F2726" i="120"/>
  <c r="H2333" i="120"/>
  <c r="N2333" i="120" s="1"/>
  <c r="H1875" i="120"/>
  <c r="N1875" i="120" s="1"/>
  <c r="F2268" i="120"/>
  <c r="F2346" i="120"/>
  <c r="H1953" i="120"/>
  <c r="N1953" i="120" s="1"/>
  <c r="H1839" i="120"/>
  <c r="N1839" i="120" s="1"/>
  <c r="F2232" i="120"/>
  <c r="H1903" i="120"/>
  <c r="N1903" i="120" s="1"/>
  <c r="F2296" i="120"/>
  <c r="H1846" i="120"/>
  <c r="N1846" i="120" s="1"/>
  <c r="F2239" i="120"/>
  <c r="H1881" i="120"/>
  <c r="N1881" i="120" s="1"/>
  <c r="F2274" i="120"/>
  <c r="H1941" i="120"/>
  <c r="N1941" i="120" s="1"/>
  <c r="F2334" i="120"/>
  <c r="F2298" i="120"/>
  <c r="H1905" i="120"/>
  <c r="N1905" i="120" s="1"/>
  <c r="F2353" i="120"/>
  <c r="H1960" i="120"/>
  <c r="N1960" i="120" s="1"/>
  <c r="H1932" i="120"/>
  <c r="N1932" i="120" s="1"/>
  <c r="F2325" i="120"/>
  <c r="F2233" i="120"/>
  <c r="H1840" i="120"/>
  <c r="N1840" i="120" s="1"/>
  <c r="H1923" i="120"/>
  <c r="N1923" i="120" s="1"/>
  <c r="F2316" i="120"/>
  <c r="H1809" i="120"/>
  <c r="N1809" i="120" s="1"/>
  <c r="F2202" i="120"/>
  <c r="F2203" i="120"/>
  <c r="H1810" i="120"/>
  <c r="N1810" i="120" s="1"/>
  <c r="H1884" i="120"/>
  <c r="N1884" i="120" s="1"/>
  <c r="F2277" i="120"/>
  <c r="F2349" i="120"/>
  <c r="H1956" i="120"/>
  <c r="N1956" i="120" s="1"/>
  <c r="H1863" i="120"/>
  <c r="N1863" i="120" s="1"/>
  <c r="F2256" i="120"/>
  <c r="F2241" i="120"/>
  <c r="H1848" i="120"/>
  <c r="N1848" i="120" s="1"/>
  <c r="H1947" i="120"/>
  <c r="N1947" i="120" s="1"/>
  <c r="F2340" i="120"/>
  <c r="H1895" i="120"/>
  <c r="N1895" i="120" s="1"/>
  <c r="F2288" i="120"/>
  <c r="H1967" i="120"/>
  <c r="N1967" i="120" s="1"/>
  <c r="F2360" i="120"/>
  <c r="F2343" i="120"/>
  <c r="H1950" i="120"/>
  <c r="N1950" i="120" s="1"/>
  <c r="F2238" i="120"/>
  <c r="H1845" i="120"/>
  <c r="N1845" i="120" s="1"/>
  <c r="F2210" i="120"/>
  <c r="H1817" i="120"/>
  <c r="N1817" i="120" s="1"/>
  <c r="H1832" i="120"/>
  <c r="N1832" i="120" s="1"/>
  <c r="F2225" i="120"/>
  <c r="F2299" i="120"/>
  <c r="H1906" i="120"/>
  <c r="N1906" i="120" s="1"/>
  <c r="F2236" i="120"/>
  <c r="H1843" i="120"/>
  <c r="N1843" i="120" s="1"/>
  <c r="F2228" i="120"/>
  <c r="H1835" i="120"/>
  <c r="N1835" i="120" s="1"/>
  <c r="F2285" i="120"/>
  <c r="H1892" i="120"/>
  <c r="N1892" i="120" s="1"/>
  <c r="H1962" i="120"/>
  <c r="N1962" i="120" s="1"/>
  <c r="F2355" i="120"/>
  <c r="F2276" i="120"/>
  <c r="H1883" i="120"/>
  <c r="N1883" i="120" s="1"/>
  <c r="H1900" i="120"/>
  <c r="N1900" i="120" s="1"/>
  <c r="F2293" i="120"/>
  <c r="F2357" i="120"/>
  <c r="H1964" i="120"/>
  <c r="N1964" i="120" s="1"/>
  <c r="H1885" i="120"/>
  <c r="N1885" i="120" s="1"/>
  <c r="F2278" i="120"/>
  <c r="H1808" i="120"/>
  <c r="N1808" i="120" s="1"/>
  <c r="F2201" i="120"/>
  <c r="H1949" i="120"/>
  <c r="N1949" i="120" s="1"/>
  <c r="F2342" i="120"/>
  <c r="H2261" i="120"/>
  <c r="N2261" i="120" s="1"/>
  <c r="F2654" i="120"/>
  <c r="F2305" i="120"/>
  <c r="H1912" i="120"/>
  <c r="N1912" i="120" s="1"/>
  <c r="F2252" i="120"/>
  <c r="H1859" i="120"/>
  <c r="N1859" i="120" s="1"/>
  <c r="H1834" i="120"/>
  <c r="N1834" i="120" s="1"/>
  <c r="F2227" i="120"/>
  <c r="F2348" i="120"/>
  <c r="H1955" i="120"/>
  <c r="N1955" i="120" s="1"/>
  <c r="F2263" i="120"/>
  <c r="H1870" i="120"/>
  <c r="N1870" i="120" s="1"/>
  <c r="F2323" i="120"/>
  <c r="H1930" i="120"/>
  <c r="N1930" i="120" s="1"/>
  <c r="F2314" i="120"/>
  <c r="H1921" i="120"/>
  <c r="N1921" i="120" s="1"/>
  <c r="F2271" i="120"/>
  <c r="H1878" i="120"/>
  <c r="N1878" i="120" s="1"/>
  <c r="F2257" i="120"/>
  <c r="H1864" i="120"/>
  <c r="N1864" i="120" s="1"/>
  <c r="F2249" i="120"/>
  <c r="H1856" i="120"/>
  <c r="N1856" i="120" s="1"/>
  <c r="F2266" i="120"/>
  <c r="H1873" i="120"/>
  <c r="N1873" i="120" s="1"/>
  <c r="F2246" i="120"/>
  <c r="H1853" i="120"/>
  <c r="N1853" i="120" s="1"/>
  <c r="H1871" i="120"/>
  <c r="N1871" i="120" s="1"/>
  <c r="F2264" i="120"/>
  <c r="H2251" i="120"/>
  <c r="N2251" i="120" s="1"/>
  <c r="F2644" i="120"/>
  <c r="H1819" i="120"/>
  <c r="N1819" i="120" s="1"/>
  <c r="F2212" i="120"/>
  <c r="F2306" i="120"/>
  <c r="H1913" i="120"/>
  <c r="N1913" i="120" s="1"/>
  <c r="H1946" i="120"/>
  <c r="N1946" i="120" s="1"/>
  <c r="F2339" i="120"/>
  <c r="F2206" i="120"/>
  <c r="H1813" i="120"/>
  <c r="N1813" i="120" s="1"/>
  <c r="H2219" i="120"/>
  <c r="N2219" i="120" s="1"/>
  <c r="F2612" i="120"/>
  <c r="F2280" i="120"/>
  <c r="H1887" i="120"/>
  <c r="N1887" i="120" s="1"/>
  <c r="F2335" i="120"/>
  <c r="H1942" i="120"/>
  <c r="N1942" i="120" s="1"/>
  <c r="F2301" i="120"/>
  <c r="H1908" i="120"/>
  <c r="N1908" i="120" s="1"/>
  <c r="H1815" i="120"/>
  <c r="N1815" i="120" s="1"/>
  <c r="F2208" i="120"/>
  <c r="H1857" i="120"/>
  <c r="N1857" i="120" s="1"/>
  <c r="F2250" i="120"/>
  <c r="H1814" i="120"/>
  <c r="N1814" i="120" s="1"/>
  <c r="F2207" i="120"/>
  <c r="F2660" i="120"/>
  <c r="H2267" i="120"/>
  <c r="N2267" i="120" s="1"/>
  <c r="F2265" i="120"/>
  <c r="H1872" i="120"/>
  <c r="N1872" i="120" s="1"/>
  <c r="F2351" i="120"/>
  <c r="H1958" i="120"/>
  <c r="N1958" i="120" s="1"/>
  <c r="C499" i="120"/>
  <c r="C892" i="120" s="1"/>
  <c r="C1285" i="120" s="1"/>
  <c r="C1678" i="120" s="1"/>
  <c r="C2071" i="120" s="1"/>
  <c r="C2464" i="120" s="1"/>
  <c r="C2857" i="120" s="1"/>
  <c r="G423" i="120"/>
  <c r="G816" i="120" l="1"/>
  <c r="F3117" i="120"/>
  <c r="H3117" i="120" s="1"/>
  <c r="N3117" i="120" s="1"/>
  <c r="H2724" i="120"/>
  <c r="N2724" i="120" s="1"/>
  <c r="F2638" i="120"/>
  <c r="H2245" i="120"/>
  <c r="N2245" i="120" s="1"/>
  <c r="F2642" i="120"/>
  <c r="H2249" i="120"/>
  <c r="N2249" i="120" s="1"/>
  <c r="H2276" i="120"/>
  <c r="N2276" i="120" s="1"/>
  <c r="F2669" i="120"/>
  <c r="F2706" i="120"/>
  <c r="H2313" i="120"/>
  <c r="N2313" i="120" s="1"/>
  <c r="F2749" i="120"/>
  <c r="H2356" i="120"/>
  <c r="N2356" i="120" s="1"/>
  <c r="F2640" i="120"/>
  <c r="H2247" i="120"/>
  <c r="N2247" i="120" s="1"/>
  <c r="F2643" i="120"/>
  <c r="H2250" i="120"/>
  <c r="N2250" i="120" s="1"/>
  <c r="F2718" i="120"/>
  <c r="H2325" i="120"/>
  <c r="N2325" i="120" s="1"/>
  <c r="F2743" i="120"/>
  <c r="H2350" i="120"/>
  <c r="N2350" i="120" s="1"/>
  <c r="F2700" i="120"/>
  <c r="H2307" i="120"/>
  <c r="N2307" i="120" s="1"/>
  <c r="H2352" i="120"/>
  <c r="N2352" i="120" s="1"/>
  <c r="F2745" i="120"/>
  <c r="F2656" i="120"/>
  <c r="H2263" i="120"/>
  <c r="N2263" i="120" s="1"/>
  <c r="H2299" i="120"/>
  <c r="N2299" i="120" s="1"/>
  <c r="F2692" i="120"/>
  <c r="H2241" i="120"/>
  <c r="N2241" i="120" s="1"/>
  <c r="F2634" i="120"/>
  <c r="F2596" i="120"/>
  <c r="H2203" i="120"/>
  <c r="N2203" i="120" s="1"/>
  <c r="H2216" i="120"/>
  <c r="N2216" i="120" s="1"/>
  <c r="F2609" i="120"/>
  <c r="H2279" i="120"/>
  <c r="N2279" i="120" s="1"/>
  <c r="F2672" i="120"/>
  <c r="H2740" i="120"/>
  <c r="N2740" i="120" s="1"/>
  <c r="F3133" i="120"/>
  <c r="H3133" i="120" s="1"/>
  <c r="N3133" i="120" s="1"/>
  <c r="H2283" i="120"/>
  <c r="N2283" i="120" s="1"/>
  <c r="F2676" i="120"/>
  <c r="F2723" i="120"/>
  <c r="H2330" i="120"/>
  <c r="N2330" i="120" s="1"/>
  <c r="F3095" i="120"/>
  <c r="H3095" i="120" s="1"/>
  <c r="N3095" i="120" s="1"/>
  <c r="H2702" i="120"/>
  <c r="N2702" i="120" s="1"/>
  <c r="F2754" i="120"/>
  <c r="H2361" i="120"/>
  <c r="N2361" i="120" s="1"/>
  <c r="H2318" i="120"/>
  <c r="N2318" i="120" s="1"/>
  <c r="F2711" i="120"/>
  <c r="G489" i="120"/>
  <c r="G882" i="120" s="1"/>
  <c r="G1275" i="120" s="1"/>
  <c r="G1668" i="120" s="1"/>
  <c r="G2061" i="120" s="1"/>
  <c r="G2454" i="120" s="1"/>
  <c r="G2847" i="120" s="1"/>
  <c r="G510" i="120"/>
  <c r="G903" i="120" s="1"/>
  <c r="G1296" i="120" s="1"/>
  <c r="G1689" i="120" s="1"/>
  <c r="G2082" i="120" s="1"/>
  <c r="G2475" i="120" s="1"/>
  <c r="G2868" i="120" s="1"/>
  <c r="H2208" i="120"/>
  <c r="N2208" i="120" s="1"/>
  <c r="F2601" i="120"/>
  <c r="H2654" i="120"/>
  <c r="N2654" i="120" s="1"/>
  <c r="F3047" i="120"/>
  <c r="H3047" i="120" s="1"/>
  <c r="N3047" i="120" s="1"/>
  <c r="F2618" i="120"/>
  <c r="H2225" i="120"/>
  <c r="N2225" i="120" s="1"/>
  <c r="H2360" i="120"/>
  <c r="N2360" i="120" s="1"/>
  <c r="F2753" i="120"/>
  <c r="F2649" i="120"/>
  <c r="H2256" i="120"/>
  <c r="N2256" i="120" s="1"/>
  <c r="F2595" i="120"/>
  <c r="H2202" i="120"/>
  <c r="N2202" i="120" s="1"/>
  <c r="F2727" i="120"/>
  <c r="H2334" i="120"/>
  <c r="N2334" i="120" s="1"/>
  <c r="F2689" i="120"/>
  <c r="H2296" i="120"/>
  <c r="N2296" i="120" s="1"/>
  <c r="F2680" i="120"/>
  <c r="H2287" i="120"/>
  <c r="N2287" i="120" s="1"/>
  <c r="F2647" i="120"/>
  <c r="H2254" i="120"/>
  <c r="N2254" i="120" s="1"/>
  <c r="F2662" i="120"/>
  <c r="H2269" i="120"/>
  <c r="N2269" i="120" s="1"/>
  <c r="F2729" i="120"/>
  <c r="H2336" i="120"/>
  <c r="N2336" i="120" s="1"/>
  <c r="F2606" i="120"/>
  <c r="H2213" i="120"/>
  <c r="N2213" i="120" s="1"/>
  <c r="H2260" i="120"/>
  <c r="N2260" i="120" s="1"/>
  <c r="F2653" i="120"/>
  <c r="F2747" i="120"/>
  <c r="H2354" i="120"/>
  <c r="N2354" i="120" s="1"/>
  <c r="F2619" i="120"/>
  <c r="H2226" i="120"/>
  <c r="N2226" i="120" s="1"/>
  <c r="F3148" i="120"/>
  <c r="H3148" i="120" s="1"/>
  <c r="N3148" i="120" s="1"/>
  <c r="H2755" i="120"/>
  <c r="N2755" i="120" s="1"/>
  <c r="F3001" i="120"/>
  <c r="H3001" i="120" s="1"/>
  <c r="N3001" i="120" s="1"/>
  <c r="H2608" i="120"/>
  <c r="N2608" i="120" s="1"/>
  <c r="F2725" i="120"/>
  <c r="H2332" i="120"/>
  <c r="N2332" i="120" s="1"/>
  <c r="G484" i="120"/>
  <c r="G877" i="120" s="1"/>
  <c r="G1270" i="120" s="1"/>
  <c r="G1663" i="120" s="1"/>
  <c r="G2056" i="120" s="1"/>
  <c r="G2449" i="120" s="1"/>
  <c r="G2842" i="120" s="1"/>
  <c r="G495" i="120"/>
  <c r="G888" i="120" s="1"/>
  <c r="G1281" i="120" s="1"/>
  <c r="G1674" i="120" s="1"/>
  <c r="G2067" i="120" s="1"/>
  <c r="G2460" i="120" s="1"/>
  <c r="G2853" i="120" s="1"/>
  <c r="H2236" i="120"/>
  <c r="N2236" i="120" s="1"/>
  <c r="F2629" i="120"/>
  <c r="H2233" i="120"/>
  <c r="N2233" i="120" s="1"/>
  <c r="F2626" i="120"/>
  <c r="F2739" i="120"/>
  <c r="H2346" i="120"/>
  <c r="N2346" i="120" s="1"/>
  <c r="H2303" i="120"/>
  <c r="N2303" i="120" s="1"/>
  <c r="F2696" i="120"/>
  <c r="H2284" i="120"/>
  <c r="N2284" i="120" s="1"/>
  <c r="F2677" i="120"/>
  <c r="H2345" i="120"/>
  <c r="N2345" i="120" s="1"/>
  <c r="F2738" i="120"/>
  <c r="F2697" i="120"/>
  <c r="H2304" i="120"/>
  <c r="N2304" i="120" s="1"/>
  <c r="F2732" i="120"/>
  <c r="H2339" i="120"/>
  <c r="N2339" i="120" s="1"/>
  <c r="F2748" i="120"/>
  <c r="H2355" i="120"/>
  <c r="N2355" i="120" s="1"/>
  <c r="H2268" i="120"/>
  <c r="N2268" i="120" s="1"/>
  <c r="F2661" i="120"/>
  <c r="F2720" i="120"/>
  <c r="H2327" i="120"/>
  <c r="N2327" i="120" s="1"/>
  <c r="F2630" i="120"/>
  <c r="H2237" i="120"/>
  <c r="N2237" i="120" s="1"/>
  <c r="F2682" i="120"/>
  <c r="H2289" i="120"/>
  <c r="N2289" i="120" s="1"/>
  <c r="F2744" i="120"/>
  <c r="H2351" i="120"/>
  <c r="N2351" i="120" s="1"/>
  <c r="F2650" i="120"/>
  <c r="H2257" i="120"/>
  <c r="N2257" i="120" s="1"/>
  <c r="F2698" i="120"/>
  <c r="H2305" i="120"/>
  <c r="N2305" i="120" s="1"/>
  <c r="F2736" i="120"/>
  <c r="H2343" i="120"/>
  <c r="N2343" i="120" s="1"/>
  <c r="F2691" i="120"/>
  <c r="H2298" i="120"/>
  <c r="N2298" i="120" s="1"/>
  <c r="F2715" i="120"/>
  <c r="H2322" i="120"/>
  <c r="N2322" i="120" s="1"/>
  <c r="F2641" i="120"/>
  <c r="H2248" i="120"/>
  <c r="N2248" i="120" s="1"/>
  <c r="F2602" i="120"/>
  <c r="H2209" i="120"/>
  <c r="N2209" i="120" s="1"/>
  <c r="F2666" i="120"/>
  <c r="H2273" i="120"/>
  <c r="N2273" i="120" s="1"/>
  <c r="H2329" i="120"/>
  <c r="N2329" i="120" s="1"/>
  <c r="F2722" i="120"/>
  <c r="H2302" i="120"/>
  <c r="N2302" i="120" s="1"/>
  <c r="F2695" i="120"/>
  <c r="H2270" i="120"/>
  <c r="N2270" i="120" s="1"/>
  <c r="F2663" i="120"/>
  <c r="G440" i="120"/>
  <c r="G833" i="120" s="1"/>
  <c r="G1226" i="120" s="1"/>
  <c r="G1619" i="120" s="1"/>
  <c r="G2012" i="120" s="1"/>
  <c r="G2405" i="120" s="1"/>
  <c r="G2798" i="120" s="1"/>
  <c r="F2658" i="120"/>
  <c r="H2265" i="120"/>
  <c r="N2265" i="120" s="1"/>
  <c r="H2280" i="120"/>
  <c r="N2280" i="120" s="1"/>
  <c r="F2673" i="120"/>
  <c r="F2699" i="120"/>
  <c r="H2306" i="120"/>
  <c r="N2306" i="120" s="1"/>
  <c r="F2639" i="120"/>
  <c r="H2246" i="120"/>
  <c r="N2246" i="120" s="1"/>
  <c r="F2664" i="120"/>
  <c r="H2271" i="120"/>
  <c r="N2271" i="120" s="1"/>
  <c r="F2741" i="120"/>
  <c r="H2348" i="120"/>
  <c r="N2348" i="120" s="1"/>
  <c r="F2750" i="120"/>
  <c r="H2357" i="120"/>
  <c r="N2357" i="120" s="1"/>
  <c r="F2678" i="120"/>
  <c r="H2285" i="120"/>
  <c r="N2285" i="120" s="1"/>
  <c r="F3119" i="120"/>
  <c r="H3119" i="120" s="1"/>
  <c r="N3119" i="120" s="1"/>
  <c r="H2726" i="120"/>
  <c r="N2726" i="120" s="1"/>
  <c r="H2214" i="120"/>
  <c r="N2214" i="120" s="1"/>
  <c r="F2607" i="120"/>
  <c r="H2204" i="120"/>
  <c r="N2204" i="120" s="1"/>
  <c r="F2597" i="120"/>
  <c r="F2730" i="120"/>
  <c r="H2337" i="120"/>
  <c r="N2337" i="120" s="1"/>
  <c r="F3101" i="120"/>
  <c r="H3101" i="120" s="1"/>
  <c r="N3101" i="120" s="1"/>
  <c r="H2708" i="120"/>
  <c r="N2708" i="120" s="1"/>
  <c r="H2312" i="120"/>
  <c r="N2312" i="120" s="1"/>
  <c r="F2705" i="120"/>
  <c r="F2623" i="120"/>
  <c r="H2230" i="120"/>
  <c r="N2230" i="120" s="1"/>
  <c r="F2721" i="120"/>
  <c r="H2328" i="120"/>
  <c r="N2328" i="120" s="1"/>
  <c r="H2235" i="120"/>
  <c r="N2235" i="120" s="1"/>
  <c r="F2628" i="120"/>
  <c r="H2598" i="120"/>
  <c r="N2598" i="120" s="1"/>
  <c r="F2991" i="120"/>
  <c r="H2991" i="120" s="1"/>
  <c r="N2991" i="120" s="1"/>
  <c r="H2338" i="120"/>
  <c r="N2338" i="120" s="1"/>
  <c r="F2731" i="120"/>
  <c r="F2613" i="120"/>
  <c r="H2220" i="120"/>
  <c r="N2220" i="120" s="1"/>
  <c r="F3103" i="120"/>
  <c r="H3103" i="120" s="1"/>
  <c r="N3103" i="120" s="1"/>
  <c r="H2710" i="120"/>
  <c r="N2710" i="120" s="1"/>
  <c r="F2617" i="120"/>
  <c r="H2224" i="120"/>
  <c r="N2224" i="120" s="1"/>
  <c r="F2688" i="120"/>
  <c r="H2295" i="120"/>
  <c r="N2295" i="120" s="1"/>
  <c r="H2290" i="120"/>
  <c r="N2290" i="120" s="1"/>
  <c r="F2683" i="120"/>
  <c r="H2622" i="120"/>
  <c r="N2622" i="120" s="1"/>
  <c r="F3015" i="120"/>
  <c r="H3015" i="120" s="1"/>
  <c r="N3015" i="120" s="1"/>
  <c r="G492" i="120"/>
  <c r="G885" i="120" s="1"/>
  <c r="G1278" i="120" s="1"/>
  <c r="G1671" i="120" s="1"/>
  <c r="G2064" i="120" s="1"/>
  <c r="G2457" i="120" s="1"/>
  <c r="G2850" i="120" s="1"/>
  <c r="H2207" i="120"/>
  <c r="N2207" i="120" s="1"/>
  <c r="F2600" i="120"/>
  <c r="F3037" i="120"/>
  <c r="H3037" i="120" s="1"/>
  <c r="N3037" i="120" s="1"/>
  <c r="H2644" i="120"/>
  <c r="N2644" i="120" s="1"/>
  <c r="H2277" i="120"/>
  <c r="N2277" i="120" s="1"/>
  <c r="F2670" i="120"/>
  <c r="F2616" i="120"/>
  <c r="H2223" i="120"/>
  <c r="N2223" i="120" s="1"/>
  <c r="H2206" i="120"/>
  <c r="N2206" i="120" s="1"/>
  <c r="F2599" i="120"/>
  <c r="F2716" i="120"/>
  <c r="H2323" i="120"/>
  <c r="N2323" i="120" s="1"/>
  <c r="H2238" i="120"/>
  <c r="N2238" i="120" s="1"/>
  <c r="F2631" i="120"/>
  <c r="H2217" i="120"/>
  <c r="N2217" i="120" s="1"/>
  <c r="F2610" i="120"/>
  <c r="H2324" i="120"/>
  <c r="N2324" i="120" s="1"/>
  <c r="F2717" i="120"/>
  <c r="F2701" i="120"/>
  <c r="H2308" i="120"/>
  <c r="N2308" i="120" s="1"/>
  <c r="F2657" i="120"/>
  <c r="H2264" i="120"/>
  <c r="N2264" i="120" s="1"/>
  <c r="F2671" i="120"/>
  <c r="H2278" i="120"/>
  <c r="N2278" i="120" s="1"/>
  <c r="H2239" i="120"/>
  <c r="N2239" i="120" s="1"/>
  <c r="F2632" i="120"/>
  <c r="G433" i="120"/>
  <c r="G826" i="120" s="1"/>
  <c r="G1219" i="120" s="1"/>
  <c r="G1612" i="120" s="1"/>
  <c r="G2005" i="120" s="1"/>
  <c r="G2398" i="120" s="1"/>
  <c r="G2791" i="120" s="1"/>
  <c r="H2752" i="120"/>
  <c r="N2752" i="120" s="1"/>
  <c r="F3145" i="120"/>
  <c r="H3145" i="120" s="1"/>
  <c r="N3145" i="120" s="1"/>
  <c r="G485" i="120"/>
  <c r="G878" i="120" s="1"/>
  <c r="G1271" i="120" s="1"/>
  <c r="G1664" i="120" s="1"/>
  <c r="G2057" i="120" s="1"/>
  <c r="G2450" i="120" s="1"/>
  <c r="G2843" i="120" s="1"/>
  <c r="H2612" i="120"/>
  <c r="N2612" i="120" s="1"/>
  <c r="F3005" i="120"/>
  <c r="H3005" i="120" s="1"/>
  <c r="N3005" i="120" s="1"/>
  <c r="H2212" i="120"/>
  <c r="N2212" i="120" s="1"/>
  <c r="F2605" i="120"/>
  <c r="F2620" i="120"/>
  <c r="H2227" i="120"/>
  <c r="N2227" i="120" s="1"/>
  <c r="F2735" i="120"/>
  <c r="H2342" i="120"/>
  <c r="N2342" i="120" s="1"/>
  <c r="F2686" i="120"/>
  <c r="H2293" i="120"/>
  <c r="N2293" i="120" s="1"/>
  <c r="H2288" i="120"/>
  <c r="N2288" i="120" s="1"/>
  <c r="F2681" i="120"/>
  <c r="H2316" i="120"/>
  <c r="N2316" i="120" s="1"/>
  <c r="F2709" i="120"/>
  <c r="H2274" i="120"/>
  <c r="N2274" i="120" s="1"/>
  <c r="F2667" i="120"/>
  <c r="H2232" i="120"/>
  <c r="N2232" i="120" s="1"/>
  <c r="F2625" i="120"/>
  <c r="H2734" i="120"/>
  <c r="N2734" i="120" s="1"/>
  <c r="F3127" i="120"/>
  <c r="H3127" i="120" s="1"/>
  <c r="N3127" i="120" s="1"/>
  <c r="H2244" i="120"/>
  <c r="N2244" i="120" s="1"/>
  <c r="F2637" i="120"/>
  <c r="F2751" i="120"/>
  <c r="H2358" i="120"/>
  <c r="N2358" i="120" s="1"/>
  <c r="F2651" i="120"/>
  <c r="H2258" i="120"/>
  <c r="N2258" i="120" s="1"/>
  <c r="H2221" i="120"/>
  <c r="N2221" i="120" s="1"/>
  <c r="F2614" i="120"/>
  <c r="H2300" i="120"/>
  <c r="N2300" i="120" s="1"/>
  <c r="F2693" i="120"/>
  <c r="F2713" i="120"/>
  <c r="H2320" i="120"/>
  <c r="N2320" i="120" s="1"/>
  <c r="F2648" i="120"/>
  <c r="H2255" i="120"/>
  <c r="N2255" i="120" s="1"/>
  <c r="H2222" i="120"/>
  <c r="N2222" i="120" s="1"/>
  <c r="F2615" i="120"/>
  <c r="F2594" i="120"/>
  <c r="H2201" i="120"/>
  <c r="N2201" i="120" s="1"/>
  <c r="H2340" i="120"/>
  <c r="N2340" i="120" s="1"/>
  <c r="F2733" i="120"/>
  <c r="F2635" i="120"/>
  <c r="H2242" i="120"/>
  <c r="N2242" i="120" s="1"/>
  <c r="H2310" i="120"/>
  <c r="N2310" i="120" s="1"/>
  <c r="F2703" i="120"/>
  <c r="H2252" i="120"/>
  <c r="N2252" i="120" s="1"/>
  <c r="F2645" i="120"/>
  <c r="H2281" i="120"/>
  <c r="N2281" i="120" s="1"/>
  <c r="F2674" i="120"/>
  <c r="H2218" i="120"/>
  <c r="N2218" i="120" s="1"/>
  <c r="F2611" i="120"/>
  <c r="F2719" i="120"/>
  <c r="H2326" i="120"/>
  <c r="N2326" i="120" s="1"/>
  <c r="F2665" i="120"/>
  <c r="H2272" i="120"/>
  <c r="N2272" i="120" s="1"/>
  <c r="F2668" i="120"/>
  <c r="H2275" i="120"/>
  <c r="N2275" i="120" s="1"/>
  <c r="F2652" i="120"/>
  <c r="H2259" i="120"/>
  <c r="N2259" i="120" s="1"/>
  <c r="F2728" i="120"/>
  <c r="H2335" i="120"/>
  <c r="N2335" i="120" s="1"/>
  <c r="H2240" i="120"/>
  <c r="N2240" i="120" s="1"/>
  <c r="F2633" i="120"/>
  <c r="G490" i="120"/>
  <c r="G883" i="120" s="1"/>
  <c r="G1276" i="120" s="1"/>
  <c r="G1669" i="120" s="1"/>
  <c r="G2062" i="120" s="1"/>
  <c r="G2455" i="120" s="1"/>
  <c r="G2848" i="120" s="1"/>
  <c r="H2660" i="120"/>
  <c r="N2660" i="120" s="1"/>
  <c r="F3053" i="120"/>
  <c r="H3053" i="120" s="1"/>
  <c r="N3053" i="120" s="1"/>
  <c r="F2694" i="120"/>
  <c r="H2301" i="120"/>
  <c r="N2301" i="120" s="1"/>
  <c r="F2659" i="120"/>
  <c r="H2266" i="120"/>
  <c r="N2266" i="120" s="1"/>
  <c r="H2314" i="120"/>
  <c r="N2314" i="120" s="1"/>
  <c r="F2707" i="120"/>
  <c r="H2228" i="120"/>
  <c r="N2228" i="120" s="1"/>
  <c r="F2621" i="120"/>
  <c r="F2603" i="120"/>
  <c r="H2210" i="120"/>
  <c r="N2210" i="120" s="1"/>
  <c r="H2349" i="120"/>
  <c r="N2349" i="120" s="1"/>
  <c r="F2742" i="120"/>
  <c r="H2353" i="120"/>
  <c r="N2353" i="120" s="1"/>
  <c r="F2746" i="120"/>
  <c r="F2655" i="120"/>
  <c r="H2262" i="120"/>
  <c r="N2262" i="120" s="1"/>
  <c r="H2294" i="120"/>
  <c r="N2294" i="120" s="1"/>
  <c r="F2687" i="120"/>
  <c r="H2286" i="120"/>
  <c r="N2286" i="120" s="1"/>
  <c r="F2679" i="120"/>
  <c r="F2627" i="120"/>
  <c r="H2234" i="120"/>
  <c r="N2234" i="120" s="1"/>
  <c r="H2344" i="120"/>
  <c r="N2344" i="120" s="1"/>
  <c r="F2737" i="120"/>
  <c r="F2636" i="120"/>
  <c r="H2243" i="120"/>
  <c r="N2243" i="120" s="1"/>
  <c r="H2321" i="120"/>
  <c r="N2321" i="120" s="1"/>
  <c r="F2714" i="120"/>
  <c r="F2690" i="120"/>
  <c r="H2297" i="120"/>
  <c r="N2297" i="120" s="1"/>
  <c r="F3017" i="120"/>
  <c r="H3017" i="120" s="1"/>
  <c r="N3017" i="120" s="1"/>
  <c r="H2624" i="120"/>
  <c r="N2624" i="120" s="1"/>
  <c r="F2675" i="120"/>
  <c r="H2282" i="120"/>
  <c r="N2282" i="120" s="1"/>
  <c r="F2704" i="120"/>
  <c r="H2311" i="120"/>
  <c r="N2311" i="120" s="1"/>
  <c r="H2292" i="120"/>
  <c r="N2292" i="120" s="1"/>
  <c r="F2685" i="120"/>
  <c r="H2319" i="120"/>
  <c r="N2319" i="120" s="1"/>
  <c r="F2712" i="120"/>
  <c r="F2604" i="120"/>
  <c r="H2211" i="120"/>
  <c r="N2211" i="120" s="1"/>
  <c r="F3039" i="120"/>
  <c r="H3039" i="120" s="1"/>
  <c r="N3039" i="120" s="1"/>
  <c r="H2646" i="120"/>
  <c r="N2646" i="120" s="1"/>
  <c r="F2684" i="120"/>
  <c r="H2291" i="120"/>
  <c r="N2291" i="120" s="1"/>
  <c r="C500" i="120"/>
  <c r="C893" i="120" s="1"/>
  <c r="C1286" i="120" s="1"/>
  <c r="C1679" i="120" s="1"/>
  <c r="C2072" i="120" s="1"/>
  <c r="C2465" i="120" s="1"/>
  <c r="C2858" i="120" s="1"/>
  <c r="H2714" i="120" l="1"/>
  <c r="N2714" i="120" s="1"/>
  <c r="F3107" i="120"/>
  <c r="H3107" i="120" s="1"/>
  <c r="N3107" i="120" s="1"/>
  <c r="F3135" i="120"/>
  <c r="H3135" i="120" s="1"/>
  <c r="N3135" i="120" s="1"/>
  <c r="H2742" i="120"/>
  <c r="N2742" i="120" s="1"/>
  <c r="F3026" i="120"/>
  <c r="H3026" i="120" s="1"/>
  <c r="N3026" i="120" s="1"/>
  <c r="H2633" i="120"/>
  <c r="N2633" i="120" s="1"/>
  <c r="H81" i="120"/>
  <c r="N81" i="120" s="1"/>
  <c r="F474" i="120"/>
  <c r="F3124" i="120"/>
  <c r="H3124" i="120" s="1"/>
  <c r="N3124" i="120" s="1"/>
  <c r="H2731" i="120"/>
  <c r="N2731" i="120" s="1"/>
  <c r="F2990" i="120"/>
  <c r="H2990" i="120" s="1"/>
  <c r="N2990" i="120" s="1"/>
  <c r="H2597" i="120"/>
  <c r="N2597" i="120" s="1"/>
  <c r="F3056" i="120"/>
  <c r="H3056" i="120" s="1"/>
  <c r="N3056" i="120" s="1"/>
  <c r="H2663" i="120"/>
  <c r="N2663" i="120" s="1"/>
  <c r="F3131" i="120"/>
  <c r="H3131" i="120" s="1"/>
  <c r="N3131" i="120" s="1"/>
  <c r="H2738" i="120"/>
  <c r="N2738" i="120" s="1"/>
  <c r="H2626" i="120"/>
  <c r="N2626" i="120" s="1"/>
  <c r="F3019" i="120"/>
  <c r="H3019" i="120" s="1"/>
  <c r="N3019" i="120" s="1"/>
  <c r="F2997" i="120"/>
  <c r="H2997" i="120" s="1"/>
  <c r="N2997" i="120" s="1"/>
  <c r="H2604" i="120"/>
  <c r="N2604" i="120" s="1"/>
  <c r="F3052" i="120"/>
  <c r="H3052" i="120" s="1"/>
  <c r="N3052" i="120" s="1"/>
  <c r="H2659" i="120"/>
  <c r="N2659" i="120" s="1"/>
  <c r="F3061" i="120"/>
  <c r="H3061" i="120" s="1"/>
  <c r="N3061" i="120" s="1"/>
  <c r="H2668" i="120"/>
  <c r="N2668" i="120" s="1"/>
  <c r="F3028" i="120"/>
  <c r="H3028" i="120" s="1"/>
  <c r="N3028" i="120" s="1"/>
  <c r="H2635" i="120"/>
  <c r="N2635" i="120" s="1"/>
  <c r="F3013" i="120"/>
  <c r="H3013" i="120" s="1"/>
  <c r="N3013" i="120" s="1"/>
  <c r="H2620" i="120"/>
  <c r="N2620" i="120" s="1"/>
  <c r="H2688" i="120"/>
  <c r="N2688" i="120" s="1"/>
  <c r="F3081" i="120"/>
  <c r="H3081" i="120" s="1"/>
  <c r="N3081" i="120" s="1"/>
  <c r="H2623" i="120"/>
  <c r="N2623" i="120" s="1"/>
  <c r="F3016" i="120"/>
  <c r="H3016" i="120" s="1"/>
  <c r="N3016" i="120" s="1"/>
  <c r="H2750" i="120"/>
  <c r="N2750" i="120" s="1"/>
  <c r="F3143" i="120"/>
  <c r="H3143" i="120" s="1"/>
  <c r="N3143" i="120" s="1"/>
  <c r="F2995" i="120"/>
  <c r="H2995" i="120" s="1"/>
  <c r="N2995" i="120" s="1"/>
  <c r="H2602" i="120"/>
  <c r="N2602" i="120" s="1"/>
  <c r="F3075" i="120"/>
  <c r="H3075" i="120" s="1"/>
  <c r="N3075" i="120" s="1"/>
  <c r="H2682" i="120"/>
  <c r="N2682" i="120" s="1"/>
  <c r="F3141" i="120"/>
  <c r="H3141" i="120" s="1"/>
  <c r="N3141" i="120" s="1"/>
  <c r="H2748" i="120"/>
  <c r="N2748" i="120" s="1"/>
  <c r="H2729" i="120"/>
  <c r="N2729" i="120" s="1"/>
  <c r="F3122" i="120"/>
  <c r="H3122" i="120" s="1"/>
  <c r="N3122" i="120" s="1"/>
  <c r="F3093" i="120"/>
  <c r="H3093" i="120" s="1"/>
  <c r="N3093" i="120" s="1"/>
  <c r="H2700" i="120"/>
  <c r="N2700" i="120" s="1"/>
  <c r="F3033" i="120"/>
  <c r="H3033" i="120" s="1"/>
  <c r="N3033" i="120" s="1"/>
  <c r="H2640" i="120"/>
  <c r="N2640" i="120" s="1"/>
  <c r="H105" i="120"/>
  <c r="N105" i="120" s="1"/>
  <c r="F498" i="120"/>
  <c r="H2705" i="120"/>
  <c r="N2705" i="120" s="1"/>
  <c r="F3098" i="120"/>
  <c r="H3098" i="120" s="1"/>
  <c r="N3098" i="120" s="1"/>
  <c r="F3088" i="120"/>
  <c r="H3088" i="120" s="1"/>
  <c r="N3088" i="120" s="1"/>
  <c r="H2695" i="120"/>
  <c r="N2695" i="120" s="1"/>
  <c r="F3065" i="120"/>
  <c r="H3065" i="120" s="1"/>
  <c r="N3065" i="120" s="1"/>
  <c r="H2672" i="120"/>
  <c r="N2672" i="120" s="1"/>
  <c r="F3085" i="120"/>
  <c r="H3085" i="120" s="1"/>
  <c r="N3085" i="120" s="1"/>
  <c r="H2692" i="120"/>
  <c r="N2692" i="120" s="1"/>
  <c r="H2636" i="120"/>
  <c r="N2636" i="120" s="1"/>
  <c r="F3029" i="120"/>
  <c r="H3029" i="120" s="1"/>
  <c r="N3029" i="120" s="1"/>
  <c r="F2996" i="120"/>
  <c r="H2996" i="120" s="1"/>
  <c r="N2996" i="120" s="1"/>
  <c r="H2603" i="120"/>
  <c r="N2603" i="120" s="1"/>
  <c r="F3121" i="120"/>
  <c r="H3121" i="120" s="1"/>
  <c r="N3121" i="120" s="1"/>
  <c r="H2728" i="120"/>
  <c r="N2728" i="120" s="1"/>
  <c r="H2665" i="120"/>
  <c r="N2665" i="120" s="1"/>
  <c r="F3058" i="120"/>
  <c r="H3058" i="120" s="1"/>
  <c r="N3058" i="120" s="1"/>
  <c r="H2741" i="120"/>
  <c r="N2741" i="120" s="1"/>
  <c r="F3134" i="120"/>
  <c r="H3134" i="120" s="1"/>
  <c r="N3134" i="120" s="1"/>
  <c r="F3034" i="120"/>
  <c r="H3034" i="120" s="1"/>
  <c r="N3034" i="120" s="1"/>
  <c r="H2641" i="120"/>
  <c r="N2641" i="120" s="1"/>
  <c r="F3023" i="120"/>
  <c r="H3023" i="120" s="1"/>
  <c r="N3023" i="120" s="1"/>
  <c r="H2630" i="120"/>
  <c r="N2630" i="120" s="1"/>
  <c r="F3140" i="120"/>
  <c r="H3140" i="120" s="1"/>
  <c r="N3140" i="120" s="1"/>
  <c r="H2747" i="120"/>
  <c r="N2747" i="120" s="1"/>
  <c r="F3136" i="120"/>
  <c r="H3136" i="120" s="1"/>
  <c r="N3136" i="120" s="1"/>
  <c r="H2743" i="120"/>
  <c r="N2743" i="120" s="1"/>
  <c r="F3031" i="120"/>
  <c r="H3031" i="120" s="1"/>
  <c r="N3031" i="120" s="1"/>
  <c r="H2638" i="120"/>
  <c r="N2638" i="120" s="1"/>
  <c r="F3078" i="120"/>
  <c r="H3078" i="120" s="1"/>
  <c r="N3078" i="120" s="1"/>
  <c r="H2685" i="120"/>
  <c r="N2685" i="120" s="1"/>
  <c r="F3130" i="120"/>
  <c r="H3130" i="120" s="1"/>
  <c r="N3130" i="120" s="1"/>
  <c r="H2737" i="120"/>
  <c r="N2737" i="120" s="1"/>
  <c r="H2621" i="120"/>
  <c r="N2621" i="120" s="1"/>
  <c r="F3014" i="120"/>
  <c r="H3014" i="120" s="1"/>
  <c r="N3014" i="120" s="1"/>
  <c r="H87" i="120"/>
  <c r="N87" i="120" s="1"/>
  <c r="F480" i="120"/>
  <c r="H35" i="120"/>
  <c r="N35" i="120" s="1"/>
  <c r="F428" i="120"/>
  <c r="F3038" i="120"/>
  <c r="H3038" i="120" s="1"/>
  <c r="N3038" i="120" s="1"/>
  <c r="H2645" i="120"/>
  <c r="N2645" i="120" s="1"/>
  <c r="F3018" i="120"/>
  <c r="H3018" i="120" s="1"/>
  <c r="N3018" i="120" s="1"/>
  <c r="H2625" i="120"/>
  <c r="N2625" i="120" s="1"/>
  <c r="H2631" i="120"/>
  <c r="N2631" i="120" s="1"/>
  <c r="F3024" i="120"/>
  <c r="H3024" i="120" s="1"/>
  <c r="N3024" i="120" s="1"/>
  <c r="H2628" i="120"/>
  <c r="N2628" i="120" s="1"/>
  <c r="F3021" i="120"/>
  <c r="H3021" i="120" s="1"/>
  <c r="N3021" i="120" s="1"/>
  <c r="F3115" i="120"/>
  <c r="H3115" i="120" s="1"/>
  <c r="N3115" i="120" s="1"/>
  <c r="H2722" i="120"/>
  <c r="N2722" i="120" s="1"/>
  <c r="F479" i="120"/>
  <c r="H86" i="120"/>
  <c r="N86" i="120" s="1"/>
  <c r="F3089" i="120"/>
  <c r="H3089" i="120" s="1"/>
  <c r="N3089" i="120" s="1"/>
  <c r="H2696" i="120"/>
  <c r="N2696" i="120" s="1"/>
  <c r="H85" i="120"/>
  <c r="N85" i="120" s="1"/>
  <c r="F478" i="120"/>
  <c r="H2653" i="120"/>
  <c r="N2653" i="120" s="1"/>
  <c r="F3046" i="120"/>
  <c r="H3046" i="120" s="1"/>
  <c r="N3046" i="120" s="1"/>
  <c r="H2609" i="120"/>
  <c r="N2609" i="120" s="1"/>
  <c r="F3002" i="120"/>
  <c r="H3002" i="120" s="1"/>
  <c r="N3002" i="120" s="1"/>
  <c r="H2679" i="120"/>
  <c r="N2679" i="120" s="1"/>
  <c r="F3072" i="120"/>
  <c r="H3072" i="120" s="1"/>
  <c r="N3072" i="120" s="1"/>
  <c r="H103" i="120"/>
  <c r="N103" i="120" s="1"/>
  <c r="F496" i="120"/>
  <c r="H2674" i="120"/>
  <c r="N2674" i="120" s="1"/>
  <c r="F3067" i="120"/>
  <c r="H3067" i="120" s="1"/>
  <c r="N3067" i="120" s="1"/>
  <c r="H2693" i="120"/>
  <c r="N2693" i="120" s="1"/>
  <c r="F3086" i="120"/>
  <c r="H3086" i="120" s="1"/>
  <c r="N3086" i="120" s="1"/>
  <c r="F3030" i="120"/>
  <c r="H3030" i="120" s="1"/>
  <c r="N3030" i="120" s="1"/>
  <c r="H2637" i="120"/>
  <c r="N2637" i="120" s="1"/>
  <c r="F3102" i="120"/>
  <c r="H3102" i="120" s="1"/>
  <c r="N3102" i="120" s="1"/>
  <c r="H2709" i="120"/>
  <c r="N2709" i="120" s="1"/>
  <c r="H2632" i="120"/>
  <c r="N2632" i="120" s="1"/>
  <c r="F3025" i="120"/>
  <c r="H3025" i="120" s="1"/>
  <c r="N3025" i="120" s="1"/>
  <c r="F419" i="120"/>
  <c r="H26" i="120"/>
  <c r="N26" i="120" s="1"/>
  <c r="H2717" i="120"/>
  <c r="N2717" i="120" s="1"/>
  <c r="F3110" i="120"/>
  <c r="H3110" i="120" s="1"/>
  <c r="N3110" i="120" s="1"/>
  <c r="F2992" i="120"/>
  <c r="H2992" i="120" s="1"/>
  <c r="N2992" i="120" s="1"/>
  <c r="H2599" i="120"/>
  <c r="N2599" i="120" s="1"/>
  <c r="H2601" i="120"/>
  <c r="N2601" i="120" s="1"/>
  <c r="F2994" i="120"/>
  <c r="H2994" i="120" s="1"/>
  <c r="N2994" i="120" s="1"/>
  <c r="H2634" i="120"/>
  <c r="N2634" i="120" s="1"/>
  <c r="F3027" i="120"/>
  <c r="H3027" i="120" s="1"/>
  <c r="N3027" i="120" s="1"/>
  <c r="H2675" i="120"/>
  <c r="N2675" i="120" s="1"/>
  <c r="F3068" i="120"/>
  <c r="H3068" i="120" s="1"/>
  <c r="N3068" i="120" s="1"/>
  <c r="F3092" i="120"/>
  <c r="H3092" i="120" s="1"/>
  <c r="N3092" i="120" s="1"/>
  <c r="H2699" i="120"/>
  <c r="N2699" i="120" s="1"/>
  <c r="F3129" i="120"/>
  <c r="H3129" i="120" s="1"/>
  <c r="N3129" i="120" s="1"/>
  <c r="H2736" i="120"/>
  <c r="N2736" i="120" s="1"/>
  <c r="F3012" i="120"/>
  <c r="H3012" i="120" s="1"/>
  <c r="N3012" i="120" s="1"/>
  <c r="H2619" i="120"/>
  <c r="N2619" i="120" s="1"/>
  <c r="F3082" i="120"/>
  <c r="H3082" i="120" s="1"/>
  <c r="N3082" i="120" s="1"/>
  <c r="H2689" i="120"/>
  <c r="N2689" i="120" s="1"/>
  <c r="H2649" i="120"/>
  <c r="N2649" i="120" s="1"/>
  <c r="F3042" i="120"/>
  <c r="H3042" i="120" s="1"/>
  <c r="N3042" i="120" s="1"/>
  <c r="F3147" i="120"/>
  <c r="H3147" i="120" s="1"/>
  <c r="N3147" i="120" s="1"/>
  <c r="H2754" i="120"/>
  <c r="N2754" i="120" s="1"/>
  <c r="F3035" i="120"/>
  <c r="H3035" i="120" s="1"/>
  <c r="N3035" i="120" s="1"/>
  <c r="H2642" i="120"/>
  <c r="N2642" i="120" s="1"/>
  <c r="F3105" i="120"/>
  <c r="H3105" i="120" s="1"/>
  <c r="N3105" i="120" s="1"/>
  <c r="H2712" i="120"/>
  <c r="N2712" i="120" s="1"/>
  <c r="H2687" i="120"/>
  <c r="N2687" i="120" s="1"/>
  <c r="F3080" i="120"/>
  <c r="H3080" i="120" s="1"/>
  <c r="N3080" i="120" s="1"/>
  <c r="H52" i="120"/>
  <c r="N52" i="120" s="1"/>
  <c r="F445" i="120"/>
  <c r="F3126" i="120"/>
  <c r="H3126" i="120" s="1"/>
  <c r="N3126" i="120" s="1"/>
  <c r="H2733" i="120"/>
  <c r="N2733" i="120" s="1"/>
  <c r="H2615" i="120"/>
  <c r="N2615" i="120" s="1"/>
  <c r="F3008" i="120"/>
  <c r="H3008" i="120" s="1"/>
  <c r="N3008" i="120" s="1"/>
  <c r="F3007" i="120"/>
  <c r="H3007" i="120" s="1"/>
  <c r="N3007" i="120" s="1"/>
  <c r="H2614" i="120"/>
  <c r="N2614" i="120" s="1"/>
  <c r="F3074" i="120"/>
  <c r="H3074" i="120" s="1"/>
  <c r="N3074" i="120" s="1"/>
  <c r="H2681" i="120"/>
  <c r="N2681" i="120" s="1"/>
  <c r="F2998" i="120"/>
  <c r="H2998" i="120" s="1"/>
  <c r="N2998" i="120" s="1"/>
  <c r="H2605" i="120"/>
  <c r="N2605" i="120" s="1"/>
  <c r="F3003" i="120"/>
  <c r="H3003" i="120" s="1"/>
  <c r="N3003" i="120" s="1"/>
  <c r="H2610" i="120"/>
  <c r="N2610" i="120" s="1"/>
  <c r="F3063" i="120"/>
  <c r="H3063" i="120" s="1"/>
  <c r="N3063" i="120" s="1"/>
  <c r="H2670" i="120"/>
  <c r="N2670" i="120" s="1"/>
  <c r="H2607" i="120"/>
  <c r="N2607" i="120" s="1"/>
  <c r="F3000" i="120"/>
  <c r="H3000" i="120" s="1"/>
  <c r="N3000" i="120" s="1"/>
  <c r="F3066" i="120"/>
  <c r="H3066" i="120" s="1"/>
  <c r="N3066" i="120" s="1"/>
  <c r="H2673" i="120"/>
  <c r="N2673" i="120" s="1"/>
  <c r="F3070" i="120"/>
  <c r="H3070" i="120" s="1"/>
  <c r="N3070" i="120" s="1"/>
  <c r="H2677" i="120"/>
  <c r="N2677" i="120" s="1"/>
  <c r="F3022" i="120"/>
  <c r="H3022" i="120" s="1"/>
  <c r="N3022" i="120" s="1"/>
  <c r="H2629" i="120"/>
  <c r="N2629" i="120" s="1"/>
  <c r="F3146" i="120"/>
  <c r="H3146" i="120" s="1"/>
  <c r="N3146" i="120" s="1"/>
  <c r="H2753" i="120"/>
  <c r="N2753" i="120" s="1"/>
  <c r="H2694" i="120"/>
  <c r="N2694" i="120" s="1"/>
  <c r="F3087" i="120"/>
  <c r="H3087" i="120" s="1"/>
  <c r="N3087" i="120" s="1"/>
  <c r="H2671" i="120"/>
  <c r="N2671" i="120" s="1"/>
  <c r="F3064" i="120"/>
  <c r="H3064" i="120" s="1"/>
  <c r="N3064" i="120" s="1"/>
  <c r="H2617" i="120"/>
  <c r="N2617" i="120" s="1"/>
  <c r="F3010" i="120"/>
  <c r="H3010" i="120" s="1"/>
  <c r="N3010" i="120" s="1"/>
  <c r="F3091" i="120"/>
  <c r="H3091" i="120" s="1"/>
  <c r="N3091" i="120" s="1"/>
  <c r="H2698" i="120"/>
  <c r="N2698" i="120" s="1"/>
  <c r="F3125" i="120"/>
  <c r="H3125" i="120" s="1"/>
  <c r="N3125" i="120" s="1"/>
  <c r="H2732" i="120"/>
  <c r="N2732" i="120" s="1"/>
  <c r="F3118" i="120"/>
  <c r="H3118" i="120" s="1"/>
  <c r="N3118" i="120" s="1"/>
  <c r="H2725" i="120"/>
  <c r="N2725" i="120" s="1"/>
  <c r="F3055" i="120"/>
  <c r="H3055" i="120" s="1"/>
  <c r="N3055" i="120" s="1"/>
  <c r="H2662" i="120"/>
  <c r="N2662" i="120" s="1"/>
  <c r="H2727" i="120"/>
  <c r="N2727" i="120" s="1"/>
  <c r="F3120" i="120"/>
  <c r="H3120" i="120" s="1"/>
  <c r="N3120" i="120" s="1"/>
  <c r="H2749" i="120"/>
  <c r="N2749" i="120" s="1"/>
  <c r="F3142" i="120"/>
  <c r="H3142" i="120" s="1"/>
  <c r="N3142" i="120" s="1"/>
  <c r="F3077" i="120"/>
  <c r="H3077" i="120" s="1"/>
  <c r="N3077" i="120" s="1"/>
  <c r="H2684" i="120"/>
  <c r="N2684" i="120" s="1"/>
  <c r="H2655" i="120"/>
  <c r="N2655" i="120" s="1"/>
  <c r="F3048" i="120"/>
  <c r="H3048" i="120" s="1"/>
  <c r="N3048" i="120" s="1"/>
  <c r="F3112" i="120"/>
  <c r="H3112" i="120" s="1"/>
  <c r="N3112" i="120" s="1"/>
  <c r="H2719" i="120"/>
  <c r="N2719" i="120" s="1"/>
  <c r="F2987" i="120"/>
  <c r="H2987" i="120" s="1"/>
  <c r="N2987" i="120" s="1"/>
  <c r="H2594" i="120"/>
  <c r="N2594" i="120" s="1"/>
  <c r="H2648" i="120"/>
  <c r="N2648" i="120" s="1"/>
  <c r="F3041" i="120"/>
  <c r="H3041" i="120" s="1"/>
  <c r="N3041" i="120" s="1"/>
  <c r="F3044" i="120"/>
  <c r="H3044" i="120" s="1"/>
  <c r="N3044" i="120" s="1"/>
  <c r="H2651" i="120"/>
  <c r="N2651" i="120" s="1"/>
  <c r="F3079" i="120"/>
  <c r="H3079" i="120" s="1"/>
  <c r="N3079" i="120" s="1"/>
  <c r="H2686" i="120"/>
  <c r="N2686" i="120" s="1"/>
  <c r="H2657" i="120"/>
  <c r="N2657" i="120" s="1"/>
  <c r="F3050" i="120"/>
  <c r="H3050" i="120" s="1"/>
  <c r="N3050" i="120" s="1"/>
  <c r="F3094" i="120"/>
  <c r="H3094" i="120" s="1"/>
  <c r="N3094" i="120" s="1"/>
  <c r="H2701" i="120"/>
  <c r="N2701" i="120" s="1"/>
  <c r="H2664" i="120"/>
  <c r="N2664" i="120" s="1"/>
  <c r="F3057" i="120"/>
  <c r="H3057" i="120" s="1"/>
  <c r="N3057" i="120" s="1"/>
  <c r="F3051" i="120"/>
  <c r="H3051" i="120" s="1"/>
  <c r="N3051" i="120" s="1"/>
  <c r="H2658" i="120"/>
  <c r="N2658" i="120" s="1"/>
  <c r="F3108" i="120"/>
  <c r="H3108" i="120" s="1"/>
  <c r="N3108" i="120" s="1"/>
  <c r="H2715" i="120"/>
  <c r="N2715" i="120" s="1"/>
  <c r="F3043" i="120"/>
  <c r="H3043" i="120" s="1"/>
  <c r="N3043" i="120" s="1"/>
  <c r="H2650" i="120"/>
  <c r="N2650" i="120" s="1"/>
  <c r="H2720" i="120"/>
  <c r="N2720" i="120" s="1"/>
  <c r="F3113" i="120"/>
  <c r="H3113" i="120" s="1"/>
  <c r="N3113" i="120" s="1"/>
  <c r="H2647" i="120"/>
  <c r="N2647" i="120" s="1"/>
  <c r="F3040" i="120"/>
  <c r="H3040" i="120" s="1"/>
  <c r="N3040" i="120" s="1"/>
  <c r="H2618" i="120"/>
  <c r="N2618" i="120" s="1"/>
  <c r="F3011" i="120"/>
  <c r="H3011" i="120" s="1"/>
  <c r="N3011" i="120" s="1"/>
  <c r="F3116" i="120"/>
  <c r="H3116" i="120" s="1"/>
  <c r="N3116" i="120" s="1"/>
  <c r="H2723" i="120"/>
  <c r="N2723" i="120" s="1"/>
  <c r="F3049" i="120"/>
  <c r="H3049" i="120" s="1"/>
  <c r="N3049" i="120" s="1"/>
  <c r="H2656" i="120"/>
  <c r="N2656" i="120" s="1"/>
  <c r="F3111" i="120"/>
  <c r="H3111" i="120" s="1"/>
  <c r="N3111" i="120" s="1"/>
  <c r="H2718" i="120"/>
  <c r="N2718" i="120" s="1"/>
  <c r="F3099" i="120"/>
  <c r="H3099" i="120" s="1"/>
  <c r="N3099" i="120" s="1"/>
  <c r="H2706" i="120"/>
  <c r="N2706" i="120" s="1"/>
  <c r="H2746" i="120"/>
  <c r="N2746" i="120" s="1"/>
  <c r="F3139" i="120"/>
  <c r="H3139" i="120" s="1"/>
  <c r="N3139" i="120" s="1"/>
  <c r="F3100" i="120"/>
  <c r="H3100" i="120" s="1"/>
  <c r="N3100" i="120" s="1"/>
  <c r="H2707" i="120"/>
  <c r="N2707" i="120" s="1"/>
  <c r="H17" i="120"/>
  <c r="N17" i="120" s="1"/>
  <c r="F410" i="120"/>
  <c r="F3004" i="120"/>
  <c r="H3004" i="120" s="1"/>
  <c r="N3004" i="120" s="1"/>
  <c r="H2611" i="120"/>
  <c r="N2611" i="120" s="1"/>
  <c r="F3096" i="120"/>
  <c r="H3096" i="120" s="1"/>
  <c r="N3096" i="120" s="1"/>
  <c r="H2703" i="120"/>
  <c r="N2703" i="120" s="1"/>
  <c r="H2667" i="120"/>
  <c r="N2667" i="120" s="1"/>
  <c r="F3060" i="120"/>
  <c r="H3060" i="120" s="1"/>
  <c r="N3060" i="120" s="1"/>
  <c r="H43" i="120"/>
  <c r="N43" i="120" s="1"/>
  <c r="F436" i="120"/>
  <c r="H2600" i="120"/>
  <c r="N2600" i="120" s="1"/>
  <c r="F2993" i="120"/>
  <c r="H2993" i="120" s="1"/>
  <c r="N2993" i="120" s="1"/>
  <c r="H2683" i="120"/>
  <c r="N2683" i="120" s="1"/>
  <c r="F3076" i="120"/>
  <c r="H3076" i="120" s="1"/>
  <c r="N3076" i="120" s="1"/>
  <c r="H2661" i="120"/>
  <c r="N2661" i="120" s="1"/>
  <c r="F3054" i="120"/>
  <c r="H3054" i="120" s="1"/>
  <c r="N3054" i="120" s="1"/>
  <c r="F3104" i="120"/>
  <c r="H3104" i="120" s="1"/>
  <c r="N3104" i="120" s="1"/>
  <c r="H2711" i="120"/>
  <c r="N2711" i="120" s="1"/>
  <c r="F3069" i="120"/>
  <c r="H3069" i="120" s="1"/>
  <c r="N3069" i="120" s="1"/>
  <c r="H2676" i="120"/>
  <c r="N2676" i="120" s="1"/>
  <c r="F3138" i="120"/>
  <c r="H3138" i="120" s="1"/>
  <c r="N3138" i="120" s="1"/>
  <c r="H2745" i="120"/>
  <c r="N2745" i="120" s="1"/>
  <c r="F3062" i="120"/>
  <c r="H3062" i="120" s="1"/>
  <c r="N3062" i="120" s="1"/>
  <c r="H2669" i="120"/>
  <c r="N2669" i="120" s="1"/>
  <c r="G791" i="120"/>
  <c r="F3097" i="120"/>
  <c r="H3097" i="120" s="1"/>
  <c r="N3097" i="120" s="1"/>
  <c r="H2704" i="120"/>
  <c r="N2704" i="120" s="1"/>
  <c r="F3083" i="120"/>
  <c r="H3083" i="120" s="1"/>
  <c r="N3083" i="120" s="1"/>
  <c r="H2690" i="120"/>
  <c r="N2690" i="120" s="1"/>
  <c r="F3020" i="120"/>
  <c r="H3020" i="120" s="1"/>
  <c r="N3020" i="120" s="1"/>
  <c r="H2627" i="120"/>
  <c r="N2627" i="120" s="1"/>
  <c r="H2652" i="120"/>
  <c r="N2652" i="120" s="1"/>
  <c r="F3045" i="120"/>
  <c r="H3045" i="120" s="1"/>
  <c r="N3045" i="120" s="1"/>
  <c r="F3106" i="120"/>
  <c r="H3106" i="120" s="1"/>
  <c r="N3106" i="120" s="1"/>
  <c r="H2713" i="120"/>
  <c r="N2713" i="120" s="1"/>
  <c r="F3144" i="120"/>
  <c r="H3144" i="120" s="1"/>
  <c r="N3144" i="120" s="1"/>
  <c r="H2751" i="120"/>
  <c r="N2751" i="120" s="1"/>
  <c r="F3128" i="120"/>
  <c r="H3128" i="120" s="1"/>
  <c r="N3128" i="120" s="1"/>
  <c r="H2735" i="120"/>
  <c r="N2735" i="120" s="1"/>
  <c r="F3109" i="120"/>
  <c r="H3109" i="120" s="1"/>
  <c r="N3109" i="120" s="1"/>
  <c r="H2716" i="120"/>
  <c r="N2716" i="120" s="1"/>
  <c r="F3009" i="120"/>
  <c r="H3009" i="120" s="1"/>
  <c r="N3009" i="120" s="1"/>
  <c r="H2616" i="120"/>
  <c r="N2616" i="120" s="1"/>
  <c r="H2613" i="120"/>
  <c r="N2613" i="120" s="1"/>
  <c r="F3006" i="120"/>
  <c r="H3006" i="120" s="1"/>
  <c r="N3006" i="120" s="1"/>
  <c r="H2721" i="120"/>
  <c r="N2721" i="120" s="1"/>
  <c r="F3114" i="120"/>
  <c r="H3114" i="120" s="1"/>
  <c r="N3114" i="120" s="1"/>
  <c r="H2730" i="120"/>
  <c r="N2730" i="120" s="1"/>
  <c r="F3123" i="120"/>
  <c r="H3123" i="120" s="1"/>
  <c r="N3123" i="120" s="1"/>
  <c r="F3071" i="120"/>
  <c r="H3071" i="120" s="1"/>
  <c r="N3071" i="120" s="1"/>
  <c r="H2678" i="120"/>
  <c r="N2678" i="120" s="1"/>
  <c r="F3032" i="120"/>
  <c r="H3032" i="120" s="1"/>
  <c r="N3032" i="120" s="1"/>
  <c r="H2639" i="120"/>
  <c r="N2639" i="120" s="1"/>
  <c r="H2666" i="120"/>
  <c r="N2666" i="120" s="1"/>
  <c r="F3059" i="120"/>
  <c r="H3059" i="120" s="1"/>
  <c r="N3059" i="120" s="1"/>
  <c r="F3084" i="120"/>
  <c r="H3084" i="120" s="1"/>
  <c r="N3084" i="120" s="1"/>
  <c r="H2691" i="120"/>
  <c r="N2691" i="120" s="1"/>
  <c r="H2744" i="120"/>
  <c r="N2744" i="120" s="1"/>
  <c r="F3137" i="120"/>
  <c r="H3137" i="120" s="1"/>
  <c r="N3137" i="120" s="1"/>
  <c r="F3090" i="120"/>
  <c r="H3090" i="120" s="1"/>
  <c r="N3090" i="120" s="1"/>
  <c r="H2697" i="120"/>
  <c r="N2697" i="120" s="1"/>
  <c r="H2739" i="120"/>
  <c r="N2739" i="120" s="1"/>
  <c r="F3132" i="120"/>
  <c r="H3132" i="120" s="1"/>
  <c r="N3132" i="120" s="1"/>
  <c r="F2999" i="120"/>
  <c r="H2999" i="120" s="1"/>
  <c r="N2999" i="120" s="1"/>
  <c r="H2606" i="120"/>
  <c r="N2606" i="120" s="1"/>
  <c r="F3073" i="120"/>
  <c r="H3073" i="120" s="1"/>
  <c r="N3073" i="120" s="1"/>
  <c r="H2680" i="120"/>
  <c r="N2680" i="120" s="1"/>
  <c r="H2595" i="120"/>
  <c r="N2595" i="120" s="1"/>
  <c r="F2988" i="120"/>
  <c r="H2988" i="120" s="1"/>
  <c r="N2988" i="120" s="1"/>
  <c r="F2989" i="120"/>
  <c r="H2989" i="120" s="1"/>
  <c r="N2989" i="120" s="1"/>
  <c r="H2596" i="120"/>
  <c r="N2596" i="120" s="1"/>
  <c r="F3036" i="120"/>
  <c r="H3036" i="120" s="1"/>
  <c r="N3036" i="120" s="1"/>
  <c r="H2643" i="120"/>
  <c r="N2643" i="120" s="1"/>
  <c r="G1209" i="120"/>
  <c r="G1184" i="120"/>
  <c r="C502" i="120"/>
  <c r="C895" i="120" s="1"/>
  <c r="C1288" i="120" s="1"/>
  <c r="C1681" i="120" s="1"/>
  <c r="C2074" i="120" s="1"/>
  <c r="C2467" i="120" s="1"/>
  <c r="C2860" i="120" s="1"/>
  <c r="F405" i="120" l="1"/>
  <c r="H12" i="120"/>
  <c r="N12" i="120" s="1"/>
  <c r="F483" i="120"/>
  <c r="H90" i="120"/>
  <c r="N90" i="120" s="1"/>
  <c r="F413" i="120"/>
  <c r="H20" i="120"/>
  <c r="N20" i="120" s="1"/>
  <c r="H51" i="120"/>
  <c r="N51" i="120" s="1"/>
  <c r="F444" i="120"/>
  <c r="H398" i="120"/>
  <c r="N398" i="120" s="1"/>
  <c r="H39" i="120"/>
  <c r="N39" i="120" s="1"/>
  <c r="F432" i="120"/>
  <c r="H32" i="120"/>
  <c r="N32" i="120" s="1"/>
  <c r="F425" i="120"/>
  <c r="F812" i="120"/>
  <c r="H419" i="120"/>
  <c r="N419" i="120" s="1"/>
  <c r="H479" i="120"/>
  <c r="N479" i="120" s="1"/>
  <c r="F872" i="120"/>
  <c r="H91" i="120"/>
  <c r="N91" i="120" s="1"/>
  <c r="F484" i="120"/>
  <c r="H98" i="120"/>
  <c r="N98" i="120" s="1"/>
  <c r="F491" i="120"/>
  <c r="H498" i="120"/>
  <c r="N498" i="120" s="1"/>
  <c r="F891" i="120"/>
  <c r="H33" i="120"/>
  <c r="N33" i="120" s="1"/>
  <c r="F426" i="120"/>
  <c r="H42" i="120"/>
  <c r="N42" i="120" s="1"/>
  <c r="F435" i="120"/>
  <c r="H102" i="120"/>
  <c r="N102" i="120" s="1"/>
  <c r="F495" i="120"/>
  <c r="F421" i="120"/>
  <c r="H28" i="120"/>
  <c r="N28" i="120" s="1"/>
  <c r="H110" i="120"/>
  <c r="N110" i="120" s="1"/>
  <c r="F503" i="120"/>
  <c r="G1602" i="120"/>
  <c r="G1577" i="120"/>
  <c r="H48" i="120"/>
  <c r="N48" i="120" s="1"/>
  <c r="F441" i="120"/>
  <c r="H37" i="120"/>
  <c r="N37" i="120" s="1"/>
  <c r="F430" i="120"/>
  <c r="H41" i="120"/>
  <c r="N41" i="120" s="1"/>
  <c r="F434" i="120"/>
  <c r="H30" i="120"/>
  <c r="N30" i="120" s="1"/>
  <c r="F423" i="120"/>
  <c r="H97" i="120"/>
  <c r="N97" i="120" s="1"/>
  <c r="F490" i="120"/>
  <c r="H21" i="120"/>
  <c r="N21" i="120" s="1"/>
  <c r="F414" i="120"/>
  <c r="F411" i="120"/>
  <c r="H18" i="120"/>
  <c r="N18" i="120" s="1"/>
  <c r="F871" i="120"/>
  <c r="H478" i="120"/>
  <c r="N478" i="120" s="1"/>
  <c r="H27" i="120"/>
  <c r="N27" i="120" s="1"/>
  <c r="F420" i="120"/>
  <c r="H95" i="120"/>
  <c r="N95" i="120" s="1"/>
  <c r="F488" i="120"/>
  <c r="F443" i="120"/>
  <c r="H50" i="120"/>
  <c r="N50" i="120" s="1"/>
  <c r="F873" i="120"/>
  <c r="H480" i="120"/>
  <c r="N480" i="120" s="1"/>
  <c r="H46" i="120"/>
  <c r="N46" i="120" s="1"/>
  <c r="F439" i="120"/>
  <c r="F437" i="120"/>
  <c r="H44" i="120"/>
  <c r="N44" i="120" s="1"/>
  <c r="F433" i="120"/>
  <c r="H40" i="120"/>
  <c r="N40" i="120" s="1"/>
  <c r="H38" i="120"/>
  <c r="N38" i="120" s="1"/>
  <c r="F431" i="120"/>
  <c r="F485" i="120"/>
  <c r="H92" i="120"/>
  <c r="N92" i="120" s="1"/>
  <c r="H19" i="120"/>
  <c r="N19" i="120" s="1"/>
  <c r="F412" i="120"/>
  <c r="F867" i="120"/>
  <c r="H474" i="120"/>
  <c r="N474" i="120" s="1"/>
  <c r="F429" i="120"/>
  <c r="H36" i="120"/>
  <c r="N36" i="120" s="1"/>
  <c r="F407" i="120"/>
  <c r="H14" i="120"/>
  <c r="N14" i="120" s="1"/>
  <c r="H13" i="120"/>
  <c r="N13" i="120" s="1"/>
  <c r="F406" i="120"/>
  <c r="H111" i="120"/>
  <c r="N111" i="120" s="1"/>
  <c r="F504" i="120"/>
  <c r="F415" i="120"/>
  <c r="H22" i="120"/>
  <c r="N22" i="120" s="1"/>
  <c r="H25" i="120"/>
  <c r="N25" i="120" s="1"/>
  <c r="F418" i="120"/>
  <c r="H445" i="120"/>
  <c r="N445" i="120" s="1"/>
  <c r="F838" i="120"/>
  <c r="H31" i="120"/>
  <c r="N31" i="120" s="1"/>
  <c r="F424" i="120"/>
  <c r="H16" i="120"/>
  <c r="N16" i="120" s="1"/>
  <c r="F409" i="120"/>
  <c r="H104" i="120"/>
  <c r="N104" i="120" s="1"/>
  <c r="F497" i="120"/>
  <c r="F446" i="120"/>
  <c r="H53" i="120"/>
  <c r="N53" i="120" s="1"/>
  <c r="F829" i="120"/>
  <c r="H436" i="120"/>
  <c r="N436" i="120" s="1"/>
  <c r="H29" i="120"/>
  <c r="N29" i="120" s="1"/>
  <c r="F422" i="120"/>
  <c r="H410" i="120"/>
  <c r="N410" i="120" s="1"/>
  <c r="F803" i="120"/>
  <c r="F499" i="120"/>
  <c r="H106" i="120"/>
  <c r="N106" i="120" s="1"/>
  <c r="F493" i="120"/>
  <c r="H100" i="120"/>
  <c r="N100" i="120" s="1"/>
  <c r="H54" i="120"/>
  <c r="N54" i="120" s="1"/>
  <c r="F447" i="120"/>
  <c r="H23" i="120"/>
  <c r="N23" i="120" s="1"/>
  <c r="F416" i="120"/>
  <c r="F889" i="120"/>
  <c r="H496" i="120"/>
  <c r="N496" i="120" s="1"/>
  <c r="F440" i="120"/>
  <c r="H47" i="120"/>
  <c r="N47" i="120" s="1"/>
  <c r="F821" i="120"/>
  <c r="H428" i="120"/>
  <c r="N428" i="120" s="1"/>
  <c r="H49" i="120"/>
  <c r="N49" i="120" s="1"/>
  <c r="F442" i="120"/>
  <c r="C482" i="120"/>
  <c r="C875" i="120" s="1"/>
  <c r="C1268" i="120" s="1"/>
  <c r="C1661" i="120" s="1"/>
  <c r="C2054" i="120" s="1"/>
  <c r="C2447" i="120" s="1"/>
  <c r="C2840" i="120" s="1"/>
  <c r="H437" i="120" l="1"/>
  <c r="N437" i="120" s="1"/>
  <c r="F830" i="120"/>
  <c r="F804" i="120"/>
  <c r="H411" i="120"/>
  <c r="N411" i="120" s="1"/>
  <c r="H889" i="120"/>
  <c r="N889" i="120" s="1"/>
  <c r="F1282" i="120"/>
  <c r="F815" i="120"/>
  <c r="H422" i="120"/>
  <c r="N422" i="120" s="1"/>
  <c r="F811" i="120"/>
  <c r="H418" i="120"/>
  <c r="N418" i="120" s="1"/>
  <c r="F881" i="120"/>
  <c r="H488" i="120"/>
  <c r="N488" i="120" s="1"/>
  <c r="F809" i="120"/>
  <c r="H416" i="120"/>
  <c r="N416" i="120" s="1"/>
  <c r="H435" i="120"/>
  <c r="N435" i="120" s="1"/>
  <c r="F828" i="120"/>
  <c r="F806" i="120"/>
  <c r="H413" i="120"/>
  <c r="N413" i="120" s="1"/>
  <c r="F802" i="120"/>
  <c r="H409" i="120"/>
  <c r="N409" i="120" s="1"/>
  <c r="H96" i="120"/>
  <c r="N96" i="120" s="1"/>
  <c r="F489" i="120"/>
  <c r="H439" i="120"/>
  <c r="N439" i="120" s="1"/>
  <c r="F832" i="120"/>
  <c r="F813" i="120"/>
  <c r="H420" i="120"/>
  <c r="N420" i="120" s="1"/>
  <c r="H490" i="120"/>
  <c r="N490" i="120" s="1"/>
  <c r="F883" i="120"/>
  <c r="F834" i="120"/>
  <c r="H441" i="120"/>
  <c r="N441" i="120" s="1"/>
  <c r="H447" i="120"/>
  <c r="N447" i="120" s="1"/>
  <c r="F840" i="120"/>
  <c r="H99" i="120"/>
  <c r="N99" i="120" s="1"/>
  <c r="F492" i="120"/>
  <c r="H829" i="120"/>
  <c r="N829" i="120" s="1"/>
  <c r="F1222" i="120"/>
  <c r="H415" i="120"/>
  <c r="N415" i="120" s="1"/>
  <c r="F808" i="120"/>
  <c r="H485" i="120"/>
  <c r="N485" i="120" s="1"/>
  <c r="F878" i="120"/>
  <c r="H503" i="120"/>
  <c r="N503" i="120" s="1"/>
  <c r="F896" i="120"/>
  <c r="H426" i="120"/>
  <c r="N426" i="120" s="1"/>
  <c r="F819" i="120"/>
  <c r="F1265" i="120"/>
  <c r="H872" i="120"/>
  <c r="N872" i="120" s="1"/>
  <c r="H117" i="120"/>
  <c r="N117" i="120" s="1"/>
  <c r="F510" i="120"/>
  <c r="F876" i="120"/>
  <c r="H483" i="120"/>
  <c r="N483" i="120" s="1"/>
  <c r="F1260" i="120"/>
  <c r="H867" i="120"/>
  <c r="N867" i="120" s="1"/>
  <c r="F836" i="120"/>
  <c r="H443" i="120"/>
  <c r="N443" i="120" s="1"/>
  <c r="F888" i="120"/>
  <c r="H495" i="120"/>
  <c r="N495" i="120" s="1"/>
  <c r="H425" i="120"/>
  <c r="N425" i="120" s="1"/>
  <c r="F818" i="120"/>
  <c r="H499" i="120"/>
  <c r="N499" i="120" s="1"/>
  <c r="F892" i="120"/>
  <c r="F807" i="120"/>
  <c r="H414" i="120"/>
  <c r="N414" i="120" s="1"/>
  <c r="H442" i="120"/>
  <c r="N442" i="120" s="1"/>
  <c r="F835" i="120"/>
  <c r="F1196" i="120"/>
  <c r="H803" i="120"/>
  <c r="N803" i="120" s="1"/>
  <c r="H407" i="120"/>
  <c r="N407" i="120" s="1"/>
  <c r="F800" i="120"/>
  <c r="H432" i="120"/>
  <c r="N432" i="120" s="1"/>
  <c r="F825" i="120"/>
  <c r="F1214" i="120"/>
  <c r="H821" i="120"/>
  <c r="N821" i="120" s="1"/>
  <c r="H424" i="120"/>
  <c r="N424" i="120" s="1"/>
  <c r="F817" i="120"/>
  <c r="F897" i="120"/>
  <c r="H504" i="120"/>
  <c r="N504" i="120" s="1"/>
  <c r="H431" i="120"/>
  <c r="N431" i="120" s="1"/>
  <c r="F824" i="120"/>
  <c r="F816" i="120"/>
  <c r="H423" i="120"/>
  <c r="N423" i="120" s="1"/>
  <c r="F826" i="120"/>
  <c r="H433" i="120"/>
  <c r="N433" i="120" s="1"/>
  <c r="F884" i="120"/>
  <c r="H491" i="120"/>
  <c r="N491" i="120" s="1"/>
  <c r="F805" i="120"/>
  <c r="H412" i="120"/>
  <c r="N412" i="120" s="1"/>
  <c r="F823" i="120"/>
  <c r="H430" i="120"/>
  <c r="N430" i="120" s="1"/>
  <c r="H484" i="120"/>
  <c r="N484" i="120" s="1"/>
  <c r="F877" i="120"/>
  <c r="F839" i="120"/>
  <c r="H446" i="120"/>
  <c r="N446" i="120" s="1"/>
  <c r="H429" i="120"/>
  <c r="N429" i="120" s="1"/>
  <c r="F822" i="120"/>
  <c r="H873" i="120"/>
  <c r="N873" i="120" s="1"/>
  <c r="F1266" i="120"/>
  <c r="F1264" i="120"/>
  <c r="H871" i="120"/>
  <c r="N871" i="120" s="1"/>
  <c r="G1995" i="120"/>
  <c r="G1970" i="120"/>
  <c r="F1284" i="120"/>
  <c r="H891" i="120"/>
  <c r="N891" i="120" s="1"/>
  <c r="F798" i="120"/>
  <c r="H405" i="120"/>
  <c r="F833" i="120"/>
  <c r="H440" i="120"/>
  <c r="N440" i="120" s="1"/>
  <c r="F886" i="120"/>
  <c r="H493" i="120"/>
  <c r="N493" i="120" s="1"/>
  <c r="F890" i="120"/>
  <c r="H497" i="120"/>
  <c r="N497" i="120" s="1"/>
  <c r="F1231" i="120"/>
  <c r="H838" i="120"/>
  <c r="N838" i="120" s="1"/>
  <c r="F799" i="120"/>
  <c r="H406" i="120"/>
  <c r="N406" i="120" s="1"/>
  <c r="F827" i="120"/>
  <c r="H434" i="120"/>
  <c r="N434" i="120" s="1"/>
  <c r="H421" i="120"/>
  <c r="N421" i="120" s="1"/>
  <c r="F814" i="120"/>
  <c r="F1205" i="120"/>
  <c r="H812" i="120"/>
  <c r="N812" i="120" s="1"/>
  <c r="F837" i="120"/>
  <c r="H444" i="120"/>
  <c r="N444" i="120" s="1"/>
  <c r="C483" i="120"/>
  <c r="C876" i="120" s="1"/>
  <c r="C1269" i="120" s="1"/>
  <c r="C1662" i="120" s="1"/>
  <c r="C2055" i="120" s="1"/>
  <c r="C2448" i="120" s="1"/>
  <c r="C2841" i="120" s="1"/>
  <c r="H1196" i="120" l="1"/>
  <c r="N1196" i="120" s="1"/>
  <c r="F1589" i="120"/>
  <c r="F1289" i="120"/>
  <c r="H896" i="120"/>
  <c r="N896" i="120" s="1"/>
  <c r="F1215" i="120"/>
  <c r="H822" i="120"/>
  <c r="N822" i="120" s="1"/>
  <c r="F1276" i="120"/>
  <c r="H883" i="120"/>
  <c r="N883" i="120" s="1"/>
  <c r="G2388" i="120"/>
  <c r="G2363" i="120"/>
  <c r="F1232" i="120"/>
  <c r="H839" i="120"/>
  <c r="N839" i="120" s="1"/>
  <c r="F1277" i="120"/>
  <c r="H884" i="120"/>
  <c r="N884" i="120" s="1"/>
  <c r="F1233" i="120"/>
  <c r="H840" i="120"/>
  <c r="N840" i="120" s="1"/>
  <c r="H813" i="120"/>
  <c r="N813" i="120" s="1"/>
  <c r="F1206" i="120"/>
  <c r="F1223" i="120"/>
  <c r="H830" i="120"/>
  <c r="N830" i="120" s="1"/>
  <c r="F1191" i="120"/>
  <c r="H798" i="120"/>
  <c r="F1184" i="120"/>
  <c r="F1216" i="120"/>
  <c r="H823" i="120"/>
  <c r="N823" i="120" s="1"/>
  <c r="H818" i="120"/>
  <c r="N818" i="120" s="1"/>
  <c r="F1211" i="120"/>
  <c r="H1222" i="120"/>
  <c r="N1222" i="120" s="1"/>
  <c r="F1615" i="120"/>
  <c r="F1675" i="120"/>
  <c r="H1282" i="120"/>
  <c r="N1282" i="120" s="1"/>
  <c r="F1269" i="120"/>
  <c r="H876" i="120"/>
  <c r="N876" i="120" s="1"/>
  <c r="H1214" i="120"/>
  <c r="N1214" i="120" s="1"/>
  <c r="F1607" i="120"/>
  <c r="H878" i="120"/>
  <c r="N878" i="120" s="1"/>
  <c r="F1271" i="120"/>
  <c r="F885" i="120"/>
  <c r="H492" i="120"/>
  <c r="N492" i="120" s="1"/>
  <c r="F1220" i="120"/>
  <c r="H827" i="120"/>
  <c r="N827" i="120" s="1"/>
  <c r="H886" i="120"/>
  <c r="N886" i="120" s="1"/>
  <c r="F1279" i="120"/>
  <c r="F1217" i="120"/>
  <c r="H824" i="120"/>
  <c r="N824" i="120" s="1"/>
  <c r="F1281" i="120"/>
  <c r="H888" i="120"/>
  <c r="N888" i="120" s="1"/>
  <c r="H881" i="120"/>
  <c r="N881" i="120" s="1"/>
  <c r="F1274" i="120"/>
  <c r="H804" i="120"/>
  <c r="N804" i="120" s="1"/>
  <c r="F1197" i="120"/>
  <c r="H837" i="120"/>
  <c r="N837" i="120" s="1"/>
  <c r="F1230" i="120"/>
  <c r="H799" i="120"/>
  <c r="N799" i="120" s="1"/>
  <c r="F1192" i="120"/>
  <c r="F1226" i="120"/>
  <c r="H833" i="120"/>
  <c r="N833" i="120" s="1"/>
  <c r="H877" i="120"/>
  <c r="N877" i="120" s="1"/>
  <c r="F1270" i="120"/>
  <c r="H800" i="120"/>
  <c r="N800" i="120" s="1"/>
  <c r="F1193" i="120"/>
  <c r="F1200" i="120"/>
  <c r="H807" i="120"/>
  <c r="N807" i="120" s="1"/>
  <c r="H836" i="120"/>
  <c r="N836" i="120" s="1"/>
  <c r="F1229" i="120"/>
  <c r="F1658" i="120"/>
  <c r="H1265" i="120"/>
  <c r="N1265" i="120" s="1"/>
  <c r="F1225" i="120"/>
  <c r="H832" i="120"/>
  <c r="N832" i="120" s="1"/>
  <c r="H806" i="120"/>
  <c r="N806" i="120" s="1"/>
  <c r="F1199" i="120"/>
  <c r="F1204" i="120"/>
  <c r="H811" i="120"/>
  <c r="N811" i="120" s="1"/>
  <c r="F1207" i="120"/>
  <c r="H814" i="120"/>
  <c r="N814" i="120" s="1"/>
  <c r="F1227" i="120"/>
  <c r="H834" i="120"/>
  <c r="N834" i="120" s="1"/>
  <c r="F1228" i="120"/>
  <c r="H835" i="120"/>
  <c r="N835" i="120" s="1"/>
  <c r="H809" i="120"/>
  <c r="N809" i="120" s="1"/>
  <c r="F1202" i="120"/>
  <c r="F1677" i="120"/>
  <c r="H1284" i="120"/>
  <c r="N1284" i="120" s="1"/>
  <c r="H805" i="120"/>
  <c r="N805" i="120" s="1"/>
  <c r="F1198" i="120"/>
  <c r="H816" i="120"/>
  <c r="N816" i="120" s="1"/>
  <c r="F1209" i="120"/>
  <c r="H510" i="120"/>
  <c r="N510" i="120" s="1"/>
  <c r="F903" i="120"/>
  <c r="F1195" i="120"/>
  <c r="H802" i="120"/>
  <c r="N802" i="120" s="1"/>
  <c r="F791" i="120"/>
  <c r="H1264" i="120"/>
  <c r="N1264" i="120" s="1"/>
  <c r="F1657" i="120"/>
  <c r="F1219" i="120"/>
  <c r="H826" i="120"/>
  <c r="N826" i="120" s="1"/>
  <c r="F1290" i="120"/>
  <c r="H897" i="120"/>
  <c r="N897" i="120" s="1"/>
  <c r="H892" i="120"/>
  <c r="N892" i="120" s="1"/>
  <c r="F1285" i="120"/>
  <c r="F1212" i="120"/>
  <c r="H819" i="120"/>
  <c r="N819" i="120" s="1"/>
  <c r="H808" i="120"/>
  <c r="N808" i="120" s="1"/>
  <c r="F1201" i="120"/>
  <c r="F1221" i="120"/>
  <c r="H828" i="120"/>
  <c r="N828" i="120" s="1"/>
  <c r="F1283" i="120"/>
  <c r="H890" i="120"/>
  <c r="N890" i="120" s="1"/>
  <c r="F1218" i="120"/>
  <c r="H825" i="120"/>
  <c r="N825" i="120" s="1"/>
  <c r="H1205" i="120"/>
  <c r="N1205" i="120" s="1"/>
  <c r="F1598" i="120"/>
  <c r="H1231" i="120"/>
  <c r="N1231" i="120" s="1"/>
  <c r="F1624" i="120"/>
  <c r="N405" i="120"/>
  <c r="N791" i="120" s="1"/>
  <c r="F1659" i="120"/>
  <c r="H1266" i="120"/>
  <c r="N1266" i="120" s="1"/>
  <c r="H817" i="120"/>
  <c r="N817" i="120" s="1"/>
  <c r="F1210" i="120"/>
  <c r="F1653" i="120"/>
  <c r="H1260" i="120"/>
  <c r="N1260" i="120" s="1"/>
  <c r="H489" i="120"/>
  <c r="N489" i="120" s="1"/>
  <c r="F882" i="120"/>
  <c r="H815" i="120"/>
  <c r="N815" i="120" s="1"/>
  <c r="F1208" i="120"/>
  <c r="C484" i="120"/>
  <c r="C877" i="120" s="1"/>
  <c r="C1270" i="120" s="1"/>
  <c r="C1663" i="120" s="1"/>
  <c r="C2056" i="120" s="1"/>
  <c r="C2449" i="120" s="1"/>
  <c r="C2842" i="120" s="1"/>
  <c r="F1676" i="120" l="1"/>
  <c r="H1283" i="120"/>
  <c r="N1283" i="120" s="1"/>
  <c r="H1233" i="120"/>
  <c r="N1233" i="120" s="1"/>
  <c r="F1626" i="120"/>
  <c r="H1624" i="120"/>
  <c r="N1624" i="120" s="1"/>
  <c r="F2017" i="120"/>
  <c r="F1588" i="120"/>
  <c r="H1195" i="120"/>
  <c r="N1195" i="120" s="1"/>
  <c r="F1683" i="120"/>
  <c r="H1290" i="120"/>
  <c r="N1290" i="120" s="1"/>
  <c r="H1230" i="120"/>
  <c r="N1230" i="120" s="1"/>
  <c r="F1623" i="120"/>
  <c r="H1598" i="120"/>
  <c r="N1598" i="120" s="1"/>
  <c r="F1991" i="120"/>
  <c r="F1600" i="120"/>
  <c r="H1207" i="120"/>
  <c r="N1207" i="120" s="1"/>
  <c r="H1217" i="120"/>
  <c r="N1217" i="120" s="1"/>
  <c r="F1610" i="120"/>
  <c r="H1215" i="120"/>
  <c r="N1215" i="120" s="1"/>
  <c r="F1608" i="120"/>
  <c r="H1219" i="120"/>
  <c r="N1219" i="120" s="1"/>
  <c r="F1612" i="120"/>
  <c r="F1602" i="120"/>
  <c r="H1209" i="120"/>
  <c r="N1209" i="120" s="1"/>
  <c r="F1663" i="120"/>
  <c r="H1270" i="120"/>
  <c r="N1270" i="120" s="1"/>
  <c r="F1590" i="120"/>
  <c r="H1197" i="120"/>
  <c r="N1197" i="120" s="1"/>
  <c r="H1279" i="120"/>
  <c r="N1279" i="120" s="1"/>
  <c r="F1672" i="120"/>
  <c r="H1607" i="120"/>
  <c r="N1607" i="120" s="1"/>
  <c r="F2000" i="120"/>
  <c r="F1604" i="120"/>
  <c r="H1211" i="120"/>
  <c r="N1211" i="120" s="1"/>
  <c r="H1223" i="120"/>
  <c r="N1223" i="120" s="1"/>
  <c r="F1616" i="120"/>
  <c r="H1232" i="120"/>
  <c r="N1232" i="120" s="1"/>
  <c r="F1625" i="120"/>
  <c r="H1192" i="120"/>
  <c r="N1192" i="120" s="1"/>
  <c r="F1585" i="120"/>
  <c r="H1200" i="120"/>
  <c r="N1200" i="120" s="1"/>
  <c r="F1593" i="120"/>
  <c r="H1276" i="120"/>
  <c r="N1276" i="120" s="1"/>
  <c r="F1669" i="120"/>
  <c r="H1221" i="120"/>
  <c r="N1221" i="120" s="1"/>
  <c r="F1614" i="120"/>
  <c r="H1271" i="120"/>
  <c r="N1271" i="120" s="1"/>
  <c r="F1664" i="120"/>
  <c r="F1584" i="120"/>
  <c r="H1191" i="120"/>
  <c r="F1601" i="120"/>
  <c r="H1208" i="120"/>
  <c r="N1208" i="120" s="1"/>
  <c r="F2050" i="120"/>
  <c r="H1657" i="120"/>
  <c r="N1657" i="120" s="1"/>
  <c r="H1228" i="120"/>
  <c r="N1228" i="120" s="1"/>
  <c r="F1621" i="120"/>
  <c r="F1597" i="120"/>
  <c r="H1204" i="120"/>
  <c r="N1204" i="120" s="1"/>
  <c r="F2051" i="120"/>
  <c r="H1658" i="120"/>
  <c r="N1658" i="120" s="1"/>
  <c r="F1599" i="120"/>
  <c r="H1206" i="120"/>
  <c r="N1206" i="120" s="1"/>
  <c r="H1289" i="120"/>
  <c r="N1289" i="120" s="1"/>
  <c r="F1682" i="120"/>
  <c r="F2070" i="120"/>
  <c r="H1677" i="120"/>
  <c r="N1677" i="120" s="1"/>
  <c r="H1281" i="120"/>
  <c r="N1281" i="120" s="1"/>
  <c r="F1674" i="120"/>
  <c r="F2068" i="120"/>
  <c r="H1675" i="120"/>
  <c r="N1675" i="120" s="1"/>
  <c r="H1202" i="120"/>
  <c r="N1202" i="120" s="1"/>
  <c r="F1595" i="120"/>
  <c r="H1277" i="120"/>
  <c r="N1277" i="120" s="1"/>
  <c r="F1670" i="120"/>
  <c r="H1210" i="120"/>
  <c r="N1210" i="120" s="1"/>
  <c r="F1603" i="120"/>
  <c r="H1659" i="120"/>
  <c r="N1659" i="120" s="1"/>
  <c r="F2052" i="120"/>
  <c r="F1611" i="120"/>
  <c r="H1218" i="120"/>
  <c r="N1218" i="120" s="1"/>
  <c r="H1212" i="120"/>
  <c r="N1212" i="120" s="1"/>
  <c r="F1605" i="120"/>
  <c r="H1198" i="120"/>
  <c r="N1198" i="120" s="1"/>
  <c r="F1591" i="120"/>
  <c r="H1199" i="120"/>
  <c r="N1199" i="120" s="1"/>
  <c r="F1592" i="120"/>
  <c r="F1622" i="120"/>
  <c r="H1229" i="120"/>
  <c r="N1229" i="120" s="1"/>
  <c r="F1667" i="120"/>
  <c r="H1274" i="120"/>
  <c r="N1274" i="120" s="1"/>
  <c r="G2781" i="120"/>
  <c r="G3149" i="120" s="1"/>
  <c r="G2756" i="120"/>
  <c r="F1982" i="120"/>
  <c r="H1589" i="120"/>
  <c r="N1589" i="120" s="1"/>
  <c r="H1225" i="120"/>
  <c r="N1225" i="120" s="1"/>
  <c r="F1618" i="120"/>
  <c r="F1278" i="120"/>
  <c r="H885" i="120"/>
  <c r="N885" i="120" s="1"/>
  <c r="N798" i="120"/>
  <c r="N1184" i="120" s="1"/>
  <c r="F2046" i="120"/>
  <c r="H1653" i="120"/>
  <c r="N1653" i="120" s="1"/>
  <c r="F1296" i="120"/>
  <c r="H903" i="120"/>
  <c r="N903" i="120" s="1"/>
  <c r="F1586" i="120"/>
  <c r="H1193" i="120"/>
  <c r="N1193" i="120" s="1"/>
  <c r="F2008" i="120"/>
  <c r="H1615" i="120"/>
  <c r="N1615" i="120" s="1"/>
  <c r="H1201" i="120"/>
  <c r="N1201" i="120" s="1"/>
  <c r="F1594" i="120"/>
  <c r="F1275" i="120"/>
  <c r="H882" i="120"/>
  <c r="N882" i="120" s="1"/>
  <c r="H791" i="120"/>
  <c r="H1285" i="120"/>
  <c r="N1285" i="120" s="1"/>
  <c r="F1678" i="120"/>
  <c r="H1227" i="120"/>
  <c r="N1227" i="120" s="1"/>
  <c r="F1620" i="120"/>
  <c r="F1619" i="120"/>
  <c r="H1226" i="120"/>
  <c r="N1226" i="120" s="1"/>
  <c r="F1613" i="120"/>
  <c r="H1220" i="120"/>
  <c r="N1220" i="120" s="1"/>
  <c r="F1662" i="120"/>
  <c r="H1269" i="120"/>
  <c r="N1269" i="120" s="1"/>
  <c r="F1609" i="120"/>
  <c r="H1216" i="120"/>
  <c r="N1216" i="120" s="1"/>
  <c r="C485" i="120"/>
  <c r="C878" i="120" s="1"/>
  <c r="C1271" i="120" s="1"/>
  <c r="C1664" i="120" s="1"/>
  <c r="C2057" i="120" s="1"/>
  <c r="C2450" i="120" s="1"/>
  <c r="C2843" i="120" s="1"/>
  <c r="H1678" i="120" l="1"/>
  <c r="N1678" i="120" s="1"/>
  <c r="F2071" i="120"/>
  <c r="F2401" i="120"/>
  <c r="H2008" i="120"/>
  <c r="N2008" i="120" s="1"/>
  <c r="F2055" i="120"/>
  <c r="H1662" i="120"/>
  <c r="N1662" i="120" s="1"/>
  <c r="H1603" i="120"/>
  <c r="N1603" i="120" s="1"/>
  <c r="F1996" i="120"/>
  <c r="H1618" i="120"/>
  <c r="N1618" i="120" s="1"/>
  <c r="F2011" i="120"/>
  <c r="H1670" i="120"/>
  <c r="N1670" i="120" s="1"/>
  <c r="F2063" i="120"/>
  <c r="F1983" i="120"/>
  <c r="H1590" i="120"/>
  <c r="N1590" i="120" s="1"/>
  <c r="H1275" i="120"/>
  <c r="N1275" i="120" s="1"/>
  <c r="F1668" i="120"/>
  <c r="F1970" i="120" s="1"/>
  <c r="F1689" i="120"/>
  <c r="H1296" i="120"/>
  <c r="N1296" i="120" s="1"/>
  <c r="F2015" i="120"/>
  <c r="H1622" i="120"/>
  <c r="N1622" i="120" s="1"/>
  <c r="F2004" i="120"/>
  <c r="H1611" i="120"/>
  <c r="N1611" i="120" s="1"/>
  <c r="F2463" i="120"/>
  <c r="H2070" i="120"/>
  <c r="N2070" i="120" s="1"/>
  <c r="H1597" i="120"/>
  <c r="N1597" i="120" s="1"/>
  <c r="F1990" i="120"/>
  <c r="N1191" i="120"/>
  <c r="F1986" i="120"/>
  <c r="H1593" i="120"/>
  <c r="N1593" i="120" s="1"/>
  <c r="F2003" i="120"/>
  <c r="H1610" i="120"/>
  <c r="N1610" i="120" s="1"/>
  <c r="H1626" i="120"/>
  <c r="N1626" i="120" s="1"/>
  <c r="F2019" i="120"/>
  <c r="H1599" i="120"/>
  <c r="N1599" i="120" s="1"/>
  <c r="F1992" i="120"/>
  <c r="H2050" i="120"/>
  <c r="N2050" i="120" s="1"/>
  <c r="F2443" i="120"/>
  <c r="F2007" i="120"/>
  <c r="H1614" i="120"/>
  <c r="N1614" i="120" s="1"/>
  <c r="F2018" i="120"/>
  <c r="H1625" i="120"/>
  <c r="N1625" i="120" s="1"/>
  <c r="H1672" i="120"/>
  <c r="N1672" i="120" s="1"/>
  <c r="F2065" i="120"/>
  <c r="F2005" i="120"/>
  <c r="H1612" i="120"/>
  <c r="N1612" i="120" s="1"/>
  <c r="F1998" i="120"/>
  <c r="H1605" i="120"/>
  <c r="N1605" i="120" s="1"/>
  <c r="F2067" i="120"/>
  <c r="H1674" i="120"/>
  <c r="N1674" i="120" s="1"/>
  <c r="H1588" i="120"/>
  <c r="N1588" i="120" s="1"/>
  <c r="F1981" i="120"/>
  <c r="F1979" i="120"/>
  <c r="H1586" i="120"/>
  <c r="N1586" i="120" s="1"/>
  <c r="F1671" i="120"/>
  <c r="H1278" i="120"/>
  <c r="N1278" i="120" s="1"/>
  <c r="H1667" i="120"/>
  <c r="N1667" i="120" s="1"/>
  <c r="F2060" i="120"/>
  <c r="F2444" i="120"/>
  <c r="H2051" i="120"/>
  <c r="N2051" i="120" s="1"/>
  <c r="F1994" i="120"/>
  <c r="H1601" i="120"/>
  <c r="N1601" i="120" s="1"/>
  <c r="H1669" i="120"/>
  <c r="N1669" i="120" s="1"/>
  <c r="F2062" i="120"/>
  <c r="F2009" i="120"/>
  <c r="H1616" i="120"/>
  <c r="N1616" i="120" s="1"/>
  <c r="F2001" i="120"/>
  <c r="H1608" i="120"/>
  <c r="N1608" i="120" s="1"/>
  <c r="F2016" i="120"/>
  <c r="H1623" i="120"/>
  <c r="N1623" i="120" s="1"/>
  <c r="F2410" i="120"/>
  <c r="H2017" i="120"/>
  <c r="N2017" i="120" s="1"/>
  <c r="F2006" i="120"/>
  <c r="H1613" i="120"/>
  <c r="N1613" i="120" s="1"/>
  <c r="F1577" i="120"/>
  <c r="F2012" i="120"/>
  <c r="H1619" i="120"/>
  <c r="N1619" i="120" s="1"/>
  <c r="F1987" i="120"/>
  <c r="H1594" i="120"/>
  <c r="N1594" i="120" s="1"/>
  <c r="H1592" i="120"/>
  <c r="N1592" i="120" s="1"/>
  <c r="F1985" i="120"/>
  <c r="F2445" i="120"/>
  <c r="H2052" i="120"/>
  <c r="N2052" i="120" s="1"/>
  <c r="H1595" i="120"/>
  <c r="N1595" i="120" s="1"/>
  <c r="F1988" i="120"/>
  <c r="F2075" i="120"/>
  <c r="H1682" i="120"/>
  <c r="N1682" i="120" s="1"/>
  <c r="F2014" i="120"/>
  <c r="H1621" i="120"/>
  <c r="N1621" i="120" s="1"/>
  <c r="F1977" i="120"/>
  <c r="H1584" i="120"/>
  <c r="F1997" i="120"/>
  <c r="H1604" i="120"/>
  <c r="N1604" i="120" s="1"/>
  <c r="H1663" i="120"/>
  <c r="N1663" i="120" s="1"/>
  <c r="F2056" i="120"/>
  <c r="F2076" i="120"/>
  <c r="H1683" i="120"/>
  <c r="N1683" i="120" s="1"/>
  <c r="F2461" i="120"/>
  <c r="H2068" i="120"/>
  <c r="N2068" i="120" s="1"/>
  <c r="F2384" i="120"/>
  <c r="H1991" i="120"/>
  <c r="N1991" i="120" s="1"/>
  <c r="H1620" i="120"/>
  <c r="N1620" i="120" s="1"/>
  <c r="F2013" i="120"/>
  <c r="F2439" i="120"/>
  <c r="H2046" i="120"/>
  <c r="N2046" i="120" s="1"/>
  <c r="F2375" i="120"/>
  <c r="H1982" i="120"/>
  <c r="N1982" i="120" s="1"/>
  <c r="F2057" i="120"/>
  <c r="H1664" i="120"/>
  <c r="N1664" i="120" s="1"/>
  <c r="F1978" i="120"/>
  <c r="H1585" i="120"/>
  <c r="N1585" i="120" s="1"/>
  <c r="H2000" i="120"/>
  <c r="N2000" i="120" s="1"/>
  <c r="F2393" i="120"/>
  <c r="F2002" i="120"/>
  <c r="H1609" i="120"/>
  <c r="N1609" i="120" s="1"/>
  <c r="H1184" i="120"/>
  <c r="F1984" i="120"/>
  <c r="H1591" i="120"/>
  <c r="N1591" i="120" s="1"/>
  <c r="F1995" i="120"/>
  <c r="H1602" i="120"/>
  <c r="N1602" i="120" s="1"/>
  <c r="F1993" i="120"/>
  <c r="H1600" i="120"/>
  <c r="N1600" i="120" s="1"/>
  <c r="F2069" i="120"/>
  <c r="H1676" i="120"/>
  <c r="N1676" i="120" s="1"/>
  <c r="C486" i="120"/>
  <c r="C879" i="120" s="1"/>
  <c r="C1272" i="120" s="1"/>
  <c r="C1665" i="120" s="1"/>
  <c r="C2058" i="120" s="1"/>
  <c r="C2451" i="120" s="1"/>
  <c r="C2844" i="120" s="1"/>
  <c r="H2013" i="120" l="1"/>
  <c r="N2013" i="120" s="1"/>
  <c r="F2406" i="120"/>
  <c r="F2389" i="120"/>
  <c r="H1996" i="120"/>
  <c r="N1996" i="120" s="1"/>
  <c r="H1671" i="120"/>
  <c r="N1671" i="120" s="1"/>
  <c r="F2064" i="120"/>
  <c r="H2007" i="120"/>
  <c r="N2007" i="120" s="1"/>
  <c r="F2400" i="120"/>
  <c r="H2003" i="120"/>
  <c r="N2003" i="120" s="1"/>
  <c r="F2396" i="120"/>
  <c r="F2856" i="120"/>
  <c r="H2856" i="120" s="1"/>
  <c r="N2856" i="120" s="1"/>
  <c r="H2463" i="120"/>
  <c r="N2463" i="120" s="1"/>
  <c r="F2468" i="120"/>
  <c r="H2075" i="120"/>
  <c r="N2075" i="120" s="1"/>
  <c r="F2836" i="120"/>
  <c r="H2836" i="120" s="1"/>
  <c r="N2836" i="120" s="1"/>
  <c r="H2443" i="120"/>
  <c r="N2443" i="120" s="1"/>
  <c r="H1988" i="120"/>
  <c r="N1988" i="120" s="1"/>
  <c r="F2381" i="120"/>
  <c r="H2004" i="120"/>
  <c r="N2004" i="120" s="1"/>
  <c r="F2397" i="120"/>
  <c r="H1993" i="120"/>
  <c r="N1993" i="120" s="1"/>
  <c r="F2386" i="120"/>
  <c r="F2405" i="120"/>
  <c r="H2012" i="120"/>
  <c r="N2012" i="120" s="1"/>
  <c r="H1981" i="120"/>
  <c r="N1981" i="120" s="1"/>
  <c r="F2374" i="120"/>
  <c r="H2065" i="120"/>
  <c r="N2065" i="120" s="1"/>
  <c r="F2458" i="120"/>
  <c r="F2385" i="120"/>
  <c r="H1992" i="120"/>
  <c r="N1992" i="120" s="1"/>
  <c r="H1577" i="120"/>
  <c r="H2063" i="120"/>
  <c r="N2063" i="120" s="1"/>
  <c r="F2456" i="120"/>
  <c r="F2407" i="120"/>
  <c r="H2014" i="120"/>
  <c r="N2014" i="120" s="1"/>
  <c r="F2377" i="120"/>
  <c r="H1984" i="120"/>
  <c r="N1984" i="120" s="1"/>
  <c r="F2380" i="120"/>
  <c r="H1987" i="120"/>
  <c r="N1987" i="120" s="1"/>
  <c r="H2057" i="120"/>
  <c r="N2057" i="120" s="1"/>
  <c r="F2450" i="120"/>
  <c r="H1994" i="120"/>
  <c r="N1994" i="120" s="1"/>
  <c r="F2387" i="120"/>
  <c r="H1979" i="120"/>
  <c r="N1979" i="120" s="1"/>
  <c r="F2372" i="120"/>
  <c r="F2379" i="120"/>
  <c r="H1986" i="120"/>
  <c r="N1986" i="120" s="1"/>
  <c r="H1983" i="120"/>
  <c r="N1983" i="120" s="1"/>
  <c r="F2376" i="120"/>
  <c r="F2395" i="120"/>
  <c r="H2002" i="120"/>
  <c r="N2002" i="120" s="1"/>
  <c r="F2768" i="120"/>
  <c r="H2768" i="120" s="1"/>
  <c r="N2768" i="120" s="1"/>
  <c r="H2375" i="120"/>
  <c r="N2375" i="120" s="1"/>
  <c r="H2461" i="120"/>
  <c r="N2461" i="120" s="1"/>
  <c r="F2854" i="120"/>
  <c r="H2854" i="120" s="1"/>
  <c r="N2854" i="120" s="1"/>
  <c r="N1584" i="120"/>
  <c r="F2394" i="120"/>
  <c r="H2001" i="120"/>
  <c r="N2001" i="120" s="1"/>
  <c r="H2444" i="120"/>
  <c r="N2444" i="120" s="1"/>
  <c r="F2837" i="120"/>
  <c r="H2837" i="120" s="1"/>
  <c r="N2837" i="120" s="1"/>
  <c r="N1577" i="120"/>
  <c r="F2408" i="120"/>
  <c r="H2015" i="120"/>
  <c r="N2015" i="120" s="1"/>
  <c r="H2401" i="120"/>
  <c r="N2401" i="120" s="1"/>
  <c r="F2794" i="120"/>
  <c r="H2794" i="120" s="1"/>
  <c r="N2794" i="120" s="1"/>
  <c r="F2449" i="120"/>
  <c r="H2056" i="120"/>
  <c r="N2056" i="120" s="1"/>
  <c r="F2455" i="120"/>
  <c r="H2062" i="120"/>
  <c r="N2062" i="120" s="1"/>
  <c r="H1978" i="120"/>
  <c r="N1978" i="120" s="1"/>
  <c r="F2371" i="120"/>
  <c r="F2803" i="120"/>
  <c r="H2803" i="120" s="1"/>
  <c r="N2803" i="120" s="1"/>
  <c r="H2410" i="120"/>
  <c r="N2410" i="120" s="1"/>
  <c r="H1998" i="120"/>
  <c r="N1998" i="120" s="1"/>
  <c r="F2391" i="120"/>
  <c r="F2777" i="120"/>
  <c r="H2777" i="120" s="1"/>
  <c r="N2777" i="120" s="1"/>
  <c r="H2384" i="120"/>
  <c r="N2384" i="120" s="1"/>
  <c r="H2005" i="120"/>
  <c r="N2005" i="120" s="1"/>
  <c r="F2398" i="120"/>
  <c r="F2388" i="120"/>
  <c r="H1995" i="120"/>
  <c r="N1995" i="120" s="1"/>
  <c r="H2393" i="120"/>
  <c r="N2393" i="120" s="1"/>
  <c r="F2786" i="120"/>
  <c r="H2786" i="120" s="1"/>
  <c r="N2786" i="120" s="1"/>
  <c r="F2370" i="120"/>
  <c r="H1977" i="120"/>
  <c r="H2445" i="120"/>
  <c r="N2445" i="120" s="1"/>
  <c r="F2838" i="120"/>
  <c r="H2838" i="120" s="1"/>
  <c r="N2838" i="120" s="1"/>
  <c r="F2453" i="120"/>
  <c r="H2060" i="120"/>
  <c r="N2060" i="120" s="1"/>
  <c r="H2019" i="120"/>
  <c r="N2019" i="120" s="1"/>
  <c r="F2412" i="120"/>
  <c r="H1990" i="120"/>
  <c r="N1990" i="120" s="1"/>
  <c r="F2383" i="120"/>
  <c r="H2011" i="120"/>
  <c r="N2011" i="120" s="1"/>
  <c r="F2404" i="120"/>
  <c r="F2464" i="120"/>
  <c r="H2071" i="120"/>
  <c r="N2071" i="120" s="1"/>
  <c r="F2462" i="120"/>
  <c r="H2069" i="120"/>
  <c r="N2069" i="120" s="1"/>
  <c r="F2061" i="120"/>
  <c r="H1668" i="120"/>
  <c r="N1668" i="120" s="1"/>
  <c r="H1997" i="120"/>
  <c r="N1997" i="120" s="1"/>
  <c r="F2390" i="120"/>
  <c r="F2409" i="120"/>
  <c r="H2016" i="120"/>
  <c r="N2016" i="120" s="1"/>
  <c r="F2448" i="120"/>
  <c r="H2055" i="120"/>
  <c r="N2055" i="120" s="1"/>
  <c r="H2439" i="120"/>
  <c r="N2439" i="120" s="1"/>
  <c r="F2832" i="120"/>
  <c r="H2832" i="120" s="1"/>
  <c r="N2832" i="120" s="1"/>
  <c r="F2469" i="120"/>
  <c r="H2076" i="120"/>
  <c r="N2076" i="120" s="1"/>
  <c r="H1985" i="120"/>
  <c r="N1985" i="120" s="1"/>
  <c r="F2378" i="120"/>
  <c r="F2399" i="120"/>
  <c r="H2006" i="120"/>
  <c r="N2006" i="120" s="1"/>
  <c r="H2009" i="120"/>
  <c r="N2009" i="120" s="1"/>
  <c r="F2402" i="120"/>
  <c r="H2067" i="120"/>
  <c r="N2067" i="120" s="1"/>
  <c r="F2460" i="120"/>
  <c r="F2411" i="120"/>
  <c r="H2018" i="120"/>
  <c r="N2018" i="120" s="1"/>
  <c r="F2082" i="120"/>
  <c r="H1689" i="120"/>
  <c r="N1689" i="120" s="1"/>
  <c r="C487" i="120"/>
  <c r="C880" i="120" s="1"/>
  <c r="C1273" i="120" s="1"/>
  <c r="C1666" i="120" s="1"/>
  <c r="C2059" i="120" s="1"/>
  <c r="C2452" i="120" s="1"/>
  <c r="C2845" i="120" s="1"/>
  <c r="F2771" i="120" l="1"/>
  <c r="H2771" i="120" s="1"/>
  <c r="N2771" i="120" s="1"/>
  <c r="H2378" i="120"/>
  <c r="N2378" i="120" s="1"/>
  <c r="F2780" i="120"/>
  <c r="H2780" i="120" s="1"/>
  <c r="N2780" i="120" s="1"/>
  <c r="H2387" i="120"/>
  <c r="N2387" i="120" s="1"/>
  <c r="F2862" i="120"/>
  <c r="H2862" i="120" s="1"/>
  <c r="N2862" i="120" s="1"/>
  <c r="H2469" i="120"/>
  <c r="N2469" i="120" s="1"/>
  <c r="F2802" i="120"/>
  <c r="H2802" i="120" s="1"/>
  <c r="N2802" i="120" s="1"/>
  <c r="H2409" i="120"/>
  <c r="N2409" i="120" s="1"/>
  <c r="F2857" i="120"/>
  <c r="H2857" i="120" s="1"/>
  <c r="N2857" i="120" s="1"/>
  <c r="H2464" i="120"/>
  <c r="N2464" i="120" s="1"/>
  <c r="F2846" i="120"/>
  <c r="H2846" i="120" s="1"/>
  <c r="N2846" i="120" s="1"/>
  <c r="H2453" i="120"/>
  <c r="N2453" i="120" s="1"/>
  <c r="H2394" i="120"/>
  <c r="N2394" i="120" s="1"/>
  <c r="F2787" i="120"/>
  <c r="H2787" i="120" s="1"/>
  <c r="N2787" i="120" s="1"/>
  <c r="H2395" i="120"/>
  <c r="N2395" i="120" s="1"/>
  <c r="F2788" i="120"/>
  <c r="H2788" i="120" s="1"/>
  <c r="N2788" i="120" s="1"/>
  <c r="F2800" i="120"/>
  <c r="H2800" i="120" s="1"/>
  <c r="N2800" i="120" s="1"/>
  <c r="H2407" i="120"/>
  <c r="N2407" i="120" s="1"/>
  <c r="F2767" i="120"/>
  <c r="H2767" i="120" s="1"/>
  <c r="N2767" i="120" s="1"/>
  <c r="H2374" i="120"/>
  <c r="N2374" i="120" s="1"/>
  <c r="F2774" i="120"/>
  <c r="H2774" i="120" s="1"/>
  <c r="N2774" i="120" s="1"/>
  <c r="H2381" i="120"/>
  <c r="N2381" i="120" s="1"/>
  <c r="F2792" i="120"/>
  <c r="H2792" i="120" s="1"/>
  <c r="N2792" i="120" s="1"/>
  <c r="H2399" i="120"/>
  <c r="N2399" i="120" s="1"/>
  <c r="F2765" i="120"/>
  <c r="H2765" i="120" s="1"/>
  <c r="N2765" i="120" s="1"/>
  <c r="H2372" i="120"/>
  <c r="N2372" i="120" s="1"/>
  <c r="F2778" i="120"/>
  <c r="H2778" i="120" s="1"/>
  <c r="N2778" i="120" s="1"/>
  <c r="H2385" i="120"/>
  <c r="N2385" i="120" s="1"/>
  <c r="H2411" i="120"/>
  <c r="N2411" i="120" s="1"/>
  <c r="F2804" i="120"/>
  <c r="H2804" i="120" s="1"/>
  <c r="N2804" i="120" s="1"/>
  <c r="F2841" i="120"/>
  <c r="H2841" i="120" s="1"/>
  <c r="N2841" i="120" s="1"/>
  <c r="H2448" i="120"/>
  <c r="N2448" i="120" s="1"/>
  <c r="H2462" i="120"/>
  <c r="N2462" i="120" s="1"/>
  <c r="F2855" i="120"/>
  <c r="H2855" i="120" s="1"/>
  <c r="N2855" i="120" s="1"/>
  <c r="H2391" i="120"/>
  <c r="N2391" i="120" s="1"/>
  <c r="F2784" i="120"/>
  <c r="H2784" i="120" s="1"/>
  <c r="N2784" i="120" s="1"/>
  <c r="F2851" i="120"/>
  <c r="H2851" i="120" s="1"/>
  <c r="N2851" i="120" s="1"/>
  <c r="H2458" i="120"/>
  <c r="N2458" i="120" s="1"/>
  <c r="F2853" i="120"/>
  <c r="H2853" i="120" s="1"/>
  <c r="N2853" i="120" s="1"/>
  <c r="H2460" i="120"/>
  <c r="N2460" i="120" s="1"/>
  <c r="F2795" i="120"/>
  <c r="H2795" i="120" s="1"/>
  <c r="N2795" i="120" s="1"/>
  <c r="H2402" i="120"/>
  <c r="N2402" i="120" s="1"/>
  <c r="F2783" i="120"/>
  <c r="H2783" i="120" s="1"/>
  <c r="N2783" i="120" s="1"/>
  <c r="H2390" i="120"/>
  <c r="N2390" i="120" s="1"/>
  <c r="F2797" i="120"/>
  <c r="H2797" i="120" s="1"/>
  <c r="N2797" i="120" s="1"/>
  <c r="H2404" i="120"/>
  <c r="N2404" i="120" s="1"/>
  <c r="F2781" i="120"/>
  <c r="H2781" i="120" s="1"/>
  <c r="N2781" i="120" s="1"/>
  <c r="H2388" i="120"/>
  <c r="N2388" i="120" s="1"/>
  <c r="H1970" i="120"/>
  <c r="H2376" i="120"/>
  <c r="N2376" i="120" s="1"/>
  <c r="F2769" i="120"/>
  <c r="H2769" i="120" s="1"/>
  <c r="N2769" i="120" s="1"/>
  <c r="F2843" i="120"/>
  <c r="H2843" i="120" s="1"/>
  <c r="N2843" i="120" s="1"/>
  <c r="H2450" i="120"/>
  <c r="N2450" i="120" s="1"/>
  <c r="F2849" i="120"/>
  <c r="H2849" i="120" s="1"/>
  <c r="N2849" i="120" s="1"/>
  <c r="H2456" i="120"/>
  <c r="N2456" i="120" s="1"/>
  <c r="H2389" i="120"/>
  <c r="N2389" i="120" s="1"/>
  <c r="F2782" i="120"/>
  <c r="H2782" i="120" s="1"/>
  <c r="N2782" i="120" s="1"/>
  <c r="N1977" i="120"/>
  <c r="H2363" i="120"/>
  <c r="F2773" i="120"/>
  <c r="H2773" i="120" s="1"/>
  <c r="N2773" i="120" s="1"/>
  <c r="H2380" i="120"/>
  <c r="N2380" i="120" s="1"/>
  <c r="F2779" i="120"/>
  <c r="H2779" i="120" s="1"/>
  <c r="N2779" i="120" s="1"/>
  <c r="H2386" i="120"/>
  <c r="N2386" i="120" s="1"/>
  <c r="H2412" i="120"/>
  <c r="N2412" i="120" s="1"/>
  <c r="F2805" i="120"/>
  <c r="H2805" i="120" s="1"/>
  <c r="N2805" i="120" s="1"/>
  <c r="H2370" i="120"/>
  <c r="F2763" i="120"/>
  <c r="F2848" i="120"/>
  <c r="H2848" i="120" s="1"/>
  <c r="N2848" i="120" s="1"/>
  <c r="H2455" i="120"/>
  <c r="N2455" i="120" s="1"/>
  <c r="H2468" i="120"/>
  <c r="N2468" i="120" s="1"/>
  <c r="F2861" i="120"/>
  <c r="H2861" i="120" s="1"/>
  <c r="N2861" i="120" s="1"/>
  <c r="H2397" i="120"/>
  <c r="N2397" i="120" s="1"/>
  <c r="F2790" i="120"/>
  <c r="H2790" i="120" s="1"/>
  <c r="N2790" i="120" s="1"/>
  <c r="F2842" i="120"/>
  <c r="H2842" i="120" s="1"/>
  <c r="N2842" i="120" s="1"/>
  <c r="H2449" i="120"/>
  <c r="N2449" i="120" s="1"/>
  <c r="F2791" i="120"/>
  <c r="H2791" i="120" s="1"/>
  <c r="N2791" i="120" s="1"/>
  <c r="H2398" i="120"/>
  <c r="N2398" i="120" s="1"/>
  <c r="F2764" i="120"/>
  <c r="H2764" i="120" s="1"/>
  <c r="N2764" i="120" s="1"/>
  <c r="H2371" i="120"/>
  <c r="N2371" i="120" s="1"/>
  <c r="N1970" i="120"/>
  <c r="H2396" i="120"/>
  <c r="N2396" i="120" s="1"/>
  <c r="F2789" i="120"/>
  <c r="H2789" i="120" s="1"/>
  <c r="N2789" i="120" s="1"/>
  <c r="F2799" i="120"/>
  <c r="H2799" i="120" s="1"/>
  <c r="N2799" i="120" s="1"/>
  <c r="H2406" i="120"/>
  <c r="N2406" i="120" s="1"/>
  <c r="F2475" i="120"/>
  <c r="H2082" i="120"/>
  <c r="N2082" i="120" s="1"/>
  <c r="F2454" i="120"/>
  <c r="H2061" i="120"/>
  <c r="N2061" i="120" s="1"/>
  <c r="F2772" i="120"/>
  <c r="H2772" i="120" s="1"/>
  <c r="N2772" i="120" s="1"/>
  <c r="H2379" i="120"/>
  <c r="N2379" i="120" s="1"/>
  <c r="F2793" i="120"/>
  <c r="H2793" i="120" s="1"/>
  <c r="N2793" i="120" s="1"/>
  <c r="H2400" i="120"/>
  <c r="N2400" i="120" s="1"/>
  <c r="H2377" i="120"/>
  <c r="N2377" i="120" s="1"/>
  <c r="F2770" i="120"/>
  <c r="H2770" i="120" s="1"/>
  <c r="N2770" i="120" s="1"/>
  <c r="H2064" i="120"/>
  <c r="N2064" i="120" s="1"/>
  <c r="F2457" i="120"/>
  <c r="F2776" i="120"/>
  <c r="H2776" i="120" s="1"/>
  <c r="N2776" i="120" s="1"/>
  <c r="H2383" i="120"/>
  <c r="N2383" i="120" s="1"/>
  <c r="F2363" i="120"/>
  <c r="F2801" i="120"/>
  <c r="H2801" i="120" s="1"/>
  <c r="N2801" i="120" s="1"/>
  <c r="H2408" i="120"/>
  <c r="N2408" i="120" s="1"/>
  <c r="F2798" i="120"/>
  <c r="H2798" i="120" s="1"/>
  <c r="N2798" i="120" s="1"/>
  <c r="H2405" i="120"/>
  <c r="N2405" i="120" s="1"/>
  <c r="C488" i="120"/>
  <c r="C881" i="120" s="1"/>
  <c r="C1274" i="120" s="1"/>
  <c r="C1667" i="120" s="1"/>
  <c r="C2060" i="120" s="1"/>
  <c r="C2453" i="120" s="1"/>
  <c r="C2846" i="120" s="1"/>
  <c r="F2868" i="120" l="1"/>
  <c r="H2868" i="120" s="1"/>
  <c r="N2868" i="120" s="1"/>
  <c r="H2475" i="120"/>
  <c r="N2475" i="120" s="1"/>
  <c r="N2370" i="120"/>
  <c r="H2756" i="120"/>
  <c r="N2363" i="120"/>
  <c r="H2763" i="120"/>
  <c r="F2756" i="120"/>
  <c r="H2457" i="120"/>
  <c r="N2457" i="120" s="1"/>
  <c r="F2850" i="120"/>
  <c r="H2850" i="120" s="1"/>
  <c r="N2850" i="120" s="1"/>
  <c r="H2454" i="120"/>
  <c r="N2454" i="120" s="1"/>
  <c r="F2847" i="120"/>
  <c r="H2847" i="120" s="1"/>
  <c r="N2847" i="120" s="1"/>
  <c r="C489" i="120"/>
  <c r="C882" i="120" s="1"/>
  <c r="C1275" i="120" s="1"/>
  <c r="C1668" i="120" s="1"/>
  <c r="C2061" i="120" s="1"/>
  <c r="C2454" i="120" s="1"/>
  <c r="C2847" i="120" s="1"/>
  <c r="N2763" i="120" l="1"/>
  <c r="N3149" i="120" s="1"/>
  <c r="H3149" i="120"/>
  <c r="N2756" i="120"/>
  <c r="F3149" i="120"/>
  <c r="C503" i="120"/>
  <c r="C896" i="120" s="1"/>
  <c r="C1289" i="120" s="1"/>
  <c r="C1682" i="120" s="1"/>
  <c r="C2075" i="120" s="1"/>
  <c r="C2468" i="120" s="1"/>
  <c r="C2861" i="120" s="1"/>
  <c r="C504" i="120" l="1"/>
  <c r="C897" i="120" s="1"/>
  <c r="C1290" i="120" s="1"/>
  <c r="C1683" i="120" s="1"/>
  <c r="C2076" i="120" s="1"/>
  <c r="C2469" i="120" s="1"/>
  <c r="C2862" i="120" s="1"/>
  <c r="C505" i="120" l="1"/>
  <c r="C898" i="120" s="1"/>
  <c r="C1291" i="120" s="1"/>
  <c r="C1684" i="120" s="1"/>
  <c r="C2077" i="120" s="1"/>
  <c r="C2470" i="120" s="1"/>
  <c r="C2863" i="120" s="1"/>
  <c r="C506" i="120" l="1"/>
  <c r="C899" i="120" s="1"/>
  <c r="C1292" i="120" s="1"/>
  <c r="C1685" i="120" s="1"/>
  <c r="C2078" i="120" s="1"/>
  <c r="C2471" i="120" s="1"/>
  <c r="C2864" i="120" s="1"/>
  <c r="C490" i="120" l="1"/>
  <c r="C883" i="120" s="1"/>
  <c r="C1276" i="120" s="1"/>
  <c r="C1669" i="120" s="1"/>
  <c r="C2062" i="120" s="1"/>
  <c r="C2455" i="120" s="1"/>
  <c r="C2848" i="120" s="1"/>
  <c r="C491" i="120" l="1"/>
  <c r="C884" i="120" s="1"/>
  <c r="C1277" i="120" s="1"/>
  <c r="C1670" i="120" s="1"/>
  <c r="C2063" i="120" s="1"/>
  <c r="C2456" i="120" s="1"/>
  <c r="C2849" i="120" s="1"/>
  <c r="C492" i="120" l="1"/>
  <c r="C885" i="120" s="1"/>
  <c r="C1278" i="120" s="1"/>
  <c r="C1671" i="120" s="1"/>
  <c r="C2064" i="120" s="1"/>
  <c r="C2457" i="120" s="1"/>
  <c r="C2850" i="120" s="1"/>
  <c r="C493" i="120" l="1"/>
  <c r="C886" i="120" s="1"/>
  <c r="C1279" i="120" s="1"/>
  <c r="C1672" i="120" s="1"/>
  <c r="C2065" i="120" s="1"/>
  <c r="C2458" i="120" s="1"/>
  <c r="C2851" i="120" s="1"/>
  <c r="C494" i="120" l="1"/>
  <c r="C887" i="120" s="1"/>
  <c r="C1280" i="120" s="1"/>
  <c r="C1673" i="120" s="1"/>
  <c r="C2066" i="120" s="1"/>
  <c r="C2459" i="120" s="1"/>
  <c r="C2852" i="120" s="1"/>
  <c r="C510" i="120" l="1"/>
  <c r="C903" i="120" s="1"/>
  <c r="C1296" i="120" s="1"/>
  <c r="C1689" i="120" s="1"/>
  <c r="C2082" i="120" s="1"/>
  <c r="C2475" i="120" s="1"/>
  <c r="C2868" i="120" s="1"/>
  <c r="C495" i="120" l="1"/>
  <c r="C888" i="120" s="1"/>
  <c r="C1281" i="120" s="1"/>
  <c r="C1674" i="120" s="1"/>
  <c r="C2067" i="120" s="1"/>
  <c r="C2460" i="120" s="1"/>
  <c r="C2853" i="120" s="1"/>
  <c r="C507" i="120" l="1"/>
  <c r="C900" i="120" s="1"/>
  <c r="C1293" i="120" s="1"/>
  <c r="C1686" i="120" s="1"/>
  <c r="C2079" i="120" s="1"/>
  <c r="C2472" i="120" s="1"/>
  <c r="C2865" i="120" s="1"/>
  <c r="C508" i="120" l="1"/>
  <c r="C901" i="120" s="1"/>
  <c r="C1294" i="120" s="1"/>
  <c r="C1687" i="120" s="1"/>
  <c r="C2080" i="120" s="1"/>
  <c r="C2473" i="120" s="1"/>
  <c r="C2866" i="120" s="1"/>
  <c r="C509" i="120" l="1"/>
  <c r="C902" i="120" s="1"/>
  <c r="C1295" i="120" s="1"/>
  <c r="C1688" i="120" s="1"/>
  <c r="C2081" i="120" s="1"/>
  <c r="C2474" i="120" s="1"/>
  <c r="C2867" i="120" s="1"/>
  <c r="C496" i="120" l="1"/>
  <c r="C889" i="120" s="1"/>
  <c r="C1282" i="120" s="1"/>
  <c r="C1675" i="120" s="1"/>
  <c r="C2068" i="120" s="1"/>
  <c r="C2461" i="120" s="1"/>
  <c r="C2854" i="120" s="1"/>
  <c r="C515" i="120"/>
  <c r="C908" i="120" s="1"/>
  <c r="C1301" i="120" s="1"/>
  <c r="C1694" i="120" s="1"/>
  <c r="C2087" i="120" s="1"/>
  <c r="C2480" i="120" s="1"/>
  <c r="C2873" i="120" s="1"/>
  <c r="C497" i="120" l="1"/>
  <c r="C890" i="120" s="1"/>
  <c r="C1283" i="120" s="1"/>
  <c r="C1676" i="120" s="1"/>
  <c r="C2069" i="120" s="1"/>
  <c r="C2462" i="120" s="1"/>
  <c r="C2855" i="120" s="1"/>
  <c r="C516" i="120"/>
  <c r="C909" i="120" s="1"/>
  <c r="C1302" i="120" s="1"/>
  <c r="C1695" i="120" s="1"/>
  <c r="C2088" i="120" s="1"/>
  <c r="C2481" i="120" s="1"/>
  <c r="C2874" i="120" s="1"/>
  <c r="C511" i="120" l="1"/>
  <c r="C904" i="120" s="1"/>
  <c r="C1297" i="120" s="1"/>
  <c r="C1690" i="120" s="1"/>
  <c r="C2083" i="120" s="1"/>
  <c r="C2476" i="120" s="1"/>
  <c r="C2869" i="120" s="1"/>
  <c r="C512" i="120" l="1"/>
  <c r="C905" i="120" s="1"/>
  <c r="C1298" i="120" s="1"/>
  <c r="C1691" i="120" s="1"/>
  <c r="C2084" i="120" s="1"/>
  <c r="C2477" i="120" s="1"/>
  <c r="C2870" i="120" s="1"/>
  <c r="C402" i="120" l="1"/>
  <c r="C795" i="120" s="1"/>
  <c r="C1188" i="120" s="1"/>
  <c r="C1581" i="120" s="1"/>
  <c r="C1974" i="120" s="1"/>
  <c r="C2367" i="120" s="1"/>
  <c r="C2760" i="120" s="1"/>
  <c r="C403" i="120" l="1"/>
  <c r="C796" i="120" s="1"/>
  <c r="C1189" i="120" s="1"/>
  <c r="C1582" i="120" s="1"/>
  <c r="C1975" i="120" s="1"/>
  <c r="C2368" i="120" s="1"/>
  <c r="C2761" i="120" s="1"/>
  <c r="C404" i="120" l="1"/>
  <c r="C797" i="120" s="1"/>
  <c r="C1190" i="120" s="1"/>
  <c r="C1583" i="120" s="1"/>
  <c r="C1976" i="120" s="1"/>
  <c r="C2369" i="120" s="1"/>
  <c r="C2762" i="120" s="1"/>
  <c r="C405" i="120" l="1"/>
  <c r="C798" i="120" s="1"/>
  <c r="C1191" i="120" s="1"/>
  <c r="C1584" i="120" s="1"/>
  <c r="C1977" i="120" s="1"/>
  <c r="C2370" i="120" s="1"/>
  <c r="C2763" i="120" s="1"/>
  <c r="C406" i="120" l="1"/>
  <c r="C799" i="120" s="1"/>
  <c r="C1192" i="120" s="1"/>
  <c r="C1585" i="120" s="1"/>
  <c r="C1978" i="120" s="1"/>
  <c r="C2371" i="120" s="1"/>
  <c r="C2764" i="120" s="1"/>
  <c r="C407" i="120" l="1"/>
  <c r="C800" i="120" s="1"/>
  <c r="C1193" i="120" s="1"/>
  <c r="C1586" i="120" s="1"/>
  <c r="C1979" i="120" s="1"/>
  <c r="C2372" i="120" s="1"/>
  <c r="C2765" i="120" s="1"/>
  <c r="C408" i="120" l="1"/>
  <c r="C801" i="120" s="1"/>
  <c r="C1194" i="120" s="1"/>
  <c r="C1587" i="120" s="1"/>
  <c r="C1980" i="120" s="1"/>
  <c r="C2373" i="120" s="1"/>
  <c r="C2766" i="120" s="1"/>
  <c r="C409" i="120" l="1"/>
  <c r="C802" i="120" s="1"/>
  <c r="C1195" i="120" s="1"/>
  <c r="C1588" i="120" s="1"/>
  <c r="C1981" i="120" s="1"/>
  <c r="C2374" i="120" s="1"/>
  <c r="C2767" i="120" s="1"/>
  <c r="C410" i="120" l="1"/>
  <c r="C803" i="120" s="1"/>
  <c r="C1196" i="120" s="1"/>
  <c r="C1589" i="120" s="1"/>
  <c r="C1982" i="120" s="1"/>
  <c r="C2375" i="120" s="1"/>
  <c r="C2768" i="120" s="1"/>
  <c r="C411" i="120" l="1"/>
  <c r="C804" i="120" s="1"/>
  <c r="C1197" i="120" s="1"/>
  <c r="C1590" i="120" s="1"/>
  <c r="C1983" i="120" s="1"/>
  <c r="C2376" i="120" s="1"/>
  <c r="C2769" i="120" s="1"/>
  <c r="C412" i="120" l="1"/>
  <c r="C805" i="120" s="1"/>
  <c r="C1198" i="120" s="1"/>
  <c r="C1591" i="120" s="1"/>
  <c r="C1984" i="120" s="1"/>
  <c r="C2377" i="120" s="1"/>
  <c r="C2770" i="120" s="1"/>
  <c r="C413" i="120" l="1"/>
  <c r="C806" i="120" s="1"/>
  <c r="C1199" i="120" s="1"/>
  <c r="C1592" i="120" s="1"/>
  <c r="C1985" i="120" s="1"/>
  <c r="C2378" i="120" s="1"/>
  <c r="C2771" i="120" s="1"/>
  <c r="C414" i="120" l="1"/>
  <c r="C807" i="120" s="1"/>
  <c r="C1200" i="120" s="1"/>
  <c r="C1593" i="120" s="1"/>
  <c r="C1986" i="120" s="1"/>
  <c r="C2379" i="120" s="1"/>
  <c r="C2772" i="120" s="1"/>
  <c r="C415" i="120" l="1"/>
  <c r="C808" i="120" s="1"/>
  <c r="C1201" i="120" s="1"/>
  <c r="C1594" i="120" s="1"/>
  <c r="C1987" i="120" s="1"/>
  <c r="C2380" i="120" s="1"/>
  <c r="C2773" i="120" s="1"/>
  <c r="C416" i="120" l="1"/>
  <c r="C809" i="120" s="1"/>
  <c r="C1202" i="120" s="1"/>
  <c r="C1595" i="120" s="1"/>
  <c r="C1988" i="120" s="1"/>
  <c r="C2381" i="120" s="1"/>
  <c r="C2774" i="120" s="1"/>
  <c r="C417" i="120" l="1"/>
  <c r="C810" i="120" s="1"/>
  <c r="C1203" i="120" s="1"/>
  <c r="C1596" i="120" s="1"/>
  <c r="C1989" i="120" s="1"/>
  <c r="C2382" i="120" s="1"/>
  <c r="C2775" i="120" s="1"/>
  <c r="C418" i="120" l="1"/>
  <c r="C811" i="120" s="1"/>
  <c r="C1204" i="120" s="1"/>
  <c r="C1597" i="120" s="1"/>
  <c r="C1990" i="120" s="1"/>
  <c r="C2383" i="120" s="1"/>
  <c r="C2776" i="120" s="1"/>
  <c r="C419" i="120" l="1"/>
  <c r="C812" i="120" s="1"/>
  <c r="C1205" i="120" s="1"/>
  <c r="C1598" i="120" s="1"/>
  <c r="C1991" i="120" s="1"/>
  <c r="C2384" i="120" s="1"/>
  <c r="C2777" i="120" s="1"/>
  <c r="C420" i="120" l="1"/>
  <c r="C813" i="120" s="1"/>
  <c r="C1206" i="120" s="1"/>
  <c r="C1599" i="120" s="1"/>
  <c r="C1992" i="120" s="1"/>
  <c r="C2385" i="120" s="1"/>
  <c r="C2778" i="120" s="1"/>
  <c r="C421" i="120" l="1"/>
  <c r="C814" i="120" s="1"/>
  <c r="C1207" i="120" s="1"/>
  <c r="C1600" i="120" s="1"/>
  <c r="C1993" i="120" s="1"/>
  <c r="C2386" i="120" s="1"/>
  <c r="C2779" i="120" s="1"/>
  <c r="C422" i="120" l="1"/>
  <c r="C815" i="120" s="1"/>
  <c r="C1208" i="120" s="1"/>
  <c r="C1601" i="120" s="1"/>
  <c r="C1994" i="120" s="1"/>
  <c r="C2387" i="120" s="1"/>
  <c r="C2780" i="120" s="1"/>
  <c r="C423" i="120" l="1"/>
  <c r="C816" i="120" s="1"/>
  <c r="C1209" i="120" s="1"/>
  <c r="C1602" i="120" s="1"/>
  <c r="C1995" i="120" s="1"/>
  <c r="C2388" i="120" s="1"/>
  <c r="C2781" i="120" s="1"/>
  <c r="C424" i="120" l="1"/>
  <c r="C817" i="120" s="1"/>
  <c r="C1210" i="120" s="1"/>
  <c r="C1603" i="120" s="1"/>
  <c r="C1996" i="120" s="1"/>
  <c r="C2389" i="120" s="1"/>
  <c r="C2782" i="120" s="1"/>
  <c r="C425" i="120" l="1"/>
  <c r="C818" i="120" s="1"/>
  <c r="C1211" i="120" s="1"/>
  <c r="C1604" i="120" s="1"/>
  <c r="C1997" i="120" s="1"/>
  <c r="C2390" i="120" s="1"/>
  <c r="C2783" i="120" s="1"/>
  <c r="C426" i="120" l="1"/>
  <c r="C819" i="120" s="1"/>
  <c r="C1212" i="120" s="1"/>
  <c r="C1605" i="120" s="1"/>
  <c r="C1998" i="120" s="1"/>
  <c r="C2391" i="120" s="1"/>
  <c r="C2784" i="120" s="1"/>
  <c r="C427" i="120" l="1"/>
  <c r="C820" i="120" s="1"/>
  <c r="C1213" i="120" s="1"/>
  <c r="C1606" i="120" s="1"/>
  <c r="C1999" i="120" s="1"/>
  <c r="C2392" i="120" s="1"/>
  <c r="C2785" i="120" s="1"/>
  <c r="C428" i="120" l="1"/>
  <c r="C821" i="120" s="1"/>
  <c r="C1214" i="120" s="1"/>
  <c r="C1607" i="120" s="1"/>
  <c r="C2000" i="120" s="1"/>
  <c r="C2393" i="120" s="1"/>
  <c r="C2786" i="120" s="1"/>
  <c r="C429" i="120" l="1"/>
  <c r="C822" i="120" s="1"/>
  <c r="C1215" i="120" s="1"/>
  <c r="C1608" i="120" s="1"/>
  <c r="C2001" i="120" s="1"/>
  <c r="C2394" i="120" s="1"/>
  <c r="C2787" i="120" s="1"/>
  <c r="C430" i="120" l="1"/>
  <c r="C823" i="120" s="1"/>
  <c r="C1216" i="120" s="1"/>
  <c r="C1609" i="120" s="1"/>
  <c r="C2002" i="120" s="1"/>
  <c r="C2395" i="120" s="1"/>
  <c r="C2788" i="120" s="1"/>
  <c r="C431" i="120" l="1"/>
  <c r="C824" i="120" s="1"/>
  <c r="C1217" i="120" s="1"/>
  <c r="C1610" i="120" s="1"/>
  <c r="C2003" i="120" s="1"/>
  <c r="C2396" i="120" s="1"/>
  <c r="C2789" i="120" s="1"/>
  <c r="C432" i="120" l="1"/>
  <c r="C825" i="120" s="1"/>
  <c r="C1218" i="120" s="1"/>
  <c r="C1611" i="120" s="1"/>
  <c r="C2004" i="120" s="1"/>
  <c r="C2397" i="120" s="1"/>
  <c r="C2790" i="120" s="1"/>
  <c r="C433" i="120" l="1"/>
  <c r="C826" i="120" s="1"/>
  <c r="C1219" i="120" s="1"/>
  <c r="C1612" i="120" s="1"/>
  <c r="C2005" i="120" s="1"/>
  <c r="C2398" i="120" s="1"/>
  <c r="C2791" i="120" s="1"/>
  <c r="C434" i="120" l="1"/>
  <c r="C827" i="120" s="1"/>
  <c r="C1220" i="120" s="1"/>
  <c r="C1613" i="120" s="1"/>
  <c r="C2006" i="120" s="1"/>
  <c r="C2399" i="120" s="1"/>
  <c r="C2792" i="120" s="1"/>
  <c r="C435" i="120" l="1"/>
  <c r="C828" i="120" s="1"/>
  <c r="C1221" i="120" s="1"/>
  <c r="C1614" i="120" s="1"/>
  <c r="C2007" i="120" s="1"/>
  <c r="C2400" i="120" s="1"/>
  <c r="C2793" i="120" s="1"/>
  <c r="C436" i="120" l="1"/>
  <c r="C829" i="120" s="1"/>
  <c r="C1222" i="120" s="1"/>
  <c r="C1615" i="120" s="1"/>
  <c r="C2008" i="120" s="1"/>
  <c r="C2401" i="120" s="1"/>
  <c r="C2794" i="120" s="1"/>
  <c r="C437" i="120" l="1"/>
  <c r="C830" i="120" s="1"/>
  <c r="C1223" i="120" s="1"/>
  <c r="C1616" i="120" s="1"/>
  <c r="C2009" i="120" s="1"/>
  <c r="C2402" i="120" s="1"/>
  <c r="C2795" i="120" s="1"/>
  <c r="C438" i="120" l="1"/>
  <c r="C831" i="120" s="1"/>
  <c r="C1224" i="120" s="1"/>
  <c r="C1617" i="120" s="1"/>
  <c r="C2010" i="120" s="1"/>
  <c r="C2403" i="120" s="1"/>
  <c r="C2796" i="120" s="1"/>
  <c r="C439" i="120" l="1"/>
  <c r="C832" i="120" s="1"/>
  <c r="C1225" i="120" s="1"/>
  <c r="C1618" i="120" s="1"/>
  <c r="C2011" i="120" s="1"/>
  <c r="C2404" i="120" s="1"/>
  <c r="C2797" i="120" s="1"/>
  <c r="C440" i="120" l="1"/>
  <c r="C833" i="120" s="1"/>
  <c r="C1226" i="120" s="1"/>
  <c r="C1619" i="120" s="1"/>
  <c r="C2012" i="120" s="1"/>
  <c r="C2405" i="120" s="1"/>
  <c r="C2798" i="120" s="1"/>
  <c r="C441" i="120" l="1"/>
  <c r="C834" i="120" s="1"/>
  <c r="C1227" i="120" s="1"/>
  <c r="C1620" i="120" s="1"/>
  <c r="C2013" i="120" s="1"/>
  <c r="C2406" i="120" s="1"/>
  <c r="C2799" i="120" s="1"/>
  <c r="C442" i="120" l="1"/>
  <c r="C835" i="120" s="1"/>
  <c r="C1228" i="120" s="1"/>
  <c r="C1621" i="120" s="1"/>
  <c r="C2014" i="120" s="1"/>
  <c r="C2407" i="120" s="1"/>
  <c r="C2800" i="120" s="1"/>
  <c r="C443" i="120" l="1"/>
  <c r="C836" i="120" s="1"/>
  <c r="C1229" i="120" s="1"/>
  <c r="C1622" i="120" s="1"/>
  <c r="C2015" i="120" s="1"/>
  <c r="C2408" i="120" s="1"/>
  <c r="C2801" i="120" s="1"/>
  <c r="C444" i="120" l="1"/>
  <c r="C837" i="120" s="1"/>
  <c r="C1230" i="120" s="1"/>
  <c r="C1623" i="120" s="1"/>
  <c r="C2016" i="120" s="1"/>
  <c r="C2409" i="120" s="1"/>
  <c r="C2802" i="120" s="1"/>
  <c r="C445" i="120" l="1"/>
  <c r="C838" i="120" s="1"/>
  <c r="C1231" i="120" s="1"/>
  <c r="C1624" i="120" s="1"/>
  <c r="C2017" i="120" s="1"/>
  <c r="C2410" i="120" s="1"/>
  <c r="C2803" i="120" s="1"/>
  <c r="C446" i="120" l="1"/>
  <c r="C839" i="120" s="1"/>
  <c r="C1232" i="120" s="1"/>
  <c r="C1625" i="120" s="1"/>
  <c r="C2018" i="120" s="1"/>
  <c r="C2411" i="120" s="1"/>
  <c r="C2804" i="120" s="1"/>
  <c r="F3" i="76" l="1"/>
  <c r="F2" i="76"/>
  <c r="B8" i="76"/>
  <c r="B9" i="76" s="1"/>
  <c r="C447" i="120" l="1"/>
  <c r="C840" i="120" s="1"/>
  <c r="C1233" i="120" s="1"/>
  <c r="C1626" i="120" s="1"/>
  <c r="C2019" i="120" s="1"/>
  <c r="C2412" i="120" s="1"/>
  <c r="C2805" i="120" s="1"/>
  <c r="F54" i="67" l="1"/>
  <c r="G54" i="67"/>
  <c r="H54" i="67"/>
  <c r="F55" i="67"/>
  <c r="G55" i="67"/>
  <c r="H55" i="67"/>
  <c r="F56" i="67"/>
  <c r="G56" i="67"/>
  <c r="H56" i="67"/>
  <c r="F61" i="67"/>
  <c r="G61" i="67"/>
  <c r="H61" i="67"/>
  <c r="F62" i="67"/>
  <c r="G62" i="67"/>
  <c r="H62" i="67"/>
  <c r="F67" i="67"/>
  <c r="G67" i="67"/>
  <c r="H67" i="67"/>
  <c r="F68" i="67"/>
  <c r="G68" i="67"/>
  <c r="H68" i="67"/>
  <c r="F73" i="67"/>
  <c r="G73" i="67"/>
  <c r="H73" i="67"/>
  <c r="F74" i="67"/>
  <c r="G74" i="67"/>
  <c r="H74" i="67"/>
  <c r="D169" i="59" l="1"/>
  <c r="D170" i="59" s="1"/>
  <c r="D174" i="59"/>
  <c r="D175" i="59" s="1"/>
  <c r="D23" i="65"/>
  <c r="D186" i="59" l="1"/>
  <c r="D184" i="59"/>
  <c r="D177" i="59"/>
  <c r="D24" i="65"/>
  <c r="P14" i="58" s="1"/>
  <c r="Q14" i="58" s="1"/>
  <c r="E82" i="61"/>
  <c r="E81" i="61" l="1"/>
  <c r="M31" i="72"/>
  <c r="L31" i="72"/>
  <c r="J29" i="72" l="1"/>
  <c r="N29" i="72" s="1"/>
  <c r="E84" i="61" l="1"/>
  <c r="N43" i="59"/>
  <c r="D182" i="59"/>
  <c r="K38" i="60"/>
  <c r="K37" i="60"/>
  <c r="K36" i="60"/>
  <c r="K35" i="60"/>
  <c r="K34" i="60"/>
  <c r="K33" i="60"/>
  <c r="K32" i="60"/>
  <c r="K31" i="60"/>
  <c r="K30" i="60"/>
  <c r="K29" i="60"/>
  <c r="D191" i="59" l="1"/>
  <c r="D194" i="59" s="1"/>
  <c r="D196" i="59" s="1"/>
  <c r="Q94" i="59"/>
  <c r="Q23" i="59"/>
  <c r="N23" i="59" s="1"/>
  <c r="Q44" i="59"/>
  <c r="Q69" i="59"/>
  <c r="N69" i="59" s="1"/>
  <c r="Q66" i="59"/>
  <c r="Q42" i="59"/>
  <c r="Q56" i="59"/>
  <c r="Q55" i="59"/>
  <c r="L24" i="60"/>
  <c r="Q50" i="59"/>
  <c r="Q54" i="59"/>
  <c r="Q65" i="59"/>
  <c r="Q96" i="59"/>
  <c r="Q102" i="59"/>
  <c r="L40" i="60"/>
  <c r="N40" i="60" s="1"/>
  <c r="K40" i="60" s="1"/>
  <c r="L54" i="60"/>
  <c r="N54" i="60" s="1"/>
  <c r="K54" i="60" s="1"/>
  <c r="N131" i="60"/>
  <c r="K131" i="60" s="1"/>
  <c r="N132" i="60"/>
  <c r="K132" i="60" s="1"/>
  <c r="N124" i="60"/>
  <c r="K124" i="60" s="1"/>
  <c r="Q63" i="59"/>
  <c r="Q53" i="59"/>
  <c r="Q58" i="59"/>
  <c r="Q59" i="59"/>
  <c r="N135" i="60"/>
  <c r="K135" i="60" s="1"/>
  <c r="Q60" i="59"/>
  <c r="N121" i="60"/>
  <c r="K121" i="60" s="1"/>
  <c r="Q99" i="59"/>
  <c r="L23" i="60"/>
  <c r="L97" i="60"/>
  <c r="L112" i="60"/>
  <c r="L125" i="60"/>
  <c r="N116" i="60"/>
  <c r="K116" i="60" s="1"/>
  <c r="N119" i="60"/>
  <c r="K119" i="60" s="1"/>
  <c r="N120" i="60"/>
  <c r="K120" i="60" s="1"/>
  <c r="N122" i="60"/>
  <c r="K122" i="60" s="1"/>
  <c r="N133" i="60"/>
  <c r="K133" i="60" s="1"/>
  <c r="Q95" i="59"/>
  <c r="N115" i="60"/>
  <c r="N123" i="60"/>
  <c r="K123" i="60" s="1"/>
  <c r="N134" i="60"/>
  <c r="K134" i="60" s="1"/>
  <c r="Q48" i="59"/>
  <c r="Q64" i="59"/>
  <c r="Q100" i="59"/>
  <c r="Q49" i="59"/>
  <c r="N128" i="60"/>
  <c r="K128" i="60" s="1"/>
  <c r="N129" i="60"/>
  <c r="K129" i="60" s="1"/>
  <c r="N137" i="60"/>
  <c r="K137" i="60" s="1"/>
  <c r="Q101" i="59"/>
  <c r="N117" i="60"/>
  <c r="K117" i="60" s="1"/>
  <c r="N136" i="60"/>
  <c r="K136" i="60" s="1"/>
  <c r="N118" i="60"/>
  <c r="K118" i="60" s="1"/>
  <c r="N130" i="60"/>
  <c r="K130" i="60" s="1"/>
  <c r="L138" i="60"/>
  <c r="L33" i="105"/>
  <c r="G33" i="105"/>
  <c r="Q68" i="59" l="1"/>
  <c r="L26" i="60"/>
  <c r="N26" i="60" s="1"/>
  <c r="K26" i="60" s="1"/>
  <c r="N112" i="60"/>
  <c r="K112" i="60" s="1"/>
  <c r="N97" i="60"/>
  <c r="K97" i="60" s="1"/>
  <c r="K138" i="60"/>
  <c r="N138" i="60"/>
  <c r="K115" i="60"/>
  <c r="K125" i="60" s="1"/>
  <c r="N125" i="60"/>
  <c r="I19" i="65" l="1"/>
  <c r="H19" i="65"/>
  <c r="G19" i="65"/>
  <c r="F19" i="65"/>
  <c r="E19" i="65"/>
  <c r="I174" i="59"/>
  <c r="I175" i="59" s="1"/>
  <c r="H174" i="59"/>
  <c r="H175" i="59" s="1"/>
  <c r="G174" i="59"/>
  <c r="G175" i="59" s="1"/>
  <c r="F174" i="59"/>
  <c r="F175" i="59" s="1"/>
  <c r="E174" i="59"/>
  <c r="E175" i="59" s="1"/>
  <c r="B192" i="59"/>
  <c r="B193" i="59" s="1"/>
  <c r="B194" i="59" s="1"/>
  <c r="B195" i="59" s="1"/>
  <c r="B196" i="59" s="1"/>
  <c r="B183" i="59"/>
  <c r="B184" i="59" s="1"/>
  <c r="B185" i="59" s="1"/>
  <c r="B186" i="59" s="1"/>
  <c r="B187" i="59" s="1"/>
  <c r="B169" i="59"/>
  <c r="B170" i="59" s="1"/>
  <c r="B171" i="59" s="1"/>
  <c r="B172" i="59" s="1"/>
  <c r="B173" i="59" s="1"/>
  <c r="B174" i="59" s="1"/>
  <c r="B175" i="59" s="1"/>
  <c r="B176" i="59" s="1"/>
  <c r="B177" i="59" s="1"/>
  <c r="B178" i="59" s="1"/>
  <c r="I186" i="59" l="1"/>
  <c r="I184" i="59"/>
  <c r="F186" i="59"/>
  <c r="F184" i="59"/>
  <c r="G186" i="59"/>
  <c r="G184" i="59"/>
  <c r="E186" i="59"/>
  <c r="E184" i="59"/>
  <c r="H186" i="59"/>
  <c r="H184" i="59"/>
  <c r="E177" i="59"/>
  <c r="H177" i="59"/>
  <c r="I177" i="59"/>
  <c r="G177" i="59"/>
  <c r="F177" i="59"/>
  <c r="K18" i="55" l="1"/>
  <c r="P14" i="65"/>
  <c r="Q14" i="65" s="1"/>
  <c r="M17" i="65"/>
  <c r="M13" i="58" s="1"/>
  <c r="I17" i="65"/>
  <c r="I13" i="58" s="1"/>
  <c r="E17" i="65"/>
  <c r="E12" i="78"/>
  <c r="D12" i="78"/>
  <c r="I55" i="66"/>
  <c r="H55" i="66"/>
  <c r="G55" i="66"/>
  <c r="F55" i="66"/>
  <c r="E55" i="66"/>
  <c r="I54" i="66"/>
  <c r="H54" i="66"/>
  <c r="G54" i="66"/>
  <c r="F54" i="66"/>
  <c r="E54" i="66"/>
  <c r="I53" i="66"/>
  <c r="I52" i="66"/>
  <c r="H52" i="66"/>
  <c r="G52" i="66"/>
  <c r="F52" i="66"/>
  <c r="E52" i="66"/>
  <c r="I51" i="66"/>
  <c r="S10" i="66" s="1"/>
  <c r="H51" i="66"/>
  <c r="Q10" i="66" s="1"/>
  <c r="G51" i="66"/>
  <c r="O10" i="66" s="1"/>
  <c r="F51" i="66"/>
  <c r="M10" i="66" s="1"/>
  <c r="E51" i="66"/>
  <c r="K10" i="66" s="1"/>
  <c r="H53" i="66"/>
  <c r="G53" i="66"/>
  <c r="W12" i="66"/>
  <c r="P15" i="65"/>
  <c r="O15" i="65"/>
  <c r="K15" i="65"/>
  <c r="L15" i="65" s="1"/>
  <c r="G15" i="65"/>
  <c r="H15" i="65" s="1"/>
  <c r="Q16" i="65"/>
  <c r="R16" i="65" s="1"/>
  <c r="L16" i="65"/>
  <c r="H16" i="65"/>
  <c r="B15" i="65"/>
  <c r="B11" i="65"/>
  <c r="B12" i="58"/>
  <c r="B13" i="58" s="1"/>
  <c r="B14" i="58" s="1"/>
  <c r="B15" i="58" s="1"/>
  <c r="B16" i="58" s="1"/>
  <c r="B17" i="58" s="1"/>
  <c r="B18" i="58" s="1"/>
  <c r="B19" i="58" s="1"/>
  <c r="B20" i="58" s="1"/>
  <c r="B21" i="58" s="1"/>
  <c r="B22" i="58" s="1"/>
  <c r="B23" i="58" s="1"/>
  <c r="B24" i="58" s="1"/>
  <c r="B25" i="58" s="1"/>
  <c r="B26" i="58" s="1"/>
  <c r="B27" i="58" s="1"/>
  <c r="E41" i="78" l="1"/>
  <c r="E13" i="78"/>
  <c r="D13" i="78" s="1"/>
  <c r="F6" i="100"/>
  <c r="E42" i="78"/>
  <c r="D42" i="78" s="1"/>
  <c r="E6" i="100"/>
  <c r="W11" i="65"/>
  <c r="W10" i="65" s="1"/>
  <c r="N14" i="65"/>
  <c r="J14" i="65"/>
  <c r="R10" i="66"/>
  <c r="V11" i="65"/>
  <c r="V10" i="65" s="1"/>
  <c r="P10" i="66"/>
  <c r="U11" i="65"/>
  <c r="U10" i="65" s="1"/>
  <c r="E53" i="66"/>
  <c r="S11" i="65" s="1"/>
  <c r="S10" i="65" s="1"/>
  <c r="F53" i="66"/>
  <c r="P10" i="65" s="1"/>
  <c r="W13" i="66"/>
  <c r="K13" i="66" s="1"/>
  <c r="W16" i="66"/>
  <c r="W14" i="66"/>
  <c r="W15" i="66"/>
  <c r="T11" i="65"/>
  <c r="T10" i="65" s="1"/>
  <c r="O10" i="65"/>
  <c r="T10" i="66"/>
  <c r="Q15" i="65"/>
  <c r="B72" i="60"/>
  <c r="B73" i="60" s="1"/>
  <c r="B74" i="60" s="1"/>
  <c r="B75" i="60" s="1"/>
  <c r="B76" i="60" s="1"/>
  <c r="B77" i="60" s="1"/>
  <c r="B78" i="60" s="1"/>
  <c r="B79" i="60" s="1"/>
  <c r="B80" i="60" s="1"/>
  <c r="B81" i="60" s="1"/>
  <c r="B58" i="60"/>
  <c r="B59" i="60" s="1"/>
  <c r="B60" i="60" s="1"/>
  <c r="B61" i="60" s="1"/>
  <c r="B62" i="60" s="1"/>
  <c r="B63" i="60" s="1"/>
  <c r="B64" i="60" s="1"/>
  <c r="B65" i="60" s="1"/>
  <c r="B66" i="60" s="1"/>
  <c r="B67" i="60" s="1"/>
  <c r="J3" i="80"/>
  <c r="J2" i="80"/>
  <c r="N2" i="65"/>
  <c r="N3" i="65"/>
  <c r="D41" i="78" l="1"/>
  <c r="Q10" i="65"/>
  <c r="L10" i="66"/>
  <c r="N10" i="66"/>
  <c r="W17" i="66"/>
  <c r="R15" i="65"/>
  <c r="M13" i="66" l="1"/>
  <c r="S14" i="65"/>
  <c r="L13" i="66"/>
  <c r="L14" i="66" s="1"/>
  <c r="L16" i="66" s="1"/>
  <c r="K14" i="66"/>
  <c r="K16" i="66" s="1"/>
  <c r="S17" i="65" l="1"/>
  <c r="N13" i="66"/>
  <c r="N14" i="66" s="1"/>
  <c r="N16" i="66" s="1"/>
  <c r="O13" i="66"/>
  <c r="T14" i="65"/>
  <c r="M14" i="66"/>
  <c r="M16" i="66" s="1"/>
  <c r="T17" i="65" l="1"/>
  <c r="U14" i="65"/>
  <c r="Q13" i="66"/>
  <c r="P13" i="66"/>
  <c r="P14" i="66" s="1"/>
  <c r="P16" i="66" s="1"/>
  <c r="O14" i="66"/>
  <c r="O16" i="66" s="1"/>
  <c r="Q53" i="91"/>
  <c r="U17" i="65" l="1"/>
  <c r="S13" i="66"/>
  <c r="R13" i="66"/>
  <c r="R14" i="66" s="1"/>
  <c r="R16" i="66" s="1"/>
  <c r="V14" i="65"/>
  <c r="Q14" i="66"/>
  <c r="Q16" i="66" s="1"/>
  <c r="V17" i="65" l="1"/>
  <c r="T13" i="66"/>
  <c r="T14" i="66" s="1"/>
  <c r="T16" i="66" s="1"/>
  <c r="W14" i="65"/>
  <c r="S14" i="66"/>
  <c r="S16" i="66" s="1"/>
  <c r="W17" i="65" l="1"/>
  <c r="H18" i="55"/>
  <c r="I43" i="59" l="1"/>
  <c r="J20" i="59"/>
  <c r="J19" i="59"/>
  <c r="J18" i="59"/>
  <c r="J16" i="59"/>
  <c r="J15" i="59"/>
  <c r="J43" i="59" l="1"/>
  <c r="H24" i="60" s="1"/>
  <c r="Q35" i="91" l="1"/>
  <c r="Q38" i="91"/>
  <c r="J45" i="91"/>
  <c r="L45" i="91"/>
  <c r="Q42" i="91"/>
  <c r="Q49" i="91"/>
  <c r="Q48" i="91"/>
  <c r="Q41" i="91"/>
  <c r="E47" i="91"/>
  <c r="Q43" i="91"/>
  <c r="Q50" i="91"/>
  <c r="G45" i="91"/>
  <c r="G47" i="91"/>
  <c r="L47" i="91"/>
  <c r="P45" i="91"/>
  <c r="I47" i="91"/>
  <c r="J47" i="91"/>
  <c r="F47" i="91"/>
  <c r="N47" i="91"/>
  <c r="F45" i="91"/>
  <c r="O45" i="91"/>
  <c r="O47" i="91"/>
  <c r="N45" i="91"/>
  <c r="H45" i="91"/>
  <c r="M45" i="91"/>
  <c r="I45" i="91"/>
  <c r="H47" i="91"/>
  <c r="P47" i="91"/>
  <c r="K45" i="91"/>
  <c r="K47" i="91"/>
  <c r="E45" i="91"/>
  <c r="M47" i="91"/>
  <c r="V111" i="117" l="1"/>
  <c r="Q111" i="117"/>
  <c r="L111" i="117"/>
  <c r="G111" i="117"/>
  <c r="V110" i="117"/>
  <c r="Q110" i="117"/>
  <c r="L110" i="117"/>
  <c r="G110" i="117"/>
  <c r="V109" i="117"/>
  <c r="Q109" i="117"/>
  <c r="L109" i="117"/>
  <c r="G109" i="117"/>
  <c r="V108" i="117"/>
  <c r="Q108" i="117"/>
  <c r="L108" i="117"/>
  <c r="G108" i="117"/>
  <c r="V107" i="117"/>
  <c r="Q107" i="117"/>
  <c r="L107" i="117"/>
  <c r="G107" i="117"/>
  <c r="V106" i="117"/>
  <c r="Q106" i="117"/>
  <c r="L106" i="117"/>
  <c r="G106" i="117"/>
  <c r="V105" i="117"/>
  <c r="Q105" i="117"/>
  <c r="L105" i="117"/>
  <c r="G105" i="117"/>
  <c r="V104" i="117"/>
  <c r="Q104" i="117"/>
  <c r="L104" i="117"/>
  <c r="G104" i="117"/>
  <c r="V103" i="117"/>
  <c r="Q103" i="117"/>
  <c r="L103" i="117"/>
  <c r="G103" i="117"/>
  <c r="V102" i="117"/>
  <c r="Q102" i="117"/>
  <c r="L102" i="117"/>
  <c r="G102" i="117"/>
  <c r="V101" i="117"/>
  <c r="Q101" i="117"/>
  <c r="L101" i="117"/>
  <c r="G101" i="117"/>
  <c r="V100" i="117"/>
  <c r="Q100" i="117"/>
  <c r="L100" i="117"/>
  <c r="G100" i="117"/>
  <c r="V99" i="117"/>
  <c r="Q99" i="117"/>
  <c r="L99" i="117"/>
  <c r="G99" i="117"/>
  <c r="V98" i="117"/>
  <c r="Q98" i="117"/>
  <c r="L98" i="117"/>
  <c r="G98" i="117"/>
  <c r="V97" i="117"/>
  <c r="Q97" i="117"/>
  <c r="L97" i="117"/>
  <c r="G97" i="117"/>
  <c r="V96" i="117"/>
  <c r="Q96" i="117"/>
  <c r="L96" i="117"/>
  <c r="G96" i="117"/>
  <c r="V95" i="117"/>
  <c r="Q95" i="117"/>
  <c r="L95" i="117"/>
  <c r="G95" i="117"/>
  <c r="V84" i="117"/>
  <c r="V83" i="117"/>
  <c r="V82" i="117"/>
  <c r="V81" i="117"/>
  <c r="V80" i="117"/>
  <c r="V79" i="117"/>
  <c r="V78" i="117"/>
  <c r="V77" i="117"/>
  <c r="V76" i="117"/>
  <c r="V75" i="117"/>
  <c r="V74" i="117"/>
  <c r="V73" i="117"/>
  <c r="V72" i="117"/>
  <c r="V71" i="117"/>
  <c r="V70" i="117"/>
  <c r="V69" i="117"/>
  <c r="V68" i="117"/>
  <c r="V56" i="117"/>
  <c r="Q56" i="117"/>
  <c r="L56" i="117"/>
  <c r="G56" i="117"/>
  <c r="G164" i="117" s="1"/>
  <c r="V55" i="117"/>
  <c r="Q55" i="117"/>
  <c r="L55" i="117"/>
  <c r="G55" i="117"/>
  <c r="V54" i="117"/>
  <c r="Q54" i="117"/>
  <c r="L54" i="117"/>
  <c r="G54" i="117"/>
  <c r="V53" i="117"/>
  <c r="Q53" i="117"/>
  <c r="L53" i="117"/>
  <c r="G53" i="117"/>
  <c r="V52" i="117"/>
  <c r="Q52" i="117"/>
  <c r="L52" i="117"/>
  <c r="G52" i="117"/>
  <c r="G160" i="117" s="1"/>
  <c r="V51" i="117"/>
  <c r="Q51" i="117"/>
  <c r="L51" i="117"/>
  <c r="G51" i="117"/>
  <c r="V50" i="117"/>
  <c r="Q50" i="117"/>
  <c r="L50" i="117"/>
  <c r="G50" i="117"/>
  <c r="G158" i="117" s="1"/>
  <c r="V49" i="117"/>
  <c r="Q49" i="117"/>
  <c r="L49" i="117"/>
  <c r="G49" i="117"/>
  <c r="V48" i="117"/>
  <c r="Q48" i="117"/>
  <c r="L48" i="117"/>
  <c r="G48" i="117"/>
  <c r="V47" i="117"/>
  <c r="Q47" i="117"/>
  <c r="L47" i="117"/>
  <c r="G47" i="117"/>
  <c r="V46" i="117"/>
  <c r="Q46" i="117"/>
  <c r="L46" i="117"/>
  <c r="G46" i="117"/>
  <c r="G154" i="117" s="1"/>
  <c r="V45" i="117"/>
  <c r="Q45" i="117"/>
  <c r="L45" i="117"/>
  <c r="G45" i="117"/>
  <c r="V44" i="117"/>
  <c r="Q44" i="117"/>
  <c r="L44" i="117"/>
  <c r="G44" i="117"/>
  <c r="G152" i="117" s="1"/>
  <c r="V43" i="117"/>
  <c r="Q43" i="117"/>
  <c r="L43" i="117"/>
  <c r="G43" i="117"/>
  <c r="V42" i="117"/>
  <c r="Q42" i="117"/>
  <c r="L42" i="117"/>
  <c r="G42" i="117"/>
  <c r="G150" i="117" s="1"/>
  <c r="V41" i="117"/>
  <c r="Q41" i="117"/>
  <c r="L41" i="117"/>
  <c r="G41" i="117"/>
  <c r="V40" i="117"/>
  <c r="Q40" i="117"/>
  <c r="L40" i="117"/>
  <c r="G40" i="117"/>
  <c r="G148" i="117" s="1"/>
  <c r="V30" i="117"/>
  <c r="V138" i="117" s="1"/>
  <c r="V29" i="117"/>
  <c r="V137" i="117" s="1"/>
  <c r="V28" i="117"/>
  <c r="V27" i="117"/>
  <c r="V26" i="117"/>
  <c r="V134" i="117" s="1"/>
  <c r="V25" i="117"/>
  <c r="V133" i="117" s="1"/>
  <c r="V24" i="117"/>
  <c r="V23" i="117"/>
  <c r="V131" i="117" s="1"/>
  <c r="V22" i="117"/>
  <c r="V21" i="117"/>
  <c r="V129" i="117" s="1"/>
  <c r="V20" i="117"/>
  <c r="V19" i="117"/>
  <c r="V18" i="117"/>
  <c r="V126" i="117" s="1"/>
  <c r="V17" i="117"/>
  <c r="V125" i="117" s="1"/>
  <c r="V16" i="117"/>
  <c r="V15" i="117"/>
  <c r="V14" i="117"/>
  <c r="V122" i="117" s="1"/>
  <c r="Q84" i="117"/>
  <c r="L84" i="117"/>
  <c r="G84" i="117"/>
  <c r="Q83" i="117"/>
  <c r="L83" i="117"/>
  <c r="G83" i="117"/>
  <c r="Q82" i="117"/>
  <c r="L82" i="117"/>
  <c r="G82" i="117"/>
  <c r="Q81" i="117"/>
  <c r="L81" i="117"/>
  <c r="G81" i="117"/>
  <c r="Q80" i="117"/>
  <c r="L80" i="117"/>
  <c r="G80" i="117"/>
  <c r="Q79" i="117"/>
  <c r="L79" i="117"/>
  <c r="G79" i="117"/>
  <c r="Q78" i="117"/>
  <c r="L78" i="117"/>
  <c r="G78" i="117"/>
  <c r="Q77" i="117"/>
  <c r="L77" i="117"/>
  <c r="G77" i="117"/>
  <c r="Q76" i="117"/>
  <c r="L76" i="117"/>
  <c r="G76" i="117"/>
  <c r="Q75" i="117"/>
  <c r="L75" i="117"/>
  <c r="G75" i="117"/>
  <c r="Q74" i="117"/>
  <c r="L74" i="117"/>
  <c r="G74" i="117"/>
  <c r="Q73" i="117"/>
  <c r="L73" i="117"/>
  <c r="G73" i="117"/>
  <c r="Q72" i="117"/>
  <c r="L72" i="117"/>
  <c r="G72" i="117"/>
  <c r="Q71" i="117"/>
  <c r="L71" i="117"/>
  <c r="G71" i="117"/>
  <c r="Q70" i="117"/>
  <c r="L70" i="117"/>
  <c r="G70" i="117"/>
  <c r="Q69" i="117"/>
  <c r="L69" i="117"/>
  <c r="G69" i="117"/>
  <c r="Q68" i="117"/>
  <c r="L68" i="117"/>
  <c r="G68" i="117"/>
  <c r="Q30" i="117"/>
  <c r="P30" i="117"/>
  <c r="O30" i="117"/>
  <c r="L30" i="117"/>
  <c r="L138" i="117" s="1"/>
  <c r="G30" i="117"/>
  <c r="G138" i="117" s="1"/>
  <c r="Q29" i="117"/>
  <c r="P29" i="117"/>
  <c r="O29" i="117"/>
  <c r="L29" i="117"/>
  <c r="G29" i="117"/>
  <c r="Q28" i="117"/>
  <c r="P28" i="117"/>
  <c r="O28" i="117"/>
  <c r="L28" i="117"/>
  <c r="G28" i="117"/>
  <c r="Q27" i="117"/>
  <c r="P27" i="117"/>
  <c r="O27" i="117"/>
  <c r="L27" i="117"/>
  <c r="G27" i="117"/>
  <c r="Q26" i="117"/>
  <c r="Q134" i="117" s="1"/>
  <c r="P26" i="117"/>
  <c r="O26" i="117"/>
  <c r="L26" i="117"/>
  <c r="G26" i="117"/>
  <c r="Q25" i="117"/>
  <c r="P25" i="117"/>
  <c r="O25" i="117"/>
  <c r="L25" i="117"/>
  <c r="G25" i="117"/>
  <c r="G133" i="117" s="1"/>
  <c r="Q24" i="117"/>
  <c r="P24" i="117"/>
  <c r="O24" i="117"/>
  <c r="L24" i="117"/>
  <c r="G24" i="117"/>
  <c r="Q23" i="117"/>
  <c r="P23" i="117"/>
  <c r="O23" i="117"/>
  <c r="L23" i="117"/>
  <c r="G23" i="117"/>
  <c r="Q22" i="117"/>
  <c r="P22" i="117"/>
  <c r="O22" i="117"/>
  <c r="L22" i="117"/>
  <c r="L130" i="117" s="1"/>
  <c r="G22" i="117"/>
  <c r="Q21" i="117"/>
  <c r="P21" i="117"/>
  <c r="O21" i="117"/>
  <c r="L21" i="117"/>
  <c r="G21" i="117"/>
  <c r="Q20" i="117"/>
  <c r="P20" i="117"/>
  <c r="O20" i="117"/>
  <c r="L20" i="117"/>
  <c r="G20" i="117"/>
  <c r="Q19" i="117"/>
  <c r="Q127" i="117" s="1"/>
  <c r="P19" i="117"/>
  <c r="O19" i="117"/>
  <c r="L19" i="117"/>
  <c r="G19" i="117"/>
  <c r="G127" i="117" s="1"/>
  <c r="Q18" i="117"/>
  <c r="Q126" i="117" s="1"/>
  <c r="P18" i="117"/>
  <c r="O18" i="117"/>
  <c r="L18" i="117"/>
  <c r="G18" i="117"/>
  <c r="Q17" i="117"/>
  <c r="P17" i="117"/>
  <c r="O17" i="117"/>
  <c r="L17" i="117"/>
  <c r="G17" i="117"/>
  <c r="G125" i="117" s="1"/>
  <c r="Q16" i="117"/>
  <c r="Q124" i="117" s="1"/>
  <c r="P16" i="117"/>
  <c r="O16" i="117"/>
  <c r="L16" i="117"/>
  <c r="G16" i="117"/>
  <c r="Q15" i="117"/>
  <c r="P15" i="117"/>
  <c r="O15" i="117"/>
  <c r="L15" i="117"/>
  <c r="G15" i="117"/>
  <c r="Q14" i="117"/>
  <c r="P14" i="117"/>
  <c r="O14" i="117"/>
  <c r="L14" i="117"/>
  <c r="G14" i="117"/>
  <c r="K5" i="117"/>
  <c r="K4" i="117"/>
  <c r="B15" i="117"/>
  <c r="B16" i="117" s="1"/>
  <c r="B17" i="117" s="1"/>
  <c r="B18" i="117" s="1"/>
  <c r="B19" i="117" s="1"/>
  <c r="B20" i="117" s="1"/>
  <c r="B21" i="117" s="1"/>
  <c r="B22" i="117" s="1"/>
  <c r="B23" i="117" s="1"/>
  <c r="B24" i="117" s="1"/>
  <c r="B25" i="117" s="1"/>
  <c r="B26" i="117" s="1"/>
  <c r="B27" i="117" s="1"/>
  <c r="B28" i="117" s="1"/>
  <c r="B29" i="117" s="1"/>
  <c r="B30" i="117" s="1"/>
  <c r="B41" i="117"/>
  <c r="B42" i="117" s="1"/>
  <c r="B43" i="117" s="1"/>
  <c r="B44" i="117" s="1"/>
  <c r="B45" i="117" s="1"/>
  <c r="B46" i="117" s="1"/>
  <c r="B47" i="117" s="1"/>
  <c r="B48" i="117" s="1"/>
  <c r="B49" i="117" s="1"/>
  <c r="B50" i="117" s="1"/>
  <c r="B51" i="117" s="1"/>
  <c r="B52" i="117" s="1"/>
  <c r="B53" i="117" s="1"/>
  <c r="B54" i="117" s="1"/>
  <c r="B55" i="117" s="1"/>
  <c r="B56" i="117" s="1"/>
  <c r="B69" i="117"/>
  <c r="B70" i="117" s="1"/>
  <c r="B71" i="117" s="1"/>
  <c r="B72" i="117" s="1"/>
  <c r="B73" i="117" s="1"/>
  <c r="B74" i="117" s="1"/>
  <c r="B75" i="117" s="1"/>
  <c r="B76" i="117" s="1"/>
  <c r="B77" i="117" s="1"/>
  <c r="B78" i="117" s="1"/>
  <c r="B79" i="117" s="1"/>
  <c r="B80" i="117" s="1"/>
  <c r="B81" i="117" s="1"/>
  <c r="B82" i="117" s="1"/>
  <c r="B83" i="117" s="1"/>
  <c r="B84" i="117" s="1"/>
  <c r="B96" i="117"/>
  <c r="B97" i="117" s="1"/>
  <c r="B98" i="117" s="1"/>
  <c r="B99" i="117" s="1"/>
  <c r="B100" i="117" s="1"/>
  <c r="B101" i="117" s="1"/>
  <c r="B102" i="117" s="1"/>
  <c r="B103" i="117" s="1"/>
  <c r="B104" i="117" s="1"/>
  <c r="B105" i="117" s="1"/>
  <c r="B106" i="117" s="1"/>
  <c r="B107" i="117" s="1"/>
  <c r="B108" i="117" s="1"/>
  <c r="B109" i="117" s="1"/>
  <c r="B110" i="117" s="1"/>
  <c r="B111" i="117" s="1"/>
  <c r="G156" i="117"/>
  <c r="B123" i="117"/>
  <c r="B124" i="117" s="1"/>
  <c r="B125" i="117" s="1"/>
  <c r="B126" i="117" s="1"/>
  <c r="B127" i="117" s="1"/>
  <c r="B128" i="117" s="1"/>
  <c r="B129" i="117" s="1"/>
  <c r="B130" i="117" s="1"/>
  <c r="B131" i="117" s="1"/>
  <c r="B132" i="117" s="1"/>
  <c r="B133" i="117" s="1"/>
  <c r="B134" i="117" s="1"/>
  <c r="B135" i="117" s="1"/>
  <c r="B136" i="117" s="1"/>
  <c r="B137" i="117" s="1"/>
  <c r="B138" i="117" s="1"/>
  <c r="Q135" i="117"/>
  <c r="B149" i="117"/>
  <c r="B150" i="117" s="1"/>
  <c r="B151" i="117" s="1"/>
  <c r="B152" i="117" s="1"/>
  <c r="B153" i="117" s="1"/>
  <c r="B154" i="117" s="1"/>
  <c r="B155" i="117" s="1"/>
  <c r="B156" i="117" s="1"/>
  <c r="B157" i="117" s="1"/>
  <c r="B158" i="117" s="1"/>
  <c r="B159" i="117" s="1"/>
  <c r="B160" i="117" s="1"/>
  <c r="B161" i="117" s="1"/>
  <c r="B162" i="117" s="1"/>
  <c r="B163" i="117" s="1"/>
  <c r="B164" i="117" s="1"/>
  <c r="J165" i="117"/>
  <c r="K165" i="117"/>
  <c r="L165" i="117"/>
  <c r="O165" i="117"/>
  <c r="P165" i="117"/>
  <c r="Q165" i="117"/>
  <c r="T165" i="117"/>
  <c r="U165" i="117"/>
  <c r="V165" i="117"/>
  <c r="B10" i="57"/>
  <c r="B11" i="57" s="1"/>
  <c r="B12" i="57" s="1"/>
  <c r="B13" i="57" s="1"/>
  <c r="B14" i="57" s="1"/>
  <c r="B15" i="57" s="1"/>
  <c r="B16" i="57" s="1"/>
  <c r="B17" i="57" s="1"/>
  <c r="B18" i="57" s="1"/>
  <c r="B19" i="57" s="1"/>
  <c r="B20" i="57" s="1"/>
  <c r="B21" i="57" s="1"/>
  <c r="B22" i="57" s="1"/>
  <c r="B23" i="57" s="1"/>
  <c r="B24" i="57" s="1"/>
  <c r="B25" i="57" s="1"/>
  <c r="B26" i="57" s="1"/>
  <c r="B27" i="57" s="1"/>
  <c r="B28" i="57" s="1"/>
  <c r="B29" i="57" s="1"/>
  <c r="B30" i="57" s="1"/>
  <c r="B31" i="57" s="1"/>
  <c r="B32" i="57" s="1"/>
  <c r="B33" i="57" s="1"/>
  <c r="B34" i="57" s="1"/>
  <c r="B35" i="57" s="1"/>
  <c r="B36" i="57" s="1"/>
  <c r="B37" i="57" s="1"/>
  <c r="B38" i="57" s="1"/>
  <c r="B39" i="57" s="1"/>
  <c r="B40" i="57" s="1"/>
  <c r="B41" i="57" s="1"/>
  <c r="B43" i="57" s="1"/>
  <c r="B44" i="57" s="1"/>
  <c r="B45" i="57" s="1"/>
  <c r="B46" i="57" s="1"/>
  <c r="B47" i="57" s="1"/>
  <c r="B48" i="57" s="1"/>
  <c r="B49" i="57" s="1"/>
  <c r="B50" i="57" s="1"/>
  <c r="B51" i="57" s="1"/>
  <c r="B52" i="57" s="1"/>
  <c r="B53" i="57" s="1"/>
  <c r="B54" i="57" s="1"/>
  <c r="B55" i="57" s="1"/>
  <c r="B56" i="57" s="1"/>
  <c r="G159" i="117" l="1"/>
  <c r="G124" i="117"/>
  <c r="L122" i="117"/>
  <c r="V123" i="117"/>
  <c r="G162" i="117"/>
  <c r="L134" i="117"/>
  <c r="Q123" i="117"/>
  <c r="G131" i="117"/>
  <c r="L137" i="117"/>
  <c r="G129" i="117"/>
  <c r="G137" i="117"/>
  <c r="G132" i="117"/>
  <c r="V124" i="117"/>
  <c r="V132" i="117"/>
  <c r="L133" i="117"/>
  <c r="Q128" i="117"/>
  <c r="Q136" i="117"/>
  <c r="G123" i="117"/>
  <c r="V128" i="117"/>
  <c r="V136" i="117"/>
  <c r="Q57" i="117"/>
  <c r="Q131" i="117"/>
  <c r="Q125" i="117"/>
  <c r="L128" i="117"/>
  <c r="Q133" i="117"/>
  <c r="L136" i="117"/>
  <c r="L126" i="117"/>
  <c r="Q130" i="117"/>
  <c r="G134" i="117"/>
  <c r="Q138" i="117"/>
  <c r="L124" i="117"/>
  <c r="Q129" i="117"/>
  <c r="L132" i="117"/>
  <c r="G135" i="117"/>
  <c r="Q137" i="117"/>
  <c r="L131" i="117"/>
  <c r="L85" i="117"/>
  <c r="G130" i="117"/>
  <c r="P31" i="117"/>
  <c r="L127" i="117"/>
  <c r="L135" i="117"/>
  <c r="Q112" i="117"/>
  <c r="L57" i="117"/>
  <c r="L123" i="117"/>
  <c r="G126" i="117"/>
  <c r="V127" i="117"/>
  <c r="V135" i="117"/>
  <c r="G149" i="117"/>
  <c r="G151" i="117"/>
  <c r="G153" i="117"/>
  <c r="G155" i="117"/>
  <c r="G157" i="117"/>
  <c r="G161" i="117"/>
  <c r="G163" i="117"/>
  <c r="L112" i="117"/>
  <c r="Q132" i="117"/>
  <c r="L125" i="117"/>
  <c r="Q122" i="117"/>
  <c r="Q31" i="117"/>
  <c r="G128" i="117"/>
  <c r="Q85" i="117"/>
  <c r="G31" i="117"/>
  <c r="G122" i="117"/>
  <c r="V130" i="117"/>
  <c r="G112" i="117"/>
  <c r="L129" i="117"/>
  <c r="O31" i="117"/>
  <c r="L31" i="117"/>
  <c r="V57" i="117"/>
  <c r="V85" i="117"/>
  <c r="V31" i="117"/>
  <c r="V112" i="117"/>
  <c r="G136" i="117"/>
  <c r="G85" i="117"/>
  <c r="G57" i="117"/>
  <c r="B2" i="116"/>
  <c r="B5" i="115"/>
  <c r="B2" i="115"/>
  <c r="B4" i="116"/>
  <c r="L2" i="114"/>
  <c r="C2" i="113"/>
  <c r="F2" i="112"/>
  <c r="B2" i="111"/>
  <c r="G2" i="110"/>
  <c r="H3" i="109"/>
  <c r="H2" i="108"/>
  <c r="C2" i="107"/>
  <c r="E2" i="106"/>
  <c r="P5" i="105"/>
  <c r="P4" i="105"/>
  <c r="A2" i="104"/>
  <c r="B9" i="116"/>
  <c r="B10" i="116" s="1"/>
  <c r="B11" i="116" s="1"/>
  <c r="B12" i="116" s="1"/>
  <c r="B13" i="116" s="1"/>
  <c r="B14" i="116" s="1"/>
  <c r="B15" i="116" s="1"/>
  <c r="B16" i="116" s="1"/>
  <c r="B17" i="116" s="1"/>
  <c r="B18" i="116" s="1"/>
  <c r="B19" i="116" s="1"/>
  <c r="B20" i="116" s="1"/>
  <c r="B15" i="115"/>
  <c r="T39" i="114"/>
  <c r="AA87" i="105"/>
  <c r="V87" i="105"/>
  <c r="Q87" i="105"/>
  <c r="L87" i="105"/>
  <c r="G87" i="105"/>
  <c r="D86" i="105"/>
  <c r="B71" i="105"/>
  <c r="B72" i="105" s="1"/>
  <c r="B73" i="105" s="1"/>
  <c r="B74" i="105" s="1"/>
  <c r="B75" i="105" s="1"/>
  <c r="B76" i="105" s="1"/>
  <c r="B77" i="105" s="1"/>
  <c r="B78" i="105" s="1"/>
  <c r="B79" i="105" s="1"/>
  <c r="B80" i="105" s="1"/>
  <c r="B81" i="105" s="1"/>
  <c r="B82" i="105" s="1"/>
  <c r="B83" i="105" s="1"/>
  <c r="B84" i="105" s="1"/>
  <c r="B85" i="105" s="1"/>
  <c r="B86" i="105" s="1"/>
  <c r="V61" i="105"/>
  <c r="Q61" i="105"/>
  <c r="L61" i="105"/>
  <c r="G61" i="105"/>
  <c r="F60" i="105"/>
  <c r="F58" i="105"/>
  <c r="F57" i="105"/>
  <c r="F56" i="105"/>
  <c r="F55" i="105"/>
  <c r="F54" i="105"/>
  <c r="F53" i="105"/>
  <c r="F52" i="105"/>
  <c r="F51" i="105"/>
  <c r="F50" i="105"/>
  <c r="F49" i="105"/>
  <c r="F48" i="105"/>
  <c r="F47" i="105"/>
  <c r="F46" i="105"/>
  <c r="F45" i="105"/>
  <c r="B45" i="105"/>
  <c r="B46" i="105" s="1"/>
  <c r="B47" i="105" s="1"/>
  <c r="B48" i="105" s="1"/>
  <c r="B49" i="105" s="1"/>
  <c r="B50" i="105" s="1"/>
  <c r="B51" i="105" s="1"/>
  <c r="B52" i="105" s="1"/>
  <c r="B53" i="105" s="1"/>
  <c r="B54" i="105" s="1"/>
  <c r="B55" i="105" s="1"/>
  <c r="B56" i="105" s="1"/>
  <c r="B57" i="105" s="1"/>
  <c r="B58" i="105" s="1"/>
  <c r="B59" i="105" s="1"/>
  <c r="B60" i="105" s="1"/>
  <c r="F44" i="105"/>
  <c r="AA33" i="105"/>
  <c r="V33" i="105"/>
  <c r="Q33" i="105"/>
  <c r="B17" i="105"/>
  <c r="B18" i="105" s="1"/>
  <c r="B19" i="105" s="1"/>
  <c r="B20" i="105" s="1"/>
  <c r="B21" i="105" s="1"/>
  <c r="B22" i="105" s="1"/>
  <c r="B23" i="105" s="1"/>
  <c r="B24" i="105" s="1"/>
  <c r="B25" i="105" s="1"/>
  <c r="B26" i="105" s="1"/>
  <c r="B27" i="105" s="1"/>
  <c r="B28" i="105" s="1"/>
  <c r="B29" i="105" s="1"/>
  <c r="B30" i="105" s="1"/>
  <c r="B31" i="105" s="1"/>
  <c r="B32" i="105" s="1"/>
  <c r="V139" i="117" l="1"/>
  <c r="G165" i="117"/>
  <c r="L139" i="117"/>
  <c r="Q139" i="117"/>
  <c r="G139" i="117"/>
  <c r="B64" i="55" l="1"/>
  <c r="B65" i="55" s="1"/>
  <c r="B55" i="55"/>
  <c r="B56" i="55" s="1"/>
  <c r="B57" i="55" s="1"/>
  <c r="B58" i="55" s="1"/>
  <c r="K30" i="117" l="1"/>
  <c r="J30" i="117"/>
  <c r="K29" i="117"/>
  <c r="J29" i="117"/>
  <c r="K28" i="117"/>
  <c r="J28" i="117"/>
  <c r="K27" i="117"/>
  <c r="J27" i="117"/>
  <c r="K26" i="117"/>
  <c r="J26" i="117"/>
  <c r="K25" i="117"/>
  <c r="J25" i="117"/>
  <c r="K24" i="117"/>
  <c r="J24" i="117"/>
  <c r="K23" i="117"/>
  <c r="J23" i="117"/>
  <c r="K22" i="117"/>
  <c r="J22" i="117"/>
  <c r="K21" i="117"/>
  <c r="J21" i="117"/>
  <c r="K20" i="117"/>
  <c r="J20" i="117"/>
  <c r="K19" i="117"/>
  <c r="J19" i="117"/>
  <c r="K18" i="117"/>
  <c r="J18" i="117"/>
  <c r="K17" i="117"/>
  <c r="J17" i="117"/>
  <c r="K16" i="117"/>
  <c r="J16" i="117"/>
  <c r="K15" i="117"/>
  <c r="J15" i="117"/>
  <c r="K14" i="117"/>
  <c r="J14" i="117"/>
  <c r="K105" i="59"/>
  <c r="J31" i="81"/>
  <c r="I24" i="60" l="1"/>
  <c r="H39" i="60"/>
  <c r="J39" i="60" s="1"/>
  <c r="H53" i="60"/>
  <c r="J53" i="60" s="1"/>
  <c r="I40" i="60"/>
  <c r="I54" i="60"/>
  <c r="K31" i="117"/>
  <c r="J31" i="117"/>
  <c r="H123" i="54"/>
  <c r="H118" i="54"/>
  <c r="H119" i="54"/>
  <c r="H117" i="54"/>
  <c r="H144" i="54"/>
  <c r="H145" i="54" s="1"/>
  <c r="H146" i="54" s="1"/>
  <c r="H154" i="54"/>
  <c r="H155" i="54" s="1"/>
  <c r="H156" i="54" s="1"/>
  <c r="H164" i="54"/>
  <c r="H165" i="54" s="1"/>
  <c r="H166" i="54" s="1"/>
  <c r="H174" i="54"/>
  <c r="H175" i="54" s="1"/>
  <c r="H176" i="54" s="1"/>
  <c r="H184" i="54"/>
  <c r="H185" i="54" s="1"/>
  <c r="H186" i="54" s="1"/>
  <c r="H194" i="54"/>
  <c r="H195" i="54" s="1"/>
  <c r="H196" i="54" s="1"/>
  <c r="H204" i="54"/>
  <c r="H205" i="54" s="1"/>
  <c r="H206" i="54" s="1"/>
  <c r="H214" i="54"/>
  <c r="H215" i="54" s="1"/>
  <c r="H216" i="54" s="1"/>
  <c r="H224" i="54"/>
  <c r="H225" i="54" s="1"/>
  <c r="H226" i="54" s="1"/>
  <c r="H234" i="54"/>
  <c r="H235" i="54" s="1"/>
  <c r="H236" i="54" s="1"/>
  <c r="H244" i="54"/>
  <c r="H245" i="54" s="1"/>
  <c r="H246" i="54" s="1"/>
  <c r="H254" i="54"/>
  <c r="H255" i="54" s="1"/>
  <c r="H256" i="54" s="1"/>
  <c r="H116" i="54"/>
  <c r="H37" i="54"/>
  <c r="H47" i="54"/>
  <c r="H48" i="54" s="1"/>
  <c r="H49" i="54" s="1"/>
  <c r="H57" i="54"/>
  <c r="H58" i="54" s="1"/>
  <c r="H59" i="54" s="1"/>
  <c r="H67" i="54"/>
  <c r="H68" i="54" s="1"/>
  <c r="H69" i="54" s="1"/>
  <c r="H77" i="54"/>
  <c r="H78" i="54" s="1"/>
  <c r="H79" i="54" s="1"/>
  <c r="H87" i="54"/>
  <c r="H88" i="54" s="1"/>
  <c r="H89" i="54" s="1"/>
  <c r="H97" i="54"/>
  <c r="H98" i="54" s="1"/>
  <c r="H99" i="54" s="1"/>
  <c r="H107" i="54"/>
  <c r="H108" i="54" s="1"/>
  <c r="H109" i="54" s="1"/>
  <c r="H120" i="54" l="1"/>
  <c r="H38" i="54"/>
  <c r="D79" i="67"/>
  <c r="H26" i="75"/>
  <c r="H27" i="77"/>
  <c r="I17" i="55"/>
  <c r="I20" i="61"/>
  <c r="G20" i="61"/>
  <c r="M35" i="59"/>
  <c r="M34" i="59"/>
  <c r="M41" i="59"/>
  <c r="M39" i="59"/>
  <c r="N39" i="59" s="1"/>
  <c r="I39" i="59"/>
  <c r="J39" i="59" s="1"/>
  <c r="I37" i="81"/>
  <c r="I20" i="59"/>
  <c r="I12" i="59"/>
  <c r="I48" i="81" l="1"/>
  <c r="I42" i="81"/>
  <c r="M38" i="81"/>
  <c r="M37" i="81"/>
  <c r="U18" i="54"/>
  <c r="I24" i="54"/>
  <c r="M12" i="59"/>
  <c r="N12" i="59" s="1"/>
  <c r="N41" i="59"/>
  <c r="V18" i="54"/>
  <c r="M20" i="59"/>
  <c r="N20" i="59" s="1"/>
  <c r="D168" i="59"/>
  <c r="D178" i="59" s="1"/>
  <c r="D185" i="59" s="1"/>
  <c r="D187" i="59" s="1"/>
  <c r="D198" i="59" s="1"/>
  <c r="P12" i="58" s="1"/>
  <c r="J12" i="59"/>
  <c r="I41" i="59"/>
  <c r="J56" i="81"/>
  <c r="H39" i="54"/>
  <c r="H121" i="54"/>
  <c r="H122" i="54" s="1"/>
  <c r="I25" i="59"/>
  <c r="I26" i="75"/>
  <c r="M25" i="59"/>
  <c r="M48" i="81" l="1"/>
  <c r="M42" i="81"/>
  <c r="J15" i="81"/>
  <c r="E79" i="61"/>
  <c r="J41" i="59"/>
  <c r="E80" i="61"/>
  <c r="M33" i="59"/>
  <c r="M36" i="59" s="1"/>
  <c r="M37" i="59" s="1"/>
  <c r="N25" i="59"/>
  <c r="M28" i="59"/>
  <c r="E83" i="61" l="1"/>
  <c r="E85" i="61" s="1"/>
  <c r="P20" i="58" s="1"/>
  <c r="Q20" i="58" s="1"/>
  <c r="Q16" i="91"/>
  <c r="E20" i="61"/>
  <c r="E12" i="81" l="1"/>
  <c r="E47" i="54" l="1"/>
  <c r="E254" i="54"/>
  <c r="F11" i="59" l="1"/>
  <c r="E11" i="59" s="1"/>
  <c r="E39" i="60" l="1"/>
  <c r="E64" i="59"/>
  <c r="E63" i="59"/>
  <c r="F41" i="59"/>
  <c r="F39" i="59"/>
  <c r="F25" i="59"/>
  <c r="F20" i="59"/>
  <c r="F12" i="59"/>
  <c r="G12" i="59" l="1"/>
  <c r="F13" i="59"/>
  <c r="E33" i="59"/>
  <c r="F43" i="59"/>
  <c r="E24" i="60" s="1"/>
  <c r="Q11" i="91" l="1"/>
  <c r="Q8" i="91"/>
  <c r="E20" i="91"/>
  <c r="E27" i="77"/>
  <c r="F30" i="117"/>
  <c r="F29" i="117"/>
  <c r="F28" i="117"/>
  <c r="F27" i="117"/>
  <c r="F26" i="117"/>
  <c r="F25" i="117"/>
  <c r="F24" i="117"/>
  <c r="F23" i="117"/>
  <c r="F22" i="117"/>
  <c r="F21" i="117"/>
  <c r="F20" i="117"/>
  <c r="F19" i="117"/>
  <c r="F18" i="117"/>
  <c r="F17" i="117"/>
  <c r="F16" i="117"/>
  <c r="F15" i="117"/>
  <c r="F14" i="117"/>
  <c r="E30" i="117"/>
  <c r="E29" i="117"/>
  <c r="E28" i="117"/>
  <c r="E27" i="117"/>
  <c r="E26" i="117"/>
  <c r="E25" i="117"/>
  <c r="E24" i="117"/>
  <c r="E23" i="117"/>
  <c r="E22" i="117"/>
  <c r="E21" i="117"/>
  <c r="E20" i="117"/>
  <c r="E19" i="117"/>
  <c r="E18" i="117"/>
  <c r="E17" i="117"/>
  <c r="E16" i="117"/>
  <c r="E15" i="117"/>
  <c r="E14" i="117"/>
  <c r="D16" i="117"/>
  <c r="F19" i="59"/>
  <c r="F18" i="59"/>
  <c r="F16" i="59"/>
  <c r="F15" i="59"/>
  <c r="H16" i="117" l="1"/>
  <c r="I16" i="117" s="1"/>
  <c r="E31" i="117"/>
  <c r="F31" i="117"/>
  <c r="E31" i="70"/>
  <c r="E12" i="93" s="1"/>
  <c r="G104" i="59"/>
  <c r="F48" i="59"/>
  <c r="F21" i="59" l="1"/>
  <c r="E14" i="93"/>
  <c r="E17" i="54" s="1"/>
  <c r="F24" i="60"/>
  <c r="M16" i="117"/>
  <c r="N16" i="117" s="1"/>
  <c r="G70" i="59"/>
  <c r="F23" i="59"/>
  <c r="F33" i="59" s="1"/>
  <c r="G90" i="59"/>
  <c r="G89" i="59"/>
  <c r="G85" i="59"/>
  <c r="G92" i="59"/>
  <c r="F92" i="59" s="1"/>
  <c r="G84" i="59"/>
  <c r="G91" i="59"/>
  <c r="G86" i="59"/>
  <c r="E15" i="93" l="1"/>
  <c r="R16" i="117"/>
  <c r="F90" i="59"/>
  <c r="F89" i="59"/>
  <c r="F91" i="59"/>
  <c r="F24" i="59" l="1"/>
  <c r="F31" i="81"/>
  <c r="F53" i="59"/>
  <c r="F54" i="59"/>
  <c r="Q15" i="91" l="1"/>
  <c r="Q14" i="91"/>
  <c r="E315" i="54"/>
  <c r="F104" i="54"/>
  <c r="F105" i="54"/>
  <c r="F106" i="54"/>
  <c r="F100" i="54"/>
  <c r="F96" i="54"/>
  <c r="F90" i="54"/>
  <c r="F83" i="54"/>
  <c r="F84" i="54"/>
  <c r="F85" i="54"/>
  <c r="F80" i="54"/>
  <c r="F74" i="54"/>
  <c r="F75" i="54"/>
  <c r="F76" i="54"/>
  <c r="F70" i="54"/>
  <c r="F63" i="54"/>
  <c r="F66" i="54"/>
  <c r="F60" i="54"/>
  <c r="F54" i="54"/>
  <c r="F55" i="54"/>
  <c r="F56" i="54"/>
  <c r="F50" i="54"/>
  <c r="F43" i="54"/>
  <c r="F44" i="54"/>
  <c r="F45" i="54"/>
  <c r="F46" i="54"/>
  <c r="F40" i="54"/>
  <c r="F33" i="54"/>
  <c r="F34" i="54"/>
  <c r="F35" i="54"/>
  <c r="F36" i="54"/>
  <c r="F64" i="54"/>
  <c r="F65" i="54"/>
  <c r="F73" i="54"/>
  <c r="F86" i="54"/>
  <c r="F93" i="54"/>
  <c r="F94" i="54"/>
  <c r="F95" i="54"/>
  <c r="F103" i="54"/>
  <c r="F110" i="54"/>
  <c r="D6" i="100"/>
  <c r="E53" i="60"/>
  <c r="F38" i="59"/>
  <c r="G34" i="59"/>
  <c r="E41" i="81"/>
  <c r="E37" i="81"/>
  <c r="E42" i="81" s="1"/>
  <c r="E57" i="54" l="1"/>
  <c r="F57" i="54" s="1"/>
  <c r="E117" i="54"/>
  <c r="F54" i="60"/>
  <c r="E123" i="54"/>
  <c r="E87" i="54"/>
  <c r="E37" i="54"/>
  <c r="E38" i="54" s="1"/>
  <c r="E107" i="54"/>
  <c r="F107" i="54" s="1"/>
  <c r="F40" i="60"/>
  <c r="E116" i="54"/>
  <c r="E67" i="54"/>
  <c r="F67" i="54" s="1"/>
  <c r="E118" i="54"/>
  <c r="E119" i="54"/>
  <c r="E97" i="54"/>
  <c r="E77" i="54"/>
  <c r="F77" i="54" s="1"/>
  <c r="F53" i="54"/>
  <c r="G39" i="60"/>
  <c r="F23" i="60"/>
  <c r="E58" i="54" l="1"/>
  <c r="F58" i="54" s="1"/>
  <c r="F59" i="54" s="1"/>
  <c r="F26" i="60"/>
  <c r="G73" i="59" s="1"/>
  <c r="G116" i="59" s="1"/>
  <c r="E126" i="54"/>
  <c r="E128" i="54" s="1"/>
  <c r="E108" i="54"/>
  <c r="F108" i="54" s="1"/>
  <c r="F109" i="54" s="1"/>
  <c r="E39" i="54"/>
  <c r="F38" i="54"/>
  <c r="F39" i="54" s="1"/>
  <c r="F47" i="54"/>
  <c r="E48" i="54"/>
  <c r="F37" i="54"/>
  <c r="E78" i="54"/>
  <c r="F97" i="54"/>
  <c r="E98" i="54"/>
  <c r="E68" i="54"/>
  <c r="E88" i="54"/>
  <c r="F87" i="54"/>
  <c r="E120" i="54"/>
  <c r="B375" i="98"/>
  <c r="B387" i="98" s="1"/>
  <c r="B337" i="98"/>
  <c r="B349" i="98" s="1"/>
  <c r="B299" i="98"/>
  <c r="B311" i="98" s="1"/>
  <c r="N34" i="81"/>
  <c r="N35" i="81"/>
  <c r="N36" i="81"/>
  <c r="K38" i="81"/>
  <c r="K39" i="81"/>
  <c r="K40" i="81"/>
  <c r="J34" i="81"/>
  <c r="J38" i="81" s="1"/>
  <c r="J35" i="81"/>
  <c r="J39" i="81" s="1"/>
  <c r="J36" i="81"/>
  <c r="K36" i="81" s="1"/>
  <c r="B11" i="66"/>
  <c r="B12" i="66" s="1"/>
  <c r="B13" i="66" s="1"/>
  <c r="B14" i="66" s="1"/>
  <c r="B15" i="66" s="1"/>
  <c r="B16" i="66" s="1"/>
  <c r="M49" i="74"/>
  <c r="L49" i="74"/>
  <c r="I49" i="74"/>
  <c r="H49" i="74"/>
  <c r="F49" i="74"/>
  <c r="E49" i="74"/>
  <c r="M40" i="74"/>
  <c r="L40" i="74"/>
  <c r="I40" i="74"/>
  <c r="H40" i="74"/>
  <c r="F40" i="74"/>
  <c r="E40" i="74"/>
  <c r="M31" i="74"/>
  <c r="L31" i="74"/>
  <c r="I31" i="74"/>
  <c r="H31" i="74"/>
  <c r="F31" i="74"/>
  <c r="E31" i="74"/>
  <c r="M22" i="74"/>
  <c r="L22" i="74"/>
  <c r="I22" i="74"/>
  <c r="H22" i="74"/>
  <c r="F22" i="74"/>
  <c r="E22" i="74"/>
  <c r="M11" i="74"/>
  <c r="L11" i="74"/>
  <c r="I11" i="74"/>
  <c r="H11" i="74"/>
  <c r="F11" i="74"/>
  <c r="E11" i="74"/>
  <c r="L20" i="72"/>
  <c r="G11" i="72"/>
  <c r="Q28" i="91"/>
  <c r="Q26" i="91"/>
  <c r="Q25" i="91"/>
  <c r="Q24" i="91"/>
  <c r="Q23" i="91"/>
  <c r="M11" i="72" s="1"/>
  <c r="Q22" i="91"/>
  <c r="Q21" i="91"/>
  <c r="C11" i="72" s="1"/>
  <c r="J18" i="55"/>
  <c r="G18" i="55"/>
  <c r="M26" i="58"/>
  <c r="I26" i="58"/>
  <c r="L11" i="72" l="1"/>
  <c r="J40" i="81"/>
  <c r="J41" i="81" s="1"/>
  <c r="K34" i="81"/>
  <c r="K41" i="81"/>
  <c r="I18" i="55"/>
  <c r="J37" i="81"/>
  <c r="K35" i="81"/>
  <c r="E59" i="54"/>
  <c r="E109" i="54"/>
  <c r="K11" i="72"/>
  <c r="Q18" i="91"/>
  <c r="F78" i="54"/>
  <c r="F79" i="54" s="1"/>
  <c r="E79" i="54"/>
  <c r="E49" i="54"/>
  <c r="F48" i="54"/>
  <c r="F49" i="54" s="1"/>
  <c r="F88" i="54"/>
  <c r="F89" i="54" s="1"/>
  <c r="E89" i="54"/>
  <c r="F68" i="54"/>
  <c r="F69" i="54" s="1"/>
  <c r="E69" i="54"/>
  <c r="E121" i="54"/>
  <c r="E122" i="54" s="1"/>
  <c r="F98" i="54"/>
  <c r="F99" i="54" s="1"/>
  <c r="E99" i="54"/>
  <c r="L40" i="81" l="1"/>
  <c r="K37" i="81"/>
  <c r="E26" i="58"/>
  <c r="K22" i="58"/>
  <c r="G22" i="58"/>
  <c r="F22" i="58"/>
  <c r="W22" i="58"/>
  <c r="V22" i="58"/>
  <c r="U22" i="58"/>
  <c r="T22" i="58"/>
  <c r="S22" i="58"/>
  <c r="E21" i="58"/>
  <c r="B19" i="61"/>
  <c r="B20" i="61" s="1"/>
  <c r="B21" i="61" s="1"/>
  <c r="B22" i="61" s="1"/>
  <c r="B23" i="61" s="1"/>
  <c r="B24" i="61" s="1"/>
  <c r="B25" i="61" s="1"/>
  <c r="B26" i="61" s="1"/>
  <c r="B27" i="61" s="1"/>
  <c r="B28" i="61" s="1"/>
  <c r="B29" i="61" s="1"/>
  <c r="B30" i="61" s="1"/>
  <c r="B32" i="61" s="1"/>
  <c r="M51" i="74"/>
  <c r="L51" i="74"/>
  <c r="M42" i="74"/>
  <c r="L42" i="74"/>
  <c r="M33" i="74"/>
  <c r="L33" i="74"/>
  <c r="N55" i="73"/>
  <c r="M56" i="73"/>
  <c r="L56" i="73"/>
  <c r="N45" i="73" l="1"/>
  <c r="M46" i="73"/>
  <c r="N16" i="71"/>
  <c r="M16" i="71"/>
  <c r="L16" i="71"/>
  <c r="K16" i="71"/>
  <c r="J16" i="71"/>
  <c r="I16" i="71"/>
  <c r="H16" i="71"/>
  <c r="G16" i="71"/>
  <c r="F16" i="71"/>
  <c r="E16" i="71"/>
  <c r="D16" i="71"/>
  <c r="C16" i="71"/>
  <c r="Q20" i="91"/>
  <c r="F11" i="72" s="1"/>
  <c r="L9" i="71"/>
  <c r="K9" i="71"/>
  <c r="K20" i="91"/>
  <c r="J20" i="91"/>
  <c r="D9" i="71"/>
  <c r="Q29" i="91"/>
  <c r="E11" i="72" s="1"/>
  <c r="Q27" i="91"/>
  <c r="Q30" i="91" s="1"/>
  <c r="Q31" i="91" s="1"/>
  <c r="P27" i="91"/>
  <c r="P30" i="91" s="1"/>
  <c r="P31" i="91" s="1"/>
  <c r="O27" i="91"/>
  <c r="O30" i="91" s="1"/>
  <c r="O31" i="91" s="1"/>
  <c r="N27" i="91"/>
  <c r="N30" i="91" s="1"/>
  <c r="N31" i="91" s="1"/>
  <c r="M27" i="91"/>
  <c r="M30" i="91" s="1"/>
  <c r="M31" i="91" s="1"/>
  <c r="L27" i="91"/>
  <c r="L30" i="91" s="1"/>
  <c r="L31" i="91" s="1"/>
  <c r="K27" i="91"/>
  <c r="K30" i="91" s="1"/>
  <c r="K31" i="91" s="1"/>
  <c r="J27" i="91"/>
  <c r="J30" i="91" s="1"/>
  <c r="J31" i="91" s="1"/>
  <c r="I27" i="91"/>
  <c r="I30" i="91" s="1"/>
  <c r="I31" i="91" s="1"/>
  <c r="H27" i="91"/>
  <c r="H30" i="91" s="1"/>
  <c r="H31" i="91" s="1"/>
  <c r="G27" i="91"/>
  <c r="G30" i="91" s="1"/>
  <c r="G31" i="91" s="1"/>
  <c r="F27" i="91"/>
  <c r="F30" i="91" s="1"/>
  <c r="F31" i="91" s="1"/>
  <c r="E27" i="91"/>
  <c r="E30" i="91" s="1"/>
  <c r="E31" i="91" s="1"/>
  <c r="D11" i="72"/>
  <c r="Q17" i="91"/>
  <c r="B14" i="91"/>
  <c r="B15" i="91" s="1"/>
  <c r="B16" i="91" s="1"/>
  <c r="B17" i="91" s="1"/>
  <c r="B18" i="91" s="1"/>
  <c r="B19" i="91" s="1"/>
  <c r="B20" i="91" s="1"/>
  <c r="B21" i="91" s="1"/>
  <c r="B22" i="91" s="1"/>
  <c r="B23" i="91" s="1"/>
  <c r="B24" i="91" s="1"/>
  <c r="B25" i="91" s="1"/>
  <c r="B26" i="91" s="1"/>
  <c r="B27" i="91" s="1"/>
  <c r="B28" i="91" s="1"/>
  <c r="B30" i="91" s="1"/>
  <c r="B31" i="91" s="1"/>
  <c r="B9" i="91"/>
  <c r="B10" i="91" s="1"/>
  <c r="B11" i="91" s="1"/>
  <c r="B12" i="91" s="1"/>
  <c r="J12" i="61"/>
  <c r="F12" i="61"/>
  <c r="J15" i="61"/>
  <c r="J16" i="61"/>
  <c r="J13" i="61"/>
  <c r="H15" i="61"/>
  <c r="H16" i="61"/>
  <c r="H12" i="61"/>
  <c r="H13" i="61"/>
  <c r="F16" i="61"/>
  <c r="F15" i="61"/>
  <c r="F13" i="61"/>
  <c r="I10" i="61"/>
  <c r="G10" i="61"/>
  <c r="H10" i="61"/>
  <c r="F10" i="61"/>
  <c r="E10" i="61"/>
  <c r="B33" i="61"/>
  <c r="B34" i="61" s="1"/>
  <c r="B35" i="61" s="1"/>
  <c r="G61" i="81"/>
  <c r="F56" i="81"/>
  <c r="F40" i="81"/>
  <c r="F39" i="81"/>
  <c r="G40" i="81"/>
  <c r="G39" i="81"/>
  <c r="G38" i="81"/>
  <c r="F34" i="81"/>
  <c r="G34" i="81" s="1"/>
  <c r="K46" i="100" s="1"/>
  <c r="P112" i="59"/>
  <c r="P111" i="59"/>
  <c r="P110" i="59"/>
  <c r="P109" i="59"/>
  <c r="P106" i="59"/>
  <c r="P105" i="59"/>
  <c r="P104" i="59"/>
  <c r="O112" i="59"/>
  <c r="O111" i="59"/>
  <c r="O110" i="59"/>
  <c r="O109" i="59"/>
  <c r="O106" i="59"/>
  <c r="O105" i="59"/>
  <c r="O104" i="59"/>
  <c r="K112" i="59"/>
  <c r="K111" i="59"/>
  <c r="K110" i="59"/>
  <c r="K109" i="59"/>
  <c r="K106" i="59"/>
  <c r="K104" i="59"/>
  <c r="G112" i="59"/>
  <c r="G111" i="59"/>
  <c r="G110" i="59"/>
  <c r="G109" i="59"/>
  <c r="G106" i="59"/>
  <c r="G105" i="59"/>
  <c r="P92" i="59"/>
  <c r="P91" i="59"/>
  <c r="P90" i="59"/>
  <c r="P89" i="59"/>
  <c r="O92" i="59"/>
  <c r="O91" i="59"/>
  <c r="O90" i="59"/>
  <c r="O89" i="59"/>
  <c r="P86" i="59"/>
  <c r="P85" i="59"/>
  <c r="P84" i="59"/>
  <c r="O86" i="59"/>
  <c r="O85" i="59"/>
  <c r="O84" i="59"/>
  <c r="K92" i="59"/>
  <c r="K91" i="59"/>
  <c r="K90" i="59"/>
  <c r="K89" i="59"/>
  <c r="K86" i="59"/>
  <c r="K85" i="59"/>
  <c r="K84" i="59"/>
  <c r="F102" i="59"/>
  <c r="F101" i="59"/>
  <c r="P70" i="59"/>
  <c r="O70" i="59"/>
  <c r="K70" i="59"/>
  <c r="N66" i="59"/>
  <c r="N65" i="59"/>
  <c r="L44" i="59"/>
  <c r="L42" i="59"/>
  <c r="H42" i="59"/>
  <c r="P35" i="59"/>
  <c r="P34" i="59"/>
  <c r="P33" i="59"/>
  <c r="O35" i="59"/>
  <c r="O34" i="59"/>
  <c r="O33" i="59"/>
  <c r="K35" i="59"/>
  <c r="I35" i="59"/>
  <c r="K34" i="59"/>
  <c r="I34" i="59"/>
  <c r="K33" i="59"/>
  <c r="I33" i="59"/>
  <c r="H44" i="59"/>
  <c r="G33" i="59"/>
  <c r="J28" i="59"/>
  <c r="K32" i="59"/>
  <c r="I28" i="59"/>
  <c r="E35" i="59"/>
  <c r="E34" i="59"/>
  <c r="J38" i="59"/>
  <c r="G35" i="59"/>
  <c r="H31" i="59"/>
  <c r="Q31" i="59"/>
  <c r="L31" i="59"/>
  <c r="E28" i="59"/>
  <c r="P32" i="59"/>
  <c r="O32" i="59"/>
  <c r="G32" i="59"/>
  <c r="B27" i="59"/>
  <c r="B28" i="59" s="1"/>
  <c r="H137" i="60"/>
  <c r="H136" i="60"/>
  <c r="H135" i="60"/>
  <c r="H134" i="60"/>
  <c r="H133" i="60"/>
  <c r="H132" i="60"/>
  <c r="H131" i="60"/>
  <c r="H130" i="60"/>
  <c r="H129" i="60"/>
  <c r="H128" i="60"/>
  <c r="H124" i="60"/>
  <c r="H123" i="60"/>
  <c r="H122" i="60"/>
  <c r="H121" i="60"/>
  <c r="H120" i="60"/>
  <c r="H119" i="60"/>
  <c r="H118" i="60"/>
  <c r="H117" i="60"/>
  <c r="H116" i="60"/>
  <c r="H115" i="60"/>
  <c r="H111" i="60"/>
  <c r="H110" i="60"/>
  <c r="H109" i="60"/>
  <c r="H108" i="60"/>
  <c r="H107" i="60"/>
  <c r="H106" i="60"/>
  <c r="H105" i="60"/>
  <c r="H104" i="60"/>
  <c r="H103" i="60"/>
  <c r="H102" i="60"/>
  <c r="H101" i="60"/>
  <c r="H100" i="60"/>
  <c r="H96" i="60"/>
  <c r="H95" i="60"/>
  <c r="H94" i="60"/>
  <c r="H93" i="60"/>
  <c r="H92" i="60"/>
  <c r="H91" i="60"/>
  <c r="H90" i="60"/>
  <c r="H89" i="60"/>
  <c r="H88" i="60"/>
  <c r="H87" i="60"/>
  <c r="H86" i="60"/>
  <c r="H85" i="60"/>
  <c r="H52" i="60"/>
  <c r="H51" i="60"/>
  <c r="H50" i="60"/>
  <c r="H49" i="60"/>
  <c r="H48" i="60"/>
  <c r="H47" i="60"/>
  <c r="H46" i="60"/>
  <c r="H45" i="60"/>
  <c r="H44" i="60"/>
  <c r="H43" i="60"/>
  <c r="H38" i="60"/>
  <c r="H37" i="60"/>
  <c r="H36" i="60"/>
  <c r="H35" i="60"/>
  <c r="H34" i="60"/>
  <c r="H33" i="60"/>
  <c r="H32" i="60"/>
  <c r="H31" i="60"/>
  <c r="H30" i="60"/>
  <c r="H29" i="60"/>
  <c r="E137" i="60"/>
  <c r="E136" i="60"/>
  <c r="E135" i="60"/>
  <c r="E134" i="60"/>
  <c r="E133" i="60"/>
  <c r="E132" i="60"/>
  <c r="E131" i="60"/>
  <c r="E130" i="60"/>
  <c r="E129" i="60"/>
  <c r="E128" i="60"/>
  <c r="E124" i="60"/>
  <c r="E123" i="60"/>
  <c r="E122" i="60"/>
  <c r="E121" i="60"/>
  <c r="E120" i="60"/>
  <c r="E119" i="60"/>
  <c r="E118" i="60"/>
  <c r="E117" i="60"/>
  <c r="E116" i="60"/>
  <c r="E115" i="60"/>
  <c r="E111" i="60"/>
  <c r="E110" i="60"/>
  <c r="E109" i="60"/>
  <c r="E108" i="60"/>
  <c r="E107" i="60"/>
  <c r="E106" i="60"/>
  <c r="E105" i="60"/>
  <c r="E104" i="60"/>
  <c r="E103" i="60"/>
  <c r="E102" i="60"/>
  <c r="E101" i="60"/>
  <c r="E100" i="60"/>
  <c r="E96" i="60"/>
  <c r="E95" i="60"/>
  <c r="E94" i="60"/>
  <c r="E93" i="60"/>
  <c r="E92" i="60"/>
  <c r="E91" i="60"/>
  <c r="E90" i="60"/>
  <c r="E89" i="60"/>
  <c r="E88" i="60"/>
  <c r="E87" i="60"/>
  <c r="E86" i="60"/>
  <c r="E85" i="60"/>
  <c r="E52" i="60"/>
  <c r="E51" i="60"/>
  <c r="E50" i="60"/>
  <c r="E49" i="60"/>
  <c r="E48" i="60"/>
  <c r="E47" i="60"/>
  <c r="E46" i="60"/>
  <c r="E45" i="60"/>
  <c r="E44" i="60"/>
  <c r="E43" i="60"/>
  <c r="E30" i="60"/>
  <c r="E31" i="60"/>
  <c r="E32" i="60"/>
  <c r="E33" i="60"/>
  <c r="E34" i="60"/>
  <c r="E35" i="60"/>
  <c r="E36" i="60"/>
  <c r="E37" i="60"/>
  <c r="E38" i="60"/>
  <c r="E29" i="60"/>
  <c r="H22" i="60"/>
  <c r="H21" i="60"/>
  <c r="H20" i="60"/>
  <c r="H19" i="60"/>
  <c r="H18" i="60"/>
  <c r="H17" i="60"/>
  <c r="H16" i="60"/>
  <c r="H15" i="60"/>
  <c r="H14" i="60"/>
  <c r="H13" i="60"/>
  <c r="H12" i="60"/>
  <c r="H11" i="60"/>
  <c r="E22" i="60"/>
  <c r="E21" i="60"/>
  <c r="E20" i="60"/>
  <c r="E19" i="60"/>
  <c r="E18" i="60"/>
  <c r="E17" i="60"/>
  <c r="E16" i="60"/>
  <c r="E15" i="60"/>
  <c r="E14" i="60"/>
  <c r="E13" i="60"/>
  <c r="E12" i="60"/>
  <c r="E11" i="60"/>
  <c r="J89" i="59" l="1"/>
  <c r="O113" i="59"/>
  <c r="H40" i="60"/>
  <c r="J90" i="59"/>
  <c r="J92" i="59"/>
  <c r="L92" i="59" s="1"/>
  <c r="H54" i="60"/>
  <c r="J91" i="59"/>
  <c r="H112" i="60"/>
  <c r="I36" i="59"/>
  <c r="I37" i="59" s="1"/>
  <c r="Q34" i="59"/>
  <c r="H97" i="60"/>
  <c r="H125" i="60"/>
  <c r="H138" i="60"/>
  <c r="Q33" i="59"/>
  <c r="H40" i="81"/>
  <c r="Q35" i="59"/>
  <c r="P36" i="59"/>
  <c r="P37" i="59" s="1"/>
  <c r="E36" i="59"/>
  <c r="E37" i="59" s="1"/>
  <c r="F20" i="91"/>
  <c r="M20" i="91"/>
  <c r="N20" i="91"/>
  <c r="G113" i="59"/>
  <c r="F18" i="91"/>
  <c r="M18" i="91"/>
  <c r="N18" i="91"/>
  <c r="C9" i="71"/>
  <c r="E18" i="91"/>
  <c r="P20" i="91"/>
  <c r="N9" i="71"/>
  <c r="I20" i="91"/>
  <c r="G9" i="71"/>
  <c r="J18" i="91"/>
  <c r="H9" i="71"/>
  <c r="G20" i="91"/>
  <c r="E9" i="71"/>
  <c r="H20" i="91"/>
  <c r="F9" i="71"/>
  <c r="K18" i="91"/>
  <c r="I9" i="71"/>
  <c r="L18" i="91"/>
  <c r="J9" i="71"/>
  <c r="L20" i="91"/>
  <c r="P18" i="91"/>
  <c r="O20" i="91"/>
  <c r="M9" i="71"/>
  <c r="E54" i="60"/>
  <c r="E40" i="60"/>
  <c r="H23" i="60"/>
  <c r="G36" i="59"/>
  <c r="G37" i="59" s="1"/>
  <c r="H39" i="81"/>
  <c r="K113" i="59"/>
  <c r="L46" i="73"/>
  <c r="F38" i="81"/>
  <c r="O36" i="59"/>
  <c r="P113" i="59"/>
  <c r="O18" i="91"/>
  <c r="G18" i="91"/>
  <c r="H18" i="91"/>
  <c r="I18" i="91"/>
  <c r="G37" i="81"/>
  <c r="F37" i="81"/>
  <c r="G41" i="81"/>
  <c r="F100" i="59"/>
  <c r="F99" i="59"/>
  <c r="K36" i="59"/>
  <c r="K37" i="59" s="1"/>
  <c r="R31" i="59"/>
  <c r="H38" i="81" l="1"/>
  <c r="F41" i="81"/>
  <c r="H41" i="81" s="1"/>
  <c r="Q36" i="59"/>
  <c r="O37" i="59"/>
  <c r="Q37" i="59" s="1"/>
  <c r="L90" i="59"/>
  <c r="L91" i="59"/>
  <c r="L89" i="59"/>
  <c r="W65" i="59" l="1"/>
  <c r="W111" i="59" s="1"/>
  <c r="V65" i="59"/>
  <c r="V111" i="59" s="1"/>
  <c r="U65" i="59"/>
  <c r="U111" i="59" s="1"/>
  <c r="T65" i="59"/>
  <c r="T111" i="59" s="1"/>
  <c r="S65" i="59"/>
  <c r="S111" i="59" s="1"/>
  <c r="J66" i="59" l="1"/>
  <c r="J65" i="59"/>
  <c r="J64" i="59"/>
  <c r="J63" i="59"/>
  <c r="J59" i="59"/>
  <c r="J69" i="59" s="1"/>
  <c r="T131" i="59" l="1"/>
  <c r="U131" i="59"/>
  <c r="V131" i="59"/>
  <c r="W131" i="59"/>
  <c r="T137" i="59"/>
  <c r="U137" i="59"/>
  <c r="V137" i="59"/>
  <c r="W137" i="59"/>
  <c r="S137" i="59"/>
  <c r="S131" i="59"/>
  <c r="T80" i="59"/>
  <c r="T123" i="59" s="1"/>
  <c r="U80" i="59"/>
  <c r="U123" i="59" s="1"/>
  <c r="V80" i="59"/>
  <c r="V123" i="59" s="1"/>
  <c r="W80" i="59"/>
  <c r="W123" i="59" s="1"/>
  <c r="S80" i="59"/>
  <c r="S123" i="59" s="1"/>
  <c r="E23" i="60"/>
  <c r="J11" i="60"/>
  <c r="G11" i="60"/>
  <c r="T60" i="81"/>
  <c r="U60" i="81"/>
  <c r="V60" i="81"/>
  <c r="W60" i="81"/>
  <c r="T61" i="81"/>
  <c r="U61" i="81"/>
  <c r="V61" i="81"/>
  <c r="W61" i="81"/>
  <c r="S61" i="81"/>
  <c r="S60" i="81"/>
  <c r="T56" i="81"/>
  <c r="U56" i="81"/>
  <c r="V56" i="81"/>
  <c r="W56" i="81"/>
  <c r="S56" i="81"/>
  <c r="T52" i="81"/>
  <c r="U52" i="81"/>
  <c r="V52" i="81"/>
  <c r="W52" i="81"/>
  <c r="S52" i="81"/>
  <c r="H49" i="81"/>
  <c r="T31" i="81"/>
  <c r="U31" i="81"/>
  <c r="V31" i="81"/>
  <c r="W31" i="81"/>
  <c r="S31" i="81"/>
  <c r="T25" i="81"/>
  <c r="U25" i="81"/>
  <c r="V25" i="81"/>
  <c r="W25" i="81"/>
  <c r="S25" i="81"/>
  <c r="T18" i="81"/>
  <c r="U18" i="81"/>
  <c r="V18" i="81"/>
  <c r="W18" i="81"/>
  <c r="T19" i="81"/>
  <c r="U19" i="81"/>
  <c r="V19" i="81"/>
  <c r="W19" i="81"/>
  <c r="T21" i="81"/>
  <c r="U21" i="81"/>
  <c r="V21" i="81"/>
  <c r="W21" i="81"/>
  <c r="T22" i="81"/>
  <c r="U22" i="81"/>
  <c r="V22" i="81"/>
  <c r="W22" i="81"/>
  <c r="S21" i="81"/>
  <c r="S22" i="81"/>
  <c r="S19" i="81"/>
  <c r="S18" i="81"/>
  <c r="J11" i="59"/>
  <c r="K12" i="59"/>
  <c r="K15" i="81" s="1"/>
  <c r="Q15" i="59"/>
  <c r="F113" i="59"/>
  <c r="J21" i="59"/>
  <c r="O24" i="59"/>
  <c r="L27" i="77"/>
  <c r="M21" i="58"/>
  <c r="K27" i="77"/>
  <c r="I24" i="77"/>
  <c r="I23" i="77"/>
  <c r="I22" i="77"/>
  <c r="I21" i="77"/>
  <c r="I13" i="77"/>
  <c r="I12" i="77"/>
  <c r="I11" i="77"/>
  <c r="I21" i="58"/>
  <c r="F24" i="77"/>
  <c r="F23" i="77"/>
  <c r="F22" i="77"/>
  <c r="F21" i="77"/>
  <c r="F13" i="77"/>
  <c r="F12" i="77"/>
  <c r="F11" i="77"/>
  <c r="I27" i="77" l="1"/>
  <c r="F27" i="77"/>
  <c r="F35" i="59"/>
  <c r="H35" i="59" s="1"/>
  <c r="F34" i="59"/>
  <c r="O25" i="71"/>
  <c r="Q38" i="59"/>
  <c r="N38" i="59" s="1"/>
  <c r="O65" i="71"/>
  <c r="O57" i="71"/>
  <c r="O49" i="71"/>
  <c r="F37" i="55"/>
  <c r="D14" i="93"/>
  <c r="L13" i="54"/>
  <c r="L14" i="54"/>
  <c r="L20" i="54"/>
  <c r="L24" i="54"/>
  <c r="L33" i="54"/>
  <c r="L34" i="54"/>
  <c r="L35" i="54"/>
  <c r="L36" i="54"/>
  <c r="K37" i="54"/>
  <c r="L37" i="54" s="1"/>
  <c r="L38" i="54"/>
  <c r="K39" i="54"/>
  <c r="L40" i="54"/>
  <c r="L43" i="54"/>
  <c r="L44" i="54"/>
  <c r="L45" i="54"/>
  <c r="L46" i="54"/>
  <c r="K47" i="54"/>
  <c r="L47" i="54" s="1"/>
  <c r="L48" i="54"/>
  <c r="K49" i="54"/>
  <c r="L50" i="54"/>
  <c r="L53" i="54"/>
  <c r="L54" i="54"/>
  <c r="L55" i="54"/>
  <c r="L56" i="54"/>
  <c r="K57" i="54"/>
  <c r="L57" i="54" s="1"/>
  <c r="L58" i="54"/>
  <c r="K59" i="54"/>
  <c r="L60" i="54"/>
  <c r="L63" i="54"/>
  <c r="L64" i="54"/>
  <c r="L65" i="54"/>
  <c r="L66" i="54"/>
  <c r="K67" i="54"/>
  <c r="L67" i="54" s="1"/>
  <c r="L68" i="54"/>
  <c r="K69" i="54"/>
  <c r="L70" i="54"/>
  <c r="L73" i="54"/>
  <c r="L74" i="54"/>
  <c r="L75" i="54"/>
  <c r="L76" i="54"/>
  <c r="K77" i="54"/>
  <c r="L77" i="54" s="1"/>
  <c r="L78" i="54"/>
  <c r="K79" i="54"/>
  <c r="L80" i="54"/>
  <c r="L83" i="54"/>
  <c r="L84" i="54"/>
  <c r="L85" i="54"/>
  <c r="L86" i="54"/>
  <c r="K87" i="54"/>
  <c r="L87" i="54" s="1"/>
  <c r="L88" i="54"/>
  <c r="K89" i="54"/>
  <c r="L90" i="54"/>
  <c r="L93" i="54"/>
  <c r="L94" i="54"/>
  <c r="L95" i="54"/>
  <c r="L96" i="54"/>
  <c r="K97" i="54"/>
  <c r="L97" i="54" s="1"/>
  <c r="L98" i="54"/>
  <c r="K99" i="54"/>
  <c r="L100" i="54"/>
  <c r="L103" i="54"/>
  <c r="L104" i="54"/>
  <c r="L105" i="54"/>
  <c r="L106" i="54"/>
  <c r="K107" i="54"/>
  <c r="L107" i="54" s="1"/>
  <c r="L108" i="54"/>
  <c r="K109" i="54"/>
  <c r="L110" i="54"/>
  <c r="K116" i="54"/>
  <c r="K117" i="54"/>
  <c r="K118" i="54"/>
  <c r="K119" i="54"/>
  <c r="K121" i="54"/>
  <c r="K123" i="54"/>
  <c r="K126" i="54" s="1"/>
  <c r="K128" i="54" s="1"/>
  <c r="L140" i="54"/>
  <c r="L141" i="54"/>
  <c r="L142" i="54"/>
  <c r="K265" i="54"/>
  <c r="K144" i="54"/>
  <c r="L144" i="54" s="1"/>
  <c r="K146" i="54"/>
  <c r="L145" i="54"/>
  <c r="L147" i="54"/>
  <c r="K262" i="54"/>
  <c r="L151" i="54"/>
  <c r="L152" i="54"/>
  <c r="L153" i="54"/>
  <c r="K154" i="54"/>
  <c r="L154" i="54" s="1"/>
  <c r="L155" i="54"/>
  <c r="L157" i="54"/>
  <c r="L160" i="54"/>
  <c r="L161" i="54"/>
  <c r="L162" i="54"/>
  <c r="L163" i="54"/>
  <c r="K164" i="54"/>
  <c r="L164" i="54" s="1"/>
  <c r="L165" i="54"/>
  <c r="K166" i="54"/>
  <c r="L167" i="54"/>
  <c r="L170" i="54"/>
  <c r="L171" i="54"/>
  <c r="L172" i="54"/>
  <c r="L173" i="54"/>
  <c r="K174" i="54"/>
  <c r="L174" i="54" s="1"/>
  <c r="L175" i="54"/>
  <c r="K176" i="54"/>
  <c r="K269" i="54"/>
  <c r="K272" i="54" s="1"/>
  <c r="K274" i="54" s="1"/>
  <c r="L180" i="54"/>
  <c r="L181" i="54"/>
  <c r="L182" i="54"/>
  <c r="L183" i="54"/>
  <c r="K184" i="54"/>
  <c r="L184" i="54" s="1"/>
  <c r="K186" i="54"/>
  <c r="L187" i="54"/>
  <c r="L190" i="54"/>
  <c r="L191" i="54"/>
  <c r="L192" i="54"/>
  <c r="L193" i="54"/>
  <c r="K194" i="54"/>
  <c r="L194" i="54" s="1"/>
  <c r="K196" i="54"/>
  <c r="L195" i="54"/>
  <c r="L197" i="54"/>
  <c r="L200" i="54"/>
  <c r="L201" i="54"/>
  <c r="L202" i="54"/>
  <c r="L203" i="54"/>
  <c r="K204" i="54"/>
  <c r="L204" i="54" s="1"/>
  <c r="K206" i="54"/>
  <c r="L205" i="54"/>
  <c r="L207" i="54"/>
  <c r="L210" i="54"/>
  <c r="L211" i="54"/>
  <c r="L212" i="54"/>
  <c r="L213" i="54"/>
  <c r="K214" i="54"/>
  <c r="L214" i="54" s="1"/>
  <c r="K216" i="54"/>
  <c r="L217" i="54"/>
  <c r="L220" i="54"/>
  <c r="L221" i="54"/>
  <c r="L222" i="54"/>
  <c r="L223" i="54"/>
  <c r="K224" i="54"/>
  <c r="L224" i="54" s="1"/>
  <c r="K226" i="54"/>
  <c r="L225" i="54"/>
  <c r="L227" i="54"/>
  <c r="L230" i="54"/>
  <c r="L231" i="54"/>
  <c r="L232" i="54"/>
  <c r="L233" i="54"/>
  <c r="K234" i="54"/>
  <c r="L234" i="54" s="1"/>
  <c r="L235" i="54"/>
  <c r="K236" i="54"/>
  <c r="L237" i="54"/>
  <c r="L240" i="54"/>
  <c r="L241" i="54"/>
  <c r="L242" i="54"/>
  <c r="L243" i="54"/>
  <c r="K244" i="54"/>
  <c r="L244" i="54" s="1"/>
  <c r="L245" i="54"/>
  <c r="K246" i="54"/>
  <c r="L247" i="54"/>
  <c r="L250" i="54"/>
  <c r="L251" i="54"/>
  <c r="L252" i="54"/>
  <c r="L253" i="54"/>
  <c r="K254" i="54"/>
  <c r="L254" i="54" s="1"/>
  <c r="K256" i="54"/>
  <c r="L255" i="54"/>
  <c r="L257" i="54"/>
  <c r="K264" i="54"/>
  <c r="K288" i="54"/>
  <c r="K290" i="54"/>
  <c r="K298" i="54"/>
  <c r="K300" i="54"/>
  <c r="V165" i="70"/>
  <c r="U165" i="70"/>
  <c r="T165" i="70"/>
  <c r="Q165" i="70"/>
  <c r="P165" i="70"/>
  <c r="O165" i="70"/>
  <c r="L165" i="70"/>
  <c r="K165" i="70"/>
  <c r="J165" i="70"/>
  <c r="V112" i="70"/>
  <c r="Q112" i="70"/>
  <c r="L112" i="70"/>
  <c r="G148" i="70"/>
  <c r="G149" i="70"/>
  <c r="G150" i="70"/>
  <c r="G151" i="70"/>
  <c r="G152" i="70"/>
  <c r="G153" i="70"/>
  <c r="G154" i="70"/>
  <c r="G155" i="70"/>
  <c r="G156" i="70"/>
  <c r="G157" i="70"/>
  <c r="G158" i="70"/>
  <c r="G159" i="70"/>
  <c r="G160" i="70"/>
  <c r="G161" i="70"/>
  <c r="G162" i="70"/>
  <c r="G163" i="70"/>
  <c r="G164" i="70"/>
  <c r="V57" i="70"/>
  <c r="Q57" i="70"/>
  <c r="L57" i="70"/>
  <c r="V31" i="70"/>
  <c r="G57" i="70"/>
  <c r="V85" i="70"/>
  <c r="G112" i="70"/>
  <c r="L109" i="54" l="1"/>
  <c r="L99" i="54"/>
  <c r="L89" i="54"/>
  <c r="L79" i="54"/>
  <c r="L69" i="54"/>
  <c r="L49" i="54"/>
  <c r="L39" i="54"/>
  <c r="L146" i="54"/>
  <c r="D17" i="54"/>
  <c r="D18" i="54" s="1"/>
  <c r="D12" i="55"/>
  <c r="L256" i="54"/>
  <c r="L246" i="54"/>
  <c r="L156" i="54"/>
  <c r="F36" i="59"/>
  <c r="F37" i="59" s="1"/>
  <c r="H33" i="59"/>
  <c r="K122" i="54"/>
  <c r="G165" i="70"/>
  <c r="K120" i="54"/>
  <c r="K266" i="54"/>
  <c r="L59" i="54"/>
  <c r="L236" i="54"/>
  <c r="L226" i="54"/>
  <c r="L206" i="54"/>
  <c r="L196" i="54"/>
  <c r="L166" i="54"/>
  <c r="L177" i="54"/>
  <c r="L176" i="54" s="1"/>
  <c r="L150" i="54"/>
  <c r="L143" i="54"/>
  <c r="K267" i="54"/>
  <c r="L215" i="54"/>
  <c r="L216" i="54" s="1"/>
  <c r="L185" i="54"/>
  <c r="L186" i="54" s="1"/>
  <c r="K156" i="54"/>
  <c r="K268" i="54" s="1"/>
  <c r="K263" i="54"/>
  <c r="D36" i="67"/>
  <c r="G11" i="65" s="1"/>
  <c r="H11" i="67"/>
  <c r="H14" i="58"/>
  <c r="L14" i="58"/>
  <c r="E39" i="67" l="1"/>
  <c r="I11" i="80" l="1"/>
  <c r="F11" i="80"/>
  <c r="M11" i="58"/>
  <c r="I11" i="58"/>
  <c r="R14" i="58"/>
  <c r="E13" i="58" l="1"/>
  <c r="N3" i="58" l="1"/>
  <c r="P22" i="81" l="1"/>
  <c r="O22" i="81"/>
  <c r="P21" i="81"/>
  <c r="O21" i="81"/>
  <c r="P19" i="81"/>
  <c r="O19" i="81"/>
  <c r="P18" i="81"/>
  <c r="O18" i="81"/>
  <c r="G22" i="81"/>
  <c r="G21" i="81"/>
  <c r="G19" i="81"/>
  <c r="G18" i="81"/>
  <c r="H37" i="67" l="1"/>
  <c r="H33" i="67"/>
  <c r="H31" i="67"/>
  <c r="H30" i="67"/>
  <c r="H28" i="67"/>
  <c r="H27" i="67"/>
  <c r="H26" i="67"/>
  <c r="H25" i="67"/>
  <c r="H24" i="67"/>
  <c r="H23" i="67"/>
  <c r="H21" i="67"/>
  <c r="H20" i="67"/>
  <c r="H19" i="67"/>
  <c r="H18" i="67"/>
  <c r="H17" i="67"/>
  <c r="H15" i="67"/>
  <c r="H14" i="67"/>
  <c r="O22" i="58" l="1"/>
  <c r="P22" i="58" l="1"/>
  <c r="Q22" i="58" s="1"/>
  <c r="Q136" i="59"/>
  <c r="Q135" i="59"/>
  <c r="Q134" i="59"/>
  <c r="Q137" i="59" l="1"/>
  <c r="P131" i="59" l="1"/>
  <c r="O131" i="59"/>
  <c r="Q130" i="59"/>
  <c r="Q129" i="59"/>
  <c r="Q128" i="59"/>
  <c r="Q131" i="59" l="1"/>
  <c r="Q49" i="81" l="1"/>
  <c r="R49" i="81" s="1"/>
  <c r="L49" i="81"/>
  <c r="L39" i="81"/>
  <c r="L35" i="81"/>
  <c r="Q27" i="81"/>
  <c r="L27" i="81"/>
  <c r="H27" i="81"/>
  <c r="J55" i="59" l="1"/>
  <c r="L55" i="59" s="1"/>
  <c r="F150" i="59"/>
  <c r="H150" i="59" s="1"/>
  <c r="F149" i="59"/>
  <c r="H149" i="59" s="1"/>
  <c r="F148" i="59"/>
  <c r="H148" i="59" s="1"/>
  <c r="F147" i="59"/>
  <c r="H147" i="59" s="1"/>
  <c r="F146" i="59"/>
  <c r="H146" i="59" s="1"/>
  <c r="F145" i="59"/>
  <c r="H145" i="59" s="1"/>
  <c r="F144" i="59"/>
  <c r="H144" i="59" s="1"/>
  <c r="F143" i="59"/>
  <c r="H143" i="59" s="1"/>
  <c r="F142" i="59"/>
  <c r="H142" i="59" s="1"/>
  <c r="H101" i="59"/>
  <c r="F65" i="59"/>
  <c r="F111" i="59" s="1"/>
  <c r="F56" i="59"/>
  <c r="H56" i="59" s="1"/>
  <c r="F55" i="59"/>
  <c r="H55" i="59" s="1"/>
  <c r="H53" i="59"/>
  <c r="F49" i="59"/>
  <c r="H49" i="59" s="1"/>
  <c r="P137" i="59"/>
  <c r="O137" i="59"/>
  <c r="K137" i="59"/>
  <c r="H137" i="59"/>
  <c r="G137" i="59"/>
  <c r="J136" i="59"/>
  <c r="L136" i="59" s="1"/>
  <c r="F136" i="59"/>
  <c r="J135" i="59"/>
  <c r="L135" i="59" s="1"/>
  <c r="F135" i="59"/>
  <c r="J134" i="59"/>
  <c r="F134" i="59"/>
  <c r="K131" i="59"/>
  <c r="G131" i="59"/>
  <c r="J130" i="59"/>
  <c r="L130" i="59" s="1"/>
  <c r="F130" i="59"/>
  <c r="H130" i="59" s="1"/>
  <c r="J129" i="59"/>
  <c r="L129" i="59" s="1"/>
  <c r="F129" i="59"/>
  <c r="H129" i="59" s="1"/>
  <c r="J128" i="59"/>
  <c r="F128" i="59"/>
  <c r="Q112" i="59"/>
  <c r="Q111" i="59"/>
  <c r="Q92" i="59"/>
  <c r="Q91" i="59"/>
  <c r="L38" i="59"/>
  <c r="H38" i="59"/>
  <c r="H34" i="59"/>
  <c r="H36" i="59" s="1"/>
  <c r="Q30" i="59"/>
  <c r="R30" i="59" s="1"/>
  <c r="L30" i="59"/>
  <c r="H30" i="59"/>
  <c r="R22" i="59"/>
  <c r="L22" i="59"/>
  <c r="H22" i="59"/>
  <c r="Q19" i="59"/>
  <c r="H19" i="59"/>
  <c r="Q18" i="59"/>
  <c r="H18" i="59"/>
  <c r="Q16" i="59"/>
  <c r="H16" i="59"/>
  <c r="H15" i="59"/>
  <c r="H111" i="59" l="1"/>
  <c r="F131" i="59"/>
  <c r="H128" i="59"/>
  <c r="H131" i="59" s="1"/>
  <c r="J131" i="59"/>
  <c r="L128" i="59"/>
  <c r="L131" i="59" s="1"/>
  <c r="F137" i="59"/>
  <c r="Q141" i="59"/>
  <c r="N141" i="59" s="1"/>
  <c r="R141" i="59" s="1"/>
  <c r="Q142" i="59"/>
  <c r="N142" i="59" s="1"/>
  <c r="R142" i="59" s="1"/>
  <c r="Q146" i="59"/>
  <c r="N146" i="59" s="1"/>
  <c r="R146" i="59" s="1"/>
  <c r="Q150" i="59"/>
  <c r="N150" i="59" s="1"/>
  <c r="R150" i="59" s="1"/>
  <c r="Q140" i="59"/>
  <c r="Q144" i="59"/>
  <c r="N144" i="59" s="1"/>
  <c r="R144" i="59" s="1"/>
  <c r="Q148" i="59"/>
  <c r="N148" i="59" s="1"/>
  <c r="R148" i="59" s="1"/>
  <c r="Q152" i="59"/>
  <c r="N152" i="59" s="1"/>
  <c r="R152" i="59" s="1"/>
  <c r="Q143" i="59"/>
  <c r="N143" i="59" s="1"/>
  <c r="R143" i="59" s="1"/>
  <c r="Q147" i="59"/>
  <c r="N147" i="59" s="1"/>
  <c r="R147" i="59" s="1"/>
  <c r="Q151" i="59"/>
  <c r="N151" i="59" s="1"/>
  <c r="R151" i="59" s="1"/>
  <c r="Q145" i="59"/>
  <c r="N145" i="59" s="1"/>
  <c r="R145" i="59" s="1"/>
  <c r="Q149" i="59"/>
  <c r="N149" i="59" s="1"/>
  <c r="R149" i="59" s="1"/>
  <c r="H65" i="59"/>
  <c r="P153" i="59"/>
  <c r="F50" i="59"/>
  <c r="F151" i="59"/>
  <c r="H151" i="59" s="1"/>
  <c r="H102" i="59"/>
  <c r="H48" i="59"/>
  <c r="J56" i="59"/>
  <c r="J144" i="59"/>
  <c r="L144" i="59" s="1"/>
  <c r="O153" i="59"/>
  <c r="J148" i="59"/>
  <c r="L148" i="59" s="1"/>
  <c r="H54" i="59"/>
  <c r="F66" i="59"/>
  <c r="J145" i="59"/>
  <c r="L145" i="59" s="1"/>
  <c r="J152" i="59"/>
  <c r="L152" i="59" s="1"/>
  <c r="J137" i="59"/>
  <c r="L134" i="59"/>
  <c r="L137" i="59" s="1"/>
  <c r="J149" i="59"/>
  <c r="L149" i="59" s="1"/>
  <c r="J142" i="59"/>
  <c r="L142" i="59" s="1"/>
  <c r="J146" i="59"/>
  <c r="L146" i="59" s="1"/>
  <c r="J150" i="59"/>
  <c r="L150" i="59" s="1"/>
  <c r="F152" i="59"/>
  <c r="H152" i="59" s="1"/>
  <c r="J143" i="59"/>
  <c r="L143" i="59" s="1"/>
  <c r="J147" i="59"/>
  <c r="L147" i="59" s="1"/>
  <c r="J151" i="59"/>
  <c r="L151" i="59" s="1"/>
  <c r="F112" i="59" l="1"/>
  <c r="H50" i="59"/>
  <c r="F60" i="59"/>
  <c r="H60" i="59" s="1"/>
  <c r="L66" i="59"/>
  <c r="N140" i="59"/>
  <c r="Q153" i="59"/>
  <c r="L65" i="59"/>
  <c r="H66" i="59"/>
  <c r="L56" i="59"/>
  <c r="H112" i="59" l="1"/>
  <c r="N153" i="59"/>
  <c r="R140" i="59"/>
  <c r="R153" i="59" s="1"/>
  <c r="B58" i="78" l="1"/>
  <c r="B59" i="78" s="1"/>
  <c r="G19" i="78"/>
  <c r="B29" i="78"/>
  <c r="B30" i="78" s="1"/>
  <c r="V138" i="70" l="1"/>
  <c r="Q138" i="70"/>
  <c r="V137" i="70"/>
  <c r="Q137" i="70"/>
  <c r="V136" i="70"/>
  <c r="Q136" i="70"/>
  <c r="V135" i="70"/>
  <c r="Q135" i="70"/>
  <c r="V134" i="70"/>
  <c r="Q134" i="70"/>
  <c r="L138" i="70"/>
  <c r="G138" i="70"/>
  <c r="L137" i="70"/>
  <c r="G137" i="70"/>
  <c r="L136" i="70"/>
  <c r="G136" i="70"/>
  <c r="L135" i="70"/>
  <c r="G135" i="70"/>
  <c r="L134" i="70"/>
  <c r="G134" i="70"/>
  <c r="Q85" i="70"/>
  <c r="L85" i="70"/>
  <c r="G85" i="70"/>
  <c r="Q31" i="70" l="1"/>
  <c r="L31" i="70"/>
  <c r="G31" i="70"/>
  <c r="Q18" i="81" l="1"/>
  <c r="Q19" i="81"/>
  <c r="Q21" i="81"/>
  <c r="Q22" i="81"/>
  <c r="J124" i="60" l="1"/>
  <c r="J123" i="60"/>
  <c r="J122" i="60"/>
  <c r="J121" i="60"/>
  <c r="J120" i="60"/>
  <c r="J119" i="60"/>
  <c r="J118" i="60"/>
  <c r="J117" i="60"/>
  <c r="J116" i="60"/>
  <c r="J115" i="60"/>
  <c r="I125" i="60" l="1"/>
  <c r="J125" i="60"/>
  <c r="O81" i="59" l="1"/>
  <c r="J80" i="59"/>
  <c r="O80" i="59"/>
  <c r="K80" i="59"/>
  <c r="K123" i="59" s="1"/>
  <c r="O123" i="59" l="1"/>
  <c r="O124" i="59"/>
  <c r="L80" i="59"/>
  <c r="G124" i="60" l="1"/>
  <c r="G123" i="60"/>
  <c r="G122" i="60"/>
  <c r="G121" i="60"/>
  <c r="G120" i="60"/>
  <c r="G119" i="60"/>
  <c r="G118" i="60"/>
  <c r="G117" i="60"/>
  <c r="G116" i="60"/>
  <c r="G115" i="60"/>
  <c r="G43" i="60"/>
  <c r="G44" i="60"/>
  <c r="G45" i="60"/>
  <c r="G46" i="60"/>
  <c r="G47" i="60"/>
  <c r="G48" i="60"/>
  <c r="G49" i="60"/>
  <c r="G50" i="60"/>
  <c r="G51" i="60"/>
  <c r="G52" i="60"/>
  <c r="G54" i="60" l="1"/>
  <c r="G125" i="60"/>
  <c r="F125" i="60"/>
  <c r="E125" i="60"/>
  <c r="F75" i="59" l="1"/>
  <c r="F80" i="59"/>
  <c r="F123" i="59" s="1"/>
  <c r="G80" i="59"/>
  <c r="G75" i="59"/>
  <c r="G118" i="59" s="1"/>
  <c r="H80" i="59" l="1"/>
  <c r="H75" i="59"/>
  <c r="G123" i="59"/>
  <c r="H123" i="59" s="1"/>
  <c r="B116" i="60" l="1"/>
  <c r="B117" i="60" s="1"/>
  <c r="B118" i="60" s="1"/>
  <c r="B119" i="60" s="1"/>
  <c r="B120" i="60" s="1"/>
  <c r="B121" i="60" s="1"/>
  <c r="B122" i="60" s="1"/>
  <c r="B123" i="60" s="1"/>
  <c r="B124" i="60" s="1"/>
  <c r="B129" i="60"/>
  <c r="B130" i="60" s="1"/>
  <c r="B131" i="60" s="1"/>
  <c r="B132" i="60" s="1"/>
  <c r="B133" i="60" s="1"/>
  <c r="B134" i="60" s="1"/>
  <c r="B135" i="60" s="1"/>
  <c r="B136" i="60" s="1"/>
  <c r="B137" i="60" s="1"/>
  <c r="B44" i="60"/>
  <c r="B45" i="60" s="1"/>
  <c r="B46" i="60" s="1"/>
  <c r="B47" i="60" s="1"/>
  <c r="B48" i="60" s="1"/>
  <c r="B49" i="60" s="1"/>
  <c r="B50" i="60" s="1"/>
  <c r="B51" i="60" s="1"/>
  <c r="B52" i="60" s="1"/>
  <c r="B53" i="60" s="1"/>
  <c r="H35" i="67" l="1"/>
  <c r="M23" i="75"/>
  <c r="M24" i="75"/>
  <c r="H43" i="68"/>
  <c r="Q56" i="91" l="1"/>
  <c r="Q44" i="91"/>
  <c r="M21" i="75" l="1"/>
  <c r="M19" i="75"/>
  <c r="M18" i="75"/>
  <c r="M17" i="75"/>
  <c r="M14" i="75"/>
  <c r="M12" i="75"/>
  <c r="M10" i="75"/>
  <c r="Q256" i="54"/>
  <c r="N256" i="54"/>
  <c r="Q254" i="54"/>
  <c r="N254" i="54"/>
  <c r="Q246" i="54"/>
  <c r="N246" i="54"/>
  <c r="Q244" i="54"/>
  <c r="N244" i="54"/>
  <c r="Q236" i="54"/>
  <c r="N236" i="54"/>
  <c r="Q234" i="54"/>
  <c r="N234" i="54"/>
  <c r="Q226" i="54"/>
  <c r="N226" i="54"/>
  <c r="Q224" i="54"/>
  <c r="N224" i="54"/>
  <c r="Q216" i="54"/>
  <c r="N216" i="54"/>
  <c r="Q214" i="54"/>
  <c r="N214" i="54"/>
  <c r="Q206" i="54"/>
  <c r="N206" i="54"/>
  <c r="Q204" i="54"/>
  <c r="N204" i="54"/>
  <c r="Q196" i="54"/>
  <c r="N196" i="54"/>
  <c r="Q194" i="54"/>
  <c r="N194" i="54"/>
  <c r="Q186" i="54"/>
  <c r="N186" i="54"/>
  <c r="Q184" i="54"/>
  <c r="N184" i="54"/>
  <c r="Q176" i="54"/>
  <c r="N176" i="54"/>
  <c r="Q174" i="54"/>
  <c r="N174" i="54"/>
  <c r="Q166" i="54"/>
  <c r="N166" i="54"/>
  <c r="Q164" i="54"/>
  <c r="N164" i="54"/>
  <c r="Q156" i="54"/>
  <c r="N156" i="54"/>
  <c r="Q154" i="54"/>
  <c r="N154" i="54"/>
  <c r="Q146" i="54"/>
  <c r="N146" i="54"/>
  <c r="Q144" i="54"/>
  <c r="N144" i="54"/>
  <c r="I110" i="54"/>
  <c r="I108" i="54"/>
  <c r="I106" i="54"/>
  <c r="I105" i="54"/>
  <c r="I104" i="54"/>
  <c r="I103" i="54"/>
  <c r="I100" i="54"/>
  <c r="I98" i="54"/>
  <c r="I95" i="54"/>
  <c r="I94" i="54"/>
  <c r="I93" i="54"/>
  <c r="I90" i="54"/>
  <c r="I88" i="54"/>
  <c r="I86" i="54"/>
  <c r="I84" i="54"/>
  <c r="Q109" i="54"/>
  <c r="N109" i="54"/>
  <c r="Q107" i="54"/>
  <c r="N107" i="54"/>
  <c r="Q99" i="54"/>
  <c r="N99" i="54"/>
  <c r="Q97" i="54"/>
  <c r="N97" i="54"/>
  <c r="I96" i="54"/>
  <c r="Q89" i="54"/>
  <c r="N89" i="54"/>
  <c r="Q87" i="54"/>
  <c r="N87" i="54"/>
  <c r="I85" i="54"/>
  <c r="Q79" i="54"/>
  <c r="N79" i="54"/>
  <c r="Q77" i="54"/>
  <c r="N77" i="54"/>
  <c r="Q69" i="54"/>
  <c r="N69" i="54"/>
  <c r="Q67" i="54"/>
  <c r="N67" i="54"/>
  <c r="Q59" i="54"/>
  <c r="N59" i="54"/>
  <c r="Q57" i="54"/>
  <c r="N57" i="54"/>
  <c r="Q49" i="54"/>
  <c r="N49" i="54"/>
  <c r="Q47" i="54"/>
  <c r="N47" i="54"/>
  <c r="Q39" i="54"/>
  <c r="N39" i="54"/>
  <c r="Q37" i="54"/>
  <c r="N37" i="54"/>
  <c r="I109" i="54" l="1"/>
  <c r="I89" i="54"/>
  <c r="I99" i="54"/>
  <c r="I83" i="54"/>
  <c r="I87" i="54"/>
  <c r="I97" i="54"/>
  <c r="I107" i="54"/>
  <c r="J111" i="60"/>
  <c r="G111" i="60"/>
  <c r="J110" i="60"/>
  <c r="G110" i="60"/>
  <c r="J96" i="60"/>
  <c r="G96" i="60"/>
  <c r="J95" i="60"/>
  <c r="G95" i="60"/>
  <c r="O25" i="60"/>
  <c r="J25" i="60"/>
  <c r="G25" i="60"/>
  <c r="B36" i="67" l="1"/>
  <c r="B37" i="67" s="1"/>
  <c r="B38" i="67" s="1"/>
  <c r="B39" i="67" s="1"/>
  <c r="B40" i="67" s="1"/>
  <c r="B12" i="68" l="1"/>
  <c r="B13" i="68" s="1"/>
  <c r="B14" i="68" s="1"/>
  <c r="B15" i="68" s="1"/>
  <c r="B16" i="68" s="1"/>
  <c r="B17" i="68" s="1"/>
  <c r="B18" i="68" s="1"/>
  <c r="B19" i="68" s="1"/>
  <c r="B20" i="68" s="1"/>
  <c r="B21" i="68" s="1"/>
  <c r="B22" i="68" s="1"/>
  <c r="B23" i="68" s="1"/>
  <c r="B24" i="68" s="1"/>
  <c r="B25" i="68" s="1"/>
  <c r="B26" i="68" s="1"/>
  <c r="B27" i="68" s="1"/>
  <c r="B28" i="68" s="1"/>
  <c r="B29" i="68" s="1"/>
  <c r="B30" i="68" s="1"/>
  <c r="B31" i="68" s="1"/>
  <c r="B32" i="68" s="1"/>
  <c r="B33" i="68" s="1"/>
  <c r="B34" i="68" s="1"/>
  <c r="B35" i="68" s="1"/>
  <c r="B36" i="68" s="1"/>
  <c r="B37" i="68" s="1"/>
  <c r="B38" i="68" s="1"/>
  <c r="B39" i="68" s="1"/>
  <c r="B40" i="68" s="1"/>
  <c r="B41" i="68" s="1"/>
  <c r="B42" i="68" s="1"/>
  <c r="B43" i="68" s="1"/>
  <c r="B44" i="68" s="1"/>
  <c r="B45" i="68" s="1"/>
  <c r="B46" i="68" s="1"/>
  <c r="Q269" i="54" l="1"/>
  <c r="Q267" i="54"/>
  <c r="Q265" i="54"/>
  <c r="Q264" i="54"/>
  <c r="Q263" i="54"/>
  <c r="Q262" i="54"/>
  <c r="N269" i="54"/>
  <c r="N267" i="54"/>
  <c r="N265" i="54"/>
  <c r="N264" i="54"/>
  <c r="N263" i="54"/>
  <c r="N262" i="54"/>
  <c r="B250" i="54"/>
  <c r="B251" i="54" s="1"/>
  <c r="B252" i="54" s="1"/>
  <c r="B253" i="54" s="1"/>
  <c r="B254" i="54" s="1"/>
  <c r="B255" i="54" s="1"/>
  <c r="B256" i="54" s="1"/>
  <c r="B257" i="54" s="1"/>
  <c r="B240" i="54"/>
  <c r="B241" i="54" s="1"/>
  <c r="B242" i="54" s="1"/>
  <c r="B243" i="54" s="1"/>
  <c r="B244" i="54" s="1"/>
  <c r="B245" i="54" s="1"/>
  <c r="B246" i="54" s="1"/>
  <c r="B247" i="54" s="1"/>
  <c r="B230" i="54"/>
  <c r="B231" i="54" s="1"/>
  <c r="B232" i="54" s="1"/>
  <c r="B233" i="54" s="1"/>
  <c r="B234" i="54" s="1"/>
  <c r="B235" i="54" s="1"/>
  <c r="B236" i="54" s="1"/>
  <c r="B237" i="54" s="1"/>
  <c r="B220" i="54"/>
  <c r="B221" i="54" s="1"/>
  <c r="B222" i="54" s="1"/>
  <c r="B223" i="54" s="1"/>
  <c r="B224" i="54" s="1"/>
  <c r="B225" i="54" s="1"/>
  <c r="B226" i="54" s="1"/>
  <c r="B227" i="54" s="1"/>
  <c r="Q300" i="54" l="1"/>
  <c r="N300" i="54"/>
  <c r="H300" i="54"/>
  <c r="Q298" i="54"/>
  <c r="N298" i="54"/>
  <c r="H298" i="54"/>
  <c r="E298" i="54"/>
  <c r="E299" i="54" s="1"/>
  <c r="E300" i="54" s="1"/>
  <c r="Q290" i="54"/>
  <c r="N290" i="54"/>
  <c r="H290" i="54"/>
  <c r="Q288" i="54"/>
  <c r="N288" i="54"/>
  <c r="H288" i="54"/>
  <c r="E288" i="54"/>
  <c r="E289" i="54" s="1"/>
  <c r="E290" i="54" s="1"/>
  <c r="Q272" i="54" l="1"/>
  <c r="Q274" i="54" s="1"/>
  <c r="N272" i="54"/>
  <c r="N274" i="54" s="1"/>
  <c r="B262" i="54"/>
  <c r="B263" i="54" s="1"/>
  <c r="B264" i="54" s="1"/>
  <c r="B265" i="54" s="1"/>
  <c r="B266" i="54" s="1"/>
  <c r="B267" i="54" s="1"/>
  <c r="B268" i="54" s="1"/>
  <c r="B269" i="54" s="1"/>
  <c r="B210" i="54"/>
  <c r="B211" i="54" s="1"/>
  <c r="B212" i="54" s="1"/>
  <c r="B213" i="54" s="1"/>
  <c r="B214" i="54" s="1"/>
  <c r="B215" i="54" s="1"/>
  <c r="B216" i="54" s="1"/>
  <c r="B217" i="54" s="1"/>
  <c r="B200" i="54"/>
  <c r="B201" i="54" s="1"/>
  <c r="B202" i="54" s="1"/>
  <c r="B203" i="54" s="1"/>
  <c r="B204" i="54" s="1"/>
  <c r="B205" i="54" s="1"/>
  <c r="B206" i="54" s="1"/>
  <c r="B207" i="54" s="1"/>
  <c r="B190" i="54"/>
  <c r="B191" i="54" s="1"/>
  <c r="B192" i="54" s="1"/>
  <c r="B193" i="54" s="1"/>
  <c r="B194" i="54" s="1"/>
  <c r="B195" i="54" s="1"/>
  <c r="B196" i="54" s="1"/>
  <c r="B197" i="54" s="1"/>
  <c r="B180" i="54"/>
  <c r="B181" i="54" s="1"/>
  <c r="B182" i="54" s="1"/>
  <c r="B183" i="54" s="1"/>
  <c r="B184" i="54" s="1"/>
  <c r="B185" i="54" s="1"/>
  <c r="B186" i="54" s="1"/>
  <c r="B187" i="54" s="1"/>
  <c r="B170" i="54"/>
  <c r="B171" i="54" s="1"/>
  <c r="B172" i="54" s="1"/>
  <c r="B173" i="54" s="1"/>
  <c r="B174" i="54" s="1"/>
  <c r="B175" i="54" s="1"/>
  <c r="B176" i="54" s="1"/>
  <c r="B177" i="54" s="1"/>
  <c r="B160" i="54"/>
  <c r="B161" i="54" s="1"/>
  <c r="B162" i="54" s="1"/>
  <c r="B163" i="54" s="1"/>
  <c r="B164" i="54" s="1"/>
  <c r="B165" i="54" s="1"/>
  <c r="B166" i="54" s="1"/>
  <c r="B167" i="54" s="1"/>
  <c r="B150" i="54"/>
  <c r="B151" i="54" s="1"/>
  <c r="B152" i="54" s="1"/>
  <c r="B153" i="54" s="1"/>
  <c r="B154" i="54" s="1"/>
  <c r="B155" i="54" s="1"/>
  <c r="B156" i="54" s="1"/>
  <c r="B157" i="54" s="1"/>
  <c r="Q268" i="54"/>
  <c r="B141" i="54"/>
  <c r="B142" i="54" s="1"/>
  <c r="B143" i="54" s="1"/>
  <c r="B144" i="54" s="1"/>
  <c r="B145" i="54" s="1"/>
  <c r="B146" i="54" s="1"/>
  <c r="B147" i="54" s="1"/>
  <c r="Q123" i="54"/>
  <c r="Q121" i="54"/>
  <c r="Q119" i="54"/>
  <c r="Q118" i="54"/>
  <c r="Q117" i="54"/>
  <c r="Q116" i="54"/>
  <c r="N123" i="54"/>
  <c r="N126" i="54" s="1"/>
  <c r="N128" i="54" s="1"/>
  <c r="N121" i="54"/>
  <c r="N119" i="54"/>
  <c r="N118" i="54"/>
  <c r="N117" i="54"/>
  <c r="N116" i="54"/>
  <c r="Q122" i="54"/>
  <c r="Q120" i="54"/>
  <c r="N120" i="54" l="1"/>
  <c r="N266" i="54"/>
  <c r="Q266" i="54"/>
  <c r="N268" i="54"/>
  <c r="N122" i="54"/>
  <c r="Q126" i="54"/>
  <c r="Q128" i="54" s="1"/>
  <c r="B103" i="54"/>
  <c r="B104" i="54" s="1"/>
  <c r="B105" i="54" s="1"/>
  <c r="B106" i="54" s="1"/>
  <c r="B107" i="54" s="1"/>
  <c r="B108" i="54" s="1"/>
  <c r="B109" i="54" s="1"/>
  <c r="B110" i="54" s="1"/>
  <c r="B93" i="54"/>
  <c r="B94" i="54" s="1"/>
  <c r="B95" i="54" s="1"/>
  <c r="B96" i="54" s="1"/>
  <c r="B97" i="54" s="1"/>
  <c r="B98" i="54" s="1"/>
  <c r="B99" i="54" s="1"/>
  <c r="B100" i="54" s="1"/>
  <c r="B83" i="54"/>
  <c r="B84" i="54" s="1"/>
  <c r="B85" i="54" s="1"/>
  <c r="B86" i="54" s="1"/>
  <c r="B87" i="54" s="1"/>
  <c r="B88" i="54" s="1"/>
  <c r="B89" i="54" s="1"/>
  <c r="B90" i="54" s="1"/>
  <c r="B73" i="54"/>
  <c r="B74" i="54" s="1"/>
  <c r="B75" i="54" s="1"/>
  <c r="B76" i="54" s="1"/>
  <c r="B77" i="54" s="1"/>
  <c r="B78" i="54" s="1"/>
  <c r="B79" i="54" s="1"/>
  <c r="B80" i="54" s="1"/>
  <c r="B63" i="54"/>
  <c r="B64" i="54" s="1"/>
  <c r="B65" i="54" s="1"/>
  <c r="B66" i="54" s="1"/>
  <c r="B67" i="54" s="1"/>
  <c r="B68" i="54" s="1"/>
  <c r="B69" i="54" s="1"/>
  <c r="B70" i="54" s="1"/>
  <c r="B53" i="54"/>
  <c r="B54" i="54" s="1"/>
  <c r="B55" i="54" s="1"/>
  <c r="B56" i="54" s="1"/>
  <c r="B57" i="54" s="1"/>
  <c r="B58" i="54" s="1"/>
  <c r="B59" i="54" s="1"/>
  <c r="B60" i="54" s="1"/>
  <c r="K4" i="79" l="1"/>
  <c r="K10" i="79"/>
  <c r="K11" i="62"/>
  <c r="K4" i="62"/>
  <c r="K4" i="60" l="1"/>
  <c r="N4" i="81"/>
  <c r="N4" i="59"/>
  <c r="K4" i="70" l="1"/>
  <c r="K5" i="70"/>
  <c r="V133" i="70" l="1"/>
  <c r="Q133" i="70"/>
  <c r="V132" i="70"/>
  <c r="Q132" i="70"/>
  <c r="V131" i="70"/>
  <c r="Q131" i="70"/>
  <c r="V130" i="70"/>
  <c r="Q130" i="70"/>
  <c r="V129" i="70"/>
  <c r="Q129" i="70"/>
  <c r="V128" i="70"/>
  <c r="Q128" i="70"/>
  <c r="V127" i="70"/>
  <c r="Q127" i="70"/>
  <c r="V126" i="70"/>
  <c r="Q126" i="70"/>
  <c r="V125" i="70"/>
  <c r="Q125" i="70"/>
  <c r="V124" i="70"/>
  <c r="Q124" i="70"/>
  <c r="V123" i="70"/>
  <c r="Q123" i="70"/>
  <c r="B149" i="70"/>
  <c r="B150" i="70" s="1"/>
  <c r="B151" i="70" s="1"/>
  <c r="B152" i="70" s="1"/>
  <c r="B153" i="70" s="1"/>
  <c r="B154" i="70" s="1"/>
  <c r="B155" i="70" s="1"/>
  <c r="B156" i="70" s="1"/>
  <c r="B157" i="70" s="1"/>
  <c r="B158" i="70" s="1"/>
  <c r="B159" i="70" s="1"/>
  <c r="B160" i="70" s="1"/>
  <c r="B161" i="70" s="1"/>
  <c r="B162" i="70" s="1"/>
  <c r="B163" i="70" s="1"/>
  <c r="B164" i="70" s="1"/>
  <c r="V122" i="70"/>
  <c r="Q122" i="70"/>
  <c r="L133" i="70"/>
  <c r="G133" i="70"/>
  <c r="L132" i="70"/>
  <c r="G132" i="70"/>
  <c r="L131" i="70"/>
  <c r="G131" i="70"/>
  <c r="L130" i="70"/>
  <c r="G130" i="70"/>
  <c r="L129" i="70"/>
  <c r="G129" i="70"/>
  <c r="L128" i="70"/>
  <c r="G128" i="70"/>
  <c r="L127" i="70"/>
  <c r="G127" i="70"/>
  <c r="L126" i="70"/>
  <c r="G126" i="70"/>
  <c r="L125" i="70"/>
  <c r="G125" i="70"/>
  <c r="L124" i="70"/>
  <c r="G124" i="70"/>
  <c r="L123" i="70"/>
  <c r="G123" i="70"/>
  <c r="B123" i="70"/>
  <c r="B124" i="70" s="1"/>
  <c r="B125" i="70" s="1"/>
  <c r="B126" i="70" s="1"/>
  <c r="B127" i="70" s="1"/>
  <c r="B128" i="70" s="1"/>
  <c r="B129" i="70" s="1"/>
  <c r="B130" i="70" s="1"/>
  <c r="B131" i="70" s="1"/>
  <c r="B132" i="70" s="1"/>
  <c r="B133" i="70" s="1"/>
  <c r="B134" i="70" s="1"/>
  <c r="B135" i="70" s="1"/>
  <c r="B136" i="70" s="1"/>
  <c r="B137" i="70" s="1"/>
  <c r="B138" i="70" s="1"/>
  <c r="L122" i="70"/>
  <c r="G122" i="70"/>
  <c r="B96" i="70"/>
  <c r="B97" i="70" s="1"/>
  <c r="B98" i="70" s="1"/>
  <c r="B99" i="70" s="1"/>
  <c r="B100" i="70" s="1"/>
  <c r="B101" i="70" s="1"/>
  <c r="B102" i="70" s="1"/>
  <c r="B103" i="70" s="1"/>
  <c r="B104" i="70" s="1"/>
  <c r="B105" i="70" s="1"/>
  <c r="B106" i="70" s="1"/>
  <c r="B107" i="70" s="1"/>
  <c r="B108" i="70" s="1"/>
  <c r="B109" i="70" s="1"/>
  <c r="B110" i="70" s="1"/>
  <c r="B111" i="70" s="1"/>
  <c r="B69" i="70"/>
  <c r="B70" i="70" s="1"/>
  <c r="B71" i="70" s="1"/>
  <c r="B72" i="70" s="1"/>
  <c r="B73" i="70" s="1"/>
  <c r="B74" i="70" s="1"/>
  <c r="B75" i="70" s="1"/>
  <c r="B76" i="70" s="1"/>
  <c r="B77" i="70" s="1"/>
  <c r="B78" i="70" s="1"/>
  <c r="B79" i="70" s="1"/>
  <c r="B80" i="70" s="1"/>
  <c r="B81" i="70" s="1"/>
  <c r="B82" i="70" s="1"/>
  <c r="B83" i="70" s="1"/>
  <c r="B84" i="70" s="1"/>
  <c r="B41" i="70"/>
  <c r="B42" i="70" s="1"/>
  <c r="B43" i="70" s="1"/>
  <c r="B44" i="70" s="1"/>
  <c r="B45" i="70" s="1"/>
  <c r="B46" i="70" s="1"/>
  <c r="B47" i="70" s="1"/>
  <c r="B48" i="70" s="1"/>
  <c r="B49" i="70" s="1"/>
  <c r="B50" i="70" s="1"/>
  <c r="B51" i="70" s="1"/>
  <c r="B52" i="70" s="1"/>
  <c r="B53" i="70" s="1"/>
  <c r="B54" i="70" s="1"/>
  <c r="B55" i="70" s="1"/>
  <c r="B56" i="70" s="1"/>
  <c r="B15" i="70"/>
  <c r="B16" i="70" s="1"/>
  <c r="B17" i="70" s="1"/>
  <c r="B18" i="70" s="1"/>
  <c r="B19" i="70" s="1"/>
  <c r="B20" i="70" s="1"/>
  <c r="B21" i="70" s="1"/>
  <c r="B22" i="70" s="1"/>
  <c r="B23" i="70" s="1"/>
  <c r="B24" i="70" s="1"/>
  <c r="B25" i="70" s="1"/>
  <c r="B26" i="70" s="1"/>
  <c r="B27" i="70" s="1"/>
  <c r="B28" i="70" s="1"/>
  <c r="B29" i="70" s="1"/>
  <c r="B30" i="70" s="1"/>
  <c r="V139" i="70" l="1"/>
  <c r="Q139" i="70"/>
  <c r="G139" i="70"/>
  <c r="L139" i="70"/>
  <c r="D18" i="55" l="1"/>
  <c r="D19" i="55" l="1"/>
  <c r="O10" i="71" l="1"/>
  <c r="O17" i="71"/>
  <c r="O33" i="71"/>
  <c r="O41" i="71"/>
  <c r="L17" i="55"/>
  <c r="L18" i="55" l="1"/>
  <c r="U112" i="60"/>
  <c r="U97" i="60"/>
  <c r="U40" i="60"/>
  <c r="B12" i="60"/>
  <c r="B13" i="60" s="1"/>
  <c r="B14" i="60" s="1"/>
  <c r="B15" i="60" s="1"/>
  <c r="B16" i="60" s="1"/>
  <c r="B17" i="60" s="1"/>
  <c r="B18" i="60" s="1"/>
  <c r="B19" i="60" s="1"/>
  <c r="B20" i="60" s="1"/>
  <c r="B21" i="60" s="1"/>
  <c r="B22" i="60" s="1"/>
  <c r="B23" i="60" s="1"/>
  <c r="B24" i="60" s="1"/>
  <c r="B25" i="60" s="1"/>
  <c r="B26" i="60" s="1"/>
  <c r="E2" i="99"/>
  <c r="E3" i="99"/>
  <c r="B2" i="98"/>
  <c r="B3" i="98"/>
  <c r="B2" i="78"/>
  <c r="B3" i="78"/>
  <c r="B2" i="75"/>
  <c r="B3" i="75"/>
  <c r="K2" i="77"/>
  <c r="K3" i="77"/>
  <c r="B2" i="74"/>
  <c r="B3" i="74"/>
  <c r="B2" i="73"/>
  <c r="B3" i="73"/>
  <c r="F2" i="91"/>
  <c r="F3" i="91"/>
  <c r="B2" i="72"/>
  <c r="B3" i="72"/>
  <c r="B3" i="71"/>
  <c r="B2" i="71"/>
  <c r="B2" i="55"/>
  <c r="B3" i="55"/>
  <c r="C3" i="54"/>
  <c r="C2" i="54"/>
  <c r="B2" i="93"/>
  <c r="B3" i="93"/>
  <c r="B2" i="69"/>
  <c r="B3" i="69"/>
  <c r="B2" i="68"/>
  <c r="B3" i="68"/>
  <c r="B2" i="67"/>
  <c r="B3" i="67"/>
  <c r="B1" i="66"/>
  <c r="B2" i="66"/>
  <c r="B2" i="65"/>
  <c r="B3" i="65"/>
  <c r="B2" i="64"/>
  <c r="B3" i="64"/>
  <c r="B2" i="63"/>
  <c r="B3" i="63"/>
  <c r="B2" i="79"/>
  <c r="K2" i="79" s="1"/>
  <c r="B3" i="79"/>
  <c r="K3" i="79" s="1"/>
  <c r="B2" i="62"/>
  <c r="K2" i="62" s="1"/>
  <c r="B3" i="62"/>
  <c r="K3" i="62" s="1"/>
  <c r="B2" i="61"/>
  <c r="B3" i="60"/>
  <c r="K3" i="60" s="1"/>
  <c r="B2" i="60"/>
  <c r="K2" i="60" s="1"/>
  <c r="B3" i="61"/>
  <c r="F14" i="54" l="1"/>
  <c r="F13" i="54"/>
  <c r="N35" i="73" l="1"/>
  <c r="N24" i="73"/>
  <c r="E47" i="78" l="1"/>
  <c r="N128" i="59"/>
  <c r="R128" i="59" s="1"/>
  <c r="N129" i="59"/>
  <c r="R129" i="59" s="1"/>
  <c r="E20" i="72"/>
  <c r="L47" i="78" l="1"/>
  <c r="N13" i="73"/>
  <c r="E18" i="55"/>
  <c r="N130" i="59" l="1"/>
  <c r="B3" i="59"/>
  <c r="N3" i="59" s="1"/>
  <c r="B2" i="59"/>
  <c r="N2" i="59" s="1"/>
  <c r="B3" i="81"/>
  <c r="N3" i="81" s="1"/>
  <c r="B2" i="81"/>
  <c r="N2" i="81" s="1"/>
  <c r="A3" i="80"/>
  <c r="A2" i="80"/>
  <c r="B2" i="58"/>
  <c r="B3" i="58"/>
  <c r="N131" i="59" l="1"/>
  <c r="R131" i="59" s="1"/>
  <c r="R130" i="59"/>
  <c r="N135" i="59"/>
  <c r="R135" i="59" s="1"/>
  <c r="N134" i="59"/>
  <c r="R134" i="59" s="1"/>
  <c r="I20" i="54"/>
  <c r="I14" i="54"/>
  <c r="I13" i="54"/>
  <c r="N136" i="59" l="1"/>
  <c r="N137" i="59" l="1"/>
  <c r="R136" i="59"/>
  <c r="M13" i="93"/>
  <c r="N13" i="93" s="1"/>
  <c r="I13" i="93"/>
  <c r="F13" i="93"/>
  <c r="H17" i="69"/>
  <c r="H16" i="69"/>
  <c r="H15" i="69"/>
  <c r="H13" i="69"/>
  <c r="H39" i="68"/>
  <c r="H38" i="68"/>
  <c r="H36" i="68"/>
  <c r="H35" i="68"/>
  <c r="H34" i="68"/>
  <c r="H33" i="68"/>
  <c r="H32" i="68"/>
  <c r="H31" i="68"/>
  <c r="H30" i="68"/>
  <c r="H29" i="68"/>
  <c r="H28" i="68"/>
  <c r="H27" i="68"/>
  <c r="H26" i="68"/>
  <c r="H25" i="68"/>
  <c r="H24" i="68"/>
  <c r="H23" i="68"/>
  <c r="H20" i="68"/>
  <c r="H19" i="68"/>
  <c r="H18" i="68"/>
  <c r="H49" i="67"/>
  <c r="M67" i="66"/>
  <c r="N67" i="66" s="1"/>
  <c r="M66" i="66"/>
  <c r="N66" i="66" s="1"/>
  <c r="M65" i="66"/>
  <c r="N65" i="66" s="1"/>
  <c r="M64" i="66"/>
  <c r="N64" i="66" s="1"/>
  <c r="I67" i="66"/>
  <c r="I66" i="66"/>
  <c r="I65" i="66"/>
  <c r="I64" i="66"/>
  <c r="F67" i="66"/>
  <c r="F66" i="66"/>
  <c r="F65" i="66"/>
  <c r="F64" i="66"/>
  <c r="R137" i="59" l="1"/>
  <c r="D18" i="78" l="1"/>
  <c r="L11" i="55"/>
  <c r="F18" i="55"/>
  <c r="F17" i="55"/>
  <c r="F11" i="55"/>
  <c r="F20" i="54"/>
  <c r="H22" i="81"/>
  <c r="H21" i="81"/>
  <c r="H19" i="81"/>
  <c r="H18" i="81"/>
  <c r="J14" i="93" l="1"/>
  <c r="J17" i="54" s="1"/>
  <c r="G14" i="93"/>
  <c r="G12" i="55" l="1"/>
  <c r="G20" i="55" s="1"/>
  <c r="G17" i="54"/>
  <c r="D19" i="54"/>
  <c r="J12" i="55"/>
  <c r="J20" i="55" s="1"/>
  <c r="B190" i="98"/>
  <c r="B202" i="98" s="1"/>
  <c r="B170" i="98"/>
  <c r="B176" i="98" s="1"/>
  <c r="B105" i="98"/>
  <c r="B117" i="98" s="1"/>
  <c r="B41" i="98"/>
  <c r="B53" i="98" s="1"/>
  <c r="B35" i="55"/>
  <c r="B32" i="55"/>
  <c r="D21" i="54" l="1"/>
  <c r="D23" i="54" s="1"/>
  <c r="G15" i="54"/>
  <c r="G18" i="54" s="1"/>
  <c r="D14" i="55"/>
  <c r="G10" i="55" s="1"/>
  <c r="D20" i="55"/>
  <c r="D21" i="55" s="1"/>
  <c r="E24" i="58" s="1"/>
  <c r="B262" i="98"/>
  <c r="B274" i="98" s="1"/>
  <c r="B226" i="98"/>
  <c r="B238" i="98" s="1"/>
  <c r="B139" i="98"/>
  <c r="B151" i="98" s="1"/>
  <c r="B74" i="98"/>
  <c r="B86" i="98" s="1"/>
  <c r="B10" i="98"/>
  <c r="B22" i="98" s="1"/>
  <c r="B20" i="55"/>
  <c r="B21" i="55" s="1"/>
  <c r="B11" i="55"/>
  <c r="B12" i="55" s="1"/>
  <c r="B13" i="55" s="1"/>
  <c r="B14" i="55" s="1"/>
  <c r="D25" i="54" l="1"/>
  <c r="E17" i="58" s="1"/>
  <c r="G19" i="54"/>
  <c r="J15" i="54" s="1"/>
  <c r="J18" i="54" s="1"/>
  <c r="G19" i="55"/>
  <c r="G14" i="55"/>
  <c r="J10" i="55" s="1"/>
  <c r="J19" i="55" s="1"/>
  <c r="J21" i="55" s="1"/>
  <c r="G21" i="54" l="1"/>
  <c r="G23" i="54" s="1"/>
  <c r="J19" i="54"/>
  <c r="J21" i="54" s="1"/>
  <c r="J23" i="54" s="1"/>
  <c r="G21" i="55"/>
  <c r="I24" i="58" s="1"/>
  <c r="M24" i="58"/>
  <c r="J14" i="55"/>
  <c r="B12" i="93"/>
  <c r="B13" i="93" s="1"/>
  <c r="B14" i="93" s="1"/>
  <c r="G25" i="54" l="1"/>
  <c r="I17" i="58" s="1"/>
  <c r="J25" i="54"/>
  <c r="M17" i="58" s="1"/>
  <c r="B309" i="54"/>
  <c r="B310" i="54" s="1"/>
  <c r="B311" i="54" s="1"/>
  <c r="B312" i="54" s="1"/>
  <c r="B313" i="54" s="1"/>
  <c r="B314" i="54" s="1"/>
  <c r="B315" i="54" s="1"/>
  <c r="B316" i="54" s="1"/>
  <c r="B116" i="54"/>
  <c r="B117" i="54" s="1"/>
  <c r="B118" i="54" s="1"/>
  <c r="B119" i="54" s="1"/>
  <c r="B120" i="54" s="1"/>
  <c r="B121" i="54" s="1"/>
  <c r="B122" i="54" s="1"/>
  <c r="B123" i="54" s="1"/>
  <c r="B36" i="91"/>
  <c r="B37" i="91" s="1"/>
  <c r="B38" i="91" s="1"/>
  <c r="B39" i="91" s="1"/>
  <c r="B41" i="91" s="1"/>
  <c r="B42" i="91" s="1"/>
  <c r="B43" i="91" s="1"/>
  <c r="B44" i="91" s="1"/>
  <c r="B45" i="91" s="1"/>
  <c r="B46" i="91" s="1"/>
  <c r="B47" i="91" s="1"/>
  <c r="B48" i="91" s="1"/>
  <c r="B49" i="91" s="1"/>
  <c r="B50" i="91" s="1"/>
  <c r="B51" i="91" s="1"/>
  <c r="B52" i="91" l="1"/>
  <c r="B53" i="91" s="1"/>
  <c r="B54" i="91" s="1"/>
  <c r="B55" i="91" s="1"/>
  <c r="B57" i="91" s="1"/>
  <c r="B58" i="91" s="1"/>
  <c r="B294" i="54"/>
  <c r="B295" i="54" s="1"/>
  <c r="B296" i="54" s="1"/>
  <c r="B297" i="54" s="1"/>
  <c r="B298" i="54" s="1"/>
  <c r="B299" i="54" s="1"/>
  <c r="B300" i="54" s="1"/>
  <c r="B301" i="54" s="1"/>
  <c r="B285" i="54"/>
  <c r="B286" i="54" s="1"/>
  <c r="B287" i="54" s="1"/>
  <c r="B288" i="54" s="1"/>
  <c r="B289" i="54" s="1"/>
  <c r="B290" i="54" s="1"/>
  <c r="B291" i="54" s="1"/>
  <c r="B43" i="54"/>
  <c r="B44" i="54" s="1"/>
  <c r="B45" i="54" s="1"/>
  <c r="B46" i="54" s="1"/>
  <c r="B47" i="54" s="1"/>
  <c r="B48" i="54" s="1"/>
  <c r="B49" i="54" s="1"/>
  <c r="B50" i="54" s="1"/>
  <c r="B34" i="54"/>
  <c r="B35" i="54" s="1"/>
  <c r="B36" i="54" s="1"/>
  <c r="B37" i="54" s="1"/>
  <c r="B38" i="54" s="1"/>
  <c r="B39" i="54" s="1"/>
  <c r="B40" i="54" s="1"/>
  <c r="B14" i="54"/>
  <c r="B15" i="54" s="1"/>
  <c r="B16" i="54" s="1"/>
  <c r="B17" i="54" s="1"/>
  <c r="B18" i="54" s="1"/>
  <c r="B19" i="54" s="1"/>
  <c r="B20" i="54" s="1"/>
  <c r="B72" i="61" l="1"/>
  <c r="B73" i="61" s="1"/>
  <c r="B74" i="61" s="1"/>
  <c r="B59" i="61"/>
  <c r="B60" i="61" s="1"/>
  <c r="B61" i="61" s="1"/>
  <c r="B62" i="61" s="1"/>
  <c r="B63" i="61" s="1"/>
  <c r="B64" i="61" s="1"/>
  <c r="B65" i="61" s="1"/>
  <c r="B66" i="61" s="1"/>
  <c r="B67" i="61" s="1"/>
  <c r="B68" i="61" s="1"/>
  <c r="B69" i="61" s="1"/>
  <c r="B11" i="59"/>
  <c r="B12" i="59" s="1"/>
  <c r="B60" i="81"/>
  <c r="B61" i="81" s="1"/>
  <c r="B56" i="81"/>
  <c r="B57" i="81" s="1"/>
  <c r="B52" i="81"/>
  <c r="B53" i="81" s="1"/>
  <c r="B34" i="81"/>
  <c r="B30" i="81"/>
  <c r="B25" i="81"/>
  <c r="B15" i="81"/>
  <c r="B11" i="79"/>
  <c r="B12" i="79" s="1"/>
  <c r="B13" i="79" s="1"/>
  <c r="B16" i="79" s="1"/>
  <c r="B17" i="79" s="1"/>
  <c r="B18" i="79" s="1"/>
  <c r="B11" i="75" l="1"/>
  <c r="B12" i="75" s="1"/>
  <c r="B13" i="75" s="1"/>
  <c r="B14" i="75" s="1"/>
  <c r="B15" i="75" s="1"/>
  <c r="B16" i="75" s="1"/>
  <c r="B17" i="75" s="1"/>
  <c r="B29" i="67"/>
  <c r="B30" i="67" s="1"/>
  <c r="B31" i="67" s="1"/>
  <c r="B32" i="67" s="1"/>
  <c r="B57" i="67"/>
  <c r="B58" i="67" s="1"/>
  <c r="B59" i="67" s="1"/>
  <c r="B60" i="67" s="1"/>
  <c r="B63" i="67"/>
  <c r="B64" i="67" s="1"/>
  <c r="B65" i="67" s="1"/>
  <c r="B66" i="67" s="1"/>
  <c r="B69" i="67"/>
  <c r="B70" i="67" s="1"/>
  <c r="B71" i="67" s="1"/>
  <c r="B72" i="67" s="1"/>
  <c r="B75" i="67"/>
  <c r="B76" i="67" s="1"/>
  <c r="B77" i="67" s="1"/>
  <c r="B78" i="67" s="1"/>
  <c r="B18" i="75" l="1"/>
  <c r="B19" i="75" s="1"/>
  <c r="B20" i="75" s="1"/>
  <c r="B21" i="75" s="1"/>
  <c r="B22" i="75" s="1"/>
  <c r="B23" i="75" s="1"/>
  <c r="B24" i="75" s="1"/>
  <c r="B25" i="75" s="1"/>
  <c r="B26" i="75" s="1"/>
  <c r="L19" i="59" l="1"/>
  <c r="K21" i="81"/>
  <c r="L21" i="81" s="1"/>
  <c r="K18" i="81"/>
  <c r="L18" i="81" s="1"/>
  <c r="L16" i="59"/>
  <c r="L15" i="59" l="1"/>
  <c r="K22" i="81"/>
  <c r="L22" i="81" s="1"/>
  <c r="K19" i="81"/>
  <c r="L19" i="81" s="1"/>
  <c r="L18" i="59"/>
  <c r="E21" i="69" l="1"/>
  <c r="K13" i="65" s="1"/>
  <c r="E44" i="68"/>
  <c r="K12" i="65" s="1"/>
  <c r="E46" i="68" l="1"/>
  <c r="E26" i="75" l="1"/>
  <c r="F26" i="75" l="1"/>
  <c r="G26" i="58"/>
  <c r="F26" i="58" l="1"/>
  <c r="D22" i="78" s="1"/>
  <c r="E22" i="78"/>
  <c r="H26" i="58" l="1"/>
  <c r="G22" i="78"/>
  <c r="L22" i="78"/>
  <c r="F22" i="78"/>
  <c r="D44" i="68" l="1"/>
  <c r="G12" i="65" s="1"/>
  <c r="D46" i="68" l="1"/>
  <c r="N56" i="59" l="1"/>
  <c r="N55" i="59"/>
  <c r="R56" i="59" l="1"/>
  <c r="R55" i="59"/>
  <c r="R65" i="59"/>
  <c r="R66" i="59"/>
  <c r="L14" i="73" l="1"/>
  <c r="M14" i="73"/>
  <c r="J86" i="70" l="1"/>
  <c r="O86" i="70" s="1"/>
  <c r="T86" i="70" l="1"/>
  <c r="E113" i="70" l="1"/>
  <c r="J113" i="70" s="1"/>
  <c r="O113" i="70" s="1"/>
  <c r="T113" i="70" s="1"/>
  <c r="E62" i="105"/>
  <c r="J62" i="105" s="1"/>
  <c r="O62" i="105" s="1"/>
  <c r="T62" i="105" s="1"/>
  <c r="Y62" i="105" s="1"/>
  <c r="D39" i="67"/>
  <c r="M22" i="77" l="1"/>
  <c r="M23" i="77"/>
  <c r="M18" i="77"/>
  <c r="M21" i="77"/>
  <c r="N23" i="77" l="1"/>
  <c r="N21" i="77"/>
  <c r="N18" i="77"/>
  <c r="N22" i="77"/>
  <c r="E11" i="58" l="1"/>
  <c r="C11" i="80"/>
  <c r="O16" i="81" l="1"/>
  <c r="O38" i="81"/>
  <c r="O26" i="81"/>
  <c r="O30" i="81" l="1"/>
  <c r="O44" i="81" l="1"/>
  <c r="O43" i="81"/>
  <c r="O42" i="81"/>
  <c r="K21" i="58"/>
  <c r="G21" i="58"/>
  <c r="O45" i="81" l="1"/>
  <c r="O48" i="81" s="1"/>
  <c r="J21" i="58"/>
  <c r="D46" i="78" s="1"/>
  <c r="F21" i="58"/>
  <c r="E17" i="78"/>
  <c r="E46" i="78"/>
  <c r="D17" i="78" l="1"/>
  <c r="G17" i="78" s="1"/>
  <c r="L21" i="58"/>
  <c r="H21" i="58"/>
  <c r="G46" i="78"/>
  <c r="L46" i="78"/>
  <c r="F46" i="78"/>
  <c r="L17" i="78"/>
  <c r="F17" i="78" l="1"/>
  <c r="E37" i="55"/>
  <c r="K31" i="70" l="1"/>
  <c r="J31" i="70" l="1"/>
  <c r="H12" i="93" s="1"/>
  <c r="L42" i="78"/>
  <c r="I12" i="93" l="1"/>
  <c r="I14" i="93" s="1"/>
  <c r="H14" i="93"/>
  <c r="H12" i="55" l="1"/>
  <c r="H15" i="93"/>
  <c r="H17" i="54"/>
  <c r="I17" i="54" s="1"/>
  <c r="P79" i="59" l="1"/>
  <c r="P122" i="59" s="1"/>
  <c r="P57" i="81"/>
  <c r="P38" i="81"/>
  <c r="P61" i="81" l="1"/>
  <c r="P74" i="59" l="1"/>
  <c r="P117" i="59" s="1"/>
  <c r="P75" i="59" l="1"/>
  <c r="P118" i="59" s="1"/>
  <c r="O31" i="70" l="1"/>
  <c r="P31" i="70"/>
  <c r="L14" i="93" l="1"/>
  <c r="K14" i="93"/>
  <c r="M12" i="93" l="1"/>
  <c r="M14" i="93" l="1"/>
  <c r="M15" i="93" s="1"/>
  <c r="N12" i="93"/>
  <c r="N14" i="93" s="1"/>
  <c r="K17" i="54" l="1"/>
  <c r="L17" i="54" s="1"/>
  <c r="K12" i="55"/>
  <c r="L12" i="55" s="1"/>
  <c r="M12" i="77" l="1"/>
  <c r="N12" i="77" s="1"/>
  <c r="M20" i="77"/>
  <c r="N20" i="77" l="1"/>
  <c r="H34" i="67" l="1"/>
  <c r="H22" i="67"/>
  <c r="H12" i="67"/>
  <c r="H32" i="67" l="1"/>
  <c r="H17" i="68"/>
  <c r="H13" i="67"/>
  <c r="H13" i="68"/>
  <c r="M20" i="75"/>
  <c r="H12" i="68"/>
  <c r="H40" i="68"/>
  <c r="H14" i="68"/>
  <c r="H21" i="68"/>
  <c r="M16" i="75"/>
  <c r="M22" i="75"/>
  <c r="G44" i="68"/>
  <c r="P12" i="65" s="1"/>
  <c r="H29" i="67"/>
  <c r="G21" i="69"/>
  <c r="P13" i="65" s="1"/>
  <c r="H16" i="67"/>
  <c r="H11" i="68"/>
  <c r="F44" i="68"/>
  <c r="O12" i="65" s="1"/>
  <c r="M25" i="75"/>
  <c r="M11" i="75"/>
  <c r="K26" i="75"/>
  <c r="H22" i="68"/>
  <c r="M13" i="75"/>
  <c r="H11" i="69"/>
  <c r="H16" i="68"/>
  <c r="H37" i="68"/>
  <c r="M15" i="75"/>
  <c r="H10" i="69"/>
  <c r="F21" i="69"/>
  <c r="O13" i="65" s="1"/>
  <c r="G36" i="67"/>
  <c r="P11" i="65" s="1"/>
  <c r="H15" i="68"/>
  <c r="H14" i="69"/>
  <c r="H41" i="68"/>
  <c r="F36" i="67"/>
  <c r="O11" i="65" s="1"/>
  <c r="L26" i="75"/>
  <c r="P26" i="58" s="1"/>
  <c r="H12" i="69"/>
  <c r="H42" i="68"/>
  <c r="M26" i="75" l="1"/>
  <c r="N26" i="75" s="1"/>
  <c r="Q12" i="65"/>
  <c r="P17" i="65"/>
  <c r="P13" i="58" s="1"/>
  <c r="Q13" i="65"/>
  <c r="Q11" i="65"/>
  <c r="O17" i="65"/>
  <c r="O13" i="58" s="1"/>
  <c r="H44" i="68"/>
  <c r="H46" i="68" s="1"/>
  <c r="G46" i="68"/>
  <c r="H36" i="67"/>
  <c r="H38" i="67" s="1"/>
  <c r="H40" i="67" s="1"/>
  <c r="O26" i="58"/>
  <c r="Q26" i="58" s="1"/>
  <c r="F38" i="67"/>
  <c r="F40" i="67" s="1"/>
  <c r="H21" i="69"/>
  <c r="F46" i="68"/>
  <c r="G38" i="67"/>
  <c r="G40" i="67" s="1"/>
  <c r="Q17" i="65" l="1"/>
  <c r="N26" i="58"/>
  <c r="R26" i="58" s="1"/>
  <c r="Q13" i="58"/>
  <c r="P34" i="81" l="1"/>
  <c r="O34" i="81"/>
  <c r="O57" i="81"/>
  <c r="N25" i="81"/>
  <c r="O31" i="81"/>
  <c r="O52" i="60" l="1"/>
  <c r="O49" i="60"/>
  <c r="O75" i="59"/>
  <c r="Q75" i="59" s="1"/>
  <c r="Q105" i="59"/>
  <c r="N59" i="59"/>
  <c r="O25" i="81"/>
  <c r="O46" i="60"/>
  <c r="P56" i="81"/>
  <c r="O44" i="60"/>
  <c r="O47" i="60"/>
  <c r="N11" i="81"/>
  <c r="O11" i="81"/>
  <c r="O51" i="60"/>
  <c r="O61" i="81"/>
  <c r="R44" i="59"/>
  <c r="O56" i="81"/>
  <c r="O48" i="60"/>
  <c r="O74" i="59"/>
  <c r="O79" i="59"/>
  <c r="O122" i="59" s="1"/>
  <c r="O78" i="59"/>
  <c r="O121" i="59" s="1"/>
  <c r="O50" i="60"/>
  <c r="P25" i="81"/>
  <c r="O45" i="60"/>
  <c r="O12" i="59"/>
  <c r="N15" i="81"/>
  <c r="F3" i="100" s="1"/>
  <c r="O117" i="59" l="1"/>
  <c r="Q117" i="59" s="1"/>
  <c r="Q74" i="59"/>
  <c r="O118" i="59"/>
  <c r="Q118" i="59" s="1"/>
  <c r="Q34" i="81"/>
  <c r="O34" i="60"/>
  <c r="O30" i="60"/>
  <c r="O33" i="60"/>
  <c r="O37" i="60"/>
  <c r="O32" i="60"/>
  <c r="O38" i="60"/>
  <c r="O36" i="60"/>
  <c r="P12" i="59"/>
  <c r="Q12" i="59" s="1"/>
  <c r="O35" i="60"/>
  <c r="O31" i="60"/>
  <c r="O43" i="60"/>
  <c r="O54" i="60" s="1"/>
  <c r="Q104" i="59"/>
  <c r="N56" i="81"/>
  <c r="N57" i="81" s="1"/>
  <c r="N52" i="81"/>
  <c r="N74" i="59"/>
  <c r="N48" i="59"/>
  <c r="N58" i="59" s="1"/>
  <c r="O73" i="59"/>
  <c r="O116" i="59" s="1"/>
  <c r="N60" i="81"/>
  <c r="O24" i="60"/>
  <c r="N50" i="59"/>
  <c r="N60" i="59" s="1"/>
  <c r="O29" i="60"/>
  <c r="Q61" i="81"/>
  <c r="N49" i="59"/>
  <c r="R59" i="59" s="1"/>
  <c r="P15" i="81"/>
  <c r="O15" i="81"/>
  <c r="Q106" i="59"/>
  <c r="O125" i="59" l="1"/>
  <c r="N68" i="59"/>
  <c r="O40" i="60"/>
  <c r="R61" i="81"/>
  <c r="R12" i="59"/>
  <c r="J10" i="61"/>
  <c r="N28" i="59"/>
  <c r="R60" i="59"/>
  <c r="R74" i="59"/>
  <c r="R48" i="59"/>
  <c r="R58" i="59"/>
  <c r="N75" i="59"/>
  <c r="R75" i="59" s="1"/>
  <c r="R20" i="59"/>
  <c r="Q25" i="81"/>
  <c r="R25" i="81" s="1"/>
  <c r="Q56" i="81"/>
  <c r="R56" i="81" s="1"/>
  <c r="R41" i="59"/>
  <c r="R49" i="59"/>
  <c r="Q52" i="81"/>
  <c r="R52" i="81" s="1"/>
  <c r="Q15" i="81"/>
  <c r="R50" i="59"/>
  <c r="O40" i="59" l="1"/>
  <c r="O53" i="81" s="1"/>
  <c r="N38" i="81"/>
  <c r="R34" i="81"/>
  <c r="R15" i="81"/>
  <c r="O155" i="59"/>
  <c r="O157" i="59" l="1"/>
  <c r="O11" i="58"/>
  <c r="M15" i="77" l="1"/>
  <c r="M14" i="77"/>
  <c r="M24" i="77"/>
  <c r="N24" i="77" s="1"/>
  <c r="M13" i="77"/>
  <c r="N13" i="77" s="1"/>
  <c r="M19" i="77"/>
  <c r="N19" i="77" l="1"/>
  <c r="N15" i="77"/>
  <c r="N14" i="77"/>
  <c r="P21" i="58"/>
  <c r="M11" i="77"/>
  <c r="N11" i="77" s="1"/>
  <c r="O21" i="58"/>
  <c r="M27" i="77" l="1"/>
  <c r="N27" i="77"/>
  <c r="Q21" i="58"/>
  <c r="N21" i="58" l="1"/>
  <c r="P11" i="81"/>
  <c r="R21" i="58" l="1"/>
  <c r="Q11" i="81"/>
  <c r="R11" i="81" s="1"/>
  <c r="R11" i="59"/>
  <c r="P16" i="81"/>
  <c r="Q13" i="59" l="1"/>
  <c r="Q21" i="59" s="1"/>
  <c r="Q90" i="59"/>
  <c r="Q89" i="59"/>
  <c r="R23" i="59"/>
  <c r="Q84" i="59"/>
  <c r="Q86" i="59"/>
  <c r="Q85" i="59"/>
  <c r="P26" i="81"/>
  <c r="P24" i="59"/>
  <c r="P30" i="81"/>
  <c r="Q122" i="59"/>
  <c r="Q110" i="59"/>
  <c r="N79" i="59"/>
  <c r="N90" i="59" l="1"/>
  <c r="N89" i="59"/>
  <c r="N91" i="59"/>
  <c r="R91" i="59" s="1"/>
  <c r="N92" i="59"/>
  <c r="R92" i="59" s="1"/>
  <c r="Q16" i="81"/>
  <c r="N30" i="81"/>
  <c r="N43" i="81" s="1"/>
  <c r="Q30" i="81"/>
  <c r="P44" i="81"/>
  <c r="Q44" i="81" s="1"/>
  <c r="P43" i="81"/>
  <c r="Q43" i="81" s="1"/>
  <c r="P42" i="81"/>
  <c r="N113" i="59"/>
  <c r="N35" i="59"/>
  <c r="R35" i="59" s="1"/>
  <c r="N34" i="59"/>
  <c r="R34" i="59" s="1"/>
  <c r="N33" i="59"/>
  <c r="O88" i="60"/>
  <c r="N13" i="59"/>
  <c r="N16" i="81" s="1"/>
  <c r="Q79" i="59"/>
  <c r="R79" i="59" s="1"/>
  <c r="N64" i="59"/>
  <c r="N24" i="59"/>
  <c r="N21" i="59"/>
  <c r="N63" i="59"/>
  <c r="N53" i="59"/>
  <c r="P31" i="81"/>
  <c r="Q31" i="81" s="1"/>
  <c r="Q24" i="59"/>
  <c r="L13" i="74"/>
  <c r="L25" i="73"/>
  <c r="M25" i="73"/>
  <c r="M13" i="74"/>
  <c r="Q109" i="59"/>
  <c r="Q113" i="59" s="1"/>
  <c r="Q40" i="59" s="1"/>
  <c r="N54" i="59"/>
  <c r="O85" i="60"/>
  <c r="R40" i="59" l="1"/>
  <c r="F4" i="100"/>
  <c r="N102" i="59"/>
  <c r="N112" i="59" s="1"/>
  <c r="R112" i="59" s="1"/>
  <c r="R30" i="81"/>
  <c r="R16" i="81"/>
  <c r="R13" i="59" s="1"/>
  <c r="N42" i="81"/>
  <c r="N44" i="81"/>
  <c r="R44" i="81" s="1"/>
  <c r="N101" i="59"/>
  <c r="N111" i="59" s="1"/>
  <c r="R111" i="59" s="1"/>
  <c r="P45" i="81"/>
  <c r="Q45" i="81" s="1"/>
  <c r="N36" i="59"/>
  <c r="N37" i="59" s="1"/>
  <c r="R43" i="81"/>
  <c r="Q42" i="81"/>
  <c r="P40" i="59"/>
  <c r="P53" i="81" s="1"/>
  <c r="O91" i="60"/>
  <c r="O94" i="60"/>
  <c r="O89" i="60"/>
  <c r="O96" i="60"/>
  <c r="O87" i="60"/>
  <c r="O95" i="60"/>
  <c r="N100" i="59"/>
  <c r="R100" i="59" s="1"/>
  <c r="O93" i="60"/>
  <c r="O92" i="60"/>
  <c r="O90" i="60"/>
  <c r="O86" i="60"/>
  <c r="Q26" i="81"/>
  <c r="R54" i="59"/>
  <c r="R63" i="59"/>
  <c r="R38" i="59"/>
  <c r="N31" i="81"/>
  <c r="R31" i="81" s="1"/>
  <c r="R64" i="59"/>
  <c r="M36" i="73"/>
  <c r="M24" i="74"/>
  <c r="Q53" i="81"/>
  <c r="R53" i="81" s="1"/>
  <c r="R53" i="59"/>
  <c r="R24" i="59"/>
  <c r="R21" i="59"/>
  <c r="N26" i="81"/>
  <c r="L36" i="73"/>
  <c r="L24" i="74"/>
  <c r="O97" i="60" l="1"/>
  <c r="R102" i="59"/>
  <c r="N45" i="81"/>
  <c r="N48" i="81" s="1"/>
  <c r="R42" i="81"/>
  <c r="R101" i="59"/>
  <c r="P48" i="81"/>
  <c r="Q48" i="81" s="1"/>
  <c r="N99" i="59"/>
  <c r="R99" i="59" s="1"/>
  <c r="N110" i="59"/>
  <c r="N122" i="59"/>
  <c r="R26" i="81"/>
  <c r="R45" i="81" l="1"/>
  <c r="R48" i="81"/>
  <c r="R89" i="59"/>
  <c r="N109" i="59"/>
  <c r="N105" i="59" s="1"/>
  <c r="R105" i="59" s="1"/>
  <c r="Q57" i="81"/>
  <c r="R57" i="81" s="1"/>
  <c r="R42" i="59"/>
  <c r="R90" i="59"/>
  <c r="N104" i="59" l="1"/>
  <c r="N106" i="59"/>
  <c r="R106" i="59" s="1"/>
  <c r="R109" i="59"/>
  <c r="R122" i="59"/>
  <c r="R110" i="59"/>
  <c r="R104" i="59" l="1"/>
  <c r="R113" i="59" s="1"/>
  <c r="K26" i="58" l="1"/>
  <c r="J26" i="58" l="1"/>
  <c r="D51" i="78" s="1"/>
  <c r="E51" i="78"/>
  <c r="L51" i="78" s="1"/>
  <c r="L26" i="58" l="1"/>
  <c r="G51" i="78"/>
  <c r="F51" i="78"/>
  <c r="L22" i="72"/>
  <c r="C20" i="72"/>
  <c r="J20" i="72" s="1"/>
  <c r="G20" i="72"/>
  <c r="G22" i="72" s="1"/>
  <c r="N18" i="71"/>
  <c r="M18" i="71"/>
  <c r="L18" i="71"/>
  <c r="K18" i="71"/>
  <c r="J18" i="71"/>
  <c r="I18" i="71"/>
  <c r="H18" i="71"/>
  <c r="G18" i="71"/>
  <c r="F18" i="71"/>
  <c r="E18" i="71"/>
  <c r="D18" i="71"/>
  <c r="H54" i="91" l="1"/>
  <c r="H57" i="91" s="1"/>
  <c r="H58" i="91" s="1"/>
  <c r="P54" i="91"/>
  <c r="P57" i="91" s="1"/>
  <c r="P58" i="91" s="1"/>
  <c r="I54" i="91"/>
  <c r="I57" i="91" s="1"/>
  <c r="I58" i="91" s="1"/>
  <c r="K54" i="91"/>
  <c r="K57" i="91" s="1"/>
  <c r="K58" i="91" s="1"/>
  <c r="L54" i="91"/>
  <c r="L57" i="91" s="1"/>
  <c r="L58" i="91" s="1"/>
  <c r="E54" i="91"/>
  <c r="E57" i="91" s="1"/>
  <c r="M54" i="91"/>
  <c r="M57" i="91" s="1"/>
  <c r="M58" i="91" s="1"/>
  <c r="F54" i="91"/>
  <c r="F57" i="91" s="1"/>
  <c r="F58" i="91" s="1"/>
  <c r="N54" i="91"/>
  <c r="N57" i="91" s="1"/>
  <c r="N58" i="91" s="1"/>
  <c r="G54" i="91"/>
  <c r="G57" i="91" s="1"/>
  <c r="G58" i="91" s="1"/>
  <c r="O54" i="91"/>
  <c r="O57" i="91" s="1"/>
  <c r="O58" i="91" s="1"/>
  <c r="J54" i="91"/>
  <c r="J57" i="91" s="1"/>
  <c r="J58" i="91" s="1"/>
  <c r="C18" i="71"/>
  <c r="O16" i="71"/>
  <c r="O18" i="71" s="1"/>
  <c r="Q47" i="91"/>
  <c r="F20" i="72" s="1"/>
  <c r="M20" i="72"/>
  <c r="M22" i="72" s="1"/>
  <c r="Q45" i="91"/>
  <c r="D20" i="72" s="1"/>
  <c r="K20" i="72"/>
  <c r="K22" i="72" s="1"/>
  <c r="J22" i="72"/>
  <c r="Q54" i="91"/>
  <c r="E58" i="91" l="1"/>
  <c r="Q58" i="91" s="1"/>
  <c r="Q57" i="91"/>
  <c r="N20" i="72"/>
  <c r="E57" i="78" s="1"/>
  <c r="N22" i="72" l="1"/>
  <c r="F57" i="78"/>
  <c r="L57" i="78"/>
  <c r="I255" i="54"/>
  <c r="I253" i="54"/>
  <c r="I252" i="54"/>
  <c r="I251" i="54"/>
  <c r="I245" i="54"/>
  <c r="I243" i="54"/>
  <c r="I242" i="54"/>
  <c r="I241" i="54"/>
  <c r="I235" i="54"/>
  <c r="I233" i="54"/>
  <c r="I232" i="54"/>
  <c r="I231" i="54"/>
  <c r="I225" i="54"/>
  <c r="I223" i="54"/>
  <c r="I222" i="54"/>
  <c r="I221" i="54"/>
  <c r="I215" i="54"/>
  <c r="I213" i="54"/>
  <c r="I212" i="54"/>
  <c r="I211" i="54"/>
  <c r="I205" i="54"/>
  <c r="I203" i="54"/>
  <c r="I202" i="54"/>
  <c r="I201" i="54"/>
  <c r="I195" i="54"/>
  <c r="I193" i="54"/>
  <c r="I192" i="54"/>
  <c r="I191" i="54"/>
  <c r="I185" i="54"/>
  <c r="I183" i="54"/>
  <c r="I182" i="54"/>
  <c r="I181" i="54"/>
  <c r="I175" i="54"/>
  <c r="I173" i="54"/>
  <c r="I172" i="54"/>
  <c r="I171" i="54"/>
  <c r="I165" i="54"/>
  <c r="I163" i="54"/>
  <c r="I162" i="54"/>
  <c r="I161" i="54"/>
  <c r="I155" i="54"/>
  <c r="I153" i="54"/>
  <c r="I152" i="54"/>
  <c r="I151" i="54"/>
  <c r="I78" i="54"/>
  <c r="I76" i="54"/>
  <c r="I75" i="54"/>
  <c r="I74" i="54"/>
  <c r="I68" i="54"/>
  <c r="I66" i="54"/>
  <c r="I65" i="54"/>
  <c r="I64" i="54"/>
  <c r="I58" i="54"/>
  <c r="I56" i="54"/>
  <c r="I55" i="54"/>
  <c r="I54" i="54"/>
  <c r="I48" i="54"/>
  <c r="I46" i="54"/>
  <c r="I45" i="54"/>
  <c r="I44" i="54"/>
  <c r="R58" i="91" l="1"/>
  <c r="I36" i="54"/>
  <c r="I40" i="54"/>
  <c r="I50" i="54"/>
  <c r="I49" i="54" s="1"/>
  <c r="I60" i="54"/>
  <c r="I59" i="54" s="1"/>
  <c r="I70" i="54"/>
  <c r="I69" i="54" s="1"/>
  <c r="I80" i="54"/>
  <c r="I79" i="54" s="1"/>
  <c r="I143" i="54"/>
  <c r="H265" i="54"/>
  <c r="H269" i="54"/>
  <c r="H272" i="54" s="1"/>
  <c r="H274" i="54" s="1"/>
  <c r="I147" i="54"/>
  <c r="I157" i="54"/>
  <c r="I156" i="54" s="1"/>
  <c r="I167" i="54"/>
  <c r="I166" i="54" s="1"/>
  <c r="I177" i="54"/>
  <c r="I176" i="54" s="1"/>
  <c r="I187" i="54"/>
  <c r="I186" i="54" s="1"/>
  <c r="I197" i="54"/>
  <c r="I196" i="54" s="1"/>
  <c r="I207" i="54"/>
  <c r="I206" i="54" s="1"/>
  <c r="I217" i="54"/>
  <c r="I216" i="54" s="1"/>
  <c r="I227" i="54"/>
  <c r="I226" i="54" s="1"/>
  <c r="I237" i="54"/>
  <c r="I236" i="54" s="1"/>
  <c r="I247" i="54"/>
  <c r="I246" i="54" s="1"/>
  <c r="I257" i="54"/>
  <c r="I256" i="54" s="1"/>
  <c r="I33" i="54"/>
  <c r="I43" i="54"/>
  <c r="I47" i="54"/>
  <c r="I57" i="54"/>
  <c r="I53" i="54"/>
  <c r="I67" i="54"/>
  <c r="I63" i="54"/>
  <c r="I73" i="54"/>
  <c r="I77" i="54"/>
  <c r="H262" i="54"/>
  <c r="I140" i="54"/>
  <c r="I154" i="54"/>
  <c r="I150" i="54"/>
  <c r="I164" i="54"/>
  <c r="I160" i="54"/>
  <c r="I174" i="54"/>
  <c r="I170" i="54"/>
  <c r="I180" i="54"/>
  <c r="I184" i="54"/>
  <c r="I190" i="54"/>
  <c r="I194" i="54"/>
  <c r="I204" i="54"/>
  <c r="I200" i="54"/>
  <c r="I210" i="54"/>
  <c r="I214" i="54"/>
  <c r="I220" i="54"/>
  <c r="I224" i="54"/>
  <c r="I230" i="54"/>
  <c r="I234" i="54"/>
  <c r="I244" i="54"/>
  <c r="I240" i="54"/>
  <c r="I254" i="54"/>
  <c r="I250" i="54"/>
  <c r="I34" i="54"/>
  <c r="I38" i="54"/>
  <c r="I141" i="54"/>
  <c r="H263" i="54"/>
  <c r="I145" i="54"/>
  <c r="H267" i="54"/>
  <c r="I35" i="54"/>
  <c r="H264" i="54"/>
  <c r="I142" i="54"/>
  <c r="H22" i="54" l="1"/>
  <c r="K22" i="54" s="1"/>
  <c r="L22" i="54" s="1"/>
  <c r="I39" i="54"/>
  <c r="H266" i="54"/>
  <c r="I144" i="54"/>
  <c r="H126" i="54"/>
  <c r="H128" i="54" s="1"/>
  <c r="I146" i="54"/>
  <c r="I37" i="54"/>
  <c r="H268" i="54"/>
  <c r="I22" i="54" l="1"/>
  <c r="O22" i="54"/>
  <c r="N22" i="54"/>
  <c r="M22" i="54"/>
  <c r="Q22" i="54"/>
  <c r="P22" i="54"/>
  <c r="J109" i="60"/>
  <c r="J108" i="60"/>
  <c r="J107" i="60"/>
  <c r="J106" i="60"/>
  <c r="J105" i="60"/>
  <c r="J104" i="60"/>
  <c r="J103" i="60"/>
  <c r="J102" i="60"/>
  <c r="J101" i="60"/>
  <c r="J137" i="60"/>
  <c r="J136" i="60"/>
  <c r="J135" i="60"/>
  <c r="J134" i="60"/>
  <c r="J133" i="60"/>
  <c r="J132" i="60"/>
  <c r="J131" i="60"/>
  <c r="J130" i="60"/>
  <c r="J129" i="60"/>
  <c r="I138" i="60" l="1"/>
  <c r="K81" i="59" s="1"/>
  <c r="K124" i="59" s="1"/>
  <c r="J81" i="59"/>
  <c r="I112" i="60"/>
  <c r="K78" i="59" s="1"/>
  <c r="K121" i="59" s="1"/>
  <c r="J78" i="59"/>
  <c r="J94" i="60"/>
  <c r="J93" i="60"/>
  <c r="J92" i="60"/>
  <c r="J91" i="60"/>
  <c r="J90" i="60"/>
  <c r="J89" i="60"/>
  <c r="J88" i="60"/>
  <c r="J87" i="60"/>
  <c r="J86" i="60"/>
  <c r="J52" i="60"/>
  <c r="J51" i="60"/>
  <c r="J50" i="60"/>
  <c r="J49" i="60"/>
  <c r="J48" i="60"/>
  <c r="J47" i="60"/>
  <c r="J46" i="60"/>
  <c r="J45" i="60"/>
  <c r="J44" i="60"/>
  <c r="J38" i="60"/>
  <c r="J37" i="60"/>
  <c r="J36" i="60"/>
  <c r="J35" i="60"/>
  <c r="J34" i="60"/>
  <c r="J33" i="60"/>
  <c r="J32" i="60"/>
  <c r="J31" i="60"/>
  <c r="J30" i="60"/>
  <c r="J22" i="60"/>
  <c r="J21" i="60"/>
  <c r="J20" i="60"/>
  <c r="J19" i="60"/>
  <c r="J18" i="60"/>
  <c r="J17" i="60"/>
  <c r="J16" i="60"/>
  <c r="J15" i="60"/>
  <c r="J14" i="60"/>
  <c r="J13" i="60"/>
  <c r="J12" i="60"/>
  <c r="J141" i="59"/>
  <c r="L141" i="59" s="1"/>
  <c r="L78" i="59" l="1"/>
  <c r="J128" i="60"/>
  <c r="J138" i="60" s="1"/>
  <c r="J74" i="59"/>
  <c r="K74" i="59"/>
  <c r="K117" i="59" s="1"/>
  <c r="K56" i="81"/>
  <c r="K26" i="81"/>
  <c r="K30" i="81"/>
  <c r="J13" i="59"/>
  <c r="L13" i="59" s="1"/>
  <c r="K16" i="81"/>
  <c r="E4" i="100" s="1"/>
  <c r="J50" i="59"/>
  <c r="J60" i="59" s="1"/>
  <c r="J75" i="59"/>
  <c r="K75" i="59"/>
  <c r="K118" i="59" s="1"/>
  <c r="J25" i="81"/>
  <c r="J140" i="59"/>
  <c r="J153" i="59" s="1"/>
  <c r="K153" i="59"/>
  <c r="K11" i="81"/>
  <c r="J11" i="81"/>
  <c r="J24" i="59"/>
  <c r="L24" i="59" s="1"/>
  <c r="K57" i="81"/>
  <c r="J49" i="59"/>
  <c r="I97" i="60"/>
  <c r="K79" i="59" s="1"/>
  <c r="K122" i="59" s="1"/>
  <c r="J79" i="59"/>
  <c r="K47" i="100"/>
  <c r="K61" i="81"/>
  <c r="J48" i="59"/>
  <c r="I23" i="60"/>
  <c r="J100" i="60"/>
  <c r="J112" i="60" s="1"/>
  <c r="L81" i="59"/>
  <c r="J53" i="59"/>
  <c r="L53" i="59" s="1"/>
  <c r="J54" i="59"/>
  <c r="L54" i="59" s="1"/>
  <c r="J58" i="59" l="1"/>
  <c r="J68" i="59" s="1"/>
  <c r="I26" i="60"/>
  <c r="K73" i="59" s="1"/>
  <c r="K116" i="59" s="1"/>
  <c r="K125" i="59" s="1"/>
  <c r="J47" i="100"/>
  <c r="K44" i="81"/>
  <c r="K43" i="81"/>
  <c r="K42" i="81"/>
  <c r="K40" i="59"/>
  <c r="J43" i="60"/>
  <c r="J54" i="60" s="1"/>
  <c r="L11" i="81"/>
  <c r="J29" i="60"/>
  <c r="J40" i="60" s="1"/>
  <c r="L59" i="59"/>
  <c r="L79" i="59"/>
  <c r="L140" i="59"/>
  <c r="L153" i="59" s="1"/>
  <c r="L63" i="59"/>
  <c r="E3" i="100"/>
  <c r="J57" i="81"/>
  <c r="L57" i="81" s="1"/>
  <c r="L11" i="59"/>
  <c r="L38" i="81"/>
  <c r="L41" i="81" s="1"/>
  <c r="J26" i="81"/>
  <c r="L26" i="81" s="1"/>
  <c r="K25" i="81"/>
  <c r="L25" i="81" s="1"/>
  <c r="L20" i="59"/>
  <c r="L21" i="59"/>
  <c r="L74" i="59"/>
  <c r="L48" i="59"/>
  <c r="L34" i="81"/>
  <c r="L50" i="59"/>
  <c r="L64" i="59"/>
  <c r="J60" i="81"/>
  <c r="L61" i="81" s="1"/>
  <c r="L29" i="59"/>
  <c r="L32" i="59" s="1"/>
  <c r="J16" i="81"/>
  <c r="L16" i="81" s="1"/>
  <c r="J23" i="60"/>
  <c r="J85" i="60"/>
  <c r="J97" i="60" s="1"/>
  <c r="L49" i="59"/>
  <c r="L75" i="59"/>
  <c r="J30" i="81"/>
  <c r="L60" i="59"/>
  <c r="J52" i="81"/>
  <c r="L58" i="59" l="1"/>
  <c r="L40" i="59"/>
  <c r="M47" i="100"/>
  <c r="K45" i="81"/>
  <c r="J42" i="81"/>
  <c r="J44" i="81"/>
  <c r="L44" i="81" s="1"/>
  <c r="J43" i="81"/>
  <c r="L43" i="81" s="1"/>
  <c r="L56" i="81"/>
  <c r="L30" i="81"/>
  <c r="J23" i="59"/>
  <c r="J100" i="59" s="1"/>
  <c r="J122" i="59" s="1"/>
  <c r="K53" i="81"/>
  <c r="L53" i="81" s="1"/>
  <c r="K155" i="59"/>
  <c r="H26" i="60"/>
  <c r="L12" i="59"/>
  <c r="J45" i="81" l="1"/>
  <c r="J48" i="81" s="1"/>
  <c r="L42" i="81"/>
  <c r="K48" i="81"/>
  <c r="J99" i="59"/>
  <c r="J33" i="59"/>
  <c r="J101" i="59"/>
  <c r="J102" i="59"/>
  <c r="J34" i="59"/>
  <c r="L34" i="59" s="1"/>
  <c r="J113" i="59"/>
  <c r="J35" i="59"/>
  <c r="L35" i="59" s="1"/>
  <c r="L15" i="81"/>
  <c r="L23" i="59"/>
  <c r="J24" i="60"/>
  <c r="J26" i="60" s="1"/>
  <c r="J73" i="59"/>
  <c r="K11" i="58"/>
  <c r="K157" i="59"/>
  <c r="L48" i="81" l="1"/>
  <c r="L45" i="81"/>
  <c r="J124" i="59"/>
  <c r="L124" i="59" s="1"/>
  <c r="J112" i="59"/>
  <c r="L112" i="59" s="1"/>
  <c r="L102" i="59"/>
  <c r="J111" i="59"/>
  <c r="L111" i="59" s="1"/>
  <c r="J123" i="59"/>
  <c r="L123" i="59" s="1"/>
  <c r="L101" i="59"/>
  <c r="J36" i="59"/>
  <c r="J37" i="59" s="1"/>
  <c r="L33" i="59"/>
  <c r="L36" i="59" s="1"/>
  <c r="L37" i="59" s="1"/>
  <c r="J110" i="59"/>
  <c r="L110" i="59" s="1"/>
  <c r="L122" i="59"/>
  <c r="L100" i="59"/>
  <c r="J121" i="59"/>
  <c r="J109" i="59"/>
  <c r="L109" i="59" s="1"/>
  <c r="L99" i="59"/>
  <c r="L73" i="59"/>
  <c r="H11" i="80"/>
  <c r="E39" i="78"/>
  <c r="H22" i="61" l="1"/>
  <c r="J105" i="59"/>
  <c r="J95" i="59" s="1"/>
  <c r="H29" i="61"/>
  <c r="J104" i="59"/>
  <c r="L104" i="59" s="1"/>
  <c r="J106" i="59"/>
  <c r="L106" i="59" s="1"/>
  <c r="L121" i="59"/>
  <c r="L105" i="59" l="1"/>
  <c r="L113" i="59" s="1"/>
  <c r="E36" i="67" l="1"/>
  <c r="K11" i="65" s="1"/>
  <c r="K10" i="65" l="1"/>
  <c r="K17" i="65"/>
  <c r="K13" i="58" s="1"/>
  <c r="E38" i="67"/>
  <c r="E40" i="78" l="1"/>
  <c r="E40" i="67"/>
  <c r="D38" i="67" l="1"/>
  <c r="D40" i="67" l="1"/>
  <c r="L13" i="78" l="1"/>
  <c r="F15" i="81" l="1"/>
  <c r="H12" i="59" l="1"/>
  <c r="G15" i="81"/>
  <c r="H15" i="81" l="1"/>
  <c r="D3" i="100"/>
  <c r="F141" i="59" l="1"/>
  <c r="H141" i="59" s="1"/>
  <c r="G153" i="59" l="1"/>
  <c r="F140" i="59"/>
  <c r="F153" i="59" s="1"/>
  <c r="H140" i="59" l="1"/>
  <c r="H153" i="59" s="1"/>
  <c r="D21" i="69" l="1"/>
  <c r="G13" i="65" s="1"/>
  <c r="G10" i="65" l="1"/>
  <c r="G17" i="65"/>
  <c r="E11" i="78" s="1"/>
  <c r="F151" i="54"/>
  <c r="F152" i="54"/>
  <c r="F153" i="54"/>
  <c r="F161" i="54"/>
  <c r="F162" i="54"/>
  <c r="F163" i="54"/>
  <c r="F171" i="54"/>
  <c r="F172" i="54"/>
  <c r="F173" i="54"/>
  <c r="F177" i="54"/>
  <c r="F181" i="54"/>
  <c r="F182" i="54"/>
  <c r="F183" i="54"/>
  <c r="F191" i="54"/>
  <c r="F192" i="54"/>
  <c r="F193" i="54"/>
  <c r="F201" i="54"/>
  <c r="F202" i="54"/>
  <c r="F203" i="54"/>
  <c r="F211" i="54"/>
  <c r="F212" i="54"/>
  <c r="F213" i="54"/>
  <c r="F221" i="54"/>
  <c r="F222" i="54"/>
  <c r="F223" i="54"/>
  <c r="F231" i="54"/>
  <c r="F232" i="54"/>
  <c r="F233" i="54"/>
  <c r="F241" i="54"/>
  <c r="F242" i="54"/>
  <c r="F243" i="54"/>
  <c r="F251" i="54"/>
  <c r="F252" i="54"/>
  <c r="F253" i="54"/>
  <c r="F257" i="54" l="1"/>
  <c r="F227" i="54"/>
  <c r="F217" i="54"/>
  <c r="F207" i="54"/>
  <c r="F197" i="54"/>
  <c r="F187" i="54"/>
  <c r="F167" i="54"/>
  <c r="F157" i="54"/>
  <c r="E269" i="54"/>
  <c r="F147" i="54"/>
  <c r="F140" i="54"/>
  <c r="E262" i="54"/>
  <c r="E144" i="54"/>
  <c r="E145" i="54" s="1"/>
  <c r="E146" i="54" s="1"/>
  <c r="F237" i="54"/>
  <c r="F142" i="54"/>
  <c r="E264" i="54"/>
  <c r="F143" i="54"/>
  <c r="E265" i="54"/>
  <c r="F247" i="54"/>
  <c r="F250" i="54"/>
  <c r="E244" i="54"/>
  <c r="F240" i="54"/>
  <c r="E234" i="54"/>
  <c r="F230" i="54"/>
  <c r="E224" i="54"/>
  <c r="F220" i="54"/>
  <c r="E214" i="54"/>
  <c r="F210" i="54"/>
  <c r="F200" i="54"/>
  <c r="E204" i="54"/>
  <c r="F190" i="54"/>
  <c r="E194" i="54"/>
  <c r="E184" i="54"/>
  <c r="F180" i="54"/>
  <c r="E174" i="54"/>
  <c r="F170" i="54"/>
  <c r="E164" i="54"/>
  <c r="F160" i="54"/>
  <c r="F150" i="54"/>
  <c r="E154" i="54"/>
  <c r="E263" i="54"/>
  <c r="F141" i="54"/>
  <c r="E272" i="54" l="1"/>
  <c r="E274" i="54" s="1"/>
  <c r="F254" i="54"/>
  <c r="E255" i="54"/>
  <c r="F244" i="54"/>
  <c r="E245" i="54"/>
  <c r="F234" i="54"/>
  <c r="E235" i="54"/>
  <c r="F224" i="54"/>
  <c r="E225" i="54"/>
  <c r="F214" i="54"/>
  <c r="E215" i="54"/>
  <c r="F204" i="54"/>
  <c r="E205" i="54"/>
  <c r="F194" i="54"/>
  <c r="E195" i="54"/>
  <c r="F184" i="54"/>
  <c r="E185" i="54"/>
  <c r="F174" i="54"/>
  <c r="E175" i="54"/>
  <c r="F164" i="54"/>
  <c r="E165" i="54"/>
  <c r="F154" i="54"/>
  <c r="E155" i="54"/>
  <c r="F145" i="54"/>
  <c r="F146" i="54" s="1"/>
  <c r="F144" i="54"/>
  <c r="E266" i="54"/>
  <c r="E256" i="54" l="1"/>
  <c r="F255" i="54"/>
  <c r="F256" i="54" s="1"/>
  <c r="E246" i="54"/>
  <c r="F245" i="54"/>
  <c r="F246" i="54" s="1"/>
  <c r="E236" i="54"/>
  <c r="F235" i="54"/>
  <c r="F236" i="54" s="1"/>
  <c r="E226" i="54"/>
  <c r="F225" i="54"/>
  <c r="F226" i="54" s="1"/>
  <c r="E216" i="54"/>
  <c r="F215" i="54"/>
  <c r="F216" i="54" s="1"/>
  <c r="E206" i="54"/>
  <c r="F205" i="54"/>
  <c r="F206" i="54" s="1"/>
  <c r="E196" i="54"/>
  <c r="F195" i="54"/>
  <c r="F196" i="54" s="1"/>
  <c r="E186" i="54"/>
  <c r="F185" i="54"/>
  <c r="F186" i="54" s="1"/>
  <c r="E176" i="54"/>
  <c r="F176" i="54" s="1"/>
  <c r="F175" i="54"/>
  <c r="E166" i="54"/>
  <c r="F165" i="54"/>
  <c r="F166" i="54" s="1"/>
  <c r="E156" i="54"/>
  <c r="F155" i="54"/>
  <c r="F156" i="54" s="1"/>
  <c r="E267" i="54"/>
  <c r="M69" i="78"/>
  <c r="E268" i="54" l="1"/>
  <c r="E22" i="54"/>
  <c r="F22" i="54" s="1"/>
  <c r="M13" i="72" l="1"/>
  <c r="C11" i="71"/>
  <c r="D11" i="71"/>
  <c r="E11" i="71"/>
  <c r="F11" i="71"/>
  <c r="G11" i="71"/>
  <c r="H11" i="71"/>
  <c r="I11" i="71"/>
  <c r="J11" i="71"/>
  <c r="K11" i="71"/>
  <c r="L11" i="71"/>
  <c r="M11" i="71"/>
  <c r="N11" i="71"/>
  <c r="G13" i="72"/>
  <c r="O9" i="71" l="1"/>
  <c r="O11" i="71" s="1"/>
  <c r="J11" i="72"/>
  <c r="K13" i="72"/>
  <c r="J13" i="72" l="1"/>
  <c r="F24" i="54" l="1"/>
  <c r="G101" i="60"/>
  <c r="G102" i="60"/>
  <c r="G103" i="60"/>
  <c r="G104" i="60"/>
  <c r="G105" i="60"/>
  <c r="G106" i="60"/>
  <c r="G107" i="60"/>
  <c r="G108" i="60"/>
  <c r="G109" i="60"/>
  <c r="G129" i="60"/>
  <c r="G130" i="60"/>
  <c r="G131" i="60"/>
  <c r="G132" i="60"/>
  <c r="G133" i="60"/>
  <c r="G134" i="60"/>
  <c r="G135" i="60"/>
  <c r="G136" i="60"/>
  <c r="G137" i="60"/>
  <c r="G86" i="60"/>
  <c r="G87" i="60"/>
  <c r="G88" i="60"/>
  <c r="G89" i="60"/>
  <c r="G90" i="60"/>
  <c r="G91" i="60"/>
  <c r="G92" i="60"/>
  <c r="G93" i="60"/>
  <c r="G94" i="60"/>
  <c r="G30" i="60"/>
  <c r="G31" i="60"/>
  <c r="G32" i="60"/>
  <c r="G33" i="60"/>
  <c r="G34" i="60"/>
  <c r="G35" i="60"/>
  <c r="G36" i="60"/>
  <c r="G37" i="60"/>
  <c r="G38" i="60"/>
  <c r="G22" i="60"/>
  <c r="G14" i="60"/>
  <c r="G15" i="60"/>
  <c r="G16" i="60"/>
  <c r="G17" i="60"/>
  <c r="G18" i="60"/>
  <c r="G19" i="60"/>
  <c r="G20" i="60"/>
  <c r="G21" i="60"/>
  <c r="G12" i="60"/>
  <c r="G13" i="60"/>
  <c r="E97" i="60" l="1"/>
  <c r="F79" i="59" s="1"/>
  <c r="F97" i="60"/>
  <c r="G79" i="59" s="1"/>
  <c r="G85" i="60"/>
  <c r="G97" i="60" s="1"/>
  <c r="F138" i="60"/>
  <c r="G81" i="59" s="1"/>
  <c r="E138" i="60"/>
  <c r="F81" i="59" s="1"/>
  <c r="F124" i="59" s="1"/>
  <c r="G128" i="60"/>
  <c r="G138" i="60" s="1"/>
  <c r="F74" i="59"/>
  <c r="G74" i="59"/>
  <c r="F112" i="60"/>
  <c r="G78" i="59" s="1"/>
  <c r="E112" i="60"/>
  <c r="F78" i="59" s="1"/>
  <c r="H74" i="59" l="1"/>
  <c r="H79" i="59"/>
  <c r="G100" i="60"/>
  <c r="G112" i="60" s="1"/>
  <c r="H78" i="59"/>
  <c r="G121" i="59"/>
  <c r="F59" i="59"/>
  <c r="H21" i="59"/>
  <c r="G26" i="81"/>
  <c r="F26" i="81" s="1"/>
  <c r="H26" i="81" s="1"/>
  <c r="H58" i="59"/>
  <c r="G122" i="59"/>
  <c r="G23" i="60"/>
  <c r="G124" i="59"/>
  <c r="H124" i="59" s="1"/>
  <c r="H81" i="59"/>
  <c r="G16" i="81"/>
  <c r="D4" i="100" s="1"/>
  <c r="F25" i="81"/>
  <c r="H24" i="59"/>
  <c r="F64" i="59"/>
  <c r="G117" i="59"/>
  <c r="G40" i="59"/>
  <c r="G57" i="81"/>
  <c r="H57" i="81" s="1"/>
  <c r="F63" i="59"/>
  <c r="F109" i="59" s="1"/>
  <c r="G29" i="60"/>
  <c r="G40" i="60" s="1"/>
  <c r="H59" i="59" l="1"/>
  <c r="F68" i="59"/>
  <c r="G125" i="59"/>
  <c r="G155" i="59" s="1"/>
  <c r="G53" i="81"/>
  <c r="H40" i="59"/>
  <c r="H63" i="59"/>
  <c r="H64" i="59"/>
  <c r="H20" i="59"/>
  <c r="G25" i="81"/>
  <c r="H25" i="81" s="1"/>
  <c r="H92" i="59"/>
  <c r="H91" i="59"/>
  <c r="H23" i="59"/>
  <c r="H37" i="59" s="1"/>
  <c r="G30" i="81"/>
  <c r="H13" i="59"/>
  <c r="F16" i="81"/>
  <c r="H16" i="81" s="1"/>
  <c r="F52" i="81"/>
  <c r="E26" i="60"/>
  <c r="F60" i="81"/>
  <c r="H61" i="81" s="1"/>
  <c r="G11" i="58" l="1"/>
  <c r="G157" i="59"/>
  <c r="J46" i="100"/>
  <c r="G44" i="81"/>
  <c r="G43" i="81"/>
  <c r="G42" i="81"/>
  <c r="H53" i="81"/>
  <c r="F28" i="59"/>
  <c r="H89" i="59"/>
  <c r="F73" i="59"/>
  <c r="F30" i="81"/>
  <c r="G11" i="81"/>
  <c r="F11" i="81"/>
  <c r="E11" i="81" s="1"/>
  <c r="M46" i="100" l="1"/>
  <c r="G45" i="81"/>
  <c r="G48" i="81" s="1"/>
  <c r="F42" i="81"/>
  <c r="F43" i="81"/>
  <c r="H43" i="81" s="1"/>
  <c r="F44" i="81"/>
  <c r="H44" i="81" s="1"/>
  <c r="H29" i="59"/>
  <c r="H32" i="59" s="1"/>
  <c r="H11" i="59"/>
  <c r="H11" i="81"/>
  <c r="E10" i="78"/>
  <c r="G24" i="60"/>
  <c r="G26" i="60" s="1"/>
  <c r="H73" i="59"/>
  <c r="E11" i="80"/>
  <c r="H30" i="81"/>
  <c r="F45" i="81" l="1"/>
  <c r="H42" i="81"/>
  <c r="F121" i="59"/>
  <c r="H99" i="59"/>
  <c r="F110" i="59"/>
  <c r="H90" i="59"/>
  <c r="F104" i="59" l="1"/>
  <c r="F94" i="59" s="1"/>
  <c r="F116" i="59" s="1"/>
  <c r="F106" i="59"/>
  <c r="F105" i="59"/>
  <c r="H45" i="81"/>
  <c r="F48" i="81"/>
  <c r="H109" i="59"/>
  <c r="F122" i="59"/>
  <c r="H122" i="59" s="1"/>
  <c r="H110" i="59"/>
  <c r="H100" i="59"/>
  <c r="H121" i="59"/>
  <c r="H48" i="81" l="1"/>
  <c r="F22" i="61"/>
  <c r="F84" i="59"/>
  <c r="H105" i="59"/>
  <c r="F95" i="59"/>
  <c r="F85" i="59" s="1"/>
  <c r="H106" i="59"/>
  <c r="F96" i="59"/>
  <c r="F86" i="59" s="1"/>
  <c r="F29" i="61"/>
  <c r="H104" i="59" l="1"/>
  <c r="H113" i="59" s="1"/>
  <c r="L13" i="72" l="1"/>
  <c r="N11" i="72"/>
  <c r="N13" i="72" s="1"/>
  <c r="E28" i="78" l="1"/>
  <c r="G28" i="78" s="1"/>
  <c r="R30" i="91"/>
  <c r="L28" i="78" l="1"/>
  <c r="F28" i="78"/>
  <c r="H22" i="58"/>
  <c r="E18" i="78" l="1"/>
  <c r="F18" i="78" l="1"/>
  <c r="L18" i="78"/>
  <c r="G18" i="78"/>
  <c r="R33" i="59" l="1"/>
  <c r="R36" i="59" s="1"/>
  <c r="R37" i="59" s="1"/>
  <c r="D24" i="71" l="1"/>
  <c r="D26" i="71" s="1"/>
  <c r="L26" i="71"/>
  <c r="E24" i="71"/>
  <c r="E26" i="71" s="1"/>
  <c r="M26" i="71"/>
  <c r="F24" i="71"/>
  <c r="F26" i="71" s="1"/>
  <c r="N26" i="71"/>
  <c r="G24" i="71"/>
  <c r="G26" i="71" s="1"/>
  <c r="H24" i="71"/>
  <c r="H26" i="71" s="1"/>
  <c r="I26" i="71"/>
  <c r="J26" i="71"/>
  <c r="C24" i="71"/>
  <c r="K26" i="71"/>
  <c r="Q29" i="59"/>
  <c r="G30" i="72" l="1"/>
  <c r="Q32" i="59"/>
  <c r="Q38" i="81"/>
  <c r="R38" i="81" s="1"/>
  <c r="R29" i="59"/>
  <c r="R32" i="59" s="1"/>
  <c r="O24" i="71"/>
  <c r="C26" i="71"/>
  <c r="G29" i="72" s="1"/>
  <c r="F29" i="72" l="1"/>
  <c r="G31" i="72"/>
  <c r="D29" i="72"/>
  <c r="O26" i="71"/>
  <c r="J22" i="58" l="1"/>
  <c r="D47" i="78" s="1"/>
  <c r="L22" i="58" l="1"/>
  <c r="F47" i="78"/>
  <c r="G47" i="78"/>
  <c r="N22" i="58"/>
  <c r="R22" i="58" s="1"/>
  <c r="F31" i="70" l="1"/>
  <c r="F12" i="93" l="1"/>
  <c r="F14" i="93" s="1"/>
  <c r="E12" i="55" l="1"/>
  <c r="F12" i="55" s="1"/>
  <c r="F17" i="54"/>
  <c r="H16" i="70" l="1"/>
  <c r="I16" i="70" s="1"/>
  <c r="M16" i="70" l="1"/>
  <c r="N16" i="70" s="1"/>
  <c r="R16" i="70" l="1"/>
  <c r="H68" i="59"/>
  <c r="F70" i="59"/>
  <c r="H86" i="59"/>
  <c r="S16" i="70" l="1"/>
  <c r="H84" i="59"/>
  <c r="F118" i="59"/>
  <c r="H118" i="59" s="1"/>
  <c r="H116" i="59"/>
  <c r="H95" i="59"/>
  <c r="F117" i="59"/>
  <c r="H85" i="59"/>
  <c r="H70" i="59"/>
  <c r="H96" i="59"/>
  <c r="H94" i="59"/>
  <c r="F19" i="61" l="1"/>
  <c r="F125" i="59"/>
  <c r="F155" i="59" s="1"/>
  <c r="F20" i="61"/>
  <c r="H117" i="59"/>
  <c r="H125" i="59" s="1"/>
  <c r="H155" i="59" s="1"/>
  <c r="F11" i="58" l="1"/>
  <c r="D10" i="78" s="1"/>
  <c r="F157" i="59"/>
  <c r="H11" i="58" l="1"/>
  <c r="N46" i="100"/>
  <c r="H157" i="59"/>
  <c r="D11" i="80"/>
  <c r="O46" i="100" l="1"/>
  <c r="P46" i="100" s="1"/>
  <c r="G10" i="78"/>
  <c r="H10" i="78" s="1"/>
  <c r="L10" i="78" s="1"/>
  <c r="F10" i="78"/>
  <c r="L68" i="59"/>
  <c r="J94" i="59"/>
  <c r="L94" i="59" s="1"/>
  <c r="J96" i="59"/>
  <c r="J86" i="59" s="1"/>
  <c r="L86" i="59" s="1"/>
  <c r="G29" i="78" l="1"/>
  <c r="H29" i="78" s="1"/>
  <c r="L29" i="78" s="1"/>
  <c r="L30" i="78" s="1"/>
  <c r="L95" i="59"/>
  <c r="J117" i="59"/>
  <c r="L117" i="59" s="1"/>
  <c r="J70" i="59"/>
  <c r="L70" i="59" s="1"/>
  <c r="J85" i="59"/>
  <c r="L85" i="59" s="1"/>
  <c r="J84" i="59"/>
  <c r="L84" i="59" s="1"/>
  <c r="J116" i="59"/>
  <c r="J118" i="59"/>
  <c r="L118" i="59" s="1"/>
  <c r="L96" i="59"/>
  <c r="L116" i="59" l="1"/>
  <c r="L125" i="59" s="1"/>
  <c r="L155" i="59" s="1"/>
  <c r="J125" i="59"/>
  <c r="J155" i="59" s="1"/>
  <c r="H19" i="61"/>
  <c r="H20" i="61"/>
  <c r="J157" i="59" l="1"/>
  <c r="J11" i="58"/>
  <c r="N47" i="100" l="1"/>
  <c r="G11" i="80"/>
  <c r="L157" i="59"/>
  <c r="D39" i="78"/>
  <c r="L11" i="58"/>
  <c r="O47" i="100" l="1"/>
  <c r="P47" i="100" s="1"/>
  <c r="F39" i="78"/>
  <c r="G39" i="78"/>
  <c r="H39" i="78" s="1"/>
  <c r="L39" i="78" s="1"/>
  <c r="G58" i="78" l="1"/>
  <c r="H58" i="78" s="1"/>
  <c r="L58" i="78" s="1"/>
  <c r="L59" i="78" s="1"/>
  <c r="N94" i="59"/>
  <c r="N95" i="59"/>
  <c r="R95" i="59" s="1"/>
  <c r="N96" i="59"/>
  <c r="N86" i="59" s="1"/>
  <c r="R86" i="59" s="1"/>
  <c r="N117" i="59" l="1"/>
  <c r="R117" i="59" s="1"/>
  <c r="N118" i="59"/>
  <c r="R118" i="59" s="1"/>
  <c r="R96" i="59"/>
  <c r="N85" i="59"/>
  <c r="R85" i="59" s="1"/>
  <c r="N84" i="59"/>
  <c r="R84" i="59" s="1"/>
  <c r="R94" i="59"/>
  <c r="N70" i="59"/>
  <c r="G13" i="58" l="1"/>
  <c r="L12" i="78" l="1"/>
  <c r="F12" i="78"/>
  <c r="G12" i="78"/>
  <c r="G41" i="78" l="1"/>
  <c r="H41" i="78" s="1"/>
  <c r="L41" i="78" l="1"/>
  <c r="F41" i="78"/>
  <c r="N73" i="59" l="1"/>
  <c r="N116" i="59" s="1"/>
  <c r="J19" i="61" s="1"/>
  <c r="P73" i="59"/>
  <c r="Q73" i="59" s="1"/>
  <c r="N78" i="59"/>
  <c r="N121" i="59" s="1"/>
  <c r="P78" i="59"/>
  <c r="Q78" i="59" s="1"/>
  <c r="N80" i="59"/>
  <c r="N123" i="59" s="1"/>
  <c r="P80" i="59"/>
  <c r="Q80" i="59" s="1"/>
  <c r="N81" i="59"/>
  <c r="N124" i="59" s="1"/>
  <c r="P81" i="59"/>
  <c r="O11" i="60"/>
  <c r="O12" i="60"/>
  <c r="O13" i="60"/>
  <c r="O14" i="60"/>
  <c r="O15" i="60"/>
  <c r="O16" i="60"/>
  <c r="O17" i="60"/>
  <c r="O18" i="60"/>
  <c r="O19" i="60"/>
  <c r="O20" i="60"/>
  <c r="O21" i="60"/>
  <c r="O22" i="60"/>
  <c r="O100" i="60"/>
  <c r="O101" i="60"/>
  <c r="O102" i="60"/>
  <c r="O103" i="60"/>
  <c r="O104" i="60"/>
  <c r="O105" i="60"/>
  <c r="O106" i="60"/>
  <c r="O107" i="60"/>
  <c r="O108" i="60"/>
  <c r="O109" i="60"/>
  <c r="O110" i="60"/>
  <c r="O111" i="60"/>
  <c r="O115" i="60"/>
  <c r="O116" i="60"/>
  <c r="O117" i="60"/>
  <c r="O118" i="60"/>
  <c r="O119" i="60"/>
  <c r="O120" i="60"/>
  <c r="O121" i="60"/>
  <c r="O122" i="60"/>
  <c r="O123" i="60"/>
  <c r="O124" i="60"/>
  <c r="O128" i="60"/>
  <c r="O129" i="60"/>
  <c r="O130" i="60"/>
  <c r="O131" i="60"/>
  <c r="O132" i="60"/>
  <c r="O133" i="60"/>
  <c r="O134" i="60"/>
  <c r="O135" i="60"/>
  <c r="O136" i="60"/>
  <c r="O137" i="60"/>
  <c r="R73" i="59" l="1"/>
  <c r="P116" i="59"/>
  <c r="Q116" i="59" s="1"/>
  <c r="R116" i="59" s="1"/>
  <c r="J29" i="61"/>
  <c r="O23" i="60"/>
  <c r="O26" i="60" s="1"/>
  <c r="P123" i="59"/>
  <c r="Q123" i="59" s="1"/>
  <c r="R123" i="59" s="1"/>
  <c r="O112" i="60"/>
  <c r="P124" i="59"/>
  <c r="Q124" i="59" s="1"/>
  <c r="R124" i="59" s="1"/>
  <c r="Q81" i="59"/>
  <c r="R81" i="59" s="1"/>
  <c r="O138" i="60"/>
  <c r="R78" i="59"/>
  <c r="R80" i="59"/>
  <c r="N125" i="59"/>
  <c r="N155" i="59" s="1"/>
  <c r="J22" i="61"/>
  <c r="P121" i="59"/>
  <c r="J20" i="61"/>
  <c r="O125" i="60"/>
  <c r="N11" i="58" l="1"/>
  <c r="N157" i="59"/>
  <c r="J11" i="80" s="1"/>
  <c r="P125" i="59"/>
  <c r="P155" i="59" s="1"/>
  <c r="Q121" i="59"/>
  <c r="Q125" i="59" l="1"/>
  <c r="Q155" i="59" s="1"/>
  <c r="R121" i="59"/>
  <c r="R125" i="59" s="1"/>
  <c r="R155" i="59" s="1"/>
  <c r="R157" i="59" s="1"/>
  <c r="P11" i="58"/>
  <c r="P157" i="59"/>
  <c r="Q11" i="58" l="1"/>
  <c r="Q157" i="59"/>
  <c r="K11" i="80" s="1"/>
  <c r="R11" i="58" l="1"/>
  <c r="R68" i="59" l="1"/>
  <c r="Q70" i="59"/>
  <c r="R70" i="59" s="1"/>
  <c r="N20" i="58" l="1"/>
  <c r="R20" i="58" s="1"/>
  <c r="Q12" i="58" l="1"/>
  <c r="N12" i="58" l="1"/>
  <c r="W15" i="81" l="1"/>
  <c r="J48" i="117" l="1"/>
  <c r="J43" i="117" l="1"/>
  <c r="J51" i="117"/>
  <c r="O41" i="117"/>
  <c r="O49" i="117"/>
  <c r="J56" i="117"/>
  <c r="O46" i="117"/>
  <c r="O54" i="117"/>
  <c r="E44" i="117"/>
  <c r="E52" i="117"/>
  <c r="E47" i="117"/>
  <c r="E55" i="117"/>
  <c r="J41" i="117"/>
  <c r="J49" i="117"/>
  <c r="O47" i="117"/>
  <c r="O55" i="117"/>
  <c r="E45" i="117"/>
  <c r="E53" i="117"/>
  <c r="J42" i="117"/>
  <c r="J50" i="117"/>
  <c r="O48" i="117"/>
  <c r="O56" i="117"/>
  <c r="E46" i="117"/>
  <c r="E54" i="117"/>
  <c r="J44" i="117"/>
  <c r="J52" i="117"/>
  <c r="O42" i="117"/>
  <c r="O50" i="117"/>
  <c r="E48" i="117"/>
  <c r="E56" i="117"/>
  <c r="J46" i="117"/>
  <c r="J54" i="117"/>
  <c r="O44" i="117"/>
  <c r="O52" i="117"/>
  <c r="E42" i="117"/>
  <c r="E50" i="117"/>
  <c r="J47" i="117"/>
  <c r="J55" i="117"/>
  <c r="O45" i="117"/>
  <c r="O53" i="117"/>
  <c r="E43" i="117"/>
  <c r="E51" i="117"/>
  <c r="J45" i="117"/>
  <c r="J53" i="117"/>
  <c r="O43" i="117"/>
  <c r="O51" i="117"/>
  <c r="E41" i="117"/>
  <c r="E49" i="117"/>
  <c r="O33" i="105"/>
  <c r="J57" i="70"/>
  <c r="J40" i="117"/>
  <c r="O57" i="70"/>
  <c r="O40" i="117"/>
  <c r="T33" i="105"/>
  <c r="E40" i="117"/>
  <c r="E57" i="70"/>
  <c r="J33" i="105"/>
  <c r="O57" i="117" l="1"/>
  <c r="R12" i="93" s="1"/>
  <c r="J57" i="117"/>
  <c r="Q12" i="93" s="1"/>
  <c r="E57" i="117"/>
  <c r="E33" i="105"/>
  <c r="T30" i="117"/>
  <c r="T29" i="117"/>
  <c r="T28" i="117"/>
  <c r="T27" i="117"/>
  <c r="T26" i="117"/>
  <c r="T25" i="117"/>
  <c r="T24" i="117"/>
  <c r="T23" i="117"/>
  <c r="T22" i="117"/>
  <c r="T21" i="117"/>
  <c r="T20" i="117"/>
  <c r="T19" i="117"/>
  <c r="T18" i="117"/>
  <c r="T17" i="117"/>
  <c r="T15" i="117"/>
  <c r="P12" i="93" l="1"/>
  <c r="P14" i="93" s="1"/>
  <c r="P15" i="93" s="1"/>
  <c r="R14" i="93"/>
  <c r="R15" i="93" s="1"/>
  <c r="Q14" i="93"/>
  <c r="Q15" i="93" s="1"/>
  <c r="T16" i="117"/>
  <c r="T14" i="117"/>
  <c r="T31" i="70"/>
  <c r="W35" i="81"/>
  <c r="V35" i="81"/>
  <c r="T35" i="81"/>
  <c r="S35" i="81"/>
  <c r="T31" i="117" l="1"/>
  <c r="O12" i="93" s="1"/>
  <c r="T28" i="59"/>
  <c r="T34" i="81"/>
  <c r="O17" i="54"/>
  <c r="F56" i="55"/>
  <c r="P17" i="54"/>
  <c r="G56" i="55"/>
  <c r="E56" i="55"/>
  <c r="N17" i="54"/>
  <c r="S28" i="59"/>
  <c r="S34" i="81"/>
  <c r="U35" i="81"/>
  <c r="U34" i="81"/>
  <c r="V28" i="59" l="1"/>
  <c r="V34" i="81"/>
  <c r="W28" i="59"/>
  <c r="W34" i="81"/>
  <c r="T15" i="81"/>
  <c r="V15" i="81"/>
  <c r="S15" i="81"/>
  <c r="O14" i="93"/>
  <c r="O15" i="93" s="1"/>
  <c r="U15" i="81"/>
  <c r="U28" i="59"/>
  <c r="M17" i="54" l="1"/>
  <c r="D56" i="55"/>
  <c r="U31" i="70" l="1"/>
  <c r="F57" i="70"/>
  <c r="W16" i="70"/>
  <c r="D42" i="70" s="1"/>
  <c r="H42" i="70" s="1"/>
  <c r="I42" i="70" s="1"/>
  <c r="M42" i="70" s="1"/>
  <c r="N42" i="70" s="1"/>
  <c r="R42" i="70" s="1"/>
  <c r="S42" i="70" s="1"/>
  <c r="W42" i="70" s="1"/>
  <c r="K57" i="70"/>
  <c r="U57" i="70"/>
  <c r="P57" i="70"/>
  <c r="T57" i="70"/>
  <c r="T56" i="117"/>
  <c r="T55" i="117"/>
  <c r="T54" i="117"/>
  <c r="T53" i="117"/>
  <c r="T52" i="117"/>
  <c r="T51" i="117"/>
  <c r="T50" i="117"/>
  <c r="T49" i="117"/>
  <c r="T48" i="117"/>
  <c r="T47" i="117"/>
  <c r="T46" i="117"/>
  <c r="T45" i="117"/>
  <c r="T44" i="117"/>
  <c r="T43" i="117"/>
  <c r="T42" i="117"/>
  <c r="T41" i="117"/>
  <c r="U56" i="117"/>
  <c r="U55" i="117"/>
  <c r="U54" i="117"/>
  <c r="U53" i="117"/>
  <c r="U52" i="117"/>
  <c r="U51" i="117"/>
  <c r="U50" i="117"/>
  <c r="U49" i="117"/>
  <c r="U48" i="117"/>
  <c r="U47" i="117"/>
  <c r="U46" i="117"/>
  <c r="U45" i="117"/>
  <c r="U44" i="117"/>
  <c r="U43" i="117"/>
  <c r="U42" i="117"/>
  <c r="U41" i="117"/>
  <c r="P56" i="117"/>
  <c r="P55" i="117"/>
  <c r="P54" i="117"/>
  <c r="P53" i="117"/>
  <c r="P52" i="117"/>
  <c r="P51" i="117"/>
  <c r="P50" i="117"/>
  <c r="P49" i="117"/>
  <c r="P48" i="117"/>
  <c r="P47" i="117"/>
  <c r="P46" i="117"/>
  <c r="P45" i="117"/>
  <c r="P44" i="117"/>
  <c r="P43" i="117"/>
  <c r="P42" i="117"/>
  <c r="P41" i="117"/>
  <c r="K56" i="117"/>
  <c r="K55" i="117"/>
  <c r="K54" i="117"/>
  <c r="K53" i="117"/>
  <c r="K52" i="117"/>
  <c r="K51" i="117"/>
  <c r="K50" i="117"/>
  <c r="K49" i="117"/>
  <c r="K48" i="117"/>
  <c r="K47" i="117"/>
  <c r="K46" i="117"/>
  <c r="K45" i="117"/>
  <c r="K44" i="117"/>
  <c r="K43" i="117"/>
  <c r="K42" i="117"/>
  <c r="K41" i="117"/>
  <c r="F56" i="117"/>
  <c r="F55" i="117"/>
  <c r="F54" i="117"/>
  <c r="F53" i="117"/>
  <c r="F52" i="117"/>
  <c r="F51" i="117"/>
  <c r="F50" i="117"/>
  <c r="F49" i="117"/>
  <c r="F48" i="117"/>
  <c r="F47" i="117"/>
  <c r="F46" i="117"/>
  <c r="F45" i="117"/>
  <c r="F44" i="117"/>
  <c r="F43" i="117"/>
  <c r="F42" i="117"/>
  <c r="F41" i="117"/>
  <c r="Y33" i="105" l="1"/>
  <c r="F77" i="105"/>
  <c r="U21" i="117"/>
  <c r="U29" i="117"/>
  <c r="F33" i="105"/>
  <c r="F70" i="105"/>
  <c r="U14" i="117"/>
  <c r="F78" i="105"/>
  <c r="U22" i="117"/>
  <c r="F86" i="105"/>
  <c r="H32" i="105"/>
  <c r="I32" i="105" s="1"/>
  <c r="U30" i="117"/>
  <c r="F71" i="105"/>
  <c r="U15" i="117"/>
  <c r="F79" i="105"/>
  <c r="U23" i="117"/>
  <c r="K33" i="105"/>
  <c r="F40" i="117"/>
  <c r="F57" i="117" s="1"/>
  <c r="F72" i="105"/>
  <c r="U16" i="117"/>
  <c r="F80" i="105"/>
  <c r="U24" i="117"/>
  <c r="P33" i="105"/>
  <c r="K40" i="117"/>
  <c r="K57" i="117" s="1"/>
  <c r="F73" i="105"/>
  <c r="U17" i="117"/>
  <c r="F81" i="105"/>
  <c r="U25" i="117"/>
  <c r="F74" i="105"/>
  <c r="U18" i="117"/>
  <c r="F82" i="105"/>
  <c r="U26" i="117"/>
  <c r="U33" i="105"/>
  <c r="P40" i="117"/>
  <c r="P57" i="117" s="1"/>
  <c r="F75" i="105"/>
  <c r="U19" i="117"/>
  <c r="F83" i="105"/>
  <c r="U27" i="117"/>
  <c r="Z33" i="105"/>
  <c r="U40" i="117"/>
  <c r="U57" i="117" s="1"/>
  <c r="F76" i="105"/>
  <c r="U20" i="117"/>
  <c r="F84" i="105"/>
  <c r="U28" i="117"/>
  <c r="T40" i="117"/>
  <c r="T57" i="117" s="1"/>
  <c r="D78" i="105" l="1"/>
  <c r="H24" i="105"/>
  <c r="I24" i="105" s="1"/>
  <c r="D77" i="105"/>
  <c r="H23" i="105"/>
  <c r="I23" i="105" s="1"/>
  <c r="D73" i="105"/>
  <c r="H19" i="105"/>
  <c r="I19" i="105" s="1"/>
  <c r="D79" i="105"/>
  <c r="H25" i="105"/>
  <c r="I25" i="105" s="1"/>
  <c r="D84" i="105"/>
  <c r="H30" i="105"/>
  <c r="I30" i="105" s="1"/>
  <c r="D83" i="105"/>
  <c r="H29" i="105"/>
  <c r="I29" i="105" s="1"/>
  <c r="D82" i="105"/>
  <c r="H28" i="105"/>
  <c r="I28" i="105" s="1"/>
  <c r="M32" i="105"/>
  <c r="N32" i="105" s="1"/>
  <c r="D72" i="105"/>
  <c r="S16" i="117"/>
  <c r="W16" i="117" s="1"/>
  <c r="D42" i="117" s="1"/>
  <c r="H42" i="117" s="1"/>
  <c r="I42" i="117" s="1"/>
  <c r="M42" i="117" s="1"/>
  <c r="N42" i="117" s="1"/>
  <c r="R42" i="117" s="1"/>
  <c r="S42" i="117" s="1"/>
  <c r="W42" i="117" s="1"/>
  <c r="H18" i="105"/>
  <c r="I18" i="105" s="1"/>
  <c r="U31" i="117"/>
  <c r="D70" i="105"/>
  <c r="H16" i="105"/>
  <c r="D81" i="105"/>
  <c r="H27" i="105"/>
  <c r="I27" i="105" s="1"/>
  <c r="D71" i="105"/>
  <c r="H17" i="105"/>
  <c r="I17" i="105" s="1"/>
  <c r="D76" i="105"/>
  <c r="H22" i="105"/>
  <c r="I22" i="105" s="1"/>
  <c r="D75" i="105"/>
  <c r="H21" i="105"/>
  <c r="I21" i="105" s="1"/>
  <c r="D74" i="105"/>
  <c r="H20" i="105"/>
  <c r="I20" i="105" s="1"/>
  <c r="S12" i="93"/>
  <c r="D80" i="105"/>
  <c r="H26" i="105"/>
  <c r="I26" i="105" s="1"/>
  <c r="R32" i="105" l="1"/>
  <c r="S32" i="105" s="1"/>
  <c r="M17" i="105"/>
  <c r="N17" i="105" s="1"/>
  <c r="M23" i="105"/>
  <c r="N23" i="105" s="1"/>
  <c r="M27" i="105"/>
  <c r="N27" i="105" s="1"/>
  <c r="M19" i="105"/>
  <c r="N19" i="105" s="1"/>
  <c r="M26" i="105"/>
  <c r="N26" i="105" s="1"/>
  <c r="M21" i="105"/>
  <c r="N21" i="105" s="1"/>
  <c r="M28" i="105"/>
  <c r="N28" i="105" s="1"/>
  <c r="M30" i="105"/>
  <c r="N30" i="105" s="1"/>
  <c r="M18" i="105"/>
  <c r="N18" i="105" s="1"/>
  <c r="M25" i="105"/>
  <c r="N25" i="105" s="1"/>
  <c r="M24" i="105"/>
  <c r="N24" i="105" s="1"/>
  <c r="S14" i="93"/>
  <c r="S15" i="93" s="1"/>
  <c r="M22" i="105"/>
  <c r="N22" i="105" s="1"/>
  <c r="M29" i="105"/>
  <c r="N29" i="105" s="1"/>
  <c r="M20" i="105"/>
  <c r="N20" i="105" s="1"/>
  <c r="I16" i="105"/>
  <c r="M16" i="105" l="1"/>
  <c r="R20" i="105"/>
  <c r="S20" i="105" s="1"/>
  <c r="R26" i="105"/>
  <c r="S26" i="105" s="1"/>
  <c r="R27" i="105"/>
  <c r="S27" i="105" s="1"/>
  <c r="R29" i="105"/>
  <c r="S29" i="105" s="1"/>
  <c r="R23" i="105"/>
  <c r="S23" i="105" s="1"/>
  <c r="W32" i="105"/>
  <c r="X32" i="105" s="1"/>
  <c r="U62" i="59"/>
  <c r="T62" i="59"/>
  <c r="R19" i="105"/>
  <c r="S19" i="105" s="1"/>
  <c r="Q17" i="54"/>
  <c r="H56" i="55"/>
  <c r="R25" i="105"/>
  <c r="S25" i="105" s="1"/>
  <c r="R18" i="105"/>
  <c r="S18" i="105" s="1"/>
  <c r="R30" i="105"/>
  <c r="S30" i="105" s="1"/>
  <c r="R17" i="105"/>
  <c r="S17" i="105" s="1"/>
  <c r="R22" i="105"/>
  <c r="S22" i="105" s="1"/>
  <c r="R24" i="105"/>
  <c r="S24" i="105" s="1"/>
  <c r="R28" i="105"/>
  <c r="S28" i="105" s="1"/>
  <c r="R21" i="105"/>
  <c r="S21" i="105" s="1"/>
  <c r="U77" i="59"/>
  <c r="V76" i="59"/>
  <c r="U76" i="59"/>
  <c r="W76" i="59"/>
  <c r="W77" i="59"/>
  <c r="V77" i="59"/>
  <c r="V62" i="59" l="1"/>
  <c r="W119" i="59"/>
  <c r="T61" i="59"/>
  <c r="W19" i="105"/>
  <c r="X19" i="105" s="1"/>
  <c r="W62" i="59"/>
  <c r="V120" i="59"/>
  <c r="S62" i="59"/>
  <c r="W24" i="105"/>
  <c r="X24" i="105" s="1"/>
  <c r="W17" i="105"/>
  <c r="X17" i="105" s="1"/>
  <c r="W30" i="105"/>
  <c r="X30" i="105" s="1"/>
  <c r="W25" i="105"/>
  <c r="X25" i="105" s="1"/>
  <c r="U119" i="59"/>
  <c r="U61" i="59"/>
  <c r="W61" i="59"/>
  <c r="W120" i="59"/>
  <c r="S77" i="59"/>
  <c r="S120" i="59" s="1"/>
  <c r="W22" i="105"/>
  <c r="X22" i="105" s="1"/>
  <c r="AB32" i="105"/>
  <c r="W23" i="105"/>
  <c r="X23" i="105" s="1"/>
  <c r="W20" i="105"/>
  <c r="X20" i="105" s="1"/>
  <c r="V119" i="59"/>
  <c r="W21" i="105"/>
  <c r="X21" i="105" s="1"/>
  <c r="W28" i="105"/>
  <c r="X28" i="105" s="1"/>
  <c r="W27" i="105"/>
  <c r="X27" i="105" s="1"/>
  <c r="V61" i="59"/>
  <c r="W29" i="105"/>
  <c r="X29" i="105" s="1"/>
  <c r="T77" i="59"/>
  <c r="T120" i="59" s="1"/>
  <c r="W18" i="105"/>
  <c r="X18" i="105" s="1"/>
  <c r="W26" i="105"/>
  <c r="X26" i="105" s="1"/>
  <c r="N16" i="105"/>
  <c r="R16" i="105" l="1"/>
  <c r="AB20" i="105"/>
  <c r="AB19" i="105"/>
  <c r="AB29" i="105"/>
  <c r="AB30" i="105"/>
  <c r="AB24" i="105"/>
  <c r="AB26" i="105"/>
  <c r="U120" i="59"/>
  <c r="AB28" i="105"/>
  <c r="AB17" i="105"/>
  <c r="AB18" i="105"/>
  <c r="AB21" i="105"/>
  <c r="AB23" i="105"/>
  <c r="AB27" i="105"/>
  <c r="AB22" i="105"/>
  <c r="AB25" i="105"/>
  <c r="S16" i="105" l="1"/>
  <c r="W16" i="105" l="1"/>
  <c r="X16" i="105" l="1"/>
  <c r="AB16" i="105" l="1"/>
  <c r="S61" i="59" l="1"/>
  <c r="T76" i="59" l="1"/>
  <c r="T119" i="59" l="1"/>
  <c r="S76" i="59" l="1"/>
  <c r="S119" i="59" l="1"/>
  <c r="S13" i="58" l="1"/>
  <c r="U13" i="58"/>
  <c r="W13" i="58"/>
  <c r="T13" i="58"/>
  <c r="V13" i="58"/>
  <c r="U153" i="59" l="1"/>
  <c r="S58" i="59"/>
  <c r="S60" i="59"/>
  <c r="S59" i="59"/>
  <c r="S68" i="59" l="1"/>
  <c r="T58" i="59"/>
  <c r="T60" i="59"/>
  <c r="E169" i="59" l="1"/>
  <c r="E170" i="59" s="1"/>
  <c r="S108" i="59"/>
  <c r="S107" i="59"/>
  <c r="S105" i="59"/>
  <c r="T59" i="59"/>
  <c r="S106" i="59"/>
  <c r="T68" i="59"/>
  <c r="T106" i="59" s="1"/>
  <c r="S104" i="59"/>
  <c r="S70" i="59"/>
  <c r="U60" i="59"/>
  <c r="U58" i="59"/>
  <c r="U59" i="59"/>
  <c r="T70" i="59" l="1"/>
  <c r="T104" i="59"/>
  <c r="U68" i="59"/>
  <c r="U106" i="59" s="1"/>
  <c r="F169" i="59"/>
  <c r="F170" i="59" s="1"/>
  <c r="T108" i="59"/>
  <c r="T107" i="59"/>
  <c r="T105" i="59"/>
  <c r="V60" i="59"/>
  <c r="V58" i="59"/>
  <c r="V59" i="59"/>
  <c r="U70" i="59" l="1"/>
  <c r="G169" i="59"/>
  <c r="G170" i="59" s="1"/>
  <c r="U107" i="59"/>
  <c r="U108" i="59"/>
  <c r="V68" i="59"/>
  <c r="V106" i="59" s="1"/>
  <c r="U104" i="59"/>
  <c r="U105" i="59"/>
  <c r="W60" i="59"/>
  <c r="W58" i="59"/>
  <c r="W59" i="59"/>
  <c r="H169" i="59" l="1"/>
  <c r="H170" i="59" s="1"/>
  <c r="V107" i="59"/>
  <c r="V108" i="59"/>
  <c r="W68" i="59"/>
  <c r="W70" i="59" s="1"/>
  <c r="V105" i="59"/>
  <c r="V104" i="59"/>
  <c r="V70" i="59"/>
  <c r="W106" i="59" l="1"/>
  <c r="I169" i="59"/>
  <c r="I170" i="59" s="1"/>
  <c r="W108" i="59"/>
  <c r="W107" i="59"/>
  <c r="W105" i="59"/>
  <c r="W104" i="59"/>
  <c r="E23" i="65" l="1"/>
  <c r="F23" i="65" l="1"/>
  <c r="E24" i="65"/>
  <c r="F82" i="61"/>
  <c r="F81" i="61" l="1"/>
  <c r="S14" i="58"/>
  <c r="G23" i="65"/>
  <c r="F24" i="65"/>
  <c r="G82" i="61"/>
  <c r="G81" i="61" l="1"/>
  <c r="T14" i="58"/>
  <c r="G24" i="65"/>
  <c r="H23" i="65"/>
  <c r="H82" i="61"/>
  <c r="W39" i="81"/>
  <c r="V39" i="81"/>
  <c r="U39" i="81"/>
  <c r="T39" i="81"/>
  <c r="T32" i="59" l="1"/>
  <c r="V38" i="81"/>
  <c r="T57" i="81"/>
  <c r="I23" i="65"/>
  <c r="H24" i="65"/>
  <c r="I82" i="61"/>
  <c r="U32" i="59"/>
  <c r="W38" i="81"/>
  <c r="W57" i="81"/>
  <c r="U14" i="58"/>
  <c r="H81" i="61"/>
  <c r="S39" i="81"/>
  <c r="T38" i="81"/>
  <c r="V32" i="59"/>
  <c r="V57" i="81"/>
  <c r="S38" i="81"/>
  <c r="U38" i="81"/>
  <c r="W32" i="59"/>
  <c r="S57" i="81"/>
  <c r="U57" i="81"/>
  <c r="S32" i="59" l="1"/>
  <c r="I81" i="61"/>
  <c r="V14" i="58"/>
  <c r="I24" i="65"/>
  <c r="J82" i="61"/>
  <c r="I168" i="59"/>
  <c r="I178" i="59" s="1"/>
  <c r="W53" i="81"/>
  <c r="E168" i="59"/>
  <c r="E178" i="59" s="1"/>
  <c r="S53" i="81"/>
  <c r="G168" i="59"/>
  <c r="G178" i="59" s="1"/>
  <c r="U53" i="81"/>
  <c r="H168" i="59"/>
  <c r="H178" i="59" s="1"/>
  <c r="V53" i="81"/>
  <c r="F168" i="59"/>
  <c r="F178" i="59" s="1"/>
  <c r="T53" i="81"/>
  <c r="W14" i="58" l="1"/>
  <c r="J81" i="61"/>
  <c r="E45" i="105" l="1"/>
  <c r="E44" i="105"/>
  <c r="E46" i="105"/>
  <c r="E49" i="105"/>
  <c r="E47" i="105"/>
  <c r="E55" i="105"/>
  <c r="E52" i="105"/>
  <c r="E51" i="105"/>
  <c r="E48" i="105"/>
  <c r="E56" i="105"/>
  <c r="E60" i="105"/>
  <c r="E53" i="105"/>
  <c r="E57" i="105"/>
  <c r="E50" i="105"/>
  <c r="E54" i="105"/>
  <c r="E58" i="105"/>
  <c r="H54" i="105" l="1"/>
  <c r="I54" i="105" s="1"/>
  <c r="E80" i="105"/>
  <c r="H80" i="105" s="1"/>
  <c r="H60" i="105"/>
  <c r="I60" i="105" s="1"/>
  <c r="E86" i="105"/>
  <c r="H86" i="105" s="1"/>
  <c r="H55" i="105"/>
  <c r="I55" i="105" s="1"/>
  <c r="E81" i="105"/>
  <c r="H81" i="105" s="1"/>
  <c r="H47" i="105"/>
  <c r="I47" i="105" s="1"/>
  <c r="E73" i="105"/>
  <c r="H73" i="105" s="1"/>
  <c r="H49" i="105"/>
  <c r="I49" i="105" s="1"/>
  <c r="E75" i="105"/>
  <c r="H75" i="105" s="1"/>
  <c r="H50" i="105"/>
  <c r="I50" i="105" s="1"/>
  <c r="E76" i="105"/>
  <c r="H76" i="105" s="1"/>
  <c r="H53" i="105"/>
  <c r="I53" i="105" s="1"/>
  <c r="E79" i="105"/>
  <c r="H79" i="105" s="1"/>
  <c r="H46" i="105"/>
  <c r="I46" i="105" s="1"/>
  <c r="E72" i="105"/>
  <c r="H72" i="105" s="1"/>
  <c r="H58" i="105"/>
  <c r="I58" i="105" s="1"/>
  <c r="E84" i="105"/>
  <c r="H84" i="105" s="1"/>
  <c r="H48" i="105"/>
  <c r="I48" i="105" s="1"/>
  <c r="E74" i="105"/>
  <c r="H74" i="105" s="1"/>
  <c r="H51" i="105"/>
  <c r="I51" i="105" s="1"/>
  <c r="E77" i="105"/>
  <c r="H77" i="105" s="1"/>
  <c r="H52" i="105"/>
  <c r="I52" i="105" s="1"/>
  <c r="E78" i="105"/>
  <c r="H78" i="105" s="1"/>
  <c r="E70" i="105"/>
  <c r="H44" i="105"/>
  <c r="H45" i="105"/>
  <c r="I45" i="105" s="1"/>
  <c r="E71" i="105"/>
  <c r="H71" i="105" s="1"/>
  <c r="H57" i="105"/>
  <c r="I57" i="105" s="1"/>
  <c r="E83" i="105"/>
  <c r="H83" i="105" s="1"/>
  <c r="H56" i="105"/>
  <c r="I56" i="105" s="1"/>
  <c r="E82" i="105"/>
  <c r="H82" i="105" s="1"/>
  <c r="G64" i="55"/>
  <c r="H64" i="55"/>
  <c r="F64" i="55"/>
  <c r="E64" i="55"/>
  <c r="K56" i="105" l="1"/>
  <c r="K82" i="105" s="1"/>
  <c r="J56" i="105"/>
  <c r="I82" i="105"/>
  <c r="K53" i="105"/>
  <c r="K79" i="105" s="1"/>
  <c r="J53" i="105"/>
  <c r="I79" i="105"/>
  <c r="K48" i="105"/>
  <c r="K74" i="105" s="1"/>
  <c r="J48" i="105"/>
  <c r="I74" i="105"/>
  <c r="K52" i="105"/>
  <c r="K78" i="105" s="1"/>
  <c r="J52" i="105"/>
  <c r="I78" i="105"/>
  <c r="K46" i="105"/>
  <c r="K72" i="105" s="1"/>
  <c r="J46" i="105"/>
  <c r="I72" i="105"/>
  <c r="K45" i="105"/>
  <c r="K71" i="105" s="1"/>
  <c r="J45" i="105"/>
  <c r="I71" i="105"/>
  <c r="K58" i="105"/>
  <c r="K84" i="105" s="1"/>
  <c r="J58" i="105"/>
  <c r="I84" i="105"/>
  <c r="K49" i="105"/>
  <c r="K75" i="105" s="1"/>
  <c r="J49" i="105"/>
  <c r="I75" i="105"/>
  <c r="K57" i="105"/>
  <c r="K83" i="105" s="1"/>
  <c r="J57" i="105"/>
  <c r="I83" i="105"/>
  <c r="K50" i="105"/>
  <c r="K76" i="105" s="1"/>
  <c r="J50" i="105"/>
  <c r="I76" i="105"/>
  <c r="I44" i="105"/>
  <c r="K47" i="105"/>
  <c r="K73" i="105" s="1"/>
  <c r="J47" i="105"/>
  <c r="I73" i="105"/>
  <c r="K60" i="105"/>
  <c r="K86" i="105" s="1"/>
  <c r="J60" i="105"/>
  <c r="I86" i="105"/>
  <c r="H70" i="105"/>
  <c r="K51" i="105"/>
  <c r="K77" i="105" s="1"/>
  <c r="J51" i="105"/>
  <c r="I77" i="105"/>
  <c r="K55" i="105"/>
  <c r="K81" i="105" s="1"/>
  <c r="J55" i="105"/>
  <c r="I81" i="105"/>
  <c r="K54" i="105"/>
  <c r="K80" i="105" s="1"/>
  <c r="J54" i="105"/>
  <c r="I80" i="105"/>
  <c r="M60" i="105" l="1"/>
  <c r="N60" i="105" s="1"/>
  <c r="J86" i="105"/>
  <c r="M86" i="105" s="1"/>
  <c r="M52" i="105"/>
  <c r="N52" i="105" s="1"/>
  <c r="J78" i="105"/>
  <c r="M78" i="105" s="1"/>
  <c r="M53" i="105"/>
  <c r="N53" i="105" s="1"/>
  <c r="J79" i="105"/>
  <c r="M79" i="105" s="1"/>
  <c r="M54" i="105"/>
  <c r="N54" i="105" s="1"/>
  <c r="J80" i="105"/>
  <c r="M80" i="105" s="1"/>
  <c r="J44" i="105"/>
  <c r="K44" i="105"/>
  <c r="I70" i="105"/>
  <c r="M46" i="105"/>
  <c r="N46" i="105" s="1"/>
  <c r="J72" i="105"/>
  <c r="M72" i="105" s="1"/>
  <c r="M50" i="105"/>
  <c r="N50" i="105" s="1"/>
  <c r="J76" i="105"/>
  <c r="M76" i="105" s="1"/>
  <c r="M58" i="105"/>
  <c r="N58" i="105" s="1"/>
  <c r="J84" i="105"/>
  <c r="M84" i="105" s="1"/>
  <c r="M48" i="105"/>
  <c r="N48" i="105" s="1"/>
  <c r="J74" i="105"/>
  <c r="M74" i="105" s="1"/>
  <c r="M51" i="105"/>
  <c r="N51" i="105" s="1"/>
  <c r="J77" i="105"/>
  <c r="M77" i="105" s="1"/>
  <c r="M56" i="105"/>
  <c r="N56" i="105" s="1"/>
  <c r="J82" i="105"/>
  <c r="M82" i="105" s="1"/>
  <c r="M49" i="105"/>
  <c r="N49" i="105" s="1"/>
  <c r="J75" i="105"/>
  <c r="M75" i="105" s="1"/>
  <c r="M55" i="105"/>
  <c r="N55" i="105" s="1"/>
  <c r="J81" i="105"/>
  <c r="M81" i="105" s="1"/>
  <c r="M57" i="105"/>
  <c r="N57" i="105" s="1"/>
  <c r="J83" i="105"/>
  <c r="M83" i="105" s="1"/>
  <c r="M45" i="105"/>
  <c r="N45" i="105" s="1"/>
  <c r="J71" i="105"/>
  <c r="M71" i="105" s="1"/>
  <c r="M47" i="105"/>
  <c r="N47" i="105" s="1"/>
  <c r="J73" i="105"/>
  <c r="M73" i="105" s="1"/>
  <c r="M44" i="105" l="1"/>
  <c r="P49" i="105"/>
  <c r="P75" i="105" s="1"/>
  <c r="O49" i="105"/>
  <c r="N75" i="105"/>
  <c r="P46" i="105"/>
  <c r="P72" i="105" s="1"/>
  <c r="O46" i="105"/>
  <c r="N72" i="105"/>
  <c r="P47" i="105"/>
  <c r="P73" i="105" s="1"/>
  <c r="O47" i="105"/>
  <c r="N73" i="105"/>
  <c r="P56" i="105"/>
  <c r="P82" i="105" s="1"/>
  <c r="O56" i="105"/>
  <c r="N82" i="105"/>
  <c r="N44" i="105"/>
  <c r="P57" i="105"/>
  <c r="P83" i="105" s="1"/>
  <c r="O57" i="105"/>
  <c r="N83" i="105"/>
  <c r="P51" i="105"/>
  <c r="P77" i="105" s="1"/>
  <c r="O51" i="105"/>
  <c r="N77" i="105"/>
  <c r="P60" i="105"/>
  <c r="P86" i="105" s="1"/>
  <c r="O60" i="105"/>
  <c r="N86" i="105"/>
  <c r="P55" i="105"/>
  <c r="P81" i="105" s="1"/>
  <c r="O55" i="105"/>
  <c r="N81" i="105"/>
  <c r="K70" i="105"/>
  <c r="P45" i="105"/>
  <c r="P71" i="105" s="1"/>
  <c r="O45" i="105"/>
  <c r="O71" i="105" s="1"/>
  <c r="N71" i="105"/>
  <c r="P48" i="105"/>
  <c r="P74" i="105" s="1"/>
  <c r="O48" i="105"/>
  <c r="N74" i="105"/>
  <c r="J70" i="105"/>
  <c r="P54" i="105"/>
  <c r="P80" i="105" s="1"/>
  <c r="O54" i="105"/>
  <c r="N80" i="105"/>
  <c r="P58" i="105"/>
  <c r="P84" i="105" s="1"/>
  <c r="O58" i="105"/>
  <c r="N84" i="105"/>
  <c r="P53" i="105"/>
  <c r="P79" i="105" s="1"/>
  <c r="O53" i="105"/>
  <c r="N79" i="105"/>
  <c r="P52" i="105"/>
  <c r="P78" i="105" s="1"/>
  <c r="O52" i="105"/>
  <c r="N78" i="105"/>
  <c r="P50" i="105"/>
  <c r="P76" i="105" s="1"/>
  <c r="O50" i="105"/>
  <c r="N76" i="105"/>
  <c r="R45" i="105" l="1"/>
  <c r="S45" i="105" s="1"/>
  <c r="R58" i="105"/>
  <c r="S58" i="105" s="1"/>
  <c r="O84" i="105"/>
  <c r="R84" i="105" s="1"/>
  <c r="R60" i="105"/>
  <c r="S60" i="105" s="1"/>
  <c r="O86" i="105"/>
  <c r="R86" i="105" s="1"/>
  <c r="R51" i="105"/>
  <c r="S51" i="105" s="1"/>
  <c r="O77" i="105"/>
  <c r="R77" i="105" s="1"/>
  <c r="R53" i="105"/>
  <c r="S53" i="105" s="1"/>
  <c r="O79" i="105"/>
  <c r="R79" i="105" s="1"/>
  <c r="R57" i="105"/>
  <c r="S57" i="105" s="1"/>
  <c r="O83" i="105"/>
  <c r="R83" i="105" s="1"/>
  <c r="R47" i="105"/>
  <c r="S47" i="105" s="1"/>
  <c r="O73" i="105"/>
  <c r="R73" i="105" s="1"/>
  <c r="R46" i="105"/>
  <c r="S46" i="105" s="1"/>
  <c r="O72" i="105"/>
  <c r="R72" i="105" s="1"/>
  <c r="F59" i="105"/>
  <c r="R54" i="105"/>
  <c r="S54" i="105" s="1"/>
  <c r="O80" i="105"/>
  <c r="R80" i="105" s="1"/>
  <c r="R55" i="105"/>
  <c r="S55" i="105" s="1"/>
  <c r="O81" i="105"/>
  <c r="R81" i="105" s="1"/>
  <c r="P44" i="105"/>
  <c r="O44" i="105"/>
  <c r="N70" i="105"/>
  <c r="R50" i="105"/>
  <c r="S50" i="105" s="1"/>
  <c r="O76" i="105"/>
  <c r="R76" i="105" s="1"/>
  <c r="R52" i="105"/>
  <c r="S52" i="105" s="1"/>
  <c r="O78" i="105"/>
  <c r="R78" i="105" s="1"/>
  <c r="R56" i="105"/>
  <c r="S56" i="105" s="1"/>
  <c r="O82" i="105"/>
  <c r="R82" i="105" s="1"/>
  <c r="R48" i="105"/>
  <c r="S48" i="105" s="1"/>
  <c r="O74" i="105"/>
  <c r="R74" i="105" s="1"/>
  <c r="M70" i="105"/>
  <c r="R71" i="105"/>
  <c r="R49" i="105"/>
  <c r="S49" i="105" s="1"/>
  <c r="O75" i="105"/>
  <c r="R75" i="105" s="1"/>
  <c r="U45" i="105" l="1"/>
  <c r="U71" i="105" s="1"/>
  <c r="T45" i="105"/>
  <c r="S71" i="105"/>
  <c r="U49" i="105"/>
  <c r="U75" i="105" s="1"/>
  <c r="T49" i="105"/>
  <c r="S75" i="105"/>
  <c r="U48" i="105"/>
  <c r="U74" i="105" s="1"/>
  <c r="T48" i="105"/>
  <c r="S74" i="105"/>
  <c r="U57" i="105"/>
  <c r="U83" i="105" s="1"/>
  <c r="T57" i="105"/>
  <c r="S83" i="105"/>
  <c r="U58" i="105"/>
  <c r="U84" i="105" s="1"/>
  <c r="T58" i="105"/>
  <c r="S84" i="105"/>
  <c r="U50" i="105"/>
  <c r="U76" i="105" s="1"/>
  <c r="T50" i="105"/>
  <c r="S76" i="105"/>
  <c r="U52" i="105"/>
  <c r="U78" i="105" s="1"/>
  <c r="T52" i="105"/>
  <c r="S78" i="105"/>
  <c r="R44" i="105"/>
  <c r="O70" i="105"/>
  <c r="U53" i="105"/>
  <c r="U79" i="105" s="1"/>
  <c r="T53" i="105"/>
  <c r="S79" i="105"/>
  <c r="U51" i="105"/>
  <c r="U77" i="105" s="1"/>
  <c r="T51" i="105"/>
  <c r="S77" i="105"/>
  <c r="U56" i="105"/>
  <c r="U82" i="105" s="1"/>
  <c r="T56" i="105"/>
  <c r="S82" i="105"/>
  <c r="P70" i="105"/>
  <c r="U55" i="105"/>
  <c r="U81" i="105" s="1"/>
  <c r="T55" i="105"/>
  <c r="S81" i="105"/>
  <c r="U54" i="105"/>
  <c r="U80" i="105" s="1"/>
  <c r="T54" i="105"/>
  <c r="S80" i="105"/>
  <c r="F61" i="105"/>
  <c r="F85" i="105"/>
  <c r="F87" i="105" s="1"/>
  <c r="U47" i="105"/>
  <c r="U73" i="105" s="1"/>
  <c r="T47" i="105"/>
  <c r="S73" i="105"/>
  <c r="U46" i="105"/>
  <c r="U72" i="105" s="1"/>
  <c r="T46" i="105"/>
  <c r="S72" i="105"/>
  <c r="U60" i="105"/>
  <c r="U86" i="105" s="1"/>
  <c r="T60" i="105"/>
  <c r="S86" i="105"/>
  <c r="R70" i="105" l="1"/>
  <c r="W46" i="105"/>
  <c r="X46" i="105" s="1"/>
  <c r="T72" i="105"/>
  <c r="W72" i="105" s="1"/>
  <c r="S44" i="105"/>
  <c r="W57" i="105"/>
  <c r="X57" i="105" s="1"/>
  <c r="T83" i="105"/>
  <c r="W83" i="105" s="1"/>
  <c r="W60" i="105"/>
  <c r="X60" i="105" s="1"/>
  <c r="T86" i="105"/>
  <c r="W86" i="105" s="1"/>
  <c r="W47" i="105"/>
  <c r="X47" i="105" s="1"/>
  <c r="T73" i="105"/>
  <c r="W73" i="105" s="1"/>
  <c r="W54" i="105"/>
  <c r="X54" i="105" s="1"/>
  <c r="T80" i="105"/>
  <c r="W80" i="105" s="1"/>
  <c r="W56" i="105"/>
  <c r="X56" i="105" s="1"/>
  <c r="T82" i="105"/>
  <c r="W82" i="105" s="1"/>
  <c r="W51" i="105"/>
  <c r="X51" i="105" s="1"/>
  <c r="T77" i="105"/>
  <c r="W77" i="105" s="1"/>
  <c r="W52" i="105"/>
  <c r="X52" i="105" s="1"/>
  <c r="T78" i="105"/>
  <c r="W78" i="105" s="1"/>
  <c r="W50" i="105"/>
  <c r="X50" i="105" s="1"/>
  <c r="T76" i="105"/>
  <c r="W76" i="105" s="1"/>
  <c r="W58" i="105"/>
  <c r="X58" i="105" s="1"/>
  <c r="T84" i="105"/>
  <c r="W84" i="105" s="1"/>
  <c r="W49" i="105"/>
  <c r="X49" i="105" s="1"/>
  <c r="T75" i="105"/>
  <c r="W75" i="105" s="1"/>
  <c r="W45" i="105"/>
  <c r="X45" i="105" s="1"/>
  <c r="T71" i="105"/>
  <c r="W71" i="105" s="1"/>
  <c r="W48" i="105"/>
  <c r="X48" i="105" s="1"/>
  <c r="T74" i="105"/>
  <c r="W74" i="105" s="1"/>
  <c r="W55" i="105"/>
  <c r="X55" i="105" s="1"/>
  <c r="T81" i="105"/>
  <c r="W81" i="105" s="1"/>
  <c r="W53" i="105"/>
  <c r="X53" i="105" s="1"/>
  <c r="T79" i="105"/>
  <c r="W79" i="105" s="1"/>
  <c r="Z52" i="105" l="1"/>
  <c r="Z78" i="105" s="1"/>
  <c r="Y52" i="105"/>
  <c r="Y78" i="105" s="1"/>
  <c r="X78" i="105"/>
  <c r="Z57" i="105"/>
  <c r="Z83" i="105" s="1"/>
  <c r="Y57" i="105"/>
  <c r="Y83" i="105" s="1"/>
  <c r="X83" i="105"/>
  <c r="Z48" i="105"/>
  <c r="Z74" i="105" s="1"/>
  <c r="Y48" i="105"/>
  <c r="Y74" i="105" s="1"/>
  <c r="X74" i="105"/>
  <c r="Z49" i="105"/>
  <c r="Z75" i="105" s="1"/>
  <c r="Y49" i="105"/>
  <c r="Y75" i="105" s="1"/>
  <c r="X75" i="105"/>
  <c r="Z58" i="105"/>
  <c r="Z84" i="105" s="1"/>
  <c r="Y58" i="105"/>
  <c r="Y84" i="105" s="1"/>
  <c r="X84" i="105"/>
  <c r="Z54" i="105"/>
  <c r="Z80" i="105" s="1"/>
  <c r="Y54" i="105"/>
  <c r="Y80" i="105" s="1"/>
  <c r="X80" i="105"/>
  <c r="Z51" i="105"/>
  <c r="Z77" i="105" s="1"/>
  <c r="Y51" i="105"/>
  <c r="Y77" i="105" s="1"/>
  <c r="X77" i="105"/>
  <c r="Z46" i="105"/>
  <c r="Z72" i="105" s="1"/>
  <c r="Y46" i="105"/>
  <c r="Y72" i="105" s="1"/>
  <c r="X72" i="105"/>
  <c r="Z55" i="105"/>
  <c r="Z81" i="105" s="1"/>
  <c r="Y55" i="105"/>
  <c r="Y81" i="105" s="1"/>
  <c r="X81" i="105"/>
  <c r="Z56" i="105"/>
  <c r="Z82" i="105" s="1"/>
  <c r="Y56" i="105"/>
  <c r="Y82" i="105" s="1"/>
  <c r="X82" i="105"/>
  <c r="Z47" i="105"/>
  <c r="Z73" i="105" s="1"/>
  <c r="Y47" i="105"/>
  <c r="Y73" i="105" s="1"/>
  <c r="X73" i="105"/>
  <c r="Z50" i="105"/>
  <c r="Z76" i="105" s="1"/>
  <c r="Y50" i="105"/>
  <c r="Y76" i="105" s="1"/>
  <c r="X76" i="105"/>
  <c r="Z60" i="105"/>
  <c r="Z86" i="105" s="1"/>
  <c r="Y60" i="105"/>
  <c r="Y86" i="105" s="1"/>
  <c r="X86" i="105"/>
  <c r="Z53" i="105"/>
  <c r="Z79" i="105" s="1"/>
  <c r="Y53" i="105"/>
  <c r="Y79" i="105" s="1"/>
  <c r="X79" i="105"/>
  <c r="Z45" i="105"/>
  <c r="Z71" i="105" s="1"/>
  <c r="Y45" i="105"/>
  <c r="Y71" i="105" s="1"/>
  <c r="X71" i="105"/>
  <c r="S70" i="105"/>
  <c r="U44" i="105"/>
  <c r="T44" i="105"/>
  <c r="W44" i="105" s="1"/>
  <c r="AB78" i="105" l="1"/>
  <c r="AB86" i="105"/>
  <c r="AB77" i="105"/>
  <c r="AB76" i="105"/>
  <c r="X44" i="105"/>
  <c r="AB82" i="105"/>
  <c r="AB80" i="105"/>
  <c r="AB79" i="105"/>
  <c r="AB84" i="105"/>
  <c r="AB74" i="105"/>
  <c r="AB83" i="105"/>
  <c r="T70" i="105"/>
  <c r="AB71" i="105"/>
  <c r="U70" i="105"/>
  <c r="AB73" i="105"/>
  <c r="AB72" i="105"/>
  <c r="AB75" i="105"/>
  <c r="AB81" i="105"/>
  <c r="W70" i="105" l="1"/>
  <c r="Z44" i="105"/>
  <c r="Z70" i="105" s="1"/>
  <c r="Y44" i="105"/>
  <c r="X70" i="105"/>
  <c r="Y70" i="105" l="1"/>
  <c r="D64" i="55"/>
  <c r="AB70" i="105" l="1"/>
  <c r="S21" i="58" l="1"/>
  <c r="E65" i="61" l="1"/>
  <c r="T21" i="58"/>
  <c r="S26" i="58" l="1"/>
  <c r="F65" i="61"/>
  <c r="T78" i="59"/>
  <c r="S81" i="59"/>
  <c r="S78" i="59"/>
  <c r="S79" i="59"/>
  <c r="T79" i="59"/>
  <c r="S66" i="59"/>
  <c r="T81" i="59"/>
  <c r="T124" i="59" s="1"/>
  <c r="T66" i="59"/>
  <c r="T112" i="59" s="1"/>
  <c r="S64" i="59"/>
  <c r="S63" i="59"/>
  <c r="U21" i="58"/>
  <c r="T64" i="59"/>
  <c r="T110" i="59" s="1"/>
  <c r="U26" i="58" l="1"/>
  <c r="T122" i="59"/>
  <c r="T26" i="58"/>
  <c r="T121" i="59"/>
  <c r="G65" i="61"/>
  <c r="U78" i="59"/>
  <c r="U79" i="59"/>
  <c r="U64" i="59"/>
  <c r="U110" i="59" s="1"/>
  <c r="U66" i="59"/>
  <c r="U112" i="59" s="1"/>
  <c r="U81" i="59"/>
  <c r="U124" i="59" s="1"/>
  <c r="W21" i="58"/>
  <c r="V21" i="58"/>
  <c r="T63" i="59"/>
  <c r="T109" i="59" s="1"/>
  <c r="T113" i="59" s="1"/>
  <c r="T23" i="59" s="1"/>
  <c r="F68" i="61" l="1"/>
  <c r="T91" i="59"/>
  <c r="T90" i="59"/>
  <c r="T89" i="59"/>
  <c r="T92" i="59"/>
  <c r="F182" i="59"/>
  <c r="T35" i="59"/>
  <c r="T34" i="59"/>
  <c r="T33" i="59"/>
  <c r="T30" i="81"/>
  <c r="T88" i="59"/>
  <c r="T87" i="59"/>
  <c r="T85" i="59"/>
  <c r="T86" i="59"/>
  <c r="T84" i="59"/>
  <c r="H65" i="61"/>
  <c r="I65" i="61"/>
  <c r="V26" i="58"/>
  <c r="W26" i="58"/>
  <c r="F61" i="61"/>
  <c r="U122" i="59"/>
  <c r="U121" i="59"/>
  <c r="G61" i="61" s="1"/>
  <c r="V66" i="59"/>
  <c r="V112" i="59" s="1"/>
  <c r="V78" i="59"/>
  <c r="V81" i="59"/>
  <c r="V124" i="59" s="1"/>
  <c r="W64" i="59"/>
  <c r="W110" i="59" s="1"/>
  <c r="V79" i="59"/>
  <c r="V64" i="59"/>
  <c r="V110" i="59" s="1"/>
  <c r="U63" i="59"/>
  <c r="U109" i="59" s="1"/>
  <c r="U113" i="59" s="1"/>
  <c r="U23" i="59" s="1"/>
  <c r="T36" i="59" l="1"/>
  <c r="T37" i="59" s="1"/>
  <c r="E40" i="71" s="1"/>
  <c r="E42" i="71" s="1"/>
  <c r="U91" i="59"/>
  <c r="U89" i="59"/>
  <c r="U92" i="59"/>
  <c r="U90" i="59"/>
  <c r="V122" i="59"/>
  <c r="V121" i="59"/>
  <c r="T43" i="81"/>
  <c r="T44" i="81"/>
  <c r="T42" i="81"/>
  <c r="G182" i="59"/>
  <c r="U35" i="59"/>
  <c r="U34" i="59"/>
  <c r="U33" i="59"/>
  <c r="U30" i="81"/>
  <c r="U87" i="59"/>
  <c r="U88" i="59"/>
  <c r="U85" i="59"/>
  <c r="U84" i="59"/>
  <c r="U86" i="59"/>
  <c r="D40" i="71"/>
  <c r="D42" i="71" s="1"/>
  <c r="N40" i="71"/>
  <c r="N42" i="71" s="1"/>
  <c r="C40" i="71"/>
  <c r="G68" i="61"/>
  <c r="F191" i="59"/>
  <c r="F194" i="59" s="1"/>
  <c r="F196" i="59" s="1"/>
  <c r="F185" i="59"/>
  <c r="F187" i="59" s="1"/>
  <c r="F198" i="59" s="1"/>
  <c r="W66" i="59"/>
  <c r="W112" i="59" s="1"/>
  <c r="W63" i="59"/>
  <c r="W109" i="59" s="1"/>
  <c r="W81" i="59"/>
  <c r="W124" i="59" s="1"/>
  <c r="W79" i="59"/>
  <c r="V63" i="59"/>
  <c r="V109" i="59" s="1"/>
  <c r="V113" i="59" s="1"/>
  <c r="V23" i="59" s="1"/>
  <c r="W78" i="59"/>
  <c r="G40" i="71" l="1"/>
  <c r="G42" i="71" s="1"/>
  <c r="I40" i="71"/>
  <c r="I42" i="71" s="1"/>
  <c r="K40" i="71"/>
  <c r="K42" i="71" s="1"/>
  <c r="H40" i="71"/>
  <c r="H42" i="71" s="1"/>
  <c r="J40" i="71"/>
  <c r="J42" i="71" s="1"/>
  <c r="M40" i="71"/>
  <c r="M42" i="71" s="1"/>
  <c r="F40" i="71"/>
  <c r="F42" i="71" s="1"/>
  <c r="G23" i="73"/>
  <c r="G22" i="74" s="1"/>
  <c r="G24" i="74" s="1"/>
  <c r="L40" i="71"/>
  <c r="L42" i="71" s="1"/>
  <c r="V91" i="59"/>
  <c r="V89" i="59"/>
  <c r="V90" i="59"/>
  <c r="V92" i="59"/>
  <c r="T45" i="81"/>
  <c r="T48" i="81" s="1"/>
  <c r="C42" i="71"/>
  <c r="H61" i="61"/>
  <c r="H68" i="61"/>
  <c r="G185" i="59"/>
  <c r="G187" i="59" s="1"/>
  <c r="G191" i="59"/>
  <c r="G194" i="59" s="1"/>
  <c r="G196" i="59" s="1"/>
  <c r="W121" i="59"/>
  <c r="U42" i="81"/>
  <c r="U43" i="81"/>
  <c r="U44" i="81"/>
  <c r="W122" i="59"/>
  <c r="G80" i="61"/>
  <c r="T12" i="58"/>
  <c r="G79" i="61"/>
  <c r="G83" i="61" s="1"/>
  <c r="U36" i="59"/>
  <c r="U37" i="59" s="1"/>
  <c r="H182" i="59"/>
  <c r="V35" i="59"/>
  <c r="V30" i="81"/>
  <c r="V34" i="59"/>
  <c r="V33" i="59"/>
  <c r="V88" i="59"/>
  <c r="V87" i="59"/>
  <c r="V84" i="59"/>
  <c r="V85" i="59"/>
  <c r="V86" i="59"/>
  <c r="W113" i="59"/>
  <c r="W23" i="59" s="1"/>
  <c r="O40" i="71" l="1"/>
  <c r="O42" i="71" s="1"/>
  <c r="G25" i="73"/>
  <c r="W91" i="59"/>
  <c r="W89" i="59"/>
  <c r="W92" i="59"/>
  <c r="W90" i="59"/>
  <c r="H48" i="71"/>
  <c r="H50" i="71" s="1"/>
  <c r="F48" i="71"/>
  <c r="F50" i="71" s="1"/>
  <c r="M48" i="71"/>
  <c r="M50" i="71" s="1"/>
  <c r="J48" i="71"/>
  <c r="J50" i="71" s="1"/>
  <c r="I48" i="71"/>
  <c r="I50" i="71" s="1"/>
  <c r="G48" i="71"/>
  <c r="G50" i="71" s="1"/>
  <c r="N48" i="71"/>
  <c r="N50" i="71" s="1"/>
  <c r="E48" i="71"/>
  <c r="E50" i="71" s="1"/>
  <c r="L48" i="71"/>
  <c r="L50" i="71" s="1"/>
  <c r="D48" i="71"/>
  <c r="D50" i="71" s="1"/>
  <c r="K48" i="71"/>
  <c r="K50" i="71" s="1"/>
  <c r="C48" i="71"/>
  <c r="G34" i="73"/>
  <c r="V42" i="81"/>
  <c r="V43" i="81"/>
  <c r="V44" i="81"/>
  <c r="I68" i="61"/>
  <c r="I61" i="61"/>
  <c r="H191" i="59"/>
  <c r="H194" i="59" s="1"/>
  <c r="H196" i="59" s="1"/>
  <c r="H185" i="59"/>
  <c r="H187" i="59" s="1"/>
  <c r="U45" i="81"/>
  <c r="U48" i="81" s="1"/>
  <c r="I182" i="59"/>
  <c r="W35" i="59"/>
  <c r="W34" i="59"/>
  <c r="W30" i="81"/>
  <c r="W33" i="59"/>
  <c r="W87" i="59"/>
  <c r="W88" i="59"/>
  <c r="W85" i="59"/>
  <c r="W84" i="59"/>
  <c r="W86" i="59"/>
  <c r="V36" i="59"/>
  <c r="V37" i="59" s="1"/>
  <c r="G198" i="59"/>
  <c r="H79" i="61" l="1"/>
  <c r="H80" i="61"/>
  <c r="H198" i="59"/>
  <c r="I80" i="61" s="1"/>
  <c r="I191" i="59"/>
  <c r="I194" i="59" s="1"/>
  <c r="I196" i="59" s="1"/>
  <c r="I185" i="59"/>
  <c r="I187" i="59" s="1"/>
  <c r="I198" i="59" s="1"/>
  <c r="V45" i="81"/>
  <c r="V48" i="81" s="1"/>
  <c r="C56" i="71"/>
  <c r="D64" i="71"/>
  <c r="D66" i="71" s="1"/>
  <c r="G44" i="73"/>
  <c r="N56" i="71"/>
  <c r="N58" i="71" s="1"/>
  <c r="N64" i="71"/>
  <c r="N66" i="71" s="1"/>
  <c r="F56" i="71"/>
  <c r="F58" i="71" s="1"/>
  <c r="K64" i="71"/>
  <c r="K66" i="71" s="1"/>
  <c r="M64" i="71"/>
  <c r="M66" i="71" s="1"/>
  <c r="E56" i="71"/>
  <c r="E58" i="71" s="1"/>
  <c r="D56" i="71"/>
  <c r="D58" i="71" s="1"/>
  <c r="H64" i="71"/>
  <c r="H66" i="71" s="1"/>
  <c r="G64" i="71"/>
  <c r="G66" i="71" s="1"/>
  <c r="M56" i="71"/>
  <c r="M58" i="71" s="1"/>
  <c r="F64" i="71"/>
  <c r="F66" i="71" s="1"/>
  <c r="J64" i="71"/>
  <c r="J66" i="71" s="1"/>
  <c r="L56" i="71"/>
  <c r="L58" i="71" s="1"/>
  <c r="E64" i="71"/>
  <c r="E66" i="71" s="1"/>
  <c r="K56" i="71"/>
  <c r="K58" i="71" s="1"/>
  <c r="L64" i="71"/>
  <c r="L66" i="71" s="1"/>
  <c r="I56" i="71"/>
  <c r="I58" i="71" s="1"/>
  <c r="J56" i="71"/>
  <c r="J58" i="71" s="1"/>
  <c r="H56" i="71"/>
  <c r="H58" i="71" s="1"/>
  <c r="I64" i="71"/>
  <c r="I66" i="71" s="1"/>
  <c r="G56" i="71"/>
  <c r="G58" i="71" s="1"/>
  <c r="W36" i="59"/>
  <c r="W37" i="59" s="1"/>
  <c r="W43" i="81"/>
  <c r="W42" i="81"/>
  <c r="W44" i="81"/>
  <c r="G36" i="73"/>
  <c r="G31" i="74"/>
  <c r="G33" i="74" s="1"/>
  <c r="U12" i="58"/>
  <c r="O48" i="71"/>
  <c r="O50" i="71" s="1"/>
  <c r="C50" i="71"/>
  <c r="V12" i="58" l="1"/>
  <c r="I79" i="61"/>
  <c r="I83" i="61" s="1"/>
  <c r="W45" i="81"/>
  <c r="W48" i="81" s="1"/>
  <c r="J79" i="61"/>
  <c r="W12" i="58"/>
  <c r="J80" i="61"/>
  <c r="G54" i="73"/>
  <c r="C64" i="71"/>
  <c r="G40" i="74"/>
  <c r="G42" i="74" s="1"/>
  <c r="G46" i="73"/>
  <c r="H83" i="61"/>
  <c r="C58" i="71"/>
  <c r="O56" i="71"/>
  <c r="O58" i="71" s="1"/>
  <c r="J83" i="61" l="1"/>
  <c r="C66" i="71"/>
  <c r="O64" i="71"/>
  <c r="O66" i="71" s="1"/>
  <c r="G49" i="74"/>
  <c r="G51" i="74" s="1"/>
  <c r="G56" i="73"/>
  <c r="S122" i="59" l="1"/>
  <c r="S110" i="59"/>
  <c r="S124" i="59"/>
  <c r="S112" i="59"/>
  <c r="S121" i="59"/>
  <c r="S109" i="59"/>
  <c r="S113" i="59" l="1"/>
  <c r="S23" i="59" s="1"/>
  <c r="E182" i="59" s="1"/>
  <c r="E61" i="61"/>
  <c r="E68" i="61"/>
  <c r="S85" i="59" l="1"/>
  <c r="S84" i="59"/>
  <c r="S88" i="59"/>
  <c r="S86" i="59"/>
  <c r="S87" i="59"/>
  <c r="S35" i="59"/>
  <c r="S30" i="81"/>
  <c r="S44" i="81" s="1"/>
  <c r="S33" i="59"/>
  <c r="S36" i="59" s="1"/>
  <c r="S37" i="59" s="1"/>
  <c r="S34" i="59"/>
  <c r="S91" i="59"/>
  <c r="S90" i="59"/>
  <c r="S92" i="59"/>
  <c r="S89" i="59"/>
  <c r="E191" i="59"/>
  <c r="E194" i="59" s="1"/>
  <c r="E196" i="59" s="1"/>
  <c r="E185" i="59"/>
  <c r="E187" i="59" s="1"/>
  <c r="E198" i="59" s="1"/>
  <c r="S42" i="81" l="1"/>
  <c r="S43" i="81"/>
  <c r="G32" i="71"/>
  <c r="G34" i="71" s="1"/>
  <c r="G12" i="73"/>
  <c r="D32" i="71"/>
  <c r="D34" i="71" s="1"/>
  <c r="E32" i="71"/>
  <c r="E34" i="71" s="1"/>
  <c r="J32" i="71"/>
  <c r="J34" i="71" s="1"/>
  <c r="L32" i="71"/>
  <c r="L34" i="71" s="1"/>
  <c r="I32" i="71"/>
  <c r="I34" i="71" s="1"/>
  <c r="N32" i="71"/>
  <c r="N34" i="71" s="1"/>
  <c r="C32" i="71"/>
  <c r="K32" i="71"/>
  <c r="K34" i="71" s="1"/>
  <c r="M32" i="71"/>
  <c r="M34" i="71" s="1"/>
  <c r="H32" i="71"/>
  <c r="H34" i="71" s="1"/>
  <c r="F32" i="71"/>
  <c r="F34" i="71" s="1"/>
  <c r="F79" i="61"/>
  <c r="S12" i="58"/>
  <c r="F80" i="61"/>
  <c r="S45" i="81" l="1"/>
  <c r="S48" i="81" s="1"/>
  <c r="F83" i="61"/>
  <c r="G11" i="74"/>
  <c r="G13" i="74" s="1"/>
  <c r="G14" i="73"/>
  <c r="O32" i="71"/>
  <c r="O34" i="71" s="1"/>
  <c r="C34" i="71"/>
  <c r="G84" i="61" l="1"/>
  <c r="G85" i="61" s="1"/>
  <c r="T20" i="58" s="1"/>
  <c r="H84" i="61"/>
  <c r="H85" i="61" s="1"/>
  <c r="U20" i="58" s="1"/>
  <c r="I84" i="61"/>
  <c r="I85" i="61" s="1"/>
  <c r="V20" i="58" s="1"/>
  <c r="J84" i="61"/>
  <c r="J85" i="61" s="1"/>
  <c r="W20" i="58" s="1"/>
  <c r="F84" i="61"/>
  <c r="F85" i="61" s="1"/>
  <c r="S20" i="58" s="1"/>
  <c r="D33" i="105" l="1"/>
  <c r="D85" i="105"/>
  <c r="D87" i="105" s="1"/>
  <c r="H31" i="105"/>
  <c r="E59" i="105"/>
  <c r="H59" i="105" l="1"/>
  <c r="E85" i="105"/>
  <c r="E61" i="105"/>
  <c r="I31" i="105"/>
  <c r="H33" i="105"/>
  <c r="I59" i="105" l="1"/>
  <c r="I85" i="105" s="1"/>
  <c r="I87" i="105" s="1"/>
  <c r="H61" i="105"/>
  <c r="M31" i="105"/>
  <c r="I33" i="105"/>
  <c r="H85" i="105"/>
  <c r="H87" i="105" s="1"/>
  <c r="E87" i="105"/>
  <c r="N31" i="105" l="1"/>
  <c r="M33" i="105"/>
  <c r="K59" i="105"/>
  <c r="J59" i="105"/>
  <c r="I61" i="105"/>
  <c r="M59" i="105" l="1"/>
  <c r="J85" i="105"/>
  <c r="J61" i="105"/>
  <c r="R31" i="105"/>
  <c r="N33" i="105"/>
  <c r="K85" i="105"/>
  <c r="K87" i="105" s="1"/>
  <c r="K61" i="105"/>
  <c r="M85" i="105" l="1"/>
  <c r="M87" i="105" s="1"/>
  <c r="J87" i="105"/>
  <c r="N59" i="105"/>
  <c r="M61" i="105"/>
  <c r="S31" i="105"/>
  <c r="R33" i="105"/>
  <c r="W31" i="105" l="1"/>
  <c r="S33" i="105"/>
  <c r="P59" i="105"/>
  <c r="O59" i="105"/>
  <c r="N61" i="105"/>
  <c r="N85" i="105"/>
  <c r="N87" i="105" s="1"/>
  <c r="X31" i="105" l="1"/>
  <c r="W33" i="105"/>
  <c r="R59" i="105"/>
  <c r="O85" i="105"/>
  <c r="O61" i="105"/>
  <c r="P85" i="105"/>
  <c r="P87" i="105" s="1"/>
  <c r="P61" i="105"/>
  <c r="R85" i="105" l="1"/>
  <c r="R87" i="105" s="1"/>
  <c r="O87" i="105"/>
  <c r="S59" i="105"/>
  <c r="R61" i="105"/>
  <c r="AB31" i="105"/>
  <c r="AB33" i="105" s="1"/>
  <c r="X33" i="105"/>
  <c r="U59" i="105" l="1"/>
  <c r="T59" i="105"/>
  <c r="S61" i="105"/>
  <c r="S85" i="105"/>
  <c r="S87" i="105" s="1"/>
  <c r="W59" i="105" l="1"/>
  <c r="T85" i="105"/>
  <c r="T61" i="105"/>
  <c r="U85" i="105"/>
  <c r="U87" i="105" s="1"/>
  <c r="U61" i="105"/>
  <c r="W85" i="105" l="1"/>
  <c r="W87" i="105" s="1"/>
  <c r="T87" i="105"/>
  <c r="X59" i="105"/>
  <c r="W61" i="105"/>
  <c r="Z59" i="105" l="1"/>
  <c r="Y59" i="105"/>
  <c r="X61" i="105"/>
  <c r="X85" i="105"/>
  <c r="X87" i="105" s="1"/>
  <c r="Y85" i="105" l="1"/>
  <c r="Y61" i="105"/>
  <c r="Z85" i="105"/>
  <c r="Z87" i="105" s="1"/>
  <c r="AB85" i="105" l="1"/>
  <c r="AB87" i="105" s="1"/>
  <c r="Y87" i="105"/>
  <c r="T153" i="59" l="1"/>
  <c r="S153" i="59" l="1"/>
  <c r="V153" i="59" l="1"/>
  <c r="W153" i="59"/>
  <c r="T26" i="81" l="1"/>
  <c r="W26" i="81"/>
  <c r="U26" i="81"/>
  <c r="V26" i="81"/>
  <c r="W16" i="81" l="1"/>
  <c r="T16" i="81"/>
  <c r="V16" i="81"/>
  <c r="U16" i="81"/>
  <c r="S75" i="59" l="1"/>
  <c r="S73" i="59"/>
  <c r="T75" i="59" l="1"/>
  <c r="S118" i="59"/>
  <c r="S74" i="59"/>
  <c r="S116" i="59"/>
  <c r="T118" i="59" l="1"/>
  <c r="S117" i="59"/>
  <c r="S125" i="59" s="1"/>
  <c r="S155" i="59" s="1"/>
  <c r="T73" i="59"/>
  <c r="U75" i="59"/>
  <c r="T74" i="59"/>
  <c r="S11" i="58" l="1"/>
  <c r="S157" i="59"/>
  <c r="T117" i="59"/>
  <c r="T116" i="59"/>
  <c r="U73" i="59"/>
  <c r="U118" i="59"/>
  <c r="E58" i="61"/>
  <c r="E59" i="61"/>
  <c r="V75" i="59"/>
  <c r="U74" i="59"/>
  <c r="U117" i="59" l="1"/>
  <c r="V118" i="59"/>
  <c r="U116" i="59"/>
  <c r="V74" i="59"/>
  <c r="V73" i="59"/>
  <c r="W75" i="59"/>
  <c r="F59" i="61"/>
  <c r="F58" i="61"/>
  <c r="T125" i="59"/>
  <c r="T155" i="59" s="1"/>
  <c r="L11" i="80"/>
  <c r="D12" i="73"/>
  <c r="G59" i="61" l="1"/>
  <c r="D11" i="74"/>
  <c r="K12" i="73"/>
  <c r="W118" i="59"/>
  <c r="V117" i="59"/>
  <c r="W73" i="59"/>
  <c r="T11" i="58"/>
  <c r="T157" i="59"/>
  <c r="W74" i="59"/>
  <c r="U125" i="59"/>
  <c r="U155" i="59" s="1"/>
  <c r="G58" i="61"/>
  <c r="V116" i="59"/>
  <c r="W117" i="59" l="1"/>
  <c r="U11" i="58"/>
  <c r="U157" i="59"/>
  <c r="K11" i="74"/>
  <c r="K13" i="74" s="1"/>
  <c r="K14" i="73"/>
  <c r="M11" i="80"/>
  <c r="D23" i="73"/>
  <c r="H58" i="61"/>
  <c r="H59" i="61"/>
  <c r="V125" i="59"/>
  <c r="V155" i="59" s="1"/>
  <c r="W116" i="59"/>
  <c r="I58" i="61" l="1"/>
  <c r="I59" i="61"/>
  <c r="W125" i="59"/>
  <c r="W155" i="59" s="1"/>
  <c r="V11" i="58"/>
  <c r="V157" i="59"/>
  <c r="N11" i="80"/>
  <c r="D34" i="73"/>
  <c r="D22" i="74"/>
  <c r="K23" i="73"/>
  <c r="D31" i="74" l="1"/>
  <c r="K34" i="73"/>
  <c r="W11" i="58"/>
  <c r="W157" i="59"/>
  <c r="K22" i="74"/>
  <c r="K24" i="74" s="1"/>
  <c r="K25" i="73"/>
  <c r="O11" i="80"/>
  <c r="D44" i="73"/>
  <c r="P11" i="80" l="1"/>
  <c r="D54" i="73"/>
  <c r="K31" i="74"/>
  <c r="K33" i="74" s="1"/>
  <c r="K36" i="73"/>
  <c r="D40" i="74"/>
  <c r="K44" i="73"/>
  <c r="D49" i="74" l="1"/>
  <c r="K54" i="73"/>
  <c r="K46" i="73"/>
  <c r="K40" i="74"/>
  <c r="K42" i="74" s="1"/>
  <c r="K49" i="74" l="1"/>
  <c r="K51" i="74" s="1"/>
  <c r="K56" i="73"/>
  <c r="S26" i="81" l="1"/>
  <c r="S16" i="81" l="1"/>
  <c r="H51" i="67" l="1"/>
  <c r="G51" i="67"/>
  <c r="F51" i="67"/>
  <c r="H58" i="67"/>
  <c r="F58" i="67"/>
  <c r="G58" i="67"/>
  <c r="H64" i="67"/>
  <c r="F64" i="67"/>
  <c r="G64" i="67"/>
  <c r="G70" i="67"/>
  <c r="H70" i="67"/>
  <c r="F70" i="67"/>
  <c r="F76" i="67"/>
  <c r="G76" i="67"/>
  <c r="H76" i="67"/>
  <c r="F52" i="67"/>
  <c r="G52" i="67"/>
  <c r="H52" i="67"/>
  <c r="H59" i="67"/>
  <c r="F59" i="67"/>
  <c r="G59" i="67"/>
  <c r="F65" i="67"/>
  <c r="G65" i="67"/>
  <c r="H65" i="67"/>
  <c r="F71" i="67"/>
  <c r="G71" i="67"/>
  <c r="H71" i="67"/>
  <c r="F77" i="67"/>
  <c r="G77" i="67"/>
  <c r="H77" i="67"/>
  <c r="G53" i="67"/>
  <c r="F53" i="67"/>
  <c r="H53" i="67"/>
  <c r="F60" i="67"/>
  <c r="G60" i="67"/>
  <c r="H60" i="67"/>
  <c r="H66" i="67"/>
  <c r="G66" i="67"/>
  <c r="F66" i="67"/>
  <c r="H72" i="67"/>
  <c r="F72" i="67"/>
  <c r="G72" i="67"/>
  <c r="G78" i="67"/>
  <c r="H78" i="67"/>
  <c r="F78" i="67"/>
  <c r="F50" i="67"/>
  <c r="H50" i="67"/>
  <c r="G50" i="67"/>
  <c r="F57" i="67"/>
  <c r="G57" i="67"/>
  <c r="H57" i="67"/>
  <c r="E79" i="67"/>
  <c r="H63" i="67"/>
  <c r="F63" i="67"/>
  <c r="G63" i="67"/>
  <c r="G69" i="67"/>
  <c r="F69" i="67"/>
  <c r="H69" i="67"/>
  <c r="H75" i="67"/>
  <c r="G75" i="67"/>
  <c r="F75" i="67"/>
  <c r="H79" i="67" l="1"/>
  <c r="G79" i="67"/>
  <c r="F79" i="67"/>
  <c r="E30" i="61" l="1"/>
  <c r="E34" i="61" s="1"/>
  <c r="E19" i="58" s="1"/>
  <c r="E23" i="58" s="1"/>
  <c r="E27" i="58" s="1"/>
  <c r="C9" i="80" s="1"/>
  <c r="G30" i="61"/>
  <c r="G34" i="61" s="1"/>
  <c r="I19" i="58" s="1"/>
  <c r="I23" i="58" s="1"/>
  <c r="I27" i="58" s="1"/>
  <c r="F9" i="80" s="1"/>
  <c r="I30" i="61"/>
  <c r="I34" i="61" s="1"/>
  <c r="M19" i="58" s="1"/>
  <c r="M23" i="58" s="1"/>
  <c r="M27" i="58" s="1"/>
  <c r="I9" i="80" s="1"/>
  <c r="K30" i="72" l="1"/>
  <c r="K31" i="72" s="1"/>
  <c r="A111" i="70" l="1"/>
  <c r="A110" i="70"/>
  <c r="A109" i="70"/>
  <c r="A108" i="70"/>
  <c r="A107" i="70"/>
  <c r="A106" i="70"/>
  <c r="A105" i="70"/>
  <c r="A104" i="70"/>
  <c r="A103" i="70"/>
  <c r="A102" i="70"/>
  <c r="A101" i="70"/>
  <c r="A100" i="70"/>
  <c r="A99" i="70"/>
  <c r="A98" i="70"/>
  <c r="A97" i="70"/>
  <c r="A96" i="70"/>
  <c r="A95" i="70"/>
  <c r="F17" i="65" l="1"/>
  <c r="H11" i="65"/>
  <c r="H17" i="65" s="1"/>
  <c r="F10" i="65"/>
  <c r="J10" i="65" l="1"/>
  <c r="J17" i="65"/>
  <c r="L11" i="65"/>
  <c r="L17" i="65" s="1"/>
  <c r="H10" i="65"/>
  <c r="F13" i="58"/>
  <c r="D11" i="78"/>
  <c r="H13" i="58" l="1"/>
  <c r="F26" i="61"/>
  <c r="G11" i="78"/>
  <c r="H11" i="78" s="1"/>
  <c r="L11" i="78" s="1"/>
  <c r="F11" i="78"/>
  <c r="N17" i="65"/>
  <c r="N13" i="58" s="1"/>
  <c r="N10" i="65"/>
  <c r="R11" i="65"/>
  <c r="R17" i="65" s="1"/>
  <c r="J13" i="58"/>
  <c r="D40" i="78"/>
  <c r="L10" i="65"/>
  <c r="R10" i="65" l="1"/>
  <c r="H26" i="61"/>
  <c r="L13" i="58"/>
  <c r="J26" i="61"/>
  <c r="R13" i="58"/>
  <c r="F40" i="78"/>
  <c r="G40" i="78"/>
  <c r="H40" i="78" s="1"/>
  <c r="L40" i="78" s="1"/>
  <c r="D83" i="117" l="1"/>
  <c r="F83" i="70"/>
  <c r="F84" i="70"/>
  <c r="D84" i="117"/>
  <c r="D20" i="117"/>
  <c r="D128" i="70"/>
  <c r="H20" i="70"/>
  <c r="I20" i="70" s="1"/>
  <c r="M20" i="70" s="1"/>
  <c r="N20" i="70" s="1"/>
  <c r="F70" i="70"/>
  <c r="H70" i="70" s="1"/>
  <c r="I70" i="70" s="1"/>
  <c r="D124" i="70"/>
  <c r="E70" i="70"/>
  <c r="D70" i="117"/>
  <c r="D78" i="117"/>
  <c r="D77" i="117"/>
  <c r="F77" i="70"/>
  <c r="F74" i="70"/>
  <c r="D74" i="117"/>
  <c r="E74" i="70"/>
  <c r="H74" i="70" s="1"/>
  <c r="I74" i="70" s="1"/>
  <c r="D72" i="117"/>
  <c r="D71" i="117"/>
  <c r="E71" i="70"/>
  <c r="D81" i="117"/>
  <c r="F81" i="70"/>
  <c r="D82" i="117"/>
  <c r="F82" i="70"/>
  <c r="E82" i="70"/>
  <c r="D76" i="117"/>
  <c r="D69" i="117"/>
  <c r="E69" i="70"/>
  <c r="D79" i="117"/>
  <c r="F79" i="70"/>
  <c r="D75" i="117"/>
  <c r="F75" i="70"/>
  <c r="E75" i="70"/>
  <c r="H75" i="70" s="1"/>
  <c r="I75" i="70" s="1"/>
  <c r="D73" i="117"/>
  <c r="D80" i="117"/>
  <c r="F80" i="70"/>
  <c r="E83" i="70"/>
  <c r="E72" i="70"/>
  <c r="E79" i="70"/>
  <c r="E81" i="70"/>
  <c r="E77" i="70"/>
  <c r="H77" i="70" s="1"/>
  <c r="I77" i="70" s="1"/>
  <c r="F72" i="70" l="1"/>
  <c r="I128" i="70"/>
  <c r="K74" i="70"/>
  <c r="J74" i="70"/>
  <c r="E72" i="117"/>
  <c r="E126" i="117" s="1"/>
  <c r="E126" i="70"/>
  <c r="H72" i="70"/>
  <c r="I72" i="70" s="1"/>
  <c r="E83" i="117"/>
  <c r="E137" i="117" s="1"/>
  <c r="E137" i="70"/>
  <c r="H83" i="70"/>
  <c r="I83" i="70" s="1"/>
  <c r="E81" i="117"/>
  <c r="E135" i="117" s="1"/>
  <c r="E135" i="70"/>
  <c r="H81" i="70"/>
  <c r="I81" i="70" s="1"/>
  <c r="E79" i="117"/>
  <c r="E133" i="117" s="1"/>
  <c r="E133" i="70"/>
  <c r="H79" i="70"/>
  <c r="I79" i="70" s="1"/>
  <c r="F78" i="70"/>
  <c r="H24" i="70"/>
  <c r="I24" i="70" s="1"/>
  <c r="M24" i="70" s="1"/>
  <c r="N24" i="70" s="1"/>
  <c r="D132" i="70"/>
  <c r="D24" i="117"/>
  <c r="K75" i="70"/>
  <c r="J75" i="70"/>
  <c r="H74" i="117"/>
  <c r="I74" i="117" s="1"/>
  <c r="E69" i="117"/>
  <c r="E123" i="117" s="1"/>
  <c r="E123" i="70"/>
  <c r="F136" i="70"/>
  <c r="F82" i="117"/>
  <c r="F136" i="117" s="1"/>
  <c r="D124" i="117"/>
  <c r="H70" i="117"/>
  <c r="I70" i="117" s="1"/>
  <c r="F84" i="117"/>
  <c r="F138" i="117" s="1"/>
  <c r="F138" i="70"/>
  <c r="E84" i="70"/>
  <c r="H30" i="70"/>
  <c r="I30" i="70" s="1"/>
  <c r="D30" i="117"/>
  <c r="D138" i="70"/>
  <c r="D130" i="70"/>
  <c r="D22" i="117"/>
  <c r="H22" i="70"/>
  <c r="I22" i="70" s="1"/>
  <c r="F76" i="70"/>
  <c r="F131" i="70"/>
  <c r="F77" i="117"/>
  <c r="F131" i="117" s="1"/>
  <c r="E136" i="70"/>
  <c r="E82" i="117"/>
  <c r="E136" i="117" s="1"/>
  <c r="D128" i="117"/>
  <c r="H20" i="117"/>
  <c r="I20" i="117" s="1"/>
  <c r="D27" i="117"/>
  <c r="H27" i="70"/>
  <c r="I27" i="70" s="1"/>
  <c r="D135" i="70"/>
  <c r="E129" i="70"/>
  <c r="E75" i="117"/>
  <c r="E129" i="117" s="1"/>
  <c r="F75" i="117"/>
  <c r="F129" i="117" s="1"/>
  <c r="F129" i="70"/>
  <c r="I124" i="70"/>
  <c r="K70" i="70"/>
  <c r="J70" i="70"/>
  <c r="M70" i="70" s="1"/>
  <c r="N70" i="70" s="1"/>
  <c r="F80" i="117"/>
  <c r="F134" i="117" s="1"/>
  <c r="F134" i="70"/>
  <c r="E70" i="117"/>
  <c r="E124" i="117" s="1"/>
  <c r="E124" i="70"/>
  <c r="H124" i="70" s="1"/>
  <c r="H21" i="70"/>
  <c r="I21" i="70" s="1"/>
  <c r="D129" i="70"/>
  <c r="D21" i="117"/>
  <c r="F73" i="70"/>
  <c r="H19" i="70"/>
  <c r="I19" i="70" s="1"/>
  <c r="D127" i="70"/>
  <c r="D19" i="117"/>
  <c r="H28" i="70"/>
  <c r="I28" i="70" s="1"/>
  <c r="D136" i="70"/>
  <c r="D28" i="117"/>
  <c r="E76" i="70"/>
  <c r="F81" i="117"/>
  <c r="F135" i="117" s="1"/>
  <c r="F135" i="70"/>
  <c r="F124" i="70"/>
  <c r="F70" i="117"/>
  <c r="F124" i="117" s="1"/>
  <c r="E125" i="70"/>
  <c r="E71" i="117"/>
  <c r="E125" i="117" s="1"/>
  <c r="J77" i="70"/>
  <c r="K77" i="70"/>
  <c r="M77" i="70" s="1"/>
  <c r="N77" i="70" s="1"/>
  <c r="F72" i="117"/>
  <c r="F126" i="117" s="1"/>
  <c r="F126" i="70"/>
  <c r="D23" i="117"/>
  <c r="D131" i="70"/>
  <c r="H23" i="70"/>
  <c r="I23" i="70" s="1"/>
  <c r="E73" i="70"/>
  <c r="F79" i="117"/>
  <c r="F133" i="117" s="1"/>
  <c r="F133" i="70"/>
  <c r="R20" i="70"/>
  <c r="S20" i="70" s="1"/>
  <c r="F137" i="70"/>
  <c r="F83" i="117"/>
  <c r="F137" i="117" s="1"/>
  <c r="D26" i="117"/>
  <c r="H26" i="70"/>
  <c r="I26" i="70" s="1"/>
  <c r="D134" i="70"/>
  <c r="D137" i="70"/>
  <c r="D29" i="117"/>
  <c r="H29" i="70"/>
  <c r="I29" i="70" s="1"/>
  <c r="D25" i="117"/>
  <c r="D133" i="70"/>
  <c r="H25" i="70"/>
  <c r="I25" i="70" s="1"/>
  <c r="F74" i="117"/>
  <c r="F128" i="117" s="1"/>
  <c r="F128" i="70"/>
  <c r="E80" i="70"/>
  <c r="H82" i="117"/>
  <c r="I82" i="117" s="1"/>
  <c r="E40" i="55"/>
  <c r="E19" i="55"/>
  <c r="F10" i="55"/>
  <c r="E131" i="70"/>
  <c r="E77" i="117"/>
  <c r="E131" i="117" s="1"/>
  <c r="F71" i="70"/>
  <c r="H17" i="70"/>
  <c r="I17" i="70" s="1"/>
  <c r="D17" i="117"/>
  <c r="D125" i="70"/>
  <c r="F69" i="70"/>
  <c r="D15" i="117"/>
  <c r="H15" i="70"/>
  <c r="I15" i="70" s="1"/>
  <c r="D123" i="70"/>
  <c r="D18" i="117"/>
  <c r="H18" i="70"/>
  <c r="I18" i="70" s="1"/>
  <c r="D126" i="70"/>
  <c r="H126" i="70" s="1"/>
  <c r="H82" i="70"/>
  <c r="I82" i="70" s="1"/>
  <c r="E74" i="117"/>
  <c r="E128" i="117" s="1"/>
  <c r="E128" i="70"/>
  <c r="E78" i="70"/>
  <c r="H124" i="117" l="1"/>
  <c r="H129" i="70"/>
  <c r="H79" i="117"/>
  <c r="I79" i="117" s="1"/>
  <c r="N124" i="70"/>
  <c r="O70" i="70"/>
  <c r="P70" i="70"/>
  <c r="R70" i="70"/>
  <c r="S70" i="70" s="1"/>
  <c r="P77" i="70"/>
  <c r="J79" i="70"/>
  <c r="K79" i="70"/>
  <c r="M79" i="70" s="1"/>
  <c r="N79" i="70" s="1"/>
  <c r="F19" i="55"/>
  <c r="H133" i="70"/>
  <c r="M23" i="70"/>
  <c r="N23" i="70" s="1"/>
  <c r="R23" i="70" s="1"/>
  <c r="S23" i="70" s="1"/>
  <c r="I131" i="70"/>
  <c r="K124" i="70"/>
  <c r="K70" i="117"/>
  <c r="K124" i="117" s="1"/>
  <c r="I124" i="117"/>
  <c r="M30" i="70"/>
  <c r="N30" i="70" s="1"/>
  <c r="K129" i="70"/>
  <c r="K75" i="117"/>
  <c r="K129" i="117" s="1"/>
  <c r="D126" i="117"/>
  <c r="H18" i="117"/>
  <c r="I18" i="117" s="1"/>
  <c r="F71" i="117"/>
  <c r="F125" i="117" s="1"/>
  <c r="F125" i="70"/>
  <c r="E80" i="117"/>
  <c r="E134" i="70"/>
  <c r="H134" i="70" s="1"/>
  <c r="H80" i="70"/>
  <c r="I80" i="70" s="1"/>
  <c r="D137" i="117"/>
  <c r="H29" i="117"/>
  <c r="I29" i="117" s="1"/>
  <c r="W20" i="70"/>
  <c r="D46" i="70" s="1"/>
  <c r="S20" i="117"/>
  <c r="D131" i="117"/>
  <c r="H23" i="117"/>
  <c r="I23" i="117" s="1"/>
  <c r="H136" i="70"/>
  <c r="M21" i="70"/>
  <c r="N21" i="70" s="1"/>
  <c r="I129" i="70"/>
  <c r="H27" i="117"/>
  <c r="I27" i="117" s="1"/>
  <c r="D135" i="117"/>
  <c r="H135" i="117" s="1"/>
  <c r="F76" i="117"/>
  <c r="F130" i="117" s="1"/>
  <c r="F130" i="70"/>
  <c r="E138" i="70"/>
  <c r="E84" i="117"/>
  <c r="H84" i="70"/>
  <c r="I84" i="70" s="1"/>
  <c r="I138" i="70" s="1"/>
  <c r="H24" i="117"/>
  <c r="I24" i="117" s="1"/>
  <c r="D132" i="117"/>
  <c r="H135" i="70"/>
  <c r="J74" i="117"/>
  <c r="J128" i="117" s="1"/>
  <c r="J128" i="70"/>
  <c r="E73" i="117"/>
  <c r="E127" i="70"/>
  <c r="H73" i="70"/>
  <c r="I73" i="70" s="1"/>
  <c r="F127" i="70"/>
  <c r="H127" i="70" s="1"/>
  <c r="F73" i="117"/>
  <c r="F127" i="117" s="1"/>
  <c r="J129" i="70"/>
  <c r="J75" i="117"/>
  <c r="J129" i="117" s="1"/>
  <c r="D125" i="117"/>
  <c r="H125" i="117" s="1"/>
  <c r="H17" i="117"/>
  <c r="I17" i="117" s="1"/>
  <c r="H21" i="117"/>
  <c r="I21" i="117" s="1"/>
  <c r="M21" i="117" s="1"/>
  <c r="N21" i="117" s="1"/>
  <c r="D129" i="117"/>
  <c r="H129" i="117" s="1"/>
  <c r="M18" i="70"/>
  <c r="N18" i="70" s="1"/>
  <c r="I126" i="70"/>
  <c r="M27" i="70"/>
  <c r="N27" i="70" s="1"/>
  <c r="I135" i="70"/>
  <c r="H131" i="117"/>
  <c r="H128" i="70"/>
  <c r="H137" i="70"/>
  <c r="H81" i="117"/>
  <c r="I81" i="117" s="1"/>
  <c r="M28" i="70"/>
  <c r="N28" i="70" s="1"/>
  <c r="I136" i="70"/>
  <c r="M20" i="117"/>
  <c r="N20" i="117" s="1"/>
  <c r="I128" i="117"/>
  <c r="M74" i="70"/>
  <c r="N74" i="70" s="1"/>
  <c r="F69" i="117"/>
  <c r="F123" i="70"/>
  <c r="H69" i="70"/>
  <c r="I69" i="70" s="1"/>
  <c r="I123" i="70" s="1"/>
  <c r="H137" i="117"/>
  <c r="H125" i="70"/>
  <c r="J77" i="117"/>
  <c r="J131" i="117" s="1"/>
  <c r="J131" i="70"/>
  <c r="J72" i="70"/>
  <c r="K72" i="70"/>
  <c r="M75" i="70"/>
  <c r="N75" i="70" s="1"/>
  <c r="E132" i="70"/>
  <c r="E78" i="117"/>
  <c r="H78" i="70"/>
  <c r="I78" i="70" s="1"/>
  <c r="M29" i="70"/>
  <c r="N29" i="70" s="1"/>
  <c r="R29" i="70" s="1"/>
  <c r="S29" i="70" s="1"/>
  <c r="I137" i="70"/>
  <c r="H71" i="70"/>
  <c r="I71" i="70" s="1"/>
  <c r="M15" i="70"/>
  <c r="N15" i="70" s="1"/>
  <c r="H131" i="70"/>
  <c r="H126" i="117"/>
  <c r="H77" i="117"/>
  <c r="I77" i="117" s="1"/>
  <c r="D127" i="117"/>
  <c r="H19" i="117"/>
  <c r="I19" i="117" s="1"/>
  <c r="H128" i="117"/>
  <c r="M22" i="70"/>
  <c r="N22" i="70" s="1"/>
  <c r="H123" i="70"/>
  <c r="R24" i="70"/>
  <c r="S24" i="70" s="1"/>
  <c r="J83" i="70"/>
  <c r="K83" i="70"/>
  <c r="K128" i="70"/>
  <c r="K74" i="117"/>
  <c r="K128" i="117" s="1"/>
  <c r="H26" i="117"/>
  <c r="I26" i="117" s="1"/>
  <c r="D134" i="117"/>
  <c r="M19" i="70"/>
  <c r="N19" i="70" s="1"/>
  <c r="I127" i="70"/>
  <c r="D133" i="117"/>
  <c r="H133" i="117" s="1"/>
  <c r="H25" i="117"/>
  <c r="I25" i="117" s="1"/>
  <c r="M25" i="117" s="1"/>
  <c r="N25" i="117" s="1"/>
  <c r="J124" i="70"/>
  <c r="J70" i="117"/>
  <c r="J124" i="117" s="1"/>
  <c r="H138" i="70"/>
  <c r="H83" i="117"/>
  <c r="I83" i="117" s="1"/>
  <c r="E76" i="117"/>
  <c r="E130" i="70"/>
  <c r="H76" i="70"/>
  <c r="I76" i="70" s="1"/>
  <c r="H30" i="117"/>
  <c r="I30" i="117" s="1"/>
  <c r="D138" i="117"/>
  <c r="I125" i="70"/>
  <c r="M17" i="70"/>
  <c r="N17" i="70" s="1"/>
  <c r="D136" i="117"/>
  <c r="H136" i="117" s="1"/>
  <c r="H28" i="117"/>
  <c r="I28" i="117" s="1"/>
  <c r="J81" i="70"/>
  <c r="M81" i="70" s="1"/>
  <c r="N81" i="70" s="1"/>
  <c r="K81" i="70"/>
  <c r="K82" i="70"/>
  <c r="J82" i="70"/>
  <c r="M82" i="70" s="1"/>
  <c r="N82" i="70" s="1"/>
  <c r="H15" i="117"/>
  <c r="I15" i="117" s="1"/>
  <c r="D123" i="117"/>
  <c r="M25" i="70"/>
  <c r="N25" i="70" s="1"/>
  <c r="I133" i="70"/>
  <c r="M26" i="70"/>
  <c r="N26" i="70" s="1"/>
  <c r="K77" i="117"/>
  <c r="K131" i="117" s="1"/>
  <c r="K131" i="70"/>
  <c r="H72" i="117"/>
  <c r="I72" i="117" s="1"/>
  <c r="H71" i="117"/>
  <c r="I71" i="117" s="1"/>
  <c r="D130" i="117"/>
  <c r="H22" i="117"/>
  <c r="I22" i="117" s="1"/>
  <c r="H75" i="117"/>
  <c r="I75" i="117" s="1"/>
  <c r="F132" i="70"/>
  <c r="F78" i="117"/>
  <c r="F132" i="117" s="1"/>
  <c r="M72" i="70" l="1"/>
  <c r="N72" i="70" s="1"/>
  <c r="M129" i="70"/>
  <c r="M131" i="70"/>
  <c r="M128" i="70"/>
  <c r="O77" i="70"/>
  <c r="R77" i="70" s="1"/>
  <c r="S77" i="70" s="1"/>
  <c r="U77" i="70" s="1"/>
  <c r="O79" i="70"/>
  <c r="P79" i="70"/>
  <c r="T77" i="70"/>
  <c r="P72" i="70"/>
  <c r="O72" i="70"/>
  <c r="R72" i="70" s="1"/>
  <c r="S72" i="70" s="1"/>
  <c r="O82" i="70"/>
  <c r="P82" i="70"/>
  <c r="R82" i="70"/>
  <c r="S82" i="70" s="1"/>
  <c r="E138" i="117"/>
  <c r="H138" i="117" s="1"/>
  <c r="H84" i="117"/>
  <c r="I84" i="117" s="1"/>
  <c r="I138" i="117" s="1"/>
  <c r="J80" i="70"/>
  <c r="M80" i="70" s="1"/>
  <c r="N80" i="70" s="1"/>
  <c r="K80" i="70"/>
  <c r="E68" i="70"/>
  <c r="D85" i="70"/>
  <c r="D68" i="117"/>
  <c r="F68" i="70"/>
  <c r="I132" i="70"/>
  <c r="K78" i="70"/>
  <c r="J78" i="70"/>
  <c r="M78" i="70" s="1"/>
  <c r="N78" i="70" s="1"/>
  <c r="M23" i="117"/>
  <c r="N23" i="117" s="1"/>
  <c r="I131" i="117"/>
  <c r="M131" i="117" s="1"/>
  <c r="E134" i="117"/>
  <c r="H134" i="117" s="1"/>
  <c r="H80" i="117"/>
  <c r="I80" i="117" s="1"/>
  <c r="M22" i="117"/>
  <c r="N22" i="117" s="1"/>
  <c r="M30" i="117"/>
  <c r="N30" i="117" s="1"/>
  <c r="M128" i="117"/>
  <c r="N131" i="70"/>
  <c r="K81" i="117"/>
  <c r="K135" i="117" s="1"/>
  <c r="K135" i="70"/>
  <c r="K76" i="70"/>
  <c r="J76" i="70"/>
  <c r="M76" i="70"/>
  <c r="N76" i="70" s="1"/>
  <c r="N130" i="70" s="1"/>
  <c r="I130" i="70"/>
  <c r="O75" i="70"/>
  <c r="P75" i="70"/>
  <c r="R75" i="70" s="1"/>
  <c r="S75" i="70" s="1"/>
  <c r="J69" i="70"/>
  <c r="K69" i="70"/>
  <c r="M69" i="70"/>
  <c r="N69" i="70" s="1"/>
  <c r="N123" i="70" s="1"/>
  <c r="R28" i="70"/>
  <c r="S28" i="70" s="1"/>
  <c r="N136" i="70"/>
  <c r="R18" i="70"/>
  <c r="S18" i="70" s="1"/>
  <c r="N126" i="70"/>
  <c r="W20" i="117"/>
  <c r="D46" i="117" s="1"/>
  <c r="M70" i="117"/>
  <c r="N70" i="117" s="1"/>
  <c r="S124" i="70"/>
  <c r="T70" i="70"/>
  <c r="W70" i="70" s="1"/>
  <c r="D97" i="70" s="1"/>
  <c r="U70" i="70"/>
  <c r="S70" i="117"/>
  <c r="S29" i="117"/>
  <c r="W29" i="70"/>
  <c r="D55" i="70" s="1"/>
  <c r="O131" i="70"/>
  <c r="O77" i="117"/>
  <c r="O131" i="117" s="1"/>
  <c r="M26" i="117"/>
  <c r="N26" i="117" s="1"/>
  <c r="I129" i="117"/>
  <c r="M129" i="117" s="1"/>
  <c r="M75" i="117"/>
  <c r="N75" i="117" s="1"/>
  <c r="N129" i="117" s="1"/>
  <c r="W24" i="70"/>
  <c r="D50" i="70" s="1"/>
  <c r="S24" i="117"/>
  <c r="R30" i="70"/>
  <c r="S30" i="70" s="1"/>
  <c r="O81" i="70"/>
  <c r="P81" i="70"/>
  <c r="R81" i="70" s="1"/>
  <c r="S81" i="70" s="1"/>
  <c r="D31" i="70"/>
  <c r="E13" i="55" s="1"/>
  <c r="D14" i="117"/>
  <c r="H14" i="70"/>
  <c r="D122" i="70"/>
  <c r="R25" i="70"/>
  <c r="S25" i="70" s="1"/>
  <c r="N133" i="70"/>
  <c r="J135" i="70"/>
  <c r="J81" i="117"/>
  <c r="J135" i="117" s="1"/>
  <c r="H130" i="70"/>
  <c r="M74" i="117"/>
  <c r="N74" i="117" s="1"/>
  <c r="R22" i="70"/>
  <c r="S22" i="70" s="1"/>
  <c r="R15" i="70"/>
  <c r="S15" i="70" s="1"/>
  <c r="M27" i="117"/>
  <c r="N27" i="117" s="1"/>
  <c r="I135" i="117"/>
  <c r="H46" i="70"/>
  <c r="I46" i="70" s="1"/>
  <c r="M46" i="70" s="1"/>
  <c r="N46" i="70" s="1"/>
  <c r="R46" i="70" s="1"/>
  <c r="S46" i="70" s="1"/>
  <c r="W46" i="70" s="1"/>
  <c r="M18" i="117"/>
  <c r="N18" i="117" s="1"/>
  <c r="I126" i="117"/>
  <c r="M124" i="117"/>
  <c r="P70" i="117"/>
  <c r="P124" i="117" s="1"/>
  <c r="P124" i="70"/>
  <c r="J83" i="117"/>
  <c r="J137" i="117" s="1"/>
  <c r="J137" i="70"/>
  <c r="M137" i="70" s="1"/>
  <c r="E127" i="117"/>
  <c r="H127" i="117" s="1"/>
  <c r="H73" i="117"/>
  <c r="I73" i="117" s="1"/>
  <c r="I127" i="117" s="1"/>
  <c r="J136" i="70"/>
  <c r="M136" i="70" s="1"/>
  <c r="J82" i="117"/>
  <c r="M77" i="117"/>
  <c r="N77" i="117" s="1"/>
  <c r="W23" i="70"/>
  <c r="D49" i="70" s="1"/>
  <c r="S23" i="117"/>
  <c r="S131" i="70"/>
  <c r="K82" i="117"/>
  <c r="K136" i="117" s="1"/>
  <c r="K136" i="70"/>
  <c r="R27" i="70"/>
  <c r="S27" i="70" s="1"/>
  <c r="N135" i="70"/>
  <c r="R25" i="117"/>
  <c r="H132" i="70"/>
  <c r="M28" i="117"/>
  <c r="N28" i="117" s="1"/>
  <c r="I136" i="117"/>
  <c r="E130" i="117"/>
  <c r="H130" i="117" s="1"/>
  <c r="H76" i="117"/>
  <c r="I76" i="117" s="1"/>
  <c r="M83" i="70"/>
  <c r="N83" i="70" s="1"/>
  <c r="K71" i="70"/>
  <c r="J71" i="70"/>
  <c r="K126" i="70"/>
  <c r="K72" i="117"/>
  <c r="K126" i="117" s="1"/>
  <c r="F123" i="117"/>
  <c r="H123" i="117" s="1"/>
  <c r="H69" i="117"/>
  <c r="I69" i="117" s="1"/>
  <c r="I123" i="117" s="1"/>
  <c r="K73" i="70"/>
  <c r="J73" i="70"/>
  <c r="M24" i="117"/>
  <c r="N24" i="117" s="1"/>
  <c r="M29" i="117"/>
  <c r="N29" i="117" s="1"/>
  <c r="R29" i="117" s="1"/>
  <c r="I137" i="117"/>
  <c r="K133" i="70"/>
  <c r="K79" i="117"/>
  <c r="K133" i="117" s="1"/>
  <c r="O124" i="70"/>
  <c r="R124" i="70" s="1"/>
  <c r="O70" i="117"/>
  <c r="O124" i="117" s="1"/>
  <c r="R17" i="70"/>
  <c r="S17" i="70" s="1"/>
  <c r="I125" i="117"/>
  <c r="M17" i="117"/>
  <c r="N17" i="117" s="1"/>
  <c r="I134" i="70"/>
  <c r="E132" i="117"/>
  <c r="H132" i="117" s="1"/>
  <c r="H78" i="117"/>
  <c r="I78" i="117" s="1"/>
  <c r="I132" i="117" s="1"/>
  <c r="R20" i="117"/>
  <c r="N128" i="117"/>
  <c r="P77" i="117"/>
  <c r="P131" i="117" s="1"/>
  <c r="P131" i="70"/>
  <c r="R26" i="70"/>
  <c r="S26" i="70" s="1"/>
  <c r="I133" i="117"/>
  <c r="M15" i="117"/>
  <c r="N15" i="117" s="1"/>
  <c r="R19" i="70"/>
  <c r="S19" i="70" s="1"/>
  <c r="K83" i="117"/>
  <c r="K137" i="117" s="1"/>
  <c r="K137" i="70"/>
  <c r="M19" i="117"/>
  <c r="N19" i="117" s="1"/>
  <c r="J126" i="70"/>
  <c r="J72" i="117"/>
  <c r="J126" i="117" s="1"/>
  <c r="O74" i="70"/>
  <c r="P74" i="70"/>
  <c r="R74" i="70"/>
  <c r="S74" i="70" s="1"/>
  <c r="N128" i="70"/>
  <c r="R21" i="117"/>
  <c r="K84" i="70"/>
  <c r="J84" i="70"/>
  <c r="M84" i="70" s="1"/>
  <c r="N84" i="70" s="1"/>
  <c r="R21" i="70"/>
  <c r="S21" i="70" s="1"/>
  <c r="N129" i="70"/>
  <c r="M124" i="70"/>
  <c r="J133" i="70"/>
  <c r="J79" i="117"/>
  <c r="W77" i="70" l="1"/>
  <c r="D104" i="70" s="1"/>
  <c r="M126" i="70"/>
  <c r="M126" i="117"/>
  <c r="S77" i="117"/>
  <c r="M133" i="70"/>
  <c r="T72" i="70"/>
  <c r="W72" i="70" s="1"/>
  <c r="D99" i="70" s="1"/>
  <c r="S72" i="117"/>
  <c r="U72" i="70"/>
  <c r="F104" i="70"/>
  <c r="E104" i="70"/>
  <c r="P78" i="70"/>
  <c r="O78" i="70"/>
  <c r="R78" i="70" s="1"/>
  <c r="S78" i="70" s="1"/>
  <c r="N132" i="70"/>
  <c r="K127" i="70"/>
  <c r="K73" i="117"/>
  <c r="K127" i="117" s="1"/>
  <c r="S81" i="117"/>
  <c r="U81" i="70"/>
  <c r="T81" i="70"/>
  <c r="W81" i="70"/>
  <c r="D108" i="70" s="1"/>
  <c r="U75" i="70"/>
  <c r="S75" i="117"/>
  <c r="T75" i="70"/>
  <c r="P126" i="70"/>
  <c r="P72" i="117"/>
  <c r="P126" i="117" s="1"/>
  <c r="S15" i="117"/>
  <c r="W15" i="70"/>
  <c r="D41" i="70" s="1"/>
  <c r="W26" i="70"/>
  <c r="D52" i="70" s="1"/>
  <c r="S26" i="117"/>
  <c r="S124" i="117"/>
  <c r="H68" i="70"/>
  <c r="F122" i="70"/>
  <c r="F139" i="70" s="1"/>
  <c r="F68" i="117"/>
  <c r="H68" i="117" s="1"/>
  <c r="F85" i="70"/>
  <c r="J138" i="70"/>
  <c r="J84" i="117"/>
  <c r="J138" i="117" s="1"/>
  <c r="M138" i="117" s="1"/>
  <c r="W22" i="70"/>
  <c r="D48" i="70" s="1"/>
  <c r="S22" i="117"/>
  <c r="R26" i="117"/>
  <c r="R131" i="70"/>
  <c r="S131" i="117"/>
  <c r="W23" i="117"/>
  <c r="D49" i="117" s="1"/>
  <c r="M135" i="117"/>
  <c r="R74" i="117"/>
  <c r="H31" i="70"/>
  <c r="I14" i="70"/>
  <c r="T124" i="70"/>
  <c r="T70" i="117"/>
  <c r="T124" i="117" s="1"/>
  <c r="W28" i="70"/>
  <c r="D54" i="70" s="1"/>
  <c r="S136" i="70"/>
  <c r="S28" i="117"/>
  <c r="P82" i="117"/>
  <c r="P136" i="117" s="1"/>
  <c r="P136" i="70"/>
  <c r="U74" i="70"/>
  <c r="T74" i="70"/>
  <c r="S74" i="117"/>
  <c r="S128" i="70"/>
  <c r="H46" i="117"/>
  <c r="I46" i="117" s="1"/>
  <c r="M46" i="117" s="1"/>
  <c r="N46" i="117" s="1"/>
  <c r="R46" i="117" s="1"/>
  <c r="S46" i="117" s="1"/>
  <c r="W46" i="117" s="1"/>
  <c r="P80" i="70"/>
  <c r="O80" i="70"/>
  <c r="N134" i="70"/>
  <c r="R18" i="117"/>
  <c r="D150" i="70"/>
  <c r="F97" i="70"/>
  <c r="E97" i="70"/>
  <c r="H97" i="70" s="1"/>
  <c r="I97" i="70" s="1"/>
  <c r="O84" i="70"/>
  <c r="P84" i="70"/>
  <c r="O129" i="70"/>
  <c r="O75" i="117"/>
  <c r="O129" i="117" s="1"/>
  <c r="R129" i="117" s="1"/>
  <c r="U131" i="70"/>
  <c r="U77" i="117"/>
  <c r="U131" i="117" s="1"/>
  <c r="M83" i="117"/>
  <c r="N83" i="117" s="1"/>
  <c r="M137" i="117"/>
  <c r="T77" i="117"/>
  <c r="T131" i="117" s="1"/>
  <c r="T131" i="70"/>
  <c r="W131" i="70" s="1"/>
  <c r="J133" i="117"/>
  <c r="M133" i="117" s="1"/>
  <c r="M79" i="117"/>
  <c r="N79" i="117" s="1"/>
  <c r="R15" i="117"/>
  <c r="M71" i="70"/>
  <c r="N71" i="70" s="1"/>
  <c r="J125" i="70"/>
  <c r="J71" i="117"/>
  <c r="D157" i="70"/>
  <c r="H49" i="70"/>
  <c r="I49" i="70" s="1"/>
  <c r="M49" i="70" s="1"/>
  <c r="N49" i="70" s="1"/>
  <c r="R49" i="70" s="1"/>
  <c r="S49" i="70" s="1"/>
  <c r="W49" i="70" s="1"/>
  <c r="R27" i="117"/>
  <c r="H14" i="117"/>
  <c r="D122" i="117"/>
  <c r="D31" i="117"/>
  <c r="D23" i="69" s="1"/>
  <c r="P69" i="70"/>
  <c r="R69" i="70" s="1"/>
  <c r="S69" i="70" s="1"/>
  <c r="S123" i="70" s="1"/>
  <c r="O69" i="70"/>
  <c r="P76" i="70"/>
  <c r="O76" i="70"/>
  <c r="R76" i="70"/>
  <c r="S76" i="70" s="1"/>
  <c r="R30" i="117"/>
  <c r="R23" i="117"/>
  <c r="N131" i="117"/>
  <c r="R131" i="117" s="1"/>
  <c r="E68" i="117"/>
  <c r="E122" i="70"/>
  <c r="E139" i="70" s="1"/>
  <c r="E85" i="70"/>
  <c r="O82" i="117"/>
  <c r="O136" i="117" s="1"/>
  <c r="O136" i="70"/>
  <c r="R136" i="70" s="1"/>
  <c r="P133" i="70"/>
  <c r="P79" i="117"/>
  <c r="P133" i="117" s="1"/>
  <c r="S27" i="117"/>
  <c r="W27" i="70"/>
  <c r="D53" i="70" s="1"/>
  <c r="S135" i="70"/>
  <c r="W29" i="117"/>
  <c r="D55" i="117" s="1"/>
  <c r="R22" i="117"/>
  <c r="P128" i="70"/>
  <c r="P74" i="117"/>
  <c r="P128" i="117" s="1"/>
  <c r="R128" i="117" s="1"/>
  <c r="M73" i="117"/>
  <c r="N73" i="117" s="1"/>
  <c r="S25" i="117"/>
  <c r="W25" i="70"/>
  <c r="D51" i="70" s="1"/>
  <c r="H51" i="70" s="1"/>
  <c r="I51" i="70" s="1"/>
  <c r="M51" i="70" s="1"/>
  <c r="N51" i="70" s="1"/>
  <c r="R51" i="70" s="1"/>
  <c r="S51" i="70" s="1"/>
  <c r="W51" i="70" s="1"/>
  <c r="O128" i="70"/>
  <c r="O74" i="117"/>
  <c r="O128" i="117" s="1"/>
  <c r="M136" i="117"/>
  <c r="I134" i="117"/>
  <c r="W30" i="70"/>
  <c r="D56" i="70" s="1"/>
  <c r="S30" i="117"/>
  <c r="U124" i="70"/>
  <c r="U70" i="117"/>
  <c r="U124" i="117" s="1"/>
  <c r="D85" i="117"/>
  <c r="K84" i="117"/>
  <c r="K138" i="117" s="1"/>
  <c r="K138" i="70"/>
  <c r="R19" i="117"/>
  <c r="M72" i="117"/>
  <c r="N72" i="117" s="1"/>
  <c r="W17" i="70"/>
  <c r="D43" i="70" s="1"/>
  <c r="S17" i="117"/>
  <c r="R24" i="117"/>
  <c r="K125" i="70"/>
  <c r="K71" i="117"/>
  <c r="K125" i="117" s="1"/>
  <c r="R77" i="117"/>
  <c r="E41" i="55"/>
  <c r="E42" i="55" s="1"/>
  <c r="F13" i="55"/>
  <c r="E20" i="55"/>
  <c r="E14" i="55"/>
  <c r="F14" i="55" s="1"/>
  <c r="W24" i="117"/>
  <c r="D50" i="117" s="1"/>
  <c r="R70" i="117"/>
  <c r="N124" i="117"/>
  <c r="R124" i="117" s="1"/>
  <c r="K123" i="70"/>
  <c r="K69" i="117"/>
  <c r="K123" i="117" s="1"/>
  <c r="J130" i="70"/>
  <c r="J76" i="117"/>
  <c r="J130" i="117" s="1"/>
  <c r="K134" i="70"/>
  <c r="K80" i="117"/>
  <c r="K134" i="117" s="1"/>
  <c r="R79" i="70"/>
  <c r="S79" i="70" s="1"/>
  <c r="K132" i="70"/>
  <c r="K78" i="117"/>
  <c r="K132" i="117" s="1"/>
  <c r="S21" i="117"/>
  <c r="W21" i="70"/>
  <c r="D47" i="70" s="1"/>
  <c r="S129" i="70"/>
  <c r="O81" i="117"/>
  <c r="O135" i="117" s="1"/>
  <c r="O135" i="70"/>
  <c r="P75" i="117"/>
  <c r="P129" i="117" s="1"/>
  <c r="P129" i="70"/>
  <c r="R129" i="70" s="1"/>
  <c r="S19" i="117"/>
  <c r="W19" i="70"/>
  <c r="D45" i="70" s="1"/>
  <c r="N138" i="70"/>
  <c r="W18" i="70"/>
  <c r="D44" i="70" s="1"/>
  <c r="S18" i="117"/>
  <c r="S126" i="70"/>
  <c r="R17" i="117"/>
  <c r="N136" i="117"/>
  <c r="R28" i="117"/>
  <c r="D139" i="70"/>
  <c r="T82" i="70"/>
  <c r="W82" i="70" s="1"/>
  <c r="D109" i="70" s="1"/>
  <c r="U82" i="70"/>
  <c r="S82" i="117"/>
  <c r="M73" i="70"/>
  <c r="N73" i="70" s="1"/>
  <c r="J73" i="117"/>
  <c r="J127" i="117" s="1"/>
  <c r="M127" i="117" s="1"/>
  <c r="J127" i="70"/>
  <c r="N137" i="70"/>
  <c r="P83" i="70"/>
  <c r="O83" i="70"/>
  <c r="R83" i="70" s="1"/>
  <c r="S83" i="70" s="1"/>
  <c r="J136" i="117"/>
  <c r="M82" i="117"/>
  <c r="N82" i="117" s="1"/>
  <c r="M81" i="117"/>
  <c r="N81" i="117" s="1"/>
  <c r="N135" i="117" s="1"/>
  <c r="M135" i="70"/>
  <c r="P81" i="117"/>
  <c r="P135" i="117" s="1"/>
  <c r="P135" i="70"/>
  <c r="R135" i="70" s="1"/>
  <c r="H50" i="70"/>
  <c r="I50" i="70" s="1"/>
  <c r="M50" i="70" s="1"/>
  <c r="N50" i="70" s="1"/>
  <c r="R50" i="70" s="1"/>
  <c r="S50" i="70" s="1"/>
  <c r="W50" i="70" s="1"/>
  <c r="H55" i="70"/>
  <c r="I55" i="70" s="1"/>
  <c r="M55" i="70" s="1"/>
  <c r="N55" i="70" s="1"/>
  <c r="R55" i="70" s="1"/>
  <c r="S55" i="70" s="1"/>
  <c r="W55" i="70" s="1"/>
  <c r="J69" i="117"/>
  <c r="J123" i="117" s="1"/>
  <c r="J123" i="70"/>
  <c r="K130" i="70"/>
  <c r="K76" i="117"/>
  <c r="K130" i="117" s="1"/>
  <c r="I130" i="117"/>
  <c r="M130" i="117" s="1"/>
  <c r="J78" i="117"/>
  <c r="J132" i="117" s="1"/>
  <c r="M132" i="117" s="1"/>
  <c r="J132" i="70"/>
  <c r="J134" i="70"/>
  <c r="M134" i="70" s="1"/>
  <c r="J80" i="117"/>
  <c r="J134" i="117" s="1"/>
  <c r="O72" i="117"/>
  <c r="O126" i="117" s="1"/>
  <c r="O126" i="70"/>
  <c r="R126" i="70" s="1"/>
  <c r="O133" i="70"/>
  <c r="R133" i="70" s="1"/>
  <c r="O79" i="117"/>
  <c r="O133" i="117" s="1"/>
  <c r="M123" i="70" l="1"/>
  <c r="F86" i="70"/>
  <c r="W124" i="70"/>
  <c r="M138" i="70"/>
  <c r="R136" i="117"/>
  <c r="W74" i="70"/>
  <c r="D101" i="70" s="1"/>
  <c r="E101" i="70" s="1"/>
  <c r="M69" i="117"/>
  <c r="N69" i="117" s="1"/>
  <c r="N123" i="117" s="1"/>
  <c r="W77" i="117"/>
  <c r="D104" i="117" s="1"/>
  <c r="H104" i="117" s="1"/>
  <c r="I104" i="117" s="1"/>
  <c r="E109" i="70"/>
  <c r="F109" i="70"/>
  <c r="H109" i="70"/>
  <c r="I109" i="70" s="1"/>
  <c r="K97" i="70"/>
  <c r="K97" i="117" s="1"/>
  <c r="J97" i="70"/>
  <c r="J97" i="117" s="1"/>
  <c r="T78" i="70"/>
  <c r="U78" i="70"/>
  <c r="S78" i="117"/>
  <c r="S132" i="70"/>
  <c r="O138" i="70"/>
  <c r="R138" i="70" s="1"/>
  <c r="O84" i="117"/>
  <c r="O138" i="117" s="1"/>
  <c r="W19" i="117"/>
  <c r="D45" i="117" s="1"/>
  <c r="W25" i="117"/>
  <c r="D51" i="117" s="1"/>
  <c r="U76" i="70"/>
  <c r="S76" i="117"/>
  <c r="T76" i="70"/>
  <c r="W21" i="117"/>
  <c r="D47" i="117" s="1"/>
  <c r="S129" i="117"/>
  <c r="U129" i="70"/>
  <c r="U75" i="117"/>
  <c r="U129" i="117" s="1"/>
  <c r="F20" i="55"/>
  <c r="E21" i="55"/>
  <c r="H53" i="70"/>
  <c r="I53" i="70" s="1"/>
  <c r="M53" i="70" s="1"/>
  <c r="N53" i="70" s="1"/>
  <c r="R53" i="70" s="1"/>
  <c r="S53" i="70" s="1"/>
  <c r="W53" i="70" s="1"/>
  <c r="D161" i="70"/>
  <c r="F85" i="117"/>
  <c r="F122" i="117"/>
  <c r="F139" i="117" s="1"/>
  <c r="E108" i="70"/>
  <c r="F108" i="70"/>
  <c r="H108" i="70"/>
  <c r="I108" i="70" s="1"/>
  <c r="W27" i="117"/>
  <c r="D53" i="117" s="1"/>
  <c r="S135" i="117"/>
  <c r="E85" i="117"/>
  <c r="G15" i="58" s="1"/>
  <c r="E122" i="117"/>
  <c r="E139" i="117" s="1"/>
  <c r="T69" i="70"/>
  <c r="W69" i="70" s="1"/>
  <c r="D96" i="70" s="1"/>
  <c r="D149" i="70" s="1"/>
  <c r="U69" i="70"/>
  <c r="S69" i="117"/>
  <c r="S123" i="117" s="1"/>
  <c r="R79" i="117"/>
  <c r="N133" i="117"/>
  <c r="R133" i="117" s="1"/>
  <c r="F150" i="70"/>
  <c r="F97" i="117"/>
  <c r="F150" i="117" s="1"/>
  <c r="W28" i="117"/>
  <c r="D54" i="117" s="1"/>
  <c r="H54" i="117" s="1"/>
  <c r="I54" i="117" s="1"/>
  <c r="M54" i="117" s="1"/>
  <c r="N54" i="117" s="1"/>
  <c r="R54" i="117" s="1"/>
  <c r="S54" i="117" s="1"/>
  <c r="W54" i="117" s="1"/>
  <c r="S136" i="117"/>
  <c r="S130" i="70"/>
  <c r="H41" i="70"/>
  <c r="I41" i="70" s="1"/>
  <c r="M41" i="70" s="1"/>
  <c r="N41" i="70" s="1"/>
  <c r="R41" i="70" s="1"/>
  <c r="S41" i="70" s="1"/>
  <c r="W41" i="70" s="1"/>
  <c r="T135" i="70"/>
  <c r="T81" i="117"/>
  <c r="T135" i="117" s="1"/>
  <c r="E99" i="70"/>
  <c r="F99" i="70"/>
  <c r="H99" i="70" s="1"/>
  <c r="I99" i="70" s="1"/>
  <c r="D139" i="117"/>
  <c r="U128" i="70"/>
  <c r="U74" i="117"/>
  <c r="U128" i="117" s="1"/>
  <c r="F104" i="117"/>
  <c r="F157" i="117" s="1"/>
  <c r="F157" i="70"/>
  <c r="H47" i="70"/>
  <c r="I47" i="70" s="1"/>
  <c r="M47" i="70" s="1"/>
  <c r="N47" i="70" s="1"/>
  <c r="R47" i="70" s="1"/>
  <c r="S47" i="70" s="1"/>
  <c r="W47" i="70" s="1"/>
  <c r="D155" i="70"/>
  <c r="H56" i="70"/>
  <c r="I56" i="70" s="1"/>
  <c r="M56" i="70" s="1"/>
  <c r="N56" i="70" s="1"/>
  <c r="R56" i="70" s="1"/>
  <c r="S56" i="70" s="1"/>
  <c r="W56" i="70" s="1"/>
  <c r="R80" i="70"/>
  <c r="S80" i="70" s="1"/>
  <c r="O134" i="70"/>
  <c r="O80" i="117"/>
  <c r="O134" i="117" s="1"/>
  <c r="W26" i="117"/>
  <c r="D52" i="117" s="1"/>
  <c r="O137" i="70"/>
  <c r="R137" i="70" s="1"/>
  <c r="O83" i="117"/>
  <c r="O137" i="117" s="1"/>
  <c r="O130" i="70"/>
  <c r="R130" i="70" s="1"/>
  <c r="O76" i="117"/>
  <c r="O130" i="117" s="1"/>
  <c r="P80" i="117"/>
  <c r="P134" i="117" s="1"/>
  <c r="P134" i="70"/>
  <c r="H52" i="70"/>
  <c r="I52" i="70" s="1"/>
  <c r="M52" i="70" s="1"/>
  <c r="N52" i="70" s="1"/>
  <c r="R52" i="70" s="1"/>
  <c r="S52" i="70" s="1"/>
  <c r="W52" i="70" s="1"/>
  <c r="T82" i="117"/>
  <c r="T136" i="117" s="1"/>
  <c r="T136" i="70"/>
  <c r="M130" i="70"/>
  <c r="R69" i="117"/>
  <c r="P76" i="117"/>
  <c r="P130" i="117" s="1"/>
  <c r="P130" i="70"/>
  <c r="F15" i="54"/>
  <c r="E16" i="54"/>
  <c r="F16" i="54" s="1"/>
  <c r="M123" i="117"/>
  <c r="R81" i="117"/>
  <c r="M127" i="70"/>
  <c r="H122" i="70"/>
  <c r="H139" i="70" s="1"/>
  <c r="H44" i="70"/>
  <c r="I44" i="70" s="1"/>
  <c r="M44" i="70" s="1"/>
  <c r="N44" i="70" s="1"/>
  <c r="R44" i="70" s="1"/>
  <c r="S44" i="70" s="1"/>
  <c r="W44" i="70" s="1"/>
  <c r="D152" i="70"/>
  <c r="R75" i="117"/>
  <c r="H43" i="70"/>
  <c r="I43" i="70" s="1"/>
  <c r="M43" i="70" s="1"/>
  <c r="N43" i="70" s="1"/>
  <c r="R43" i="70" s="1"/>
  <c r="S43" i="70" s="1"/>
  <c r="W43" i="70" s="1"/>
  <c r="O123" i="70"/>
  <c r="O69" i="117"/>
  <c r="O123" i="117" s="1"/>
  <c r="H49" i="117"/>
  <c r="I49" i="117" s="1"/>
  <c r="M49" i="117" s="1"/>
  <c r="N49" i="117" s="1"/>
  <c r="R49" i="117" s="1"/>
  <c r="S49" i="117" s="1"/>
  <c r="W49" i="117" s="1"/>
  <c r="W22" i="117"/>
  <c r="D48" i="117" s="1"/>
  <c r="S130" i="117"/>
  <c r="H85" i="70"/>
  <c r="I68" i="70"/>
  <c r="I122" i="70" s="1"/>
  <c r="W15" i="117"/>
  <c r="D41" i="117" s="1"/>
  <c r="U135" i="70"/>
  <c r="U81" i="117"/>
  <c r="U135" i="117" s="1"/>
  <c r="P78" i="117"/>
  <c r="P132" i="117" s="1"/>
  <c r="P132" i="70"/>
  <c r="U126" i="70"/>
  <c r="U72" i="117"/>
  <c r="U126" i="117" s="1"/>
  <c r="O71" i="70"/>
  <c r="R71" i="70" s="1"/>
  <c r="S71" i="70" s="1"/>
  <c r="P71" i="70"/>
  <c r="N125" i="70"/>
  <c r="H50" i="117"/>
  <c r="I50" i="117" s="1"/>
  <c r="M50" i="117" s="1"/>
  <c r="N50" i="117" s="1"/>
  <c r="R50" i="117" s="1"/>
  <c r="S50" i="117" s="1"/>
  <c r="W50" i="117" s="1"/>
  <c r="H55" i="117"/>
  <c r="I55" i="117" s="1"/>
  <c r="M55" i="117" s="1"/>
  <c r="N55" i="117" s="1"/>
  <c r="R55" i="117" s="1"/>
  <c r="S55" i="117" s="1"/>
  <c r="W55" i="117" s="1"/>
  <c r="I14" i="117"/>
  <c r="H31" i="117"/>
  <c r="N137" i="117"/>
  <c r="M14" i="70"/>
  <c r="I31" i="70"/>
  <c r="M84" i="117"/>
  <c r="N84" i="117" s="1"/>
  <c r="I68" i="117"/>
  <c r="H85" i="117"/>
  <c r="O78" i="117"/>
  <c r="O132" i="117" s="1"/>
  <c r="O132" i="70"/>
  <c r="W18" i="117"/>
  <c r="D44" i="117" s="1"/>
  <c r="S126" i="117"/>
  <c r="R82" i="117"/>
  <c r="R135" i="117"/>
  <c r="M76" i="117"/>
  <c r="N76" i="117" s="1"/>
  <c r="R72" i="117"/>
  <c r="R128" i="70"/>
  <c r="P123" i="70"/>
  <c r="P69" i="117"/>
  <c r="P123" i="117" s="1"/>
  <c r="J125" i="117"/>
  <c r="M125" i="117" s="1"/>
  <c r="M71" i="117"/>
  <c r="N71" i="117" s="1"/>
  <c r="R84" i="70"/>
  <c r="S84" i="70" s="1"/>
  <c r="N126" i="117"/>
  <c r="R126" i="117" s="1"/>
  <c r="S128" i="117"/>
  <c r="W128" i="117" s="1"/>
  <c r="H54" i="70"/>
  <c r="I54" i="70" s="1"/>
  <c r="M54" i="70" s="1"/>
  <c r="N54" i="70" s="1"/>
  <c r="R54" i="70" s="1"/>
  <c r="S54" i="70" s="1"/>
  <c r="W54" i="70" s="1"/>
  <c r="D162" i="70"/>
  <c r="H48" i="70"/>
  <c r="I48" i="70" s="1"/>
  <c r="M48" i="70" s="1"/>
  <c r="N48" i="70" s="1"/>
  <c r="R48" i="70" s="1"/>
  <c r="S48" i="70" s="1"/>
  <c r="W48" i="70" s="1"/>
  <c r="W70" i="117"/>
  <c r="D97" i="117" s="1"/>
  <c r="M78" i="117"/>
  <c r="N78" i="117" s="1"/>
  <c r="W30" i="117"/>
  <c r="D56" i="117" s="1"/>
  <c r="R134" i="70"/>
  <c r="W75" i="70"/>
  <c r="D102" i="70" s="1"/>
  <c r="T129" i="70"/>
  <c r="T75" i="117"/>
  <c r="T129" i="117" s="1"/>
  <c r="U83" i="70"/>
  <c r="T83" i="70"/>
  <c r="W83" i="70" s="1"/>
  <c r="D110" i="70" s="1"/>
  <c r="S83" i="117"/>
  <c r="S137" i="70"/>
  <c r="U136" i="70"/>
  <c r="U82" i="117"/>
  <c r="U136" i="117" s="1"/>
  <c r="M134" i="117"/>
  <c r="E150" i="70"/>
  <c r="E97" i="117"/>
  <c r="E150" i="117" s="1"/>
  <c r="P83" i="117"/>
  <c r="P137" i="117" s="1"/>
  <c r="P137" i="70"/>
  <c r="W17" i="117"/>
  <c r="D43" i="117" s="1"/>
  <c r="M132" i="70"/>
  <c r="P73" i="70"/>
  <c r="O73" i="70"/>
  <c r="R73" i="70"/>
  <c r="S73" i="70" s="1"/>
  <c r="N127" i="70"/>
  <c r="H45" i="70"/>
  <c r="I45" i="70" s="1"/>
  <c r="M45" i="70" s="1"/>
  <c r="N45" i="70" s="1"/>
  <c r="R45" i="70" s="1"/>
  <c r="S45" i="70" s="1"/>
  <c r="W45" i="70" s="1"/>
  <c r="S133" i="70"/>
  <c r="S79" i="117"/>
  <c r="S133" i="117" s="1"/>
  <c r="T79" i="70"/>
  <c r="U79" i="70"/>
  <c r="N127" i="117"/>
  <c r="M80" i="117"/>
  <c r="N80" i="117" s="1"/>
  <c r="D24" i="69"/>
  <c r="F27" i="61"/>
  <c r="M125" i="70"/>
  <c r="W131" i="117"/>
  <c r="P138" i="70"/>
  <c r="P84" i="117"/>
  <c r="P138" i="117" s="1"/>
  <c r="T74" i="117"/>
  <c r="T128" i="117" s="1"/>
  <c r="T128" i="70"/>
  <c r="W124" i="117"/>
  <c r="H104" i="70"/>
  <c r="I104" i="70" s="1"/>
  <c r="E157" i="70"/>
  <c r="E104" i="117"/>
  <c r="E157" i="117" s="1"/>
  <c r="T126" i="70"/>
  <c r="W126" i="70" s="1"/>
  <c r="T72" i="117"/>
  <c r="T126" i="117" s="1"/>
  <c r="R83" i="117" l="1"/>
  <c r="W74" i="117"/>
  <c r="D101" i="117" s="1"/>
  <c r="W81" i="117"/>
  <c r="D108" i="117" s="1"/>
  <c r="R132" i="70"/>
  <c r="D154" i="70"/>
  <c r="W129" i="117"/>
  <c r="D157" i="117"/>
  <c r="H157" i="117" s="1"/>
  <c r="I157" i="117" s="1"/>
  <c r="M157" i="117" s="1"/>
  <c r="N157" i="117" s="1"/>
  <c r="R157" i="117" s="1"/>
  <c r="S157" i="117" s="1"/>
  <c r="W157" i="117" s="1"/>
  <c r="W128" i="70"/>
  <c r="R137" i="117"/>
  <c r="E18" i="54"/>
  <c r="H157" i="70"/>
  <c r="I157" i="70" s="1"/>
  <c r="M157" i="70" s="1"/>
  <c r="N157" i="70" s="1"/>
  <c r="R157" i="70" s="1"/>
  <c r="S157" i="70" s="1"/>
  <c r="W157" i="70" s="1"/>
  <c r="W75" i="117"/>
  <c r="D102" i="117" s="1"/>
  <c r="W129" i="70"/>
  <c r="H122" i="117"/>
  <c r="H139" i="117" s="1"/>
  <c r="F101" i="70"/>
  <c r="H101" i="70" s="1"/>
  <c r="I101" i="70" s="1"/>
  <c r="W72" i="117"/>
  <c r="D99" i="117" s="1"/>
  <c r="R123" i="117"/>
  <c r="E110" i="70"/>
  <c r="F110" i="70"/>
  <c r="H110" i="70"/>
  <c r="I110" i="70" s="1"/>
  <c r="D163" i="70"/>
  <c r="K99" i="70"/>
  <c r="K99" i="117" s="1"/>
  <c r="J99" i="70"/>
  <c r="J99" i="117" s="1"/>
  <c r="G24" i="58"/>
  <c r="F21" i="55"/>
  <c r="W82" i="117"/>
  <c r="D109" i="117" s="1"/>
  <c r="R80" i="117"/>
  <c r="N134" i="117"/>
  <c r="R134" i="117" s="1"/>
  <c r="I85" i="117"/>
  <c r="F108" i="117"/>
  <c r="F161" i="117" s="1"/>
  <c r="F161" i="70"/>
  <c r="E161" i="70"/>
  <c r="E108" i="117"/>
  <c r="E161" i="117" s="1"/>
  <c r="U73" i="70"/>
  <c r="S73" i="117"/>
  <c r="T73" i="70"/>
  <c r="S127" i="70"/>
  <c r="E102" i="70"/>
  <c r="F102" i="70"/>
  <c r="N125" i="117"/>
  <c r="I31" i="117"/>
  <c r="E23" i="69" s="1"/>
  <c r="I122" i="117"/>
  <c r="M14" i="117"/>
  <c r="P125" i="70"/>
  <c r="P71" i="117"/>
  <c r="P125" i="117" s="1"/>
  <c r="H52" i="117"/>
  <c r="I52" i="117" s="1"/>
  <c r="M52" i="117" s="1"/>
  <c r="N52" i="117" s="1"/>
  <c r="R52" i="117" s="1"/>
  <c r="S52" i="117" s="1"/>
  <c r="W52" i="117" s="1"/>
  <c r="T123" i="70"/>
  <c r="T69" i="117"/>
  <c r="T123" i="117" s="1"/>
  <c r="H51" i="117"/>
  <c r="I51" i="117" s="1"/>
  <c r="M51" i="117" s="1"/>
  <c r="N51" i="117" s="1"/>
  <c r="R51" i="117" s="1"/>
  <c r="S51" i="117" s="1"/>
  <c r="W51" i="117" s="1"/>
  <c r="T132" i="70"/>
  <c r="W132" i="70" s="1"/>
  <c r="T78" i="117"/>
  <c r="T132" i="117" s="1"/>
  <c r="R78" i="117"/>
  <c r="N132" i="117"/>
  <c r="W76" i="70"/>
  <c r="D103" i="70" s="1"/>
  <c r="T76" i="117"/>
  <c r="T130" i="117" s="1"/>
  <c r="W130" i="117" s="1"/>
  <c r="T130" i="70"/>
  <c r="W130" i="70" s="1"/>
  <c r="H99" i="117"/>
  <c r="I99" i="117" s="1"/>
  <c r="M108" i="70"/>
  <c r="N108" i="70" s="1"/>
  <c r="J108" i="70"/>
  <c r="J108" i="117" s="1"/>
  <c r="K108" i="70"/>
  <c r="K108" i="117" s="1"/>
  <c r="W136" i="70"/>
  <c r="U130" i="70"/>
  <c r="U76" i="117"/>
  <c r="U130" i="117" s="1"/>
  <c r="R127" i="70"/>
  <c r="D150" i="117"/>
  <c r="H150" i="117" s="1"/>
  <c r="I150" i="117" s="1"/>
  <c r="M150" i="117" s="1"/>
  <c r="N150" i="117" s="1"/>
  <c r="R150" i="117" s="1"/>
  <c r="S150" i="117" s="1"/>
  <c r="W150" i="117" s="1"/>
  <c r="H97" i="117"/>
  <c r="I97" i="117" s="1"/>
  <c r="M97" i="117" s="1"/>
  <c r="N97" i="117" s="1"/>
  <c r="T71" i="70"/>
  <c r="U71" i="70"/>
  <c r="S71" i="117"/>
  <c r="S125" i="70"/>
  <c r="W136" i="117"/>
  <c r="U78" i="117"/>
  <c r="U132" i="117" s="1"/>
  <c r="U132" i="70"/>
  <c r="T79" i="117"/>
  <c r="T133" i="117" s="1"/>
  <c r="W133" i="117" s="1"/>
  <c r="T133" i="70"/>
  <c r="S137" i="117"/>
  <c r="W126" i="117"/>
  <c r="R84" i="117"/>
  <c r="N138" i="117"/>
  <c r="R138" i="117" s="1"/>
  <c r="O125" i="70"/>
  <c r="R125" i="70" s="1"/>
  <c r="O71" i="117"/>
  <c r="O125" i="117" s="1"/>
  <c r="H41" i="117"/>
  <c r="I41" i="117" s="1"/>
  <c r="M41" i="117" s="1"/>
  <c r="N41" i="117" s="1"/>
  <c r="R41" i="117" s="1"/>
  <c r="S41" i="117" s="1"/>
  <c r="W41" i="117" s="1"/>
  <c r="E99" i="117"/>
  <c r="E152" i="117" s="1"/>
  <c r="E152" i="70"/>
  <c r="W78" i="70"/>
  <c r="D105" i="70" s="1"/>
  <c r="R132" i="117"/>
  <c r="U80" i="70"/>
  <c r="S80" i="117"/>
  <c r="T80" i="70"/>
  <c r="W80" i="70" s="1"/>
  <c r="D107" i="70" s="1"/>
  <c r="S134" i="70"/>
  <c r="D154" i="117"/>
  <c r="S132" i="117"/>
  <c r="F99" i="117"/>
  <c r="F152" i="117" s="1"/>
  <c r="F152" i="70"/>
  <c r="E162" i="70"/>
  <c r="E109" i="117"/>
  <c r="E162" i="117" s="1"/>
  <c r="P127" i="70"/>
  <c r="P73" i="117"/>
  <c r="P127" i="117" s="1"/>
  <c r="H44" i="117"/>
  <c r="I44" i="117" s="1"/>
  <c r="M44" i="117" s="1"/>
  <c r="N44" i="117" s="1"/>
  <c r="R44" i="117" s="1"/>
  <c r="S44" i="117" s="1"/>
  <c r="W44" i="117" s="1"/>
  <c r="D152" i="117"/>
  <c r="I139" i="70"/>
  <c r="J68" i="70"/>
  <c r="M68" i="70" s="1"/>
  <c r="K68" i="70"/>
  <c r="I85" i="70"/>
  <c r="R123" i="70"/>
  <c r="H150" i="70"/>
  <c r="I150" i="70" s="1"/>
  <c r="M150" i="70" s="1"/>
  <c r="N150" i="70" s="1"/>
  <c r="R150" i="70" s="1"/>
  <c r="S150" i="70" s="1"/>
  <c r="W150" i="70" s="1"/>
  <c r="F15" i="58"/>
  <c r="H15" i="58" s="1"/>
  <c r="H45" i="117"/>
  <c r="I45" i="117" s="1"/>
  <c r="M45" i="117" s="1"/>
  <c r="N45" i="117" s="1"/>
  <c r="R45" i="117" s="1"/>
  <c r="S45" i="117" s="1"/>
  <c r="W45" i="117" s="1"/>
  <c r="M97" i="70"/>
  <c r="N97" i="70" s="1"/>
  <c r="F154" i="70"/>
  <c r="J104" i="70"/>
  <c r="J104" i="117" s="1"/>
  <c r="K104" i="70"/>
  <c r="K104" i="117" s="1"/>
  <c r="U83" i="117"/>
  <c r="U137" i="117" s="1"/>
  <c r="U137" i="70"/>
  <c r="N14" i="70"/>
  <c r="M31" i="70"/>
  <c r="H53" i="117"/>
  <c r="I53" i="117" s="1"/>
  <c r="M53" i="117" s="1"/>
  <c r="N53" i="117" s="1"/>
  <c r="R53" i="117" s="1"/>
  <c r="S53" i="117" s="1"/>
  <c r="W53" i="117" s="1"/>
  <c r="D161" i="117"/>
  <c r="H48" i="117"/>
  <c r="I48" i="117" s="1"/>
  <c r="M48" i="117" s="1"/>
  <c r="N48" i="117" s="1"/>
  <c r="R48" i="117" s="1"/>
  <c r="S48" i="117" s="1"/>
  <c r="W48" i="117" s="1"/>
  <c r="F96" i="70"/>
  <c r="E96" i="70"/>
  <c r="H96" i="70"/>
  <c r="I96" i="70" s="1"/>
  <c r="J109" i="70"/>
  <c r="J109" i="117" s="1"/>
  <c r="K109" i="70"/>
  <c r="K109" i="117" s="1"/>
  <c r="H43" i="117"/>
  <c r="I43" i="117" s="1"/>
  <c r="M43" i="117" s="1"/>
  <c r="N43" i="117" s="1"/>
  <c r="R43" i="117" s="1"/>
  <c r="S43" i="117" s="1"/>
  <c r="W43" i="117" s="1"/>
  <c r="R76" i="117"/>
  <c r="N130" i="117"/>
  <c r="R130" i="117" s="1"/>
  <c r="F109" i="117"/>
  <c r="F162" i="117" s="1"/>
  <c r="F162" i="70"/>
  <c r="T84" i="70"/>
  <c r="U84" i="70"/>
  <c r="S84" i="117"/>
  <c r="S138" i="70"/>
  <c r="U69" i="117"/>
  <c r="U123" i="117" s="1"/>
  <c r="U123" i="70"/>
  <c r="U79" i="117"/>
  <c r="U133" i="117" s="1"/>
  <c r="U133" i="70"/>
  <c r="O127" i="70"/>
  <c r="O73" i="117"/>
  <c r="W79" i="70"/>
  <c r="D106" i="70" s="1"/>
  <c r="T137" i="70"/>
  <c r="W137" i="70" s="1"/>
  <c r="T83" i="117"/>
  <c r="T137" i="117" s="1"/>
  <c r="H56" i="117"/>
  <c r="I56" i="117" s="1"/>
  <c r="M56" i="117" s="1"/>
  <c r="N56" i="117" s="1"/>
  <c r="R56" i="117" s="1"/>
  <c r="S56" i="117" s="1"/>
  <c r="W56" i="117" s="1"/>
  <c r="W135" i="70"/>
  <c r="W135" i="117"/>
  <c r="H47" i="117"/>
  <c r="I47" i="117" s="1"/>
  <c r="M47" i="117" s="1"/>
  <c r="N47" i="117" s="1"/>
  <c r="R47" i="117" s="1"/>
  <c r="S47" i="117" s="1"/>
  <c r="W47" i="117" s="1"/>
  <c r="D155" i="117"/>
  <c r="E154" i="70"/>
  <c r="E101" i="117"/>
  <c r="E154" i="117" s="1"/>
  <c r="K101" i="70" l="1"/>
  <c r="K101" i="117" s="1"/>
  <c r="J101" i="70"/>
  <c r="J101" i="117" s="1"/>
  <c r="H154" i="70"/>
  <c r="I154" i="70" s="1"/>
  <c r="M154" i="70" s="1"/>
  <c r="N154" i="70" s="1"/>
  <c r="R154" i="70" s="1"/>
  <c r="S154" i="70" s="1"/>
  <c r="W154" i="70" s="1"/>
  <c r="M99" i="117"/>
  <c r="N99" i="117" s="1"/>
  <c r="F18" i="54"/>
  <c r="E19" i="54"/>
  <c r="H161" i="70"/>
  <c r="I161" i="70" s="1"/>
  <c r="M161" i="70" s="1"/>
  <c r="N161" i="70" s="1"/>
  <c r="R161" i="70" s="1"/>
  <c r="S161" i="70" s="1"/>
  <c r="W161" i="70" s="1"/>
  <c r="W132" i="117"/>
  <c r="M104" i="117"/>
  <c r="N104" i="117" s="1"/>
  <c r="H152" i="70"/>
  <c r="I152" i="70" s="1"/>
  <c r="M152" i="70" s="1"/>
  <c r="N152" i="70" s="1"/>
  <c r="R152" i="70" s="1"/>
  <c r="S152" i="70" s="1"/>
  <c r="W152" i="70" s="1"/>
  <c r="F101" i="117"/>
  <c r="F154" i="117" s="1"/>
  <c r="H152" i="117"/>
  <c r="I152" i="117" s="1"/>
  <c r="M152" i="117" s="1"/>
  <c r="N152" i="117" s="1"/>
  <c r="R152" i="117" s="1"/>
  <c r="S152" i="117" s="1"/>
  <c r="W152" i="117" s="1"/>
  <c r="M99" i="70"/>
  <c r="N99" i="70" s="1"/>
  <c r="M85" i="70"/>
  <c r="N68" i="70"/>
  <c r="E107" i="70"/>
  <c r="H107" i="70" s="1"/>
  <c r="I107" i="70" s="1"/>
  <c r="F107" i="70"/>
  <c r="D160" i="70"/>
  <c r="T80" i="117"/>
  <c r="T134" i="117" s="1"/>
  <c r="T134" i="70"/>
  <c r="J68" i="117"/>
  <c r="J85" i="70"/>
  <c r="J122" i="70"/>
  <c r="S125" i="117"/>
  <c r="D159" i="70"/>
  <c r="E106" i="70"/>
  <c r="F106" i="70"/>
  <c r="S138" i="117"/>
  <c r="F149" i="70"/>
  <c r="F96" i="117"/>
  <c r="F149" i="117" s="1"/>
  <c r="H162" i="70"/>
  <c r="I162" i="70" s="1"/>
  <c r="M162" i="70" s="1"/>
  <c r="N162" i="70" s="1"/>
  <c r="R162" i="70" s="1"/>
  <c r="S162" i="70" s="1"/>
  <c r="W162" i="70" s="1"/>
  <c r="H108" i="117"/>
  <c r="I108" i="117" s="1"/>
  <c r="M108" i="117" s="1"/>
  <c r="N108" i="117" s="1"/>
  <c r="W83" i="117"/>
  <c r="D110" i="117" s="1"/>
  <c r="U125" i="70"/>
  <c r="U71" i="117"/>
  <c r="U125" i="117" s="1"/>
  <c r="E103" i="70"/>
  <c r="H103" i="70" s="1"/>
  <c r="I103" i="70" s="1"/>
  <c r="F103" i="70"/>
  <c r="D156" i="70"/>
  <c r="W123" i="117"/>
  <c r="E24" i="69"/>
  <c r="H27" i="61"/>
  <c r="S127" i="117"/>
  <c r="W127" i="117" s="1"/>
  <c r="D162" i="117"/>
  <c r="H162" i="117" s="1"/>
  <c r="I162" i="117" s="1"/>
  <c r="M162" i="117" s="1"/>
  <c r="N162" i="117" s="1"/>
  <c r="R162" i="117" s="1"/>
  <c r="S162" i="117" s="1"/>
  <c r="W162" i="117" s="1"/>
  <c r="H109" i="117"/>
  <c r="I109" i="117" s="1"/>
  <c r="M109" i="117" s="1"/>
  <c r="N109" i="117" s="1"/>
  <c r="F105" i="70"/>
  <c r="E105" i="70"/>
  <c r="D158" i="70"/>
  <c r="W76" i="117"/>
  <c r="D103" i="117" s="1"/>
  <c r="J96" i="70"/>
  <c r="J96" i="117" s="1"/>
  <c r="K96" i="70"/>
  <c r="K96" i="117" s="1"/>
  <c r="K68" i="117"/>
  <c r="K122" i="70"/>
  <c r="K139" i="70" s="1"/>
  <c r="K85" i="70"/>
  <c r="W69" i="117"/>
  <c r="D96" i="117" s="1"/>
  <c r="M31" i="117"/>
  <c r="N14" i="117"/>
  <c r="O127" i="117"/>
  <c r="R127" i="117" s="1"/>
  <c r="R73" i="117"/>
  <c r="U138" i="70"/>
  <c r="U84" i="117"/>
  <c r="U138" i="117" s="1"/>
  <c r="W137" i="117"/>
  <c r="H154" i="117"/>
  <c r="I154" i="117" s="1"/>
  <c r="M154" i="117" s="1"/>
  <c r="N154" i="117" s="1"/>
  <c r="R154" i="117" s="1"/>
  <c r="S154" i="117" s="1"/>
  <c r="W154" i="117" s="1"/>
  <c r="W133" i="70"/>
  <c r="W71" i="70"/>
  <c r="D98" i="70" s="1"/>
  <c r="T125" i="70"/>
  <c r="W125" i="70" s="1"/>
  <c r="T71" i="117"/>
  <c r="T125" i="117" s="1"/>
  <c r="W123" i="70"/>
  <c r="R125" i="117"/>
  <c r="U127" i="70"/>
  <c r="U73" i="117"/>
  <c r="U127" i="117" s="1"/>
  <c r="J110" i="70"/>
  <c r="J110" i="117" s="1"/>
  <c r="K110" i="70"/>
  <c r="K110" i="117" s="1"/>
  <c r="M110" i="70"/>
  <c r="N110" i="70" s="1"/>
  <c r="E155" i="70"/>
  <c r="E102" i="117"/>
  <c r="W79" i="117"/>
  <c r="D106" i="117" s="1"/>
  <c r="E149" i="70"/>
  <c r="E96" i="117"/>
  <c r="E149" i="117" s="1"/>
  <c r="N31" i="70"/>
  <c r="N122" i="70"/>
  <c r="R14" i="70"/>
  <c r="U134" i="70"/>
  <c r="U80" i="117"/>
  <c r="U134" i="117" s="1"/>
  <c r="W73" i="70"/>
  <c r="D100" i="70" s="1"/>
  <c r="T127" i="70"/>
  <c r="W127" i="70" s="1"/>
  <c r="T73" i="117"/>
  <c r="T127" i="117" s="1"/>
  <c r="T84" i="117"/>
  <c r="T138" i="117" s="1"/>
  <c r="T138" i="70"/>
  <c r="W138" i="70" s="1"/>
  <c r="H101" i="117"/>
  <c r="I101" i="117" s="1"/>
  <c r="M101" i="117" s="1"/>
  <c r="N101" i="117" s="1"/>
  <c r="M101" i="70"/>
  <c r="N101" i="70" s="1"/>
  <c r="R71" i="117"/>
  <c r="F24" i="58"/>
  <c r="H24" i="58" s="1"/>
  <c r="F110" i="117"/>
  <c r="F163" i="117" s="1"/>
  <c r="F163" i="70"/>
  <c r="O108" i="70"/>
  <c r="O108" i="117" s="1"/>
  <c r="P108" i="70"/>
  <c r="P108" i="117" s="1"/>
  <c r="F102" i="117"/>
  <c r="F155" i="117" s="1"/>
  <c r="F155" i="70"/>
  <c r="W78" i="117"/>
  <c r="D105" i="117" s="1"/>
  <c r="P99" i="70"/>
  <c r="P99" i="117" s="1"/>
  <c r="O99" i="70"/>
  <c r="O99" i="117" s="1"/>
  <c r="R99" i="117" s="1"/>
  <c r="S99" i="117" s="1"/>
  <c r="R99" i="70"/>
  <c r="S99" i="70" s="1"/>
  <c r="S134" i="117"/>
  <c r="P97" i="70"/>
  <c r="P97" i="117" s="1"/>
  <c r="O97" i="70"/>
  <c r="O97" i="117" s="1"/>
  <c r="R97" i="117" s="1"/>
  <c r="S97" i="117" s="1"/>
  <c r="I139" i="117"/>
  <c r="W84" i="70"/>
  <c r="D111" i="70" s="1"/>
  <c r="M109" i="70"/>
  <c r="N109" i="70" s="1"/>
  <c r="H161" i="117"/>
  <c r="I161" i="117" s="1"/>
  <c r="M161" i="117" s="1"/>
  <c r="N161" i="117" s="1"/>
  <c r="R161" i="117" s="1"/>
  <c r="S161" i="117" s="1"/>
  <c r="W161" i="117" s="1"/>
  <c r="M104" i="70"/>
  <c r="N104" i="70" s="1"/>
  <c r="H102" i="70"/>
  <c r="I102" i="70" s="1"/>
  <c r="E163" i="70"/>
  <c r="E110" i="117"/>
  <c r="E163" i="117" s="1"/>
  <c r="W138" i="117" l="1"/>
  <c r="W73" i="117"/>
  <c r="D100" i="117" s="1"/>
  <c r="W84" i="117"/>
  <c r="D111" i="117" s="1"/>
  <c r="H106" i="70"/>
  <c r="I106" i="70" s="1"/>
  <c r="W134" i="117"/>
  <c r="R97" i="70"/>
  <c r="S97" i="70" s="1"/>
  <c r="T97" i="70" s="1"/>
  <c r="T97" i="117" s="1"/>
  <c r="E21" i="54"/>
  <c r="H15" i="54"/>
  <c r="F19" i="54"/>
  <c r="W125" i="117"/>
  <c r="R108" i="70"/>
  <c r="S108" i="70" s="1"/>
  <c r="H155" i="70"/>
  <c r="I155" i="70" s="1"/>
  <c r="M155" i="70" s="1"/>
  <c r="N155" i="70" s="1"/>
  <c r="R155" i="70" s="1"/>
  <c r="S155" i="70" s="1"/>
  <c r="W155" i="70" s="1"/>
  <c r="W71" i="117"/>
  <c r="D98" i="117" s="1"/>
  <c r="D151" i="117" s="1"/>
  <c r="J106" i="70"/>
  <c r="J106" i="117" s="1"/>
  <c r="K106" i="70"/>
  <c r="K106" i="117" s="1"/>
  <c r="T99" i="70"/>
  <c r="T99" i="117" s="1"/>
  <c r="U99" i="70"/>
  <c r="U99" i="117" s="1"/>
  <c r="D159" i="117"/>
  <c r="F103" i="117"/>
  <c r="F156" i="117" s="1"/>
  <c r="F156" i="70"/>
  <c r="O109" i="70"/>
  <c r="O109" i="117" s="1"/>
  <c r="P109" i="70"/>
  <c r="P109" i="117" s="1"/>
  <c r="R109" i="117" s="1"/>
  <c r="S109" i="117" s="1"/>
  <c r="O101" i="70"/>
  <c r="O101" i="117" s="1"/>
  <c r="P101" i="70"/>
  <c r="P101" i="117" s="1"/>
  <c r="R101" i="70"/>
  <c r="S101" i="70" s="1"/>
  <c r="E103" i="117"/>
  <c r="E156" i="117" s="1"/>
  <c r="E156" i="70"/>
  <c r="H156" i="70" s="1"/>
  <c r="I156" i="70" s="1"/>
  <c r="M156" i="70" s="1"/>
  <c r="N156" i="70" s="1"/>
  <c r="R156" i="70" s="1"/>
  <c r="S156" i="70" s="1"/>
  <c r="W156" i="70" s="1"/>
  <c r="D153" i="117"/>
  <c r="F107" i="117"/>
  <c r="F160" i="117" s="1"/>
  <c r="F160" i="70"/>
  <c r="H160" i="70" s="1"/>
  <c r="I160" i="70" s="1"/>
  <c r="M160" i="70" s="1"/>
  <c r="N160" i="70" s="1"/>
  <c r="R160" i="70" s="1"/>
  <c r="S160" i="70" s="1"/>
  <c r="W160" i="70" s="1"/>
  <c r="N139" i="70"/>
  <c r="O110" i="70"/>
  <c r="O110" i="117" s="1"/>
  <c r="P110" i="70"/>
  <c r="P110" i="117" s="1"/>
  <c r="F105" i="117"/>
  <c r="F158" i="117" s="1"/>
  <c r="F158" i="70"/>
  <c r="F106" i="117"/>
  <c r="F159" i="117" s="1"/>
  <c r="F159" i="70"/>
  <c r="H159" i="70" s="1"/>
  <c r="I159" i="70" s="1"/>
  <c r="M159" i="70" s="1"/>
  <c r="N159" i="70" s="1"/>
  <c r="R159" i="70" s="1"/>
  <c r="S159" i="70" s="1"/>
  <c r="W159" i="70" s="1"/>
  <c r="E107" i="117"/>
  <c r="E160" i="117" s="1"/>
  <c r="E160" i="70"/>
  <c r="E100" i="70"/>
  <c r="F100" i="70"/>
  <c r="H100" i="70"/>
  <c r="I100" i="70" s="1"/>
  <c r="D153" i="70"/>
  <c r="N31" i="117"/>
  <c r="R14" i="117"/>
  <c r="R31" i="117" s="1"/>
  <c r="H105" i="70"/>
  <c r="I105" i="70" s="1"/>
  <c r="E158" i="70"/>
  <c r="H158" i="70" s="1"/>
  <c r="I158" i="70" s="1"/>
  <c r="M158" i="70" s="1"/>
  <c r="N158" i="70" s="1"/>
  <c r="R158" i="70" s="1"/>
  <c r="S158" i="70" s="1"/>
  <c r="W158" i="70" s="1"/>
  <c r="E105" i="117"/>
  <c r="E158" i="117" s="1"/>
  <c r="D164" i="117"/>
  <c r="F98" i="70"/>
  <c r="E98" i="70"/>
  <c r="H98" i="70" s="1"/>
  <c r="I98" i="70" s="1"/>
  <c r="D151" i="70"/>
  <c r="K85" i="117"/>
  <c r="K122" i="117"/>
  <c r="K139" i="117" s="1"/>
  <c r="H110" i="117"/>
  <c r="I110" i="117" s="1"/>
  <c r="M110" i="117" s="1"/>
  <c r="N110" i="117" s="1"/>
  <c r="R110" i="117" s="1"/>
  <c r="S110" i="117" s="1"/>
  <c r="D163" i="117"/>
  <c r="H163" i="117" s="1"/>
  <c r="I163" i="117" s="1"/>
  <c r="M163" i="117" s="1"/>
  <c r="N163" i="117" s="1"/>
  <c r="R163" i="117" s="1"/>
  <c r="S163" i="117" s="1"/>
  <c r="W163" i="117" s="1"/>
  <c r="J85" i="117"/>
  <c r="J122" i="117"/>
  <c r="M68" i="117"/>
  <c r="P68" i="70"/>
  <c r="N85" i="70"/>
  <c r="O68" i="70"/>
  <c r="R68" i="70" s="1"/>
  <c r="T108" i="70"/>
  <c r="T108" i="117" s="1"/>
  <c r="U108" i="70"/>
  <c r="U108" i="117" s="1"/>
  <c r="J103" i="70"/>
  <c r="J103" i="117" s="1"/>
  <c r="K103" i="70"/>
  <c r="K103" i="117" s="1"/>
  <c r="D156" i="117"/>
  <c r="H156" i="117" s="1"/>
  <c r="I156" i="117" s="1"/>
  <c r="M156" i="117" s="1"/>
  <c r="N156" i="117" s="1"/>
  <c r="R156" i="117" s="1"/>
  <c r="S156" i="117" s="1"/>
  <c r="W156" i="117" s="1"/>
  <c r="F111" i="70"/>
  <c r="E111" i="70"/>
  <c r="D164" i="70"/>
  <c r="M96" i="70"/>
  <c r="N96" i="70" s="1"/>
  <c r="R108" i="117"/>
  <c r="S108" i="117" s="1"/>
  <c r="E159" i="70"/>
  <c r="E106" i="117"/>
  <c r="E159" i="117" s="1"/>
  <c r="P104" i="70"/>
  <c r="P104" i="117" s="1"/>
  <c r="O104" i="70"/>
  <c r="O104" i="117" s="1"/>
  <c r="E155" i="117"/>
  <c r="H155" i="117" s="1"/>
  <c r="I155" i="117" s="1"/>
  <c r="M155" i="117" s="1"/>
  <c r="N155" i="117" s="1"/>
  <c r="R155" i="117" s="1"/>
  <c r="S155" i="117" s="1"/>
  <c r="W155" i="117" s="1"/>
  <c r="H102" i="117"/>
  <c r="I102" i="117" s="1"/>
  <c r="H96" i="117"/>
  <c r="I96" i="117" s="1"/>
  <c r="M96" i="117" s="1"/>
  <c r="N96" i="117" s="1"/>
  <c r="D149" i="117"/>
  <c r="H149" i="117" s="1"/>
  <c r="I149" i="117" s="1"/>
  <c r="M149" i="117" s="1"/>
  <c r="N149" i="117" s="1"/>
  <c r="R149" i="117" s="1"/>
  <c r="S149" i="117" s="1"/>
  <c r="W149" i="117" s="1"/>
  <c r="J107" i="70"/>
  <c r="J107" i="117" s="1"/>
  <c r="K107" i="70"/>
  <c r="K107" i="117" s="1"/>
  <c r="M107" i="70"/>
  <c r="N107" i="70" s="1"/>
  <c r="D158" i="117"/>
  <c r="S14" i="70"/>
  <c r="R31" i="70"/>
  <c r="J139" i="70"/>
  <c r="M122" i="70"/>
  <c r="M139" i="70" s="1"/>
  <c r="H163" i="70"/>
  <c r="I163" i="70" s="1"/>
  <c r="M163" i="70" s="1"/>
  <c r="N163" i="70" s="1"/>
  <c r="R163" i="70" s="1"/>
  <c r="S163" i="70" s="1"/>
  <c r="W163" i="70" s="1"/>
  <c r="K102" i="70"/>
  <c r="K102" i="117" s="1"/>
  <c r="J102" i="70"/>
  <c r="J102" i="117" s="1"/>
  <c r="W80" i="117"/>
  <c r="D107" i="117" s="1"/>
  <c r="H149" i="70"/>
  <c r="I149" i="70" s="1"/>
  <c r="M149" i="70" s="1"/>
  <c r="N149" i="70" s="1"/>
  <c r="R149" i="70" s="1"/>
  <c r="S149" i="70" s="1"/>
  <c r="W149" i="70" s="1"/>
  <c r="W134" i="70"/>
  <c r="H103" i="117" l="1"/>
  <c r="I103" i="117" s="1"/>
  <c r="I15" i="54"/>
  <c r="H16" i="54"/>
  <c r="I16" i="54" s="1"/>
  <c r="E23" i="54"/>
  <c r="F21" i="54"/>
  <c r="U97" i="70"/>
  <c r="U97" i="117" s="1"/>
  <c r="W97" i="117" s="1"/>
  <c r="H106" i="117"/>
  <c r="I106" i="117" s="1"/>
  <c r="M106" i="117" s="1"/>
  <c r="N106" i="117" s="1"/>
  <c r="W99" i="70"/>
  <c r="H158" i="117"/>
  <c r="I158" i="117" s="1"/>
  <c r="M158" i="117" s="1"/>
  <c r="N158" i="117" s="1"/>
  <c r="R158" i="117" s="1"/>
  <c r="S158" i="117" s="1"/>
  <c r="W158" i="117" s="1"/>
  <c r="W108" i="70"/>
  <c r="S68" i="70"/>
  <c r="R85" i="70"/>
  <c r="O107" i="70"/>
  <c r="O107" i="117" s="1"/>
  <c r="P107" i="70"/>
  <c r="P107" i="117" s="1"/>
  <c r="T101" i="70"/>
  <c r="T101" i="117" s="1"/>
  <c r="U101" i="70"/>
  <c r="U101" i="117" s="1"/>
  <c r="K100" i="70"/>
  <c r="K100" i="117" s="1"/>
  <c r="J100" i="70"/>
  <c r="J100" i="117" s="1"/>
  <c r="H159" i="117"/>
  <c r="I159" i="117" s="1"/>
  <c r="M159" i="117" s="1"/>
  <c r="N159" i="117" s="1"/>
  <c r="R159" i="117" s="1"/>
  <c r="S159" i="117" s="1"/>
  <c r="W159" i="117" s="1"/>
  <c r="R101" i="117"/>
  <c r="S101" i="117" s="1"/>
  <c r="F111" i="117"/>
  <c r="F164" i="117" s="1"/>
  <c r="F164" i="70"/>
  <c r="W108" i="117"/>
  <c r="W99" i="117"/>
  <c r="R104" i="70"/>
  <c r="S104" i="70" s="1"/>
  <c r="M85" i="117"/>
  <c r="N68" i="117"/>
  <c r="M107" i="117"/>
  <c r="N107" i="117" s="1"/>
  <c r="F153" i="70"/>
  <c r="F100" i="117"/>
  <c r="F153" i="117" s="1"/>
  <c r="H107" i="117"/>
  <c r="I107" i="117" s="1"/>
  <c r="D160" i="117"/>
  <c r="H160" i="117" s="1"/>
  <c r="I160" i="117" s="1"/>
  <c r="M160" i="117" s="1"/>
  <c r="N160" i="117" s="1"/>
  <c r="R160" i="117" s="1"/>
  <c r="S160" i="117" s="1"/>
  <c r="W160" i="117" s="1"/>
  <c r="S14" i="117"/>
  <c r="S31" i="70"/>
  <c r="W14" i="70"/>
  <c r="S122" i="70"/>
  <c r="M102" i="117"/>
  <c r="N102" i="117" s="1"/>
  <c r="R110" i="70"/>
  <c r="S110" i="70" s="1"/>
  <c r="R109" i="70"/>
  <c r="S109" i="70" s="1"/>
  <c r="P68" i="117"/>
  <c r="P85" i="70"/>
  <c r="P122" i="70"/>
  <c r="P139" i="70" s="1"/>
  <c r="K98" i="70"/>
  <c r="K98" i="117" s="1"/>
  <c r="J98" i="70"/>
  <c r="J98" i="117" s="1"/>
  <c r="E151" i="70"/>
  <c r="E98" i="117"/>
  <c r="K15" i="58"/>
  <c r="F98" i="117"/>
  <c r="F151" i="117" s="1"/>
  <c r="F151" i="70"/>
  <c r="O68" i="117"/>
  <c r="O85" i="70"/>
  <c r="O122" i="70"/>
  <c r="P96" i="70"/>
  <c r="P96" i="117" s="1"/>
  <c r="O96" i="70"/>
  <c r="O96" i="117" s="1"/>
  <c r="R96" i="117" s="1"/>
  <c r="S96" i="117" s="1"/>
  <c r="R96" i="70"/>
  <c r="S96" i="70" s="1"/>
  <c r="K105" i="70"/>
  <c r="K105" i="117" s="1"/>
  <c r="J105" i="70"/>
  <c r="J105" i="117" s="1"/>
  <c r="M105" i="70"/>
  <c r="N105" i="70" s="1"/>
  <c r="J139" i="117"/>
  <c r="M122" i="117"/>
  <c r="M139" i="117" s="1"/>
  <c r="H111" i="70"/>
  <c r="I111" i="70" s="1"/>
  <c r="E111" i="117"/>
  <c r="E164" i="70"/>
  <c r="E100" i="117"/>
  <c r="E153" i="70"/>
  <c r="M102" i="70"/>
  <c r="N102" i="70" s="1"/>
  <c r="M103" i="117"/>
  <c r="N103" i="117" s="1"/>
  <c r="H105" i="117"/>
  <c r="I105" i="117" s="1"/>
  <c r="R104" i="117"/>
  <c r="S104" i="117" s="1"/>
  <c r="M103" i="70"/>
  <c r="N103" i="70" s="1"/>
  <c r="F23" i="69"/>
  <c r="G23" i="69"/>
  <c r="G24" i="69" s="1"/>
  <c r="M106" i="70"/>
  <c r="N106" i="70" s="1"/>
  <c r="H151" i="70" l="1"/>
  <c r="I151" i="70" s="1"/>
  <c r="M151" i="70" s="1"/>
  <c r="N151" i="70" s="1"/>
  <c r="R151" i="70" s="1"/>
  <c r="S151" i="70" s="1"/>
  <c r="W151" i="70" s="1"/>
  <c r="W97" i="70"/>
  <c r="R107" i="117"/>
  <c r="S107" i="117" s="1"/>
  <c r="H18" i="54"/>
  <c r="F23" i="54"/>
  <c r="F25" i="54" s="1"/>
  <c r="E25" i="54"/>
  <c r="G17" i="58" s="1"/>
  <c r="R107" i="70"/>
  <c r="S107" i="70" s="1"/>
  <c r="U107" i="70" s="1"/>
  <c r="U107" i="117" s="1"/>
  <c r="E153" i="117"/>
  <c r="H153" i="117" s="1"/>
  <c r="I153" i="117" s="1"/>
  <c r="M153" i="117" s="1"/>
  <c r="N153" i="117" s="1"/>
  <c r="R153" i="117" s="1"/>
  <c r="S153" i="117" s="1"/>
  <c r="W153" i="117" s="1"/>
  <c r="H100" i="117"/>
  <c r="I100" i="117" s="1"/>
  <c r="M100" i="117" s="1"/>
  <c r="N100" i="117" s="1"/>
  <c r="N85" i="117"/>
  <c r="R68" i="117"/>
  <c r="R85" i="117" s="1"/>
  <c r="N122" i="117"/>
  <c r="I18" i="54"/>
  <c r="H19" i="54"/>
  <c r="J15" i="58"/>
  <c r="W14" i="117"/>
  <c r="S31" i="117"/>
  <c r="I23" i="69" s="1"/>
  <c r="U104" i="70"/>
  <c r="U104" i="117" s="1"/>
  <c r="T104" i="70"/>
  <c r="T104" i="117" s="1"/>
  <c r="W104" i="117" s="1"/>
  <c r="M100" i="70"/>
  <c r="N100" i="70" s="1"/>
  <c r="O103" i="70"/>
  <c r="O103" i="117" s="1"/>
  <c r="P103" i="70"/>
  <c r="P103" i="117" s="1"/>
  <c r="R103" i="70"/>
  <c r="S103" i="70" s="1"/>
  <c r="W101" i="117"/>
  <c r="U96" i="70"/>
  <c r="U96" i="117" s="1"/>
  <c r="T96" i="70"/>
  <c r="T96" i="117" s="1"/>
  <c r="F24" i="69"/>
  <c r="H23" i="69"/>
  <c r="O85" i="117"/>
  <c r="O15" i="58" s="1"/>
  <c r="O122" i="117"/>
  <c r="O139" i="117" s="1"/>
  <c r="H164" i="70"/>
  <c r="I164" i="70" s="1"/>
  <c r="M164" i="70" s="1"/>
  <c r="N164" i="70" s="1"/>
  <c r="R164" i="70" s="1"/>
  <c r="S164" i="70" s="1"/>
  <c r="W164" i="70" s="1"/>
  <c r="D40" i="70"/>
  <c r="W31" i="70"/>
  <c r="E151" i="117"/>
  <c r="H151" i="117" s="1"/>
  <c r="I151" i="117" s="1"/>
  <c r="M151" i="117" s="1"/>
  <c r="N151" i="117" s="1"/>
  <c r="R151" i="117" s="1"/>
  <c r="S151" i="117" s="1"/>
  <c r="W151" i="117" s="1"/>
  <c r="H98" i="117"/>
  <c r="I98" i="117" s="1"/>
  <c r="M98" i="117" s="1"/>
  <c r="N98" i="117" s="1"/>
  <c r="O102" i="70"/>
  <c r="O102" i="117" s="1"/>
  <c r="P102" i="70"/>
  <c r="P102" i="117" s="1"/>
  <c r="O139" i="70"/>
  <c r="R122" i="70"/>
  <c r="R139" i="70" s="1"/>
  <c r="T109" i="70"/>
  <c r="T109" i="117" s="1"/>
  <c r="U109" i="70"/>
  <c r="U109" i="117" s="1"/>
  <c r="W109" i="70"/>
  <c r="O105" i="70"/>
  <c r="O105" i="117" s="1"/>
  <c r="P105" i="70"/>
  <c r="P105" i="117" s="1"/>
  <c r="S139" i="70"/>
  <c r="W101" i="70"/>
  <c r="E164" i="117"/>
  <c r="H164" i="117" s="1"/>
  <c r="I164" i="117" s="1"/>
  <c r="M164" i="117" s="1"/>
  <c r="N164" i="117" s="1"/>
  <c r="R164" i="117" s="1"/>
  <c r="S164" i="117" s="1"/>
  <c r="W164" i="117" s="1"/>
  <c r="H111" i="117"/>
  <c r="I111" i="117" s="1"/>
  <c r="M98" i="70"/>
  <c r="N98" i="70" s="1"/>
  <c r="J111" i="70"/>
  <c r="J111" i="117" s="1"/>
  <c r="K111" i="70"/>
  <c r="K111" i="117" s="1"/>
  <c r="M105" i="117"/>
  <c r="N105" i="117" s="1"/>
  <c r="P85" i="117"/>
  <c r="P122" i="117"/>
  <c r="P139" i="117" s="1"/>
  <c r="O106" i="70"/>
  <c r="O106" i="117" s="1"/>
  <c r="P106" i="70"/>
  <c r="P106" i="117" s="1"/>
  <c r="H153" i="70"/>
  <c r="I153" i="70" s="1"/>
  <c r="M153" i="70" s="1"/>
  <c r="N153" i="70" s="1"/>
  <c r="R153" i="70" s="1"/>
  <c r="S153" i="70" s="1"/>
  <c r="W153" i="70" s="1"/>
  <c r="U110" i="70"/>
  <c r="U110" i="117" s="1"/>
  <c r="T110" i="70"/>
  <c r="T110" i="117" s="1"/>
  <c r="S68" i="117"/>
  <c r="U68" i="70"/>
  <c r="S85" i="70"/>
  <c r="T68" i="70"/>
  <c r="W68" i="70"/>
  <c r="M111" i="117" l="1"/>
  <c r="N111" i="117" s="1"/>
  <c r="T107" i="70"/>
  <c r="T107" i="117" s="1"/>
  <c r="W107" i="117" s="1"/>
  <c r="W110" i="70"/>
  <c r="R105" i="117"/>
  <c r="S105" i="117" s="1"/>
  <c r="W96" i="117"/>
  <c r="F17" i="58"/>
  <c r="H17" i="58"/>
  <c r="R103" i="117"/>
  <c r="S103" i="117" s="1"/>
  <c r="W110" i="117"/>
  <c r="M111" i="70"/>
  <c r="N111" i="70" s="1"/>
  <c r="P111" i="70" s="1"/>
  <c r="P111" i="117" s="1"/>
  <c r="R105" i="70"/>
  <c r="S105" i="70" s="1"/>
  <c r="R102" i="70"/>
  <c r="S102" i="70" s="1"/>
  <c r="T102" i="70" s="1"/>
  <c r="T102" i="117" s="1"/>
  <c r="W102" i="117" s="1"/>
  <c r="E66" i="61"/>
  <c r="I24" i="69"/>
  <c r="N139" i="117"/>
  <c r="R122" i="117"/>
  <c r="R139" i="117" s="1"/>
  <c r="O111" i="70"/>
  <c r="O111" i="117" s="1"/>
  <c r="W104" i="70"/>
  <c r="D57" i="70"/>
  <c r="H40" i="70"/>
  <c r="T122" i="70"/>
  <c r="T68" i="117"/>
  <c r="T85" i="70"/>
  <c r="R106" i="70"/>
  <c r="S106" i="70" s="1"/>
  <c r="T105" i="70"/>
  <c r="T105" i="117" s="1"/>
  <c r="U105" i="70"/>
  <c r="U105" i="117" s="1"/>
  <c r="W105" i="70"/>
  <c r="U102" i="70"/>
  <c r="U102" i="117" s="1"/>
  <c r="T103" i="70"/>
  <c r="T103" i="117" s="1"/>
  <c r="W103" i="117" s="1"/>
  <c r="U103" i="70"/>
  <c r="U103" i="117" s="1"/>
  <c r="W31" i="117"/>
  <c r="D40" i="117"/>
  <c r="P15" i="58"/>
  <c r="W96" i="70"/>
  <c r="S85" i="117"/>
  <c r="K15" i="54"/>
  <c r="I19" i="54"/>
  <c r="H21" i="54"/>
  <c r="W109" i="117"/>
  <c r="P100" i="70"/>
  <c r="P100" i="117" s="1"/>
  <c r="O100" i="70"/>
  <c r="O100" i="117" s="1"/>
  <c r="R100" i="117" s="1"/>
  <c r="S100" i="117" s="1"/>
  <c r="D95" i="70"/>
  <c r="D148" i="70" s="1"/>
  <c r="W85" i="70"/>
  <c r="U68" i="117"/>
  <c r="U122" i="70"/>
  <c r="U139" i="70" s="1"/>
  <c r="U85" i="70"/>
  <c r="R106" i="117"/>
  <c r="S106" i="117" s="1"/>
  <c r="O98" i="70"/>
  <c r="O98" i="117" s="1"/>
  <c r="P98" i="70"/>
  <c r="P98" i="117" s="1"/>
  <c r="R98" i="70"/>
  <c r="S98" i="70" s="1"/>
  <c r="R102" i="117"/>
  <c r="S102" i="117" s="1"/>
  <c r="J27" i="61"/>
  <c r="H24" i="69"/>
  <c r="S122" i="117"/>
  <c r="L15" i="58"/>
  <c r="W105" i="117" l="1"/>
  <c r="R111" i="70"/>
  <c r="S111" i="70" s="1"/>
  <c r="W111" i="70" s="1"/>
  <c r="W102" i="70"/>
  <c r="W107" i="70"/>
  <c r="R98" i="117"/>
  <c r="S98" i="117" s="1"/>
  <c r="R111" i="117"/>
  <c r="S111" i="117" s="1"/>
  <c r="W111" i="117" s="1"/>
  <c r="T111" i="70"/>
  <c r="T111" i="117" s="1"/>
  <c r="U111" i="70"/>
  <c r="U111" i="117" s="1"/>
  <c r="U85" i="117"/>
  <c r="U122" i="117"/>
  <c r="U139" i="117" s="1"/>
  <c r="T139" i="70"/>
  <c r="W122" i="70"/>
  <c r="W139" i="70" s="1"/>
  <c r="K16" i="54"/>
  <c r="L16" i="54" s="1"/>
  <c r="L15" i="54"/>
  <c r="D165" i="70"/>
  <c r="E95" i="70"/>
  <c r="F95" i="70"/>
  <c r="D112" i="70"/>
  <c r="R100" i="70"/>
  <c r="S100" i="70" s="1"/>
  <c r="I21" i="54"/>
  <c r="H23" i="54"/>
  <c r="T122" i="117"/>
  <c r="T139" i="117" s="1"/>
  <c r="T85" i="117"/>
  <c r="S15" i="58" s="1"/>
  <c r="T98" i="70"/>
  <c r="T98" i="117" s="1"/>
  <c r="U98" i="70"/>
  <c r="U98" i="117" s="1"/>
  <c r="I40" i="70"/>
  <c r="H57" i="70"/>
  <c r="H58" i="70" s="1"/>
  <c r="W103" i="70"/>
  <c r="H40" i="117"/>
  <c r="D57" i="117"/>
  <c r="J23" i="69" s="1"/>
  <c r="U106" i="70"/>
  <c r="U106" i="117" s="1"/>
  <c r="T106" i="70"/>
  <c r="T106" i="117" s="1"/>
  <c r="W106" i="117" s="1"/>
  <c r="W106" i="70"/>
  <c r="W68" i="117"/>
  <c r="S139" i="117"/>
  <c r="Q15" i="58"/>
  <c r="W98" i="70" l="1"/>
  <c r="H95" i="70"/>
  <c r="I95" i="70"/>
  <c r="H112" i="70"/>
  <c r="I40" i="117"/>
  <c r="H57" i="117"/>
  <c r="N15" i="58"/>
  <c r="R15" i="58"/>
  <c r="J24" i="69"/>
  <c r="F66" i="61"/>
  <c r="I57" i="70"/>
  <c r="M40" i="70"/>
  <c r="T100" i="70"/>
  <c r="T100" i="117" s="1"/>
  <c r="W100" i="117" s="1"/>
  <c r="U100" i="70"/>
  <c r="U100" i="117" s="1"/>
  <c r="W85" i="117"/>
  <c r="D95" i="117"/>
  <c r="K18" i="54"/>
  <c r="E148" i="70"/>
  <c r="E112" i="70"/>
  <c r="E95" i="117"/>
  <c r="H25" i="54"/>
  <c r="K17" i="58" s="1"/>
  <c r="I23" i="54"/>
  <c r="I25" i="54" s="1"/>
  <c r="W122" i="117"/>
  <c r="W139" i="117" s="1"/>
  <c r="W98" i="117"/>
  <c r="F148" i="70"/>
  <c r="F165" i="70" s="1"/>
  <c r="F95" i="117"/>
  <c r="F112" i="70"/>
  <c r="E112" i="117" l="1"/>
  <c r="T15" i="58" s="1"/>
  <c r="E148" i="117"/>
  <c r="E165" i="117" s="1"/>
  <c r="J17" i="58"/>
  <c r="L17" i="58"/>
  <c r="D112" i="117"/>
  <c r="H95" i="117"/>
  <c r="D148" i="117"/>
  <c r="I57" i="117"/>
  <c r="K23" i="69" s="1"/>
  <c r="M40" i="117"/>
  <c r="E165" i="70"/>
  <c r="H148" i="70"/>
  <c r="N40" i="70"/>
  <c r="M57" i="70"/>
  <c r="L18" i="54"/>
  <c r="K19" i="54"/>
  <c r="F112" i="117"/>
  <c r="F148" i="117"/>
  <c r="F165" i="117" s="1"/>
  <c r="W100" i="70"/>
  <c r="I112" i="70"/>
  <c r="K95" i="70"/>
  <c r="J95" i="70"/>
  <c r="K24" i="69" l="1"/>
  <c r="G66" i="61"/>
  <c r="H165" i="70"/>
  <c r="I148" i="70"/>
  <c r="D165" i="117"/>
  <c r="H148" i="117"/>
  <c r="M57" i="117"/>
  <c r="N40" i="117"/>
  <c r="L19" i="54"/>
  <c r="M15" i="54"/>
  <c r="K21" i="54"/>
  <c r="K95" i="117"/>
  <c r="K112" i="117" s="1"/>
  <c r="K112" i="70"/>
  <c r="M95" i="70"/>
  <c r="J112" i="70"/>
  <c r="J95" i="117"/>
  <c r="J112" i="117" s="1"/>
  <c r="U15" i="58" s="1"/>
  <c r="H112" i="117"/>
  <c r="I95" i="117"/>
  <c r="R40" i="70"/>
  <c r="N57" i="70"/>
  <c r="I148" i="117" l="1"/>
  <c r="H165" i="117"/>
  <c r="M18" i="54"/>
  <c r="M19" i="54" s="1"/>
  <c r="N15" i="54" s="1"/>
  <c r="M21" i="54"/>
  <c r="M23" i="54" s="1"/>
  <c r="R57" i="70"/>
  <c r="S40" i="70"/>
  <c r="M95" i="117"/>
  <c r="I112" i="117"/>
  <c r="I165" i="70"/>
  <c r="M148" i="70"/>
  <c r="L21" i="54"/>
  <c r="K23" i="54"/>
  <c r="M112" i="70"/>
  <c r="N95" i="70"/>
  <c r="N57" i="117"/>
  <c r="L23" i="69" s="1"/>
  <c r="R40" i="117"/>
  <c r="K25" i="54" l="1"/>
  <c r="O17" i="58" s="1"/>
  <c r="P17" i="58" s="1"/>
  <c r="Q17" i="58" s="1"/>
  <c r="N17" i="58" s="1"/>
  <c r="R17" i="58" s="1"/>
  <c r="L23" i="54"/>
  <c r="L25" i="54" s="1"/>
  <c r="S57" i="70"/>
  <c r="W40" i="70"/>
  <c r="W57" i="70" s="1"/>
  <c r="N18" i="54"/>
  <c r="N19" i="54" s="1"/>
  <c r="O15" i="54" s="1"/>
  <c r="N95" i="117"/>
  <c r="M112" i="117"/>
  <c r="R57" i="117"/>
  <c r="S40" i="117"/>
  <c r="H66" i="61"/>
  <c r="L24" i="69"/>
  <c r="N112" i="70"/>
  <c r="P95" i="70"/>
  <c r="O95" i="70"/>
  <c r="N148" i="70"/>
  <c r="M165" i="70"/>
  <c r="M25" i="54"/>
  <c r="S17" i="58" s="1"/>
  <c r="M148" i="117"/>
  <c r="I165" i="117"/>
  <c r="N112" i="117" l="1"/>
  <c r="N148" i="117"/>
  <c r="M165" i="117"/>
  <c r="R95" i="70"/>
  <c r="O95" i="117"/>
  <c r="O112" i="117" s="1"/>
  <c r="V15" i="58" s="1"/>
  <c r="O112" i="70"/>
  <c r="P95" i="117"/>
  <c r="P112" i="117" s="1"/>
  <c r="P112" i="70"/>
  <c r="S57" i="117"/>
  <c r="M23" i="69" s="1"/>
  <c r="W40" i="117"/>
  <c r="W57" i="117" s="1"/>
  <c r="O18" i="54"/>
  <c r="O19" i="54" s="1"/>
  <c r="P15" i="54" s="1"/>
  <c r="N21" i="54"/>
  <c r="N23" i="54" s="1"/>
  <c r="R148" i="70"/>
  <c r="N165" i="70"/>
  <c r="O21" i="54" l="1"/>
  <c r="O23" i="54" s="1"/>
  <c r="O25" i="54"/>
  <c r="U17" i="58" s="1"/>
  <c r="R112" i="70"/>
  <c r="S95" i="70"/>
  <c r="N165" i="117"/>
  <c r="R148" i="117"/>
  <c r="P18" i="54"/>
  <c r="P19" i="54" s="1"/>
  <c r="Q15" i="54" s="1"/>
  <c r="R165" i="70"/>
  <c r="S148" i="70"/>
  <c r="I66" i="61"/>
  <c r="M24" i="69"/>
  <c r="N25" i="54"/>
  <c r="T17" i="58" s="1"/>
  <c r="R95" i="117"/>
  <c r="P21" i="54" l="1"/>
  <c r="P23" i="54" s="1"/>
  <c r="S95" i="117"/>
  <c r="R112" i="117"/>
  <c r="S112" i="70"/>
  <c r="U95" i="70"/>
  <c r="T95" i="70"/>
  <c r="S165" i="70"/>
  <c r="W148" i="70"/>
  <c r="W165" i="70" s="1"/>
  <c r="R165" i="117"/>
  <c r="S148" i="117"/>
  <c r="T95" i="117" l="1"/>
  <c r="T112" i="117" s="1"/>
  <c r="T112" i="70"/>
  <c r="W148" i="117"/>
  <c r="W165" i="117" s="1"/>
  <c r="S165" i="117"/>
  <c r="U95" i="117"/>
  <c r="U112" i="117" s="1"/>
  <c r="U112" i="70"/>
  <c r="S112" i="117"/>
  <c r="W95" i="117"/>
  <c r="W112" i="117" s="1"/>
  <c r="P25" i="54"/>
  <c r="V17" i="58" s="1"/>
  <c r="W95" i="70"/>
  <c r="W112" i="70" s="1"/>
  <c r="W15" i="58" l="1"/>
  <c r="Q18" i="54"/>
  <c r="Q19" i="54" s="1"/>
  <c r="Q21" i="54" s="1"/>
  <c r="Q23" i="54" s="1"/>
  <c r="Q25" i="54" l="1"/>
  <c r="W17" i="58" s="1"/>
  <c r="H13" i="55" l="1"/>
  <c r="H19" i="55"/>
  <c r="H14" i="55"/>
  <c r="F40" i="55"/>
  <c r="F16" i="58" l="1"/>
  <c r="H16" i="58"/>
  <c r="E14" i="78"/>
  <c r="I14" i="55"/>
  <c r="K10" i="55"/>
  <c r="I19" i="55"/>
  <c r="I13" i="55"/>
  <c r="H20" i="55"/>
  <c r="I20" i="55" s="1"/>
  <c r="F41" i="55"/>
  <c r="F42" i="55" s="1"/>
  <c r="H21" i="55" l="1"/>
  <c r="L10" i="55"/>
  <c r="K19" i="55"/>
  <c r="K13" i="55"/>
  <c r="K14" i="55" s="1"/>
  <c r="L14" i="78"/>
  <c r="D14" i="78"/>
  <c r="D54" i="55" l="1"/>
  <c r="L14" i="55"/>
  <c r="F25" i="58"/>
  <c r="D21" i="78" s="1"/>
  <c r="E21" i="78"/>
  <c r="I21" i="55"/>
  <c r="K24" i="58"/>
  <c r="L13" i="55"/>
  <c r="K20" i="55"/>
  <c r="L20" i="55" s="1"/>
  <c r="L19" i="55"/>
  <c r="G14" i="78"/>
  <c r="F14" i="78"/>
  <c r="K21" i="55" l="1"/>
  <c r="L21" i="55"/>
  <c r="O24" i="58"/>
  <c r="P24" i="58" s="1"/>
  <c r="Q24" i="58" s="1"/>
  <c r="J24" i="58"/>
  <c r="L24" i="58" s="1"/>
  <c r="F21" i="78"/>
  <c r="L21" i="78"/>
  <c r="G21" i="78"/>
  <c r="D57" i="55"/>
  <c r="D58" i="55" s="1"/>
  <c r="E54" i="55" s="1"/>
  <c r="D63" i="55"/>
  <c r="D65" i="55" s="1"/>
  <c r="S24" i="58" s="1"/>
  <c r="E57" i="55" l="1"/>
  <c r="E58" i="55" s="1"/>
  <c r="F54" i="55" s="1"/>
  <c r="E63" i="55"/>
  <c r="E65" i="55" s="1"/>
  <c r="T24" i="58" s="1"/>
  <c r="N24" i="58"/>
  <c r="R24" i="58" s="1"/>
  <c r="F63" i="55" l="1"/>
  <c r="F65" i="55" s="1"/>
  <c r="U24" i="58" s="1"/>
  <c r="F57" i="55"/>
  <c r="F58" i="55" s="1"/>
  <c r="G54" i="55" s="1"/>
  <c r="G57" i="55" l="1"/>
  <c r="G58" i="55" s="1"/>
  <c r="H54" i="55" s="1"/>
  <c r="G63" i="55"/>
  <c r="G65" i="55" s="1"/>
  <c r="V24" i="58" s="1"/>
  <c r="H63" i="55" l="1"/>
  <c r="H65" i="55" s="1"/>
  <c r="W24" i="58" s="1"/>
  <c r="H57" i="55"/>
  <c r="H58" i="55" s="1"/>
  <c r="F18" i="58" l="1"/>
  <c r="E15" i="78"/>
  <c r="L15" i="78" l="1"/>
  <c r="D15" i="78"/>
  <c r="F15" i="78" l="1"/>
  <c r="G15" i="78"/>
  <c r="J16" i="58" l="1"/>
  <c r="L16" i="58"/>
  <c r="E43" i="78"/>
  <c r="L43" i="78" l="1"/>
  <c r="D43" i="78"/>
  <c r="F43" i="78" s="1"/>
  <c r="G43" i="78" l="1"/>
  <c r="J25" i="58"/>
  <c r="D50" i="78" s="1"/>
  <c r="E50" i="78"/>
  <c r="G50" i="78" l="1"/>
  <c r="F50" i="78"/>
  <c r="L50" i="78"/>
  <c r="J18" i="58" l="1"/>
  <c r="E44" i="78"/>
  <c r="D44" i="78" l="1"/>
  <c r="L44" i="78"/>
  <c r="G44" i="78"/>
  <c r="F44" i="78"/>
  <c r="Q16" i="58" l="1"/>
  <c r="N16" i="58" l="1"/>
  <c r="R16" i="58"/>
  <c r="N25" i="58" l="1"/>
  <c r="N18" i="58" l="1"/>
  <c r="J30" i="72" l="1"/>
  <c r="C31" i="72"/>
  <c r="N30" i="72" l="1"/>
  <c r="N31" i="72" s="1"/>
  <c r="J31" i="72"/>
  <c r="G19" i="58" l="1"/>
  <c r="E16" i="78" s="1"/>
  <c r="K19" i="58"/>
  <c r="E20" i="78" l="1"/>
  <c r="E9" i="80"/>
  <c r="G23" i="58"/>
  <c r="G27" i="58" s="1"/>
  <c r="K23" i="58"/>
  <c r="K27" i="58" s="1"/>
  <c r="E45" i="78"/>
  <c r="H9" i="80"/>
  <c r="F28" i="61" l="1"/>
  <c r="F30" i="61" s="1"/>
  <c r="F34" i="61" s="1"/>
  <c r="F19" i="58" s="1"/>
  <c r="E23" i="78"/>
  <c r="H28" i="61"/>
  <c r="H30" i="61" s="1"/>
  <c r="H34" i="61" s="1"/>
  <c r="J19" i="58" s="1"/>
  <c r="E49" i="78"/>
  <c r="G9" i="80" l="1"/>
  <c r="E5" i="100"/>
  <c r="E7" i="100" s="1"/>
  <c r="D45" i="78"/>
  <c r="J23" i="58"/>
  <c r="J27" i="58" s="1"/>
  <c r="L19" i="58"/>
  <c r="L23" i="58" s="1"/>
  <c r="L27" i="58" s="1"/>
  <c r="E52" i="78"/>
  <c r="D5" i="100"/>
  <c r="D7" i="100" s="1"/>
  <c r="F23" i="58"/>
  <c r="F27" i="58" s="1"/>
  <c r="D16" i="78"/>
  <c r="D9" i="80"/>
  <c r="H19" i="58"/>
  <c r="H23" i="58" s="1"/>
  <c r="H27" i="58" s="1"/>
  <c r="D22" i="100" l="1"/>
  <c r="D28" i="100" s="1"/>
  <c r="D34" i="100" s="1"/>
  <c r="D21" i="100"/>
  <c r="D20" i="100"/>
  <c r="D26" i="100" s="1"/>
  <c r="D32" i="100" s="1"/>
  <c r="D19" i="100"/>
  <c r="D49" i="78"/>
  <c r="G45" i="78"/>
  <c r="H45" i="78" s="1"/>
  <c r="L45" i="78" s="1"/>
  <c r="L49" i="78" s="1"/>
  <c r="L52" i="78" s="1"/>
  <c r="F45" i="78"/>
  <c r="F49" i="78" s="1"/>
  <c r="F52" i="78" s="1"/>
  <c r="D20" i="78"/>
  <c r="F16" i="78"/>
  <c r="G16" i="78"/>
  <c r="H16" i="78" s="1"/>
  <c r="L16" i="78" s="1"/>
  <c r="L20" i="78" s="1"/>
  <c r="L23" i="78" s="1"/>
  <c r="E19" i="100"/>
  <c r="E20" i="100"/>
  <c r="E26" i="100" s="1"/>
  <c r="E32" i="100" s="1"/>
  <c r="E22" i="100"/>
  <c r="E28" i="100" s="1"/>
  <c r="E34" i="100" s="1"/>
  <c r="E21" i="100"/>
  <c r="D23" i="78" l="1"/>
  <c r="F20" i="78"/>
  <c r="G20" i="78"/>
  <c r="E25" i="100"/>
  <c r="E37" i="100" s="1"/>
  <c r="E44" i="100" s="1"/>
  <c r="D52" i="78"/>
  <c r="G52" i="78" s="1"/>
  <c r="G49" i="78"/>
  <c r="D25" i="100"/>
  <c r="D27" i="100"/>
  <c r="D39" i="100" s="1"/>
  <c r="D46" i="100" s="1"/>
  <c r="E27" i="100"/>
  <c r="E39" i="100" s="1"/>
  <c r="E46" i="100" s="1"/>
  <c r="G23" i="78" l="1"/>
  <c r="F23" i="78"/>
  <c r="E48" i="100"/>
  <c r="E8" i="100" s="1"/>
  <c r="D37" i="100"/>
  <c r="D44" i="100" s="1"/>
  <c r="D48" i="100" s="1"/>
  <c r="D8" i="100" s="1"/>
  <c r="E24" i="78" l="1"/>
  <c r="L24" i="78" s="1"/>
  <c r="L25" i="78" s="1"/>
  <c r="L31" i="78" s="1"/>
  <c r="D9" i="100"/>
  <c r="D10" i="100" s="1"/>
  <c r="E53" i="78"/>
  <c r="L53" i="78" s="1"/>
  <c r="L54" i="78" s="1"/>
  <c r="L60" i="78" s="1"/>
  <c r="M61" i="78" s="1"/>
  <c r="E9" i="100"/>
  <c r="E10" i="100" s="1"/>
  <c r="F5" i="100"/>
  <c r="F7" i="100"/>
  <c r="F8" i="100"/>
  <c r="F9" i="100"/>
  <c r="F10" i="100"/>
  <c r="F19" i="100"/>
  <c r="F20" i="100"/>
  <c r="F21" i="100"/>
  <c r="F22" i="100"/>
  <c r="F25" i="100"/>
  <c r="F26" i="100"/>
  <c r="F27" i="100"/>
  <c r="F28" i="100"/>
  <c r="F32" i="100"/>
  <c r="F34" i="100"/>
  <c r="F37" i="100"/>
  <c r="F39" i="100"/>
  <c r="F44" i="100"/>
  <c r="F46" i="100"/>
  <c r="F48" i="100"/>
  <c r="N19" i="58"/>
  <c r="O19" i="58"/>
  <c r="P19" i="58"/>
  <c r="Q19" i="58"/>
  <c r="R19" i="58"/>
  <c r="S19" i="58"/>
  <c r="T19" i="58"/>
  <c r="U19" i="58"/>
  <c r="V19" i="58"/>
  <c r="W19" i="58"/>
  <c r="N23" i="58"/>
  <c r="O23" i="58"/>
  <c r="P23" i="58"/>
  <c r="Q23" i="58"/>
  <c r="R23" i="58"/>
  <c r="S23" i="58"/>
  <c r="T23" i="58"/>
  <c r="U23" i="58"/>
  <c r="V23" i="58"/>
  <c r="W23" i="58"/>
  <c r="N27" i="58"/>
  <c r="O27" i="58"/>
  <c r="P27" i="58"/>
  <c r="Q27" i="58"/>
  <c r="R27" i="58"/>
  <c r="S27" i="58"/>
  <c r="T27" i="58"/>
  <c r="U27" i="58"/>
  <c r="V27" i="58"/>
  <c r="W27" i="58"/>
  <c r="J9" i="80"/>
  <c r="K9" i="80"/>
  <c r="L9" i="80"/>
  <c r="M9" i="80"/>
  <c r="N9" i="80"/>
  <c r="O9" i="80"/>
  <c r="P9" i="80"/>
  <c r="J28" i="61"/>
  <c r="J30" i="61"/>
  <c r="J34" i="61"/>
  <c r="E67" i="61"/>
  <c r="F67" i="61"/>
  <c r="G67" i="61"/>
  <c r="H67" i="61"/>
  <c r="I67" i="61"/>
  <c r="E69" i="61"/>
  <c r="F69" i="61"/>
  <c r="G69" i="61"/>
  <c r="H69" i="61"/>
  <c r="I69" i="61"/>
  <c r="E73" i="61"/>
  <c r="F73" i="61"/>
  <c r="G73" i="61"/>
  <c r="H73" i="61"/>
  <c r="I73" i="61"/>
  <c r="C12" i="73"/>
  <c r="J12" i="73"/>
  <c r="N12" i="73"/>
  <c r="J14" i="73"/>
  <c r="N14" i="73"/>
  <c r="C23" i="73"/>
  <c r="J23" i="73"/>
  <c r="N23" i="73"/>
  <c r="J25" i="73"/>
  <c r="N25" i="73"/>
  <c r="C34" i="73"/>
  <c r="J34" i="73"/>
  <c r="N34" i="73"/>
  <c r="J36" i="73"/>
  <c r="N36" i="73"/>
  <c r="C44" i="73"/>
  <c r="J44" i="73"/>
  <c r="N44" i="73"/>
  <c r="J46" i="73"/>
  <c r="N46" i="73"/>
  <c r="C54" i="73"/>
  <c r="J54" i="73"/>
  <c r="N54" i="73"/>
  <c r="J56" i="73"/>
  <c r="N56" i="73"/>
  <c r="C11" i="74"/>
  <c r="J11" i="74"/>
  <c r="N11" i="74"/>
  <c r="J13" i="74"/>
  <c r="N13" i="74"/>
  <c r="C22" i="74"/>
  <c r="J22" i="74"/>
  <c r="N22" i="74"/>
  <c r="J24" i="74"/>
  <c r="N24" i="74"/>
  <c r="C31" i="74"/>
  <c r="J31" i="74"/>
  <c r="N31" i="74"/>
  <c r="J33" i="74"/>
  <c r="N33" i="74"/>
  <c r="C40" i="74"/>
  <c r="J40" i="74"/>
  <c r="N40" i="74"/>
  <c r="J42" i="74"/>
  <c r="N42" i="74"/>
  <c r="C49" i="74"/>
  <c r="J49" i="74"/>
  <c r="N49" i="74"/>
  <c r="J51" i="74"/>
  <c r="N51"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Anil Patkare</author>
  </authors>
  <commentList>
    <comment ref="N45" authorId="0" shapeId="0" xr:uid="{00000000-0006-0000-0100-000001000000}">
      <text>
        <r>
          <rPr>
            <b/>
            <sz val="9"/>
            <color indexed="81"/>
            <rFont val="Tahoma"/>
            <family val="2"/>
          </rPr>
          <t>Anil Patkare:</t>
        </r>
        <r>
          <rPr>
            <sz val="9"/>
            <color indexed="81"/>
            <rFont val="Tahoma"/>
            <family val="2"/>
          </rPr>
          <t xml:space="preserve">
Approved ECR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D33" authorId="0" shapeId="0" xr:uid="{00000000-0006-0000-0E00-000001000000}">
      <text>
        <r>
          <rPr>
            <b/>
            <sz val="9"/>
            <color indexed="81"/>
            <rFont val="Tahoma"/>
            <family val="2"/>
          </rPr>
          <t>MercadosEMI:</t>
        </r>
        <r>
          <rPr>
            <sz val="9"/>
            <color indexed="81"/>
            <rFont val="Tahoma"/>
            <family val="2"/>
          </rPr>
          <t xml:space="preserve">
Interest on Staff welfare fund claimed as Emp Expenses</t>
        </r>
      </text>
    </comment>
    <comment ref="E33" authorId="0" shapeId="0" xr:uid="{00000000-0006-0000-0E00-000002000000}">
      <text>
        <r>
          <rPr>
            <b/>
            <sz val="9"/>
            <color indexed="81"/>
            <rFont val="Tahoma"/>
            <family val="2"/>
          </rPr>
          <t>MercadosEMI:</t>
        </r>
        <r>
          <rPr>
            <sz val="9"/>
            <color indexed="81"/>
            <rFont val="Tahoma"/>
            <family val="2"/>
          </rPr>
          <t xml:space="preserve">
Interest on Staff welfare fund claimed as Emp Expenses</t>
        </r>
      </text>
    </comment>
    <comment ref="F33" authorId="0" shapeId="0" xr:uid="{00000000-0006-0000-0E00-000003000000}">
      <text>
        <r>
          <rPr>
            <b/>
            <sz val="9"/>
            <color indexed="81"/>
            <rFont val="Tahoma"/>
            <family val="2"/>
          </rPr>
          <t>MercadosEMI:</t>
        </r>
        <r>
          <rPr>
            <sz val="9"/>
            <color indexed="81"/>
            <rFont val="Tahoma"/>
            <family val="2"/>
          </rPr>
          <t xml:space="preserve">
Interest on Staff welfare fund claimed as Emp Expenses</t>
        </r>
      </text>
    </comment>
    <comment ref="G33" authorId="0" shapeId="0" xr:uid="{00000000-0006-0000-0E00-000004000000}">
      <text>
        <r>
          <rPr>
            <b/>
            <sz val="9"/>
            <color indexed="81"/>
            <rFont val="Tahoma"/>
            <family val="2"/>
          </rPr>
          <t>MercadosEMI:</t>
        </r>
        <r>
          <rPr>
            <sz val="9"/>
            <color indexed="81"/>
            <rFont val="Tahoma"/>
            <family val="2"/>
          </rPr>
          <t xml:space="preserve">
Interest on Staff welfare fund claimed as Emp Expenses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D20" authorId="0" shapeId="0" xr:uid="{00000000-0006-0000-0F00-000001000000}">
      <text>
        <r>
          <rPr>
            <b/>
            <sz val="9"/>
            <color indexed="81"/>
            <rFont val="Tahoma"/>
            <family val="2"/>
          </rPr>
          <t>MercadosEMI:</t>
        </r>
        <r>
          <rPr>
            <sz val="9"/>
            <color indexed="81"/>
            <rFont val="Tahoma"/>
            <family val="2"/>
          </rPr>
          <t xml:space="preserve">
Other Gen expenses-Security</t>
        </r>
      </text>
    </comment>
    <comment ref="E20" authorId="0" shapeId="0" xr:uid="{00000000-0006-0000-0F00-000002000000}">
      <text>
        <r>
          <rPr>
            <b/>
            <sz val="9"/>
            <color indexed="81"/>
            <rFont val="Tahoma"/>
            <family val="2"/>
          </rPr>
          <t>MercadosEMI:</t>
        </r>
        <r>
          <rPr>
            <sz val="9"/>
            <color indexed="81"/>
            <rFont val="Tahoma"/>
            <family val="2"/>
          </rPr>
          <t xml:space="preserve">
Other Gen expenses-Security</t>
        </r>
      </text>
    </comment>
    <comment ref="F20" authorId="0" shapeId="0" xr:uid="{00000000-0006-0000-0F00-000003000000}">
      <text>
        <r>
          <rPr>
            <b/>
            <sz val="9"/>
            <color indexed="81"/>
            <rFont val="Tahoma"/>
            <family val="2"/>
          </rPr>
          <t>MercadosEMI:</t>
        </r>
        <r>
          <rPr>
            <sz val="9"/>
            <color indexed="81"/>
            <rFont val="Tahoma"/>
            <family val="2"/>
          </rPr>
          <t xml:space="preserve">
Other Gen expenses-Security</t>
        </r>
      </text>
    </comment>
    <comment ref="G20" authorId="0" shapeId="0" xr:uid="{00000000-0006-0000-0F00-000004000000}">
      <text>
        <r>
          <rPr>
            <b/>
            <sz val="9"/>
            <color indexed="81"/>
            <rFont val="Tahoma"/>
            <family val="2"/>
          </rPr>
          <t>MercadosEMI:</t>
        </r>
        <r>
          <rPr>
            <sz val="9"/>
            <color indexed="81"/>
            <rFont val="Tahoma"/>
            <family val="2"/>
          </rPr>
          <t xml:space="preserve">
Other Gen expenses-Security</t>
        </r>
      </text>
    </comment>
    <comment ref="D39" authorId="0" shapeId="0" xr:uid="{00000000-0006-0000-0F00-000005000000}">
      <text>
        <r>
          <rPr>
            <b/>
            <sz val="9"/>
            <color indexed="81"/>
            <rFont val="Tahoma"/>
            <family val="2"/>
          </rPr>
          <t>MercadosEMI:</t>
        </r>
        <r>
          <rPr>
            <sz val="9"/>
            <color indexed="81"/>
            <rFont val="Tahoma"/>
            <family val="2"/>
          </rPr>
          <t xml:space="preserve">
Fees</t>
        </r>
      </text>
    </comment>
    <comment ref="E39" authorId="0" shapeId="0" xr:uid="{00000000-0006-0000-0F00-000006000000}">
      <text>
        <r>
          <rPr>
            <b/>
            <sz val="9"/>
            <color indexed="81"/>
            <rFont val="Tahoma"/>
            <family val="2"/>
          </rPr>
          <t>MercadosEMI:</t>
        </r>
        <r>
          <rPr>
            <sz val="9"/>
            <color indexed="81"/>
            <rFont val="Tahoma"/>
            <family val="2"/>
          </rPr>
          <t xml:space="preserve">
Fees</t>
        </r>
      </text>
    </comment>
    <comment ref="F39" authorId="0" shapeId="0" xr:uid="{00000000-0006-0000-0F00-000007000000}">
      <text>
        <r>
          <rPr>
            <b/>
            <sz val="9"/>
            <color indexed="81"/>
            <rFont val="Tahoma"/>
            <family val="2"/>
          </rPr>
          <t>MercadosEMI:</t>
        </r>
        <r>
          <rPr>
            <sz val="9"/>
            <color indexed="81"/>
            <rFont val="Tahoma"/>
            <family val="2"/>
          </rPr>
          <t xml:space="preserve">
Fees</t>
        </r>
      </text>
    </comment>
    <comment ref="G39" authorId="0" shapeId="0" xr:uid="{00000000-0006-0000-0F00-000008000000}">
      <text>
        <r>
          <rPr>
            <b/>
            <sz val="9"/>
            <color indexed="81"/>
            <rFont val="Tahoma"/>
            <family val="2"/>
          </rPr>
          <t>MercadosEMI:</t>
        </r>
        <r>
          <rPr>
            <sz val="9"/>
            <color indexed="81"/>
            <rFont val="Tahoma"/>
            <family val="2"/>
          </rPr>
          <t xml:space="preserve">
Fees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C19" authorId="0" shapeId="0" xr:uid="{00000000-0006-0000-1000-000001000000}">
      <text>
        <r>
          <rPr>
            <b/>
            <sz val="9"/>
            <color indexed="81"/>
            <rFont val="Tahoma"/>
            <family val="2"/>
          </rPr>
          <t>MercadosEMI:</t>
        </r>
        <r>
          <rPr>
            <sz val="9"/>
            <color indexed="81"/>
            <rFont val="Tahoma"/>
            <family val="2"/>
          </rPr>
          <t xml:space="preserve">
Added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HP</author>
  </authors>
  <commentList>
    <comment ref="M4" authorId="0" shapeId="0" xr:uid="{EC916A6B-33D5-4D36-9A25-68B45382F347}">
      <text>
        <r>
          <rPr>
            <b/>
            <sz val="9"/>
            <rFont val="Tahoma"/>
            <family val="2"/>
          </rPr>
          <t xml:space="preserve">SSP-RCD
</t>
        </r>
        <r>
          <rPr>
            <sz val="9"/>
            <rFont val="Tahoma"/>
            <family val="2"/>
          </rPr>
          <t>As per the implementation plan submitted in the DPR/ Approved by MERC</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Anil Patkare</author>
    <author>MercadosEMI</author>
  </authors>
  <commentList>
    <comment ref="D25" authorId="0" shapeId="0" xr:uid="{00000000-0006-0000-1800-000001000000}">
      <text>
        <r>
          <rPr>
            <b/>
            <sz val="9"/>
            <color indexed="81"/>
            <rFont val="Tahoma"/>
            <family val="2"/>
          </rPr>
          <t>Anil Patkare:</t>
        </r>
        <r>
          <rPr>
            <sz val="9"/>
            <color indexed="81"/>
            <rFont val="Tahoma"/>
            <family val="2"/>
          </rPr>
          <t xml:space="preserve">
Similar to above numbers of normative loan, for remaining years to be udpated</t>
        </r>
      </text>
    </comment>
    <comment ref="E289" authorId="1" shapeId="0" xr:uid="{00000000-0006-0000-1800-000002000000}">
      <text>
        <r>
          <rPr>
            <b/>
            <sz val="9"/>
            <color indexed="81"/>
            <rFont val="Tahoma"/>
            <family val="2"/>
          </rPr>
          <t>MercadosEMI:</t>
        </r>
        <r>
          <rPr>
            <sz val="9"/>
            <color indexed="81"/>
            <rFont val="Tahoma"/>
            <family val="2"/>
          </rPr>
          <t xml:space="preserve">
Formuka was missing
</t>
        </r>
      </text>
    </comment>
    <comment ref="E299" authorId="1" shapeId="0" xr:uid="{00000000-0006-0000-1800-000003000000}">
      <text>
        <r>
          <rPr>
            <b/>
            <sz val="9"/>
            <color indexed="81"/>
            <rFont val="Tahoma"/>
            <family val="2"/>
          </rPr>
          <t>MercadosEMI:</t>
        </r>
        <r>
          <rPr>
            <sz val="9"/>
            <color indexed="81"/>
            <rFont val="Tahoma"/>
            <family val="2"/>
          </rPr>
          <t xml:space="preserve">
Formuka was missing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E14" authorId="0" shapeId="0" xr:uid="{00000000-0006-0000-1900-000001000000}">
      <text>
        <r>
          <rPr>
            <b/>
            <sz val="9"/>
            <color indexed="81"/>
            <rFont val="Tahoma"/>
            <family val="2"/>
          </rPr>
          <t>MercadosEMI:</t>
        </r>
        <r>
          <rPr>
            <sz val="9"/>
            <color indexed="81"/>
            <rFont val="Tahoma"/>
            <family val="2"/>
          </rPr>
          <t xml:space="preserve">
 value diff from true up sheet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MercadosEMI</author>
  </authors>
  <commentList>
    <comment ref="C23" authorId="0" shapeId="0" xr:uid="{00000000-0006-0000-1F00-000001000000}">
      <text>
        <r>
          <rPr>
            <b/>
            <sz val="9"/>
            <color indexed="81"/>
            <rFont val="Tahoma"/>
            <family val="2"/>
          </rPr>
          <t>MercadosEMI:</t>
        </r>
        <r>
          <rPr>
            <sz val="9"/>
            <color indexed="81"/>
            <rFont val="Tahoma"/>
            <family val="2"/>
          </rPr>
          <t xml:space="preserve">
Added 
</t>
        </r>
      </text>
    </comment>
    <comment ref="C24" authorId="0" shapeId="0" xr:uid="{00000000-0006-0000-1F00-000002000000}">
      <text>
        <r>
          <rPr>
            <b/>
            <sz val="9"/>
            <color indexed="81"/>
            <rFont val="Tahoma"/>
            <family val="2"/>
          </rPr>
          <t>MercadosEMI:</t>
        </r>
        <r>
          <rPr>
            <sz val="9"/>
            <color indexed="81"/>
            <rFont val="Tahoma"/>
            <family val="2"/>
          </rPr>
          <t xml:space="preserve">
Added
</t>
        </r>
      </text>
    </comment>
  </commentList>
</comments>
</file>

<file path=xl/sharedStrings.xml><?xml version="1.0" encoding="utf-8"?>
<sst xmlns="http://schemas.openxmlformats.org/spreadsheetml/2006/main" count="10239" uniqueCount="2198">
  <si>
    <t>Project Details</t>
  </si>
  <si>
    <t>Project Title</t>
  </si>
  <si>
    <t>Project Start Date</t>
  </si>
  <si>
    <t>TOTAL</t>
  </si>
  <si>
    <t>Project Purpose</t>
  </si>
  <si>
    <t>Reference</t>
  </si>
  <si>
    <t>S.No.</t>
  </si>
  <si>
    <t>Actual</t>
  </si>
  <si>
    <t>Project Completion date 
(Scheduled)</t>
  </si>
  <si>
    <t>Revised</t>
  </si>
  <si>
    <t>(Rs. Crore)</t>
  </si>
  <si>
    <t>Original</t>
  </si>
  <si>
    <t>Estimated</t>
  </si>
  <si>
    <t>Form 1</t>
  </si>
  <si>
    <t xml:space="preserve">Capital Expenditure Plan </t>
  </si>
  <si>
    <t>Title</t>
  </si>
  <si>
    <t>Project Code</t>
  </si>
  <si>
    <t>Benefits in Quantified Terms</t>
  </si>
  <si>
    <t>Capitalisation</t>
  </si>
  <si>
    <t>Debt Equity Ratio</t>
  </si>
  <si>
    <t>Physical Progress (%)</t>
  </si>
  <si>
    <t>Projected</t>
  </si>
  <si>
    <t>Capital Expenditure</t>
  </si>
  <si>
    <t>…</t>
  </si>
  <si>
    <t>Approved</t>
  </si>
  <si>
    <t>Source of Loan</t>
  </si>
  <si>
    <t>Remarks</t>
  </si>
  <si>
    <t>Audited</t>
  </si>
  <si>
    <t>Opening Balance of Loan</t>
  </si>
  <si>
    <t>Loan Repayment during the year</t>
  </si>
  <si>
    <t>Closing Balance of Loan</t>
  </si>
  <si>
    <t>Applicable Interest Rate (%)</t>
  </si>
  <si>
    <t>Interest Expenses</t>
  </si>
  <si>
    <t>Gross Interest Expenses</t>
  </si>
  <si>
    <t>Less: Expenses Capitalised</t>
  </si>
  <si>
    <t xml:space="preserve">Net Interest Expenses </t>
  </si>
  <si>
    <t>Particulars</t>
  </si>
  <si>
    <t>Reduction in Equity Capital on account of retirement / replacement of assets</t>
  </si>
  <si>
    <t>Regulatory Equity at the end of the year</t>
  </si>
  <si>
    <t>Form 3</t>
  </si>
  <si>
    <t>Form 4</t>
  </si>
  <si>
    <t>Return on Regulatory Equity</t>
  </si>
  <si>
    <t>Total Capitalisation</t>
  </si>
  <si>
    <t>Expenses Capitalised</t>
  </si>
  <si>
    <t>Interest Capitalised</t>
  </si>
  <si>
    <t>Works Capitalised</t>
  </si>
  <si>
    <t>Closing CWIP</t>
  </si>
  <si>
    <t>Capital Work in Progress</t>
  </si>
  <si>
    <t>Investment during the year</t>
  </si>
  <si>
    <t>Opening CWIP</t>
  </si>
  <si>
    <t>Approved Project Cost</t>
  </si>
  <si>
    <t xml:space="preserve">Form 6: Interest Expenses </t>
  </si>
  <si>
    <t>Aggregate Revenue Requirement - Summary Sheet</t>
  </si>
  <si>
    <t>Energy Charges for Thermal Generation</t>
  </si>
  <si>
    <t>Form 2.1</t>
  </si>
  <si>
    <t>Form 2.2</t>
  </si>
  <si>
    <t>Interest on Working Capital - Thermal Generation</t>
  </si>
  <si>
    <t xml:space="preserve">Form 2.3 </t>
  </si>
  <si>
    <t>Operational Parameters - Hydel Generation</t>
  </si>
  <si>
    <t>Form 2.4</t>
  </si>
  <si>
    <t>Interest on Working Capital - Hydel Generation</t>
  </si>
  <si>
    <t>Form 2.5</t>
  </si>
  <si>
    <t>Planned &amp; Forced Outages</t>
  </si>
  <si>
    <t>Form 2.6</t>
  </si>
  <si>
    <t>Summary of Operations and Maintenance Expenses</t>
  </si>
  <si>
    <t>Form 3.1</t>
  </si>
  <si>
    <t>Form 3.2</t>
  </si>
  <si>
    <t>Form 3.3</t>
  </si>
  <si>
    <t>Form 3.4</t>
  </si>
  <si>
    <t>Form 5</t>
  </si>
  <si>
    <t>Form 6</t>
  </si>
  <si>
    <t>Sales Forecast</t>
  </si>
  <si>
    <t>Form 7</t>
  </si>
  <si>
    <t>Form 8</t>
  </si>
  <si>
    <t>Form 9</t>
  </si>
  <si>
    <t>Form 10</t>
  </si>
  <si>
    <t>Form 11</t>
  </si>
  <si>
    <t>Form 1:  Aggregate Revenue Requirement - Summary Sheet</t>
  </si>
  <si>
    <t>April-March      (Audited )</t>
  </si>
  <si>
    <t>April - March (Estimated)</t>
  </si>
  <si>
    <t>(a)</t>
  </si>
  <si>
    <t>(b)</t>
  </si>
  <si>
    <t>Fuel Related Expenses</t>
  </si>
  <si>
    <t>Operation &amp; Maintenance Expenses</t>
  </si>
  <si>
    <t>Depreciation Expenses</t>
  </si>
  <si>
    <t>Interest on Long-term Loan Capital</t>
  </si>
  <si>
    <t>Interest on Working Capital</t>
  </si>
  <si>
    <t xml:space="preserve">Other Expenses </t>
  </si>
  <si>
    <t>Income Tax</t>
  </si>
  <si>
    <t>Total Revenue Expenditure</t>
  </si>
  <si>
    <t>Add: Return on Equity Capital</t>
  </si>
  <si>
    <t>Less: Non-Tariff Income</t>
  </si>
  <si>
    <t>Aggregate Revenue Requirement</t>
  </si>
  <si>
    <t>Units</t>
  </si>
  <si>
    <t>Operational Parameters</t>
  </si>
  <si>
    <t>Total Capacity</t>
  </si>
  <si>
    <t>MW</t>
  </si>
  <si>
    <t>Target Availability for full recovery of AFC</t>
  </si>
  <si>
    <t>%</t>
  </si>
  <si>
    <t>Target PLF for Incentive</t>
  </si>
  <si>
    <t>MU</t>
  </si>
  <si>
    <t>Net Generation</t>
  </si>
  <si>
    <t>Normative Gross Station Heat Rate</t>
  </si>
  <si>
    <t>kcal/kWh</t>
  </si>
  <si>
    <t>Normative Secondary Fuel Oil Consumption</t>
  </si>
  <si>
    <t>ml/kWh</t>
  </si>
  <si>
    <t>Normative Transit Loss</t>
  </si>
  <si>
    <t>Fuel Parameters (for each primary and secondary fuel)</t>
  </si>
  <si>
    <t>2.1.1</t>
  </si>
  <si>
    <t>kcal/unit</t>
  </si>
  <si>
    <t>2.1.2</t>
  </si>
  <si>
    <t>Fuel 2</t>
  </si>
  <si>
    <t>2.1.3</t>
  </si>
  <si>
    <t>Fuel 3</t>
  </si>
  <si>
    <t>Landed Fuel Price per unit</t>
  </si>
  <si>
    <t>2.2.1</t>
  </si>
  <si>
    <t>Rs/unit</t>
  </si>
  <si>
    <t>2.2.2</t>
  </si>
  <si>
    <t>2.2.3</t>
  </si>
  <si>
    <t>Fuel Consumption and Heat Contribution (for each fuel separately)</t>
  </si>
  <si>
    <t>Specific Fuel Consumption</t>
  </si>
  <si>
    <t>3.1.1</t>
  </si>
  <si>
    <t>3.1.2</t>
  </si>
  <si>
    <t>3.1.3</t>
  </si>
  <si>
    <t>Total Fuel Consumption</t>
  </si>
  <si>
    <t>3.2.1</t>
  </si>
  <si>
    <t>3.2.2</t>
  </si>
  <si>
    <t>3.2.3</t>
  </si>
  <si>
    <t>Heat Content (each fuel separately)</t>
  </si>
  <si>
    <t>3.3.1</t>
  </si>
  <si>
    <t>Million kcal</t>
  </si>
  <si>
    <t>3.3.2</t>
  </si>
  <si>
    <t>3.3.3</t>
  </si>
  <si>
    <t>Total Fuel Cost</t>
  </si>
  <si>
    <t>Rs Crore</t>
  </si>
  <si>
    <t>Other Charges and Adjustments</t>
  </si>
  <si>
    <t>Total Other Charges and Adjustments</t>
  </si>
  <si>
    <t>Rs/kWh</t>
  </si>
  <si>
    <t>Unit</t>
  </si>
  <si>
    <t>Basic Cost</t>
  </si>
  <si>
    <t>Taxes and Duties (pl. specify details)</t>
  </si>
  <si>
    <t>Any other charges</t>
  </si>
  <si>
    <t>Transit Loss</t>
  </si>
  <si>
    <t xml:space="preserve">Note: </t>
  </si>
  <si>
    <t>Norm</t>
  </si>
  <si>
    <r>
      <t>Cost of Secondary Fuel Oil</t>
    </r>
    <r>
      <rPr>
        <vertAlign val="superscript"/>
        <sz val="11"/>
        <rFont val="Times New Roman"/>
        <family val="1"/>
      </rPr>
      <t>1</t>
    </r>
  </si>
  <si>
    <r>
      <t>Fuel Cost</t>
    </r>
    <r>
      <rPr>
        <vertAlign val="superscript"/>
        <sz val="11"/>
        <rFont val="Times New Roman"/>
        <family val="1"/>
      </rPr>
      <t>3</t>
    </r>
  </si>
  <si>
    <r>
      <t>Liquid Fuel Stock</t>
    </r>
    <r>
      <rPr>
        <vertAlign val="superscript"/>
        <sz val="11"/>
        <rFont val="Times New Roman"/>
        <family val="1"/>
      </rPr>
      <t>3</t>
    </r>
  </si>
  <si>
    <t xml:space="preserve">Maintenance Spares </t>
  </si>
  <si>
    <t>Receivables</t>
  </si>
  <si>
    <t>Total Working Capital requirement</t>
  </si>
  <si>
    <t>Computation of working capital interest</t>
  </si>
  <si>
    <t>For Coal based/Lignite based generating stations</t>
  </si>
  <si>
    <t>For Oil based generating stations</t>
  </si>
  <si>
    <t>For Gas Turbine/Combined Cycle generating stations duly taking into account the mode of operation on gas fuel and liquid fuel</t>
  </si>
  <si>
    <t>NAPAF</t>
  </si>
  <si>
    <t>Design Energy</t>
  </si>
  <si>
    <t>Gross Generation</t>
  </si>
  <si>
    <t>Auxiliary Energy Consumption</t>
  </si>
  <si>
    <t xml:space="preserve">Submit this form for each station separately </t>
  </si>
  <si>
    <t>Notes:</t>
  </si>
  <si>
    <t>A.</t>
  </si>
  <si>
    <t>Planned Outages</t>
  </si>
  <si>
    <t>No of days of outage</t>
  </si>
  <si>
    <t>Period of Outage</t>
  </si>
  <si>
    <t>Reasons for Outage</t>
  </si>
  <si>
    <t>B.</t>
  </si>
  <si>
    <t>Forced Outages</t>
  </si>
  <si>
    <t xml:space="preserve">Reasons for Outage </t>
  </si>
  <si>
    <t>……</t>
  </si>
  <si>
    <t>…….</t>
  </si>
  <si>
    <t>A</t>
  </si>
  <si>
    <t>O&amp;M Expenses</t>
  </si>
  <si>
    <t>Employee Expenses</t>
  </si>
  <si>
    <t xml:space="preserve">R&amp;M Expenses </t>
  </si>
  <si>
    <t xml:space="preserve">A&amp;G Expenses </t>
  </si>
  <si>
    <t>Total O&amp;M Expense capitalised</t>
  </si>
  <si>
    <t>A. For Existing Generating Stations</t>
  </si>
  <si>
    <t xml:space="preserve">Employee Expenses </t>
  </si>
  <si>
    <t>Total O&amp;M Expenses</t>
  </si>
  <si>
    <t xml:space="preserve">Unit </t>
  </si>
  <si>
    <t>O&amp;M Norms specified by the Commission</t>
  </si>
  <si>
    <t>200/210/250 MW sets</t>
  </si>
  <si>
    <t>500 MW sets</t>
  </si>
  <si>
    <t>B</t>
  </si>
  <si>
    <t>C</t>
  </si>
  <si>
    <t>Form 3.2: Employee Expenses</t>
  </si>
  <si>
    <t>A. Expenditure details</t>
  </si>
  <si>
    <t>Basic Salary</t>
  </si>
  <si>
    <t>Dearness Allowance (DA)</t>
  </si>
  <si>
    <t>Conveyance Allowance</t>
  </si>
  <si>
    <t>Leave Travel Allowance</t>
  </si>
  <si>
    <t>Earned Leave Encashment</t>
  </si>
  <si>
    <t>Other Allowances</t>
  </si>
  <si>
    <t>Medical Reimbursement</t>
  </si>
  <si>
    <t>Overtime Payment</t>
  </si>
  <si>
    <t>Bonus/Ex-Gratia Payments</t>
  </si>
  <si>
    <t xml:space="preserve">Interim Relief / Wage Revision </t>
  </si>
  <si>
    <t>Staff welfare expenses</t>
  </si>
  <si>
    <t>VRS Expenses/Retrenchment Compensation</t>
  </si>
  <si>
    <t>Commission to Directors</t>
  </si>
  <si>
    <t>Training Expenses</t>
  </si>
  <si>
    <t>Payment under Workmen's Compensation Act</t>
  </si>
  <si>
    <t>Net Employee Costs</t>
  </si>
  <si>
    <t>Terminal Benefits</t>
  </si>
  <si>
    <t>Provident Fund Contribution</t>
  </si>
  <si>
    <t>Provision for PF Fund</t>
  </si>
  <si>
    <t>Pension Payments</t>
  </si>
  <si>
    <t>Gratuity Payment</t>
  </si>
  <si>
    <t>Others</t>
  </si>
  <si>
    <t xml:space="preserve">Gross Employee Expenses </t>
  </si>
  <si>
    <t xml:space="preserve">Net Employee Expenses </t>
  </si>
  <si>
    <t>B. Details of number of employees</t>
  </si>
  <si>
    <t>Officer/Managerial Cadre</t>
  </si>
  <si>
    <t>Technical</t>
  </si>
  <si>
    <t>Administrative</t>
  </si>
  <si>
    <t>Accounts and finance</t>
  </si>
  <si>
    <t>Other (Please specify)</t>
  </si>
  <si>
    <t>Staff Cadre</t>
  </si>
  <si>
    <t>Grade I</t>
  </si>
  <si>
    <t>Grade II</t>
  </si>
  <si>
    <t>Grade III</t>
  </si>
  <si>
    <t>Grade IV</t>
  </si>
  <si>
    <t>Others (please specify)</t>
  </si>
  <si>
    <t>Total Employees</t>
  </si>
  <si>
    <t>Form 3.3: Administration &amp; General Expenses</t>
  </si>
  <si>
    <t>Rent Rates &amp; Taxes</t>
  </si>
  <si>
    <t>Insurance</t>
  </si>
  <si>
    <t>Telephone &amp; Postage, etc.</t>
  </si>
  <si>
    <t>Legal charges &amp; Audit fee</t>
  </si>
  <si>
    <t>Professional, Consultancy, Technical fee</t>
  </si>
  <si>
    <t>Conveyance &amp; Travel</t>
  </si>
  <si>
    <t>Electricity charges</t>
  </si>
  <si>
    <t>Water charges</t>
  </si>
  <si>
    <t>Security arrangements</t>
  </si>
  <si>
    <t>Fees &amp; subscription</t>
  </si>
  <si>
    <t>Books &amp; periodicals</t>
  </si>
  <si>
    <t>Computer Stationery</t>
  </si>
  <si>
    <t>Printing &amp; Stationery</t>
  </si>
  <si>
    <t xml:space="preserve">Advertisements </t>
  </si>
  <si>
    <t>Purchase Related Advertisement Expenses</t>
  </si>
  <si>
    <t>Contribution/Donations</t>
  </si>
  <si>
    <t>License Fee  and other related fee</t>
  </si>
  <si>
    <t>Vehicle Running Expenses Truck / Delivery Van</t>
  </si>
  <si>
    <t>Vehicle Hiring Expenses Truck / Delivery Van</t>
  </si>
  <si>
    <t>Outsourcing of metering and billing system</t>
  </si>
  <si>
    <t>Freight On Capital Equipments</t>
  </si>
  <si>
    <t>V-sat, Internet and related charges</t>
  </si>
  <si>
    <t>Training</t>
  </si>
  <si>
    <t>Bank Charges</t>
  </si>
  <si>
    <t>Miscellaneous Expenses</t>
  </si>
  <si>
    <t>Office Expenses</t>
  </si>
  <si>
    <t>Gross A &amp;G Expenses</t>
  </si>
  <si>
    <t xml:space="preserve">Net A &amp;G Expenses </t>
  </si>
  <si>
    <t>Form 3.4: Repair &amp; Maintenance Expenses</t>
  </si>
  <si>
    <t>Plant &amp; Machinery</t>
  </si>
  <si>
    <t>Hydraulic Works</t>
  </si>
  <si>
    <t>Lines &amp; Cable Networks</t>
  </si>
  <si>
    <t>Vehicles</t>
  </si>
  <si>
    <t>Furniture &amp; Fixtures</t>
  </si>
  <si>
    <t>Office Equipment</t>
  </si>
  <si>
    <t>Gross R&amp;M Expenses</t>
  </si>
  <si>
    <t>Gross Fixed Assets at beginning of year</t>
  </si>
  <si>
    <t>R&amp;M Expenses as % of GFA at beginning of year</t>
  </si>
  <si>
    <t>Form 5: Assets &amp; Depreciation</t>
  </si>
  <si>
    <t xml:space="preserve">       </t>
  </si>
  <si>
    <t>(A) Gross Fixed Assets</t>
  </si>
  <si>
    <t>Balance at the beginning of the year</t>
  </si>
  <si>
    <t>Additions during the year</t>
  </si>
  <si>
    <t>Retirement of assets during the year</t>
  </si>
  <si>
    <t>Balance at the end of the year</t>
  </si>
  <si>
    <t>Total</t>
  </si>
  <si>
    <t>(B) Depreciation</t>
  </si>
  <si>
    <t>Accumulated depreciation at the beginning of the year</t>
  </si>
  <si>
    <t>Withdrawals during the year</t>
  </si>
  <si>
    <t>Accumulated depreciation at the end of the year</t>
  </si>
  <si>
    <t>Form 8: Sales Forecast</t>
  </si>
  <si>
    <t>(MU)</t>
  </si>
  <si>
    <t>Customer</t>
  </si>
  <si>
    <t>Apr</t>
  </si>
  <si>
    <t>May</t>
  </si>
  <si>
    <t>Jun</t>
  </si>
  <si>
    <t>Jul</t>
  </si>
  <si>
    <t>Aug</t>
  </si>
  <si>
    <t>Sep</t>
  </si>
  <si>
    <t>Oct</t>
  </si>
  <si>
    <t>Nov</t>
  </si>
  <si>
    <t>Dec</t>
  </si>
  <si>
    <t>Jan</t>
  </si>
  <si>
    <t>Feb</t>
  </si>
  <si>
    <t>Mar</t>
  </si>
  <si>
    <r>
      <t xml:space="preserve">              </t>
    </r>
    <r>
      <rPr>
        <b/>
        <sz val="11"/>
        <rFont val="Times New Roman"/>
        <family val="1"/>
      </rPr>
      <t xml:space="preserve">               </t>
    </r>
  </si>
  <si>
    <t>Actuals</t>
  </si>
  <si>
    <t xml:space="preserve"> Total</t>
  </si>
  <si>
    <t xml:space="preserve">Components of tariff </t>
  </si>
  <si>
    <t>Relevant sales &amp; load/demand data for revenue calculation</t>
  </si>
  <si>
    <t>Full year revenue (Rs. Crore)</t>
  </si>
  <si>
    <t>Sales in MU</t>
  </si>
  <si>
    <t>Item 3 (specify)</t>
  </si>
  <si>
    <t xml:space="preserve">Revenue from Fixed / Capacity Charges </t>
  </si>
  <si>
    <t>Revenue from Energy Charges</t>
  </si>
  <si>
    <t>Income from sale of ash/rejected coal</t>
  </si>
  <si>
    <t>Income from hire charges from contractors and others</t>
  </si>
  <si>
    <t>Income from advertisements, etc.</t>
  </si>
  <si>
    <t>Deviation</t>
  </si>
  <si>
    <t>Controllable</t>
  </si>
  <si>
    <t>Uncontrollable</t>
  </si>
  <si>
    <t>Revenue</t>
  </si>
  <si>
    <t>Revenue from sale of electricity</t>
  </si>
  <si>
    <t>Fuel Cost Details for Thermal Generation</t>
  </si>
  <si>
    <t>Capitalisation Plan</t>
  </si>
  <si>
    <t>Form 9.1</t>
  </si>
  <si>
    <t>Form 9.2</t>
  </si>
  <si>
    <t>Expected Revenue at Existing Tariff</t>
  </si>
  <si>
    <t>Non-Tariff Income</t>
  </si>
  <si>
    <t>Truing-Up Summary</t>
  </si>
  <si>
    <t>Total Revenue Gap/(Surplus)</t>
  </si>
  <si>
    <t>Actual/Projected Gross Station Heat Rate</t>
  </si>
  <si>
    <t>Actual/Projected Secondary Fuel Oil Consumption</t>
  </si>
  <si>
    <t>Actual/Projected Transit Loss</t>
  </si>
  <si>
    <t>Actual/Projected Annual Plant Availability Factor</t>
  </si>
  <si>
    <t>Form 11:  Non-Tariff Income</t>
  </si>
  <si>
    <t>Other Expenses</t>
  </si>
  <si>
    <t>Form 12</t>
  </si>
  <si>
    <t>Form 10:  Other Expenses</t>
  </si>
  <si>
    <t>FY 2019-20</t>
  </si>
  <si>
    <t>300/330/350 MW</t>
  </si>
  <si>
    <t>Income from investments</t>
  </si>
  <si>
    <t>Income from sale of tender documents</t>
  </si>
  <si>
    <r>
      <t xml:space="preserve">Cost of Coal/Lignite and Limestone towards stock, if applicable </t>
    </r>
    <r>
      <rPr>
        <vertAlign val="superscript"/>
        <sz val="11"/>
        <rFont val="Times New Roman"/>
        <family val="1"/>
      </rPr>
      <t>1</t>
    </r>
  </si>
  <si>
    <r>
      <t xml:space="preserve">Cost of Oil towards stock, if applicable </t>
    </r>
    <r>
      <rPr>
        <vertAlign val="superscript"/>
        <sz val="11"/>
        <rFont val="Times New Roman"/>
        <family val="1"/>
      </rPr>
      <t>2</t>
    </r>
  </si>
  <si>
    <r>
      <t xml:space="preserve">Cost of Oil </t>
    </r>
    <r>
      <rPr>
        <vertAlign val="superscript"/>
        <sz val="11"/>
        <rFont val="Times New Roman"/>
        <family val="1"/>
      </rPr>
      <t>2</t>
    </r>
  </si>
  <si>
    <r>
      <t xml:space="preserve">Cost of coal or lignite and Limestone </t>
    </r>
    <r>
      <rPr>
        <vertAlign val="superscript"/>
        <sz val="11"/>
        <rFont val="Times New Roman"/>
        <family val="1"/>
      </rPr>
      <t>1</t>
    </r>
  </si>
  <si>
    <t>Calorific Value (As received)</t>
  </si>
  <si>
    <t>Unit 1 / Station 1</t>
  </si>
  <si>
    <t>Unit 2 / Station 2</t>
  </si>
  <si>
    <t>Interest on Loan Capital</t>
  </si>
  <si>
    <t xml:space="preserve">Depreciation </t>
  </si>
  <si>
    <t>Sharing of Gains/(Losses)</t>
  </si>
  <si>
    <t>Total O&amp;M Expenses after sharing of Gains/(losses)</t>
  </si>
  <si>
    <t>Sr. No.</t>
  </si>
  <si>
    <t>(C ) Net Fixed Assets</t>
  </si>
  <si>
    <t>Addition of Loan during the year</t>
  </si>
  <si>
    <t xml:space="preserve">Sr. No. </t>
  </si>
  <si>
    <t>Form 9:  Revenue from Sale of Electricity</t>
  </si>
  <si>
    <t>Energy Charges (Rs./kWh)</t>
  </si>
  <si>
    <t>Fuel surcharge per unit, if any (Rs./kWh)</t>
  </si>
  <si>
    <t>Fixed / Capacity Charges (Rs. Crore / year)</t>
  </si>
  <si>
    <t>Net Income from supply of electricity by the Generation Company to the housing colonies of its operating staff and supply of electricity by the Generating Company for construction works at generating Station, after adjusting the expenses incurred for supply of such electricity</t>
  </si>
  <si>
    <t>Form 13</t>
  </si>
  <si>
    <t>Form 13:  Truing-up Summary</t>
  </si>
  <si>
    <t>Total Revenue</t>
  </si>
  <si>
    <t>a</t>
  </si>
  <si>
    <t>b</t>
  </si>
  <si>
    <t>e</t>
  </si>
  <si>
    <t>Form 2.7</t>
  </si>
  <si>
    <t>Energy Charge Rate for Hydel Generation</t>
  </si>
  <si>
    <t>c</t>
  </si>
  <si>
    <t>Auxiliary Consumption</t>
  </si>
  <si>
    <t>f</t>
  </si>
  <si>
    <t>g=e*(1-f)</t>
  </si>
  <si>
    <t>h=0.50*a/g</t>
  </si>
  <si>
    <t>Normative Availability (%)</t>
  </si>
  <si>
    <t>Actual Availability (%)</t>
  </si>
  <si>
    <t>Design Energy (MU)</t>
  </si>
  <si>
    <t>Auxiliary Consumption (%)</t>
  </si>
  <si>
    <t>Net Design Energy (MU)</t>
  </si>
  <si>
    <t>Energy Charge Rate (Rs. kWh)</t>
  </si>
  <si>
    <t xml:space="preserve"> </t>
  </si>
  <si>
    <t>Form 1.1: Summary of Tariff Proposal</t>
  </si>
  <si>
    <t>Summary of Tariff Proposal</t>
  </si>
  <si>
    <t>Form 1.1</t>
  </si>
  <si>
    <t>Form 2.1: Operational Parameters for Thermal Generation</t>
  </si>
  <si>
    <t>Availability</t>
  </si>
  <si>
    <t>Plant Load Factor (PLF)</t>
  </si>
  <si>
    <t>Secondary Fuel Oil Consumption</t>
  </si>
  <si>
    <t>Total Heat Content</t>
  </si>
  <si>
    <t>Computation of Working Capital Interest</t>
  </si>
  <si>
    <t>Interest Rate (%) - SBI Base Rate +150 basis points</t>
  </si>
  <si>
    <t xml:space="preserve">O&amp;M expenses </t>
  </si>
  <si>
    <t>Norms</t>
  </si>
  <si>
    <t>Interest Rate (%) - SBI Base Rate +150 Basis Points</t>
  </si>
  <si>
    <t>Form 2.2: Energy Charges for Thermal Generation</t>
  </si>
  <si>
    <t>Form 2.3: Fuel Cost Details for Thermal Generation</t>
  </si>
  <si>
    <t>Form 2.4: Interest on Working Capital - Thermal Generation</t>
  </si>
  <si>
    <t>Form 2.5: Operational Parameters - Hydel Generation</t>
  </si>
  <si>
    <t>Form 2.7: Interest on Working Capital - Hydel Generation</t>
  </si>
  <si>
    <t>Form 2.8: Planned &amp; Forced Outages</t>
  </si>
  <si>
    <t>Form 2.8</t>
  </si>
  <si>
    <t>Operational Parameters-Thermal Generation</t>
  </si>
  <si>
    <t>Total Operation &amp; Maintenance Expenses (Net of Capitalisation)</t>
  </si>
  <si>
    <t>(d)</t>
  </si>
  <si>
    <t>(e )</t>
  </si>
  <si>
    <t>(f)=(d)+(e )</t>
  </si>
  <si>
    <t>A&amp;G Expenses (including insurance and excluding Water Charges)</t>
  </si>
  <si>
    <t>Form 4.1</t>
  </si>
  <si>
    <t>Form 4.2</t>
  </si>
  <si>
    <t>Opening Balance of Gross Normative Loan</t>
  </si>
  <si>
    <t>Cumulative Repayment till the year</t>
  </si>
  <si>
    <t>Opening Balance of Net Normative Loan</t>
  </si>
  <si>
    <t>Less: Reduction of Normative Loan due to retirement or replacement of assets</t>
  </si>
  <si>
    <t>Closing Balance of Net Normative Loan</t>
  </si>
  <si>
    <t>Closing Balance of Gross Normative Loan</t>
  </si>
  <si>
    <t>A) Normative Loan</t>
  </si>
  <si>
    <t>Financing Charges</t>
  </si>
  <si>
    <t>Return on Equity Computation</t>
  </si>
  <si>
    <t>Total Return on Equity</t>
  </si>
  <si>
    <t>Repayment of Normative loan during the year</t>
  </si>
  <si>
    <t>Reasons for Deviation</t>
  </si>
  <si>
    <t>(e)</t>
  </si>
  <si>
    <t>(g)</t>
  </si>
  <si>
    <t>(h)</t>
  </si>
  <si>
    <t>2.5.1</t>
  </si>
  <si>
    <t>Year</t>
  </si>
  <si>
    <t>IDC</t>
  </si>
  <si>
    <t>2.5.2</t>
  </si>
  <si>
    <t>2.5.3</t>
  </si>
  <si>
    <t>Energy Charge Rate ex-bus (Rs./kWh)</t>
  </si>
  <si>
    <t>Other Charges (Rs./kWh)</t>
  </si>
  <si>
    <t>NAPAF (%)</t>
  </si>
  <si>
    <t>………</t>
  </si>
  <si>
    <t>Loan 2</t>
  </si>
  <si>
    <t>Loan 1</t>
  </si>
  <si>
    <t>Form 9.2:  Expected Revenue at Existing Tariff</t>
  </si>
  <si>
    <t>Form 9.3:  Expected Revenue at Proposed Tariff</t>
  </si>
  <si>
    <t>S. No.</t>
  </si>
  <si>
    <t>Availability during the month (%)</t>
  </si>
  <si>
    <t>Cumulative Availability (%)</t>
  </si>
  <si>
    <t>Actual PLF during the month (%)</t>
  </si>
  <si>
    <t>Cumulative PLF (%)</t>
  </si>
  <si>
    <t>Gross  Generation (MU)</t>
  </si>
  <si>
    <t>Auxiliary Consumption (MU)</t>
  </si>
  <si>
    <t>Variable Charges Per Unit</t>
  </si>
  <si>
    <t>Fixed Charges During Month</t>
  </si>
  <si>
    <t>Variable Charges Amount</t>
  </si>
  <si>
    <t>Incentive Amount</t>
  </si>
  <si>
    <t>Revenue from sale of power</t>
  </si>
  <si>
    <t>Other recoveries/adjustments</t>
  </si>
  <si>
    <t>Form 9.1:  Reconciliation of Revenue claimed for true up and as per the Audited Accounts</t>
  </si>
  <si>
    <t>Form 9.3</t>
  </si>
  <si>
    <t>Reconciliation of Revenue claimed for true up and as per the Audited Accounts</t>
  </si>
  <si>
    <t>Rs./kWh</t>
  </si>
  <si>
    <t>Rs. Crore</t>
  </si>
  <si>
    <t>Total Revenue as per Audited Accounts</t>
  </si>
  <si>
    <t>Apr-Sep    (Actual)</t>
  </si>
  <si>
    <t>Apr-Sep            (Actual)</t>
  </si>
  <si>
    <t>Expected Revenue at Proposed Tariff</t>
  </si>
  <si>
    <t>Gross Station Heat Rate</t>
  </si>
  <si>
    <t>Oct-Mar          (Estimated)</t>
  </si>
  <si>
    <t>Actual stacking loss</t>
  </si>
  <si>
    <t>MYT Order</t>
  </si>
  <si>
    <t>True-Up requirement</t>
  </si>
  <si>
    <t>Provisional True-Up requirement</t>
  </si>
  <si>
    <t>Target Availability (%)</t>
  </si>
  <si>
    <t>Petitioner should submit documentary evidence for actual interest on working capital incurred</t>
  </si>
  <si>
    <t>Legend</t>
  </si>
  <si>
    <t>(f) = (e) - (d)</t>
  </si>
  <si>
    <t>d=0.50*a*c/b</t>
  </si>
  <si>
    <t>Annual Fixed Cost for Hydel Generating Station (Rs. Crore)</t>
  </si>
  <si>
    <t>Form 2.6: Capacity Charge &amp; Energy Charge Rate - Hydel Generation</t>
  </si>
  <si>
    <t>Capacity Charges (Rs. Crore)</t>
  </si>
  <si>
    <t>(c)</t>
  </si>
  <si>
    <t>R &amp; M Expenses</t>
  </si>
  <si>
    <t>B. For New Generating Stations &amp; Generating Stations that achieved COD after 26.8.2005</t>
  </si>
  <si>
    <t>Installed Capacity</t>
  </si>
  <si>
    <t xml:space="preserve">O&amp;M Expenses </t>
  </si>
  <si>
    <t>Rs. Lakh/MW</t>
  </si>
  <si>
    <t>Addition of Normative Loan due to capitalisation during the year</t>
  </si>
  <si>
    <t>Weighted average Rate of Interest on actual Loans (%)</t>
  </si>
  <si>
    <t>Total Interest &amp; Financing Charges</t>
  </si>
  <si>
    <t>B) Existing Actual Long-term Loans</t>
  </si>
  <si>
    <t>Average Balance of Net Normative Loan</t>
  </si>
  <si>
    <t>Average Loan Balance</t>
  </si>
  <si>
    <t>Net Generation (MU)</t>
  </si>
  <si>
    <t>Income from Sale of Scrap</t>
  </si>
  <si>
    <t>Income from Rents of land or buildings</t>
  </si>
  <si>
    <t>Interest income on advances to suppliers/contractors</t>
  </si>
  <si>
    <t>….</t>
  </si>
  <si>
    <t>Generation above target PLF (MU)</t>
  </si>
  <si>
    <t>Approved Fixed Charges</t>
  </si>
  <si>
    <t>Fuel Surcharge Adjustment</t>
  </si>
  <si>
    <t>Amount of Fuel Surcharge Adjustment</t>
  </si>
  <si>
    <t>Form 4:  Summary of Capital Expenditure and Capitalisation</t>
  </si>
  <si>
    <t>Capitalisation + IDC</t>
  </si>
  <si>
    <t>Summary of Capital Expenditure and Capitalisation</t>
  </si>
  <si>
    <t>Form 4.3</t>
  </si>
  <si>
    <t>Actual Working Capital Interest</t>
  </si>
  <si>
    <t>Net Entitlement after sharing of gains/(losses)</t>
  </si>
  <si>
    <t>Loan 3</t>
  </si>
  <si>
    <t>Separate detailed computations for FERV component to be submitted</t>
  </si>
  <si>
    <t>MERC Approval No.</t>
  </si>
  <si>
    <t>MERC Approval Date</t>
  </si>
  <si>
    <t>Capital Cost</t>
  </si>
  <si>
    <t xml:space="preserve">Actual </t>
  </si>
  <si>
    <t>Actual Capital Cost Incurred</t>
  </si>
  <si>
    <t>MERC Approved Cost</t>
  </si>
  <si>
    <t>Approved Start Date</t>
  </si>
  <si>
    <t>Actual Start Date</t>
  </si>
  <si>
    <t>Approved Date of Completion</t>
  </si>
  <si>
    <t>Actual Date of Completion</t>
  </si>
  <si>
    <t>Cumulative Expenditure Incurred till beginning of the Year</t>
  </si>
  <si>
    <t>Capital Expenditure Capitalised</t>
  </si>
  <si>
    <t xml:space="preserve">Form 4.1: Capital Expenditure Plan </t>
  </si>
  <si>
    <t xml:space="preserve">(i) </t>
  </si>
  <si>
    <t>(j) = (h) + (i)</t>
  </si>
  <si>
    <t>(k) = (j) - (g)</t>
  </si>
  <si>
    <t>FY 2020-21</t>
  </si>
  <si>
    <t>FY 2021-22</t>
  </si>
  <si>
    <t>FY 2022-23</t>
  </si>
  <si>
    <t>FY 2023-24</t>
  </si>
  <si>
    <t>FY 2024-25</t>
  </si>
  <si>
    <t>(f)</t>
  </si>
  <si>
    <t>(i) = (h) - (g)</t>
  </si>
  <si>
    <t>Type of Thermal Generating Station (Pithead/Non-Pithead)</t>
  </si>
  <si>
    <t>Land</t>
  </si>
  <si>
    <t>Asset as on 1st April 2005</t>
  </si>
  <si>
    <t>Depreciation as on 1st April 2005</t>
  </si>
  <si>
    <t>2005-06</t>
  </si>
  <si>
    <t>2006-07</t>
  </si>
  <si>
    <t>2007-08</t>
  </si>
  <si>
    <t>2008-09</t>
  </si>
  <si>
    <t>2009-10</t>
  </si>
  <si>
    <t>2010-11</t>
  </si>
  <si>
    <t>2011-12</t>
  </si>
  <si>
    <t>2012-13</t>
  </si>
  <si>
    <t>2013-14</t>
  </si>
  <si>
    <t>2014-15</t>
  </si>
  <si>
    <t>2015-16</t>
  </si>
  <si>
    <t>2016-17</t>
  </si>
  <si>
    <t>2017-18</t>
  </si>
  <si>
    <t>2018-19</t>
  </si>
  <si>
    <t>Asset crossing 90% depreciation</t>
  </si>
  <si>
    <t xml:space="preserve">Opening </t>
  </si>
  <si>
    <t>Addition</t>
  </si>
  <si>
    <t>2019-20</t>
  </si>
  <si>
    <t>2020-21</t>
  </si>
  <si>
    <t>2021-22</t>
  </si>
  <si>
    <t>Building</t>
  </si>
  <si>
    <t>Depriciation as on 1st april</t>
  </si>
  <si>
    <t>Remaining Depreciable value</t>
  </si>
  <si>
    <t>Hydraulic</t>
  </si>
  <si>
    <t>Other Civil work</t>
  </si>
  <si>
    <t>Plant and Machinery</t>
  </si>
  <si>
    <t>Lines and Cable Network</t>
  </si>
  <si>
    <t>Vehicle</t>
  </si>
  <si>
    <t>Furniture</t>
  </si>
  <si>
    <t>2022-23</t>
  </si>
  <si>
    <t>2023-24</t>
  </si>
  <si>
    <t>2024-25</t>
  </si>
  <si>
    <t>Capitalisation during the year $</t>
  </si>
  <si>
    <r>
      <t>Less: Payables for Fuel</t>
    </r>
    <r>
      <rPr>
        <vertAlign val="superscript"/>
        <sz val="11"/>
        <rFont val="Times New Roman"/>
        <family val="1"/>
      </rPr>
      <t>4</t>
    </r>
  </si>
  <si>
    <t>Base Rate of Return on Equity</t>
  </si>
  <si>
    <t xml:space="preserve">Return on Regulatory Equity at the beginning of the year </t>
  </si>
  <si>
    <t xml:space="preserve">Return on Regulatory Equity addition during the year </t>
  </si>
  <si>
    <t>Actual Income Tax paid by the Entity #</t>
  </si>
  <si>
    <t>Rate of Pre Tax Return on Equity (%)</t>
  </si>
  <si>
    <t>c = (b/a)</t>
  </si>
  <si>
    <t>Fuel Utilisation Plan</t>
  </si>
  <si>
    <t>Form 16</t>
  </si>
  <si>
    <t>Name of Generating Station/Unit</t>
  </si>
  <si>
    <t>Details of Contracted Source</t>
  </si>
  <si>
    <t>Annual Contracted Quantity</t>
  </si>
  <si>
    <t>Estimated Availability</t>
  </si>
  <si>
    <t xml:space="preserve">Expected Shortage </t>
  </si>
  <si>
    <t>Alternate Arrangement in case of Shortage</t>
  </si>
  <si>
    <t>Name of Alternate Source</t>
  </si>
  <si>
    <t>Name of Source</t>
  </si>
  <si>
    <t>Expected Rate of Alternate Source</t>
  </si>
  <si>
    <t>Plan for Swapping of Fuel Source for Optimizing Cost</t>
  </si>
  <si>
    <t>Net Cost Savings in Variable cost after optimum Utilisation</t>
  </si>
  <si>
    <t>Month</t>
  </si>
  <si>
    <t>July</t>
  </si>
  <si>
    <t xml:space="preserve">Nov </t>
  </si>
  <si>
    <r>
      <rPr>
        <b/>
        <sz val="11"/>
        <rFont val="Times New Roman"/>
        <family val="1"/>
      </rPr>
      <t>Note</t>
    </r>
    <r>
      <rPr>
        <sz val="11"/>
        <rFont val="Times New Roman"/>
        <family val="1"/>
      </rPr>
      <t>: 1. Fuel quantum is to be allocated to different generating Stations/Units in accordance with the merit order of different generation Stations/Units in terms of variable cost</t>
    </r>
  </si>
  <si>
    <t xml:space="preserve">          3. Fuel Utilisation Plan shall be prepared based on past data and reasonable assumptions for future</t>
  </si>
  <si>
    <t>Water Charges</t>
  </si>
  <si>
    <t>C. Opex Schemes</t>
  </si>
  <si>
    <t>System Automation</t>
  </si>
  <si>
    <t>New Technology</t>
  </si>
  <si>
    <t>I.T. Implementation</t>
  </si>
  <si>
    <t>Calorific Value (As billed)</t>
  </si>
  <si>
    <t>Opex Schemes</t>
  </si>
  <si>
    <t>600 MW sets</t>
  </si>
  <si>
    <t>800 MW sets &amp; above</t>
  </si>
  <si>
    <t xml:space="preserve">600 MW sets </t>
  </si>
  <si>
    <t>Pretax Return on Equity after considering effective Tax rate $$</t>
  </si>
  <si>
    <t>Depreciation Rate for that Year</t>
  </si>
  <si>
    <t>Depreciation during the Year</t>
  </si>
  <si>
    <t>Grant Funding</t>
  </si>
  <si>
    <t>Asset not in use</t>
  </si>
  <si>
    <t>(e) = (a)+(b)-(c)-(d)</t>
  </si>
  <si>
    <t>(i)</t>
  </si>
  <si>
    <t>(k)</t>
  </si>
  <si>
    <t>(l)</t>
  </si>
  <si>
    <t>(m)</t>
  </si>
  <si>
    <t>(n)</t>
  </si>
  <si>
    <t>(q)</t>
  </si>
  <si>
    <t>(r)</t>
  </si>
  <si>
    <t>(s)</t>
  </si>
  <si>
    <r>
      <rPr>
        <b/>
        <sz val="11"/>
        <rFont val="Times New Roman"/>
        <family val="1"/>
      </rPr>
      <t>Note</t>
    </r>
    <r>
      <rPr>
        <sz val="11"/>
        <rFont val="Times New Roman"/>
        <family val="1"/>
      </rPr>
      <t>: Documentary evidence of all assets put to use during the completed Years shall be provided with this format</t>
    </r>
  </si>
  <si>
    <r>
      <rPr>
        <b/>
        <sz val="11"/>
        <rFont val="Times New Roman"/>
        <family val="1"/>
      </rPr>
      <t>Note</t>
    </r>
    <r>
      <rPr>
        <sz val="11"/>
        <rFont val="Times New Roman"/>
        <family val="1"/>
      </rPr>
      <t>: 1. Documentary evidence of all assets put to use during the Year shall be provided with this format</t>
    </r>
  </si>
  <si>
    <r>
      <rPr>
        <b/>
        <sz val="11"/>
        <rFont val="Times New Roman"/>
        <family val="1"/>
      </rPr>
      <t>Note</t>
    </r>
    <r>
      <rPr>
        <sz val="11"/>
        <rFont val="Times New Roman"/>
        <family val="1"/>
      </rPr>
      <t>: Documentary evidence of all assets put to use shall be provided with this format</t>
    </r>
  </si>
  <si>
    <t xml:space="preserve">Regulatory Equity at the beginning of the year </t>
  </si>
  <si>
    <t>Equity portion of capitalisation during the year #</t>
  </si>
  <si>
    <t>Return on Regulatory Equity at the beginning of the year</t>
  </si>
  <si>
    <t>Return on Regulatory Equity addition during the year</t>
  </si>
  <si>
    <t>(Numbers)</t>
  </si>
  <si>
    <t>Formula</t>
  </si>
  <si>
    <t>Total Gross Income of Regulated Entity (Rs. Crore)</t>
  </si>
  <si>
    <t>Base Rate of Return on Equity (%)</t>
  </si>
  <si>
    <t>... ... ...</t>
  </si>
  <si>
    <t>Short Term Loan 3</t>
  </si>
  <si>
    <t>Short Term Loan 2</t>
  </si>
  <si>
    <t>Short Term Loan 1</t>
  </si>
  <si>
    <t>Scheduled Payment against Short Term Loans</t>
  </si>
  <si>
    <t>Long Term Loan 3</t>
  </si>
  <si>
    <t>Long Term Loan 2</t>
  </si>
  <si>
    <t>Long Term Loan 1</t>
  </si>
  <si>
    <t>Scheduled Payment against Long Term Loans</t>
  </si>
  <si>
    <t>% of Amount paid</t>
  </si>
  <si>
    <t>Amount (Rs. Crore)</t>
  </si>
  <si>
    <t>Month/ Date</t>
  </si>
  <si>
    <t>Due date</t>
  </si>
  <si>
    <t>Month/Date</t>
  </si>
  <si>
    <t>Amount Pending (Rs. Crore)</t>
  </si>
  <si>
    <t>Delay in payment (days)</t>
  </si>
  <si>
    <t>Payment made</t>
  </si>
  <si>
    <t>Schedule Payment</t>
  </si>
  <si>
    <t>Payment Efficiency</t>
  </si>
  <si>
    <t>A) Scheduled and Actual Payment</t>
  </si>
  <si>
    <t>Scheduled Payment against Supplies</t>
  </si>
  <si>
    <t>Supplier 1 (Name &amp; Item)</t>
  </si>
  <si>
    <t>Supplier 2 (Name &amp; Item)</t>
  </si>
  <si>
    <t>Supplier 3 (Name &amp; Item)</t>
  </si>
  <si>
    <r>
      <rPr>
        <b/>
        <sz val="11"/>
        <rFont val="Times New Roman"/>
        <family val="1"/>
      </rPr>
      <t>Note</t>
    </r>
    <r>
      <rPr>
        <sz val="11"/>
        <rFont val="Times New Roman"/>
        <family val="1"/>
      </rPr>
      <t>: Please give detailed explanation separately for the deviations on account of uncontrollable factors</t>
    </r>
  </si>
  <si>
    <t>Capacity (Fixed) Charges (Rs. Crore)</t>
  </si>
  <si>
    <t>Detailed Justification shall be provided for variation in approved capital expenditure and capitalisation vis-a-vis actual capital expenditure and capitalisation</t>
  </si>
  <si>
    <t xml:space="preserve">Form 4.2: Capitalisation Plan </t>
  </si>
  <si>
    <t>Form 4.3:  Capital Work-in-progress - Project-wise details</t>
  </si>
  <si>
    <t xml:space="preserve">          2. Least cost generating Stations/Units should be operated at maximum availability and other generating Stations/Units should be operated at maximum availability thereafter in the ascending order of variable cost</t>
  </si>
  <si>
    <t>Fuel Requirement of Each Unit/Station (MT, MCM)</t>
  </si>
  <si>
    <t xml:space="preserve">       4. Fuel Utilisation Plan to be submitted for each fuel separately</t>
  </si>
  <si>
    <t>Fuel type</t>
  </si>
  <si>
    <t>Impact on Variable Cost per unit</t>
  </si>
  <si>
    <t>Variable Cost per Unit</t>
  </si>
  <si>
    <t>In High Demand Season</t>
  </si>
  <si>
    <t>Peak Hours</t>
  </si>
  <si>
    <t>Off-Peak Hours</t>
  </si>
  <si>
    <t>In Low Demand Season</t>
  </si>
  <si>
    <t xml:space="preserve">Form 3:  Summary of Operations and Maintenance Expenses </t>
  </si>
  <si>
    <t xml:space="preserve">Administration &amp; General Expenses </t>
  </si>
  <si>
    <t xml:space="preserve">Repair &amp; Maintenance Expenses </t>
  </si>
  <si>
    <t>Operation and Maintenance Expenses - Normative</t>
  </si>
  <si>
    <t>Form 3.1:  Operation and Maintenance Expenses - Normative</t>
  </si>
  <si>
    <t>(i) = (e)+(f)-(g)-(h)</t>
  </si>
  <si>
    <t>(j)</t>
  </si>
  <si>
    <t>(t)</t>
  </si>
  <si>
    <t>(u) = (q)+(r)-(s)-(t)</t>
  </si>
  <si>
    <t>(u)</t>
  </si>
  <si>
    <t>(v)</t>
  </si>
  <si>
    <t>(w)</t>
  </si>
  <si>
    <t>(x)</t>
  </si>
  <si>
    <t>(y) = (u)+(v)-(w)-(x)</t>
  </si>
  <si>
    <t>(y)</t>
  </si>
  <si>
    <t>(z)</t>
  </si>
  <si>
    <t>(aa)</t>
  </si>
  <si>
    <t>(ab)</t>
  </si>
  <si>
    <t>(ac) = (y)+(z)-(aa)-(ab)</t>
  </si>
  <si>
    <t xml:space="preserve">Deviation = Approved - Actual on account of </t>
  </si>
  <si>
    <t>Material Cost (b)</t>
  </si>
  <si>
    <t>IDC (c)</t>
  </si>
  <si>
    <t>Others (d)</t>
  </si>
  <si>
    <t>Total Deviation (a+b+c+d)</t>
  </si>
  <si>
    <t>Change in Scope of Work (a)</t>
  </si>
  <si>
    <t>Revenue from Sale of Electricity</t>
  </si>
  <si>
    <t>Revised Projections</t>
  </si>
  <si>
    <t>(c) = (b) - (a)</t>
  </si>
  <si>
    <t>(j) = (h)+(i)</t>
  </si>
  <si>
    <t>(m) = (k)+(l)</t>
  </si>
  <si>
    <t>(n) = (m) - (j)</t>
  </si>
  <si>
    <t>Provisional</t>
  </si>
  <si>
    <t>Scheduled PLF</t>
  </si>
  <si>
    <t>Actual Availability</t>
  </si>
  <si>
    <t>* - Truing Up for FY 2019-20 to be done under MERC MYT Regulations 2015 with reference to amounts approved in the MYT Order for FY 2020-21 to FY 2024-25</t>
  </si>
  <si>
    <t>Stacking Loss</t>
  </si>
  <si>
    <t>Actual/Estimated/Projected Availability</t>
  </si>
  <si>
    <t>1.3.1</t>
  </si>
  <si>
    <t>1.3.2</t>
  </si>
  <si>
    <t>Actual/Estimated/Projected PLF</t>
  </si>
  <si>
    <t>Actual/Estimated/Projected Gross Generation</t>
  </si>
  <si>
    <t>Normative Auxiliary Energy Consumption with FGD</t>
  </si>
  <si>
    <t>Actual/Estimated/Projected Auxiliary Energy Consumption with FGD</t>
  </si>
  <si>
    <t>Actual/Estimated/Projected Net Generation</t>
  </si>
  <si>
    <t>Scheduled Net Generation</t>
  </si>
  <si>
    <t>Scheduled Gross Generation</t>
  </si>
  <si>
    <t>Actual/Estimated/Projected Gross Station Heat Rate</t>
  </si>
  <si>
    <t>Actual/Estimated/Projected Secondary Fuel Oil Consumption</t>
  </si>
  <si>
    <t>Actual/Estimated/Projected Transit Loss</t>
  </si>
  <si>
    <t>Washery Charges</t>
  </si>
  <si>
    <t>Total Washery Charges</t>
  </si>
  <si>
    <t>Third Party Sampling Charges</t>
  </si>
  <si>
    <t>Total Sampling Charges</t>
  </si>
  <si>
    <t>Total Cost (4+5+6+7)</t>
  </si>
  <si>
    <t>Energy Charge per unit (ex-bus) (8/1.16)</t>
  </si>
  <si>
    <t>Total Price excluding Transit Loss and Stacking Loss</t>
  </si>
  <si>
    <t>Total Price including Transit Loss and Stacking Loss</t>
  </si>
  <si>
    <t>MYT Order*</t>
  </si>
  <si>
    <t>Scheduled Generation (MU)</t>
  </si>
  <si>
    <t xml:space="preserve"> * - In case MYT Order is yet to be issued, then MTR Order values to be captured under this column</t>
  </si>
  <si>
    <t>Receivables#</t>
  </si>
  <si>
    <r>
      <rPr>
        <b/>
        <sz val="11"/>
        <rFont val="Times New Roman"/>
        <family val="1"/>
      </rPr>
      <t>Note</t>
    </r>
    <r>
      <rPr>
        <sz val="11"/>
        <rFont val="Times New Roman"/>
        <family val="1"/>
      </rPr>
      <t>:</t>
    </r>
  </si>
  <si>
    <t>Actual Capex till FY 2018-19</t>
  </si>
  <si>
    <t>Revised Projected</t>
  </si>
  <si>
    <t>Actual Progress till FY 2018-19</t>
  </si>
  <si>
    <t>Actual Capitalization till FY 2018-19</t>
  </si>
  <si>
    <t>2. Generation Company shall submit certification from the Statutory Auditor for the capping of depreciation at ninety per cent of the allowable capital cost of the asset</t>
  </si>
  <si>
    <t>(i) = (h)-(g)</t>
  </si>
  <si>
    <t>Additional Return on Equity</t>
  </si>
  <si>
    <t>Additional Rate of Return on Equity for incremental ramp rate (a)</t>
  </si>
  <si>
    <t>no. of days</t>
  </si>
  <si>
    <t>Additional Rate of Return on Equity on account of MTBF (b)</t>
  </si>
  <si>
    <t>Total Additional Return on Equity</t>
  </si>
  <si>
    <t>Additional Return on Equity Computation</t>
  </si>
  <si>
    <t>Incremental Ramp rate over and above 1% per minute#</t>
  </si>
  <si>
    <t>Mean Time Between Failures (MTBF) during the year$</t>
  </si>
  <si>
    <t>Total Additional Rate of Return on Equity (c) = (a) + (b)</t>
  </si>
  <si>
    <t>Year: FY 2022-23</t>
  </si>
  <si>
    <t>Additional Rate of Return on Equity (%)</t>
  </si>
  <si>
    <t>Total Rate of Return on Equity (%)</t>
  </si>
  <si>
    <t>(f)= (d)+(e)</t>
  </si>
  <si>
    <t>g = f /(1-c)</t>
  </si>
  <si>
    <t>Form 16: Payment Efficiency</t>
  </si>
  <si>
    <t>Form 15:  Fuel Utilisation Plan</t>
  </si>
  <si>
    <r>
      <rPr>
        <b/>
        <sz val="11"/>
        <rFont val="Times New Roman"/>
        <family val="1"/>
      </rPr>
      <t>Note</t>
    </r>
    <r>
      <rPr>
        <sz val="11"/>
        <rFont val="Times New Roman"/>
        <family val="1"/>
      </rPr>
      <t>: 1. Generating Company shall provide justification for variation between approved and actual fuel utilisation plan</t>
    </r>
  </si>
  <si>
    <t>FY 2022-23 Approved</t>
  </si>
  <si>
    <t xml:space="preserve">Actual Shortage </t>
  </si>
  <si>
    <t>Actual Rate of Alternate Source</t>
  </si>
  <si>
    <t>Swapping of Fuel Source for Optimizing Cost</t>
  </si>
  <si>
    <t>Projected Generation (MU)</t>
  </si>
  <si>
    <t>Asset as on 1st April/Asset Addition during the Year</t>
  </si>
  <si>
    <t xml:space="preserve">Any Other Charges (specify part name and unit) </t>
  </si>
  <si>
    <t>Share of Capacity (MW/%)</t>
  </si>
  <si>
    <t>Revenue from Any Other Charge (specify part name)</t>
  </si>
  <si>
    <t>Revenue from Fuel Surcharge</t>
  </si>
  <si>
    <t>2.1.4</t>
  </si>
  <si>
    <t>Fuel 1-coal</t>
  </si>
  <si>
    <t>Fuel 2-Imported Coal</t>
  </si>
  <si>
    <t>Fuel 3-FO</t>
  </si>
  <si>
    <t>Fuel 4-LDO</t>
  </si>
  <si>
    <t>2.2.4</t>
  </si>
  <si>
    <t>2.5.4</t>
  </si>
  <si>
    <t>3.1.4</t>
  </si>
  <si>
    <t>3.2.4</t>
  </si>
  <si>
    <t>3.3.4</t>
  </si>
  <si>
    <t>Coal handling contract charges</t>
  </si>
  <si>
    <t>Siding charges</t>
  </si>
  <si>
    <t>Payments to railway staff</t>
  </si>
  <si>
    <t>Con-Other coal related costs</t>
  </si>
  <si>
    <t>Other coal related costs</t>
  </si>
  <si>
    <t>Demurrage on coal wagons</t>
  </si>
  <si>
    <t>Demurrage on oil wagons</t>
  </si>
  <si>
    <t>Other fuel cost variance A/c Dr. / Cr.</t>
  </si>
  <si>
    <t>Consumption High Speed Diesel Oil</t>
  </si>
  <si>
    <t>Consumption of Oil ( Other )</t>
  </si>
  <si>
    <t>Oil handling contract charges</t>
  </si>
  <si>
    <t>Oil Lubricants</t>
  </si>
  <si>
    <t>7.1.1</t>
  </si>
  <si>
    <t>7.1.2</t>
  </si>
  <si>
    <t>7.1.3</t>
  </si>
  <si>
    <t>Not Applicable for Thermal Power Plant</t>
  </si>
  <si>
    <t>ATTACHED SEPARATELY</t>
  </si>
  <si>
    <t>Efficiency Gain</t>
  </si>
  <si>
    <t>Sharing of Efficiency Gain</t>
  </si>
  <si>
    <t>c=b-a</t>
  </si>
  <si>
    <t>d=b-a</t>
  </si>
  <si>
    <t>Pay Revision Impact</t>
  </si>
  <si>
    <t xml:space="preserve">      Maharashtra State Power Generation Company Ltd.</t>
  </si>
  <si>
    <t>Tax Rate</t>
  </si>
  <si>
    <t>MSEDCL</t>
  </si>
  <si>
    <t>Coal - Raw Coal</t>
  </si>
  <si>
    <t>Transporation</t>
  </si>
  <si>
    <t>Duties SED</t>
  </si>
  <si>
    <t>Royalty Charges</t>
  </si>
  <si>
    <t>Others STC</t>
  </si>
  <si>
    <t>Others-Energy Clean Charges</t>
  </si>
  <si>
    <t>Others-ED</t>
  </si>
  <si>
    <t>Coal - Imported  Coal</t>
  </si>
  <si>
    <t>Base Price</t>
  </si>
  <si>
    <t>Transportation</t>
  </si>
  <si>
    <t>Local Transportation</t>
  </si>
  <si>
    <t>Taxes</t>
  </si>
  <si>
    <t>Total Imported Coal</t>
  </si>
  <si>
    <t>Oil - LDO</t>
  </si>
  <si>
    <t>Total LDO</t>
  </si>
  <si>
    <t>Oil - FO</t>
  </si>
  <si>
    <t>Total FO</t>
  </si>
  <si>
    <t>Rs./KL</t>
  </si>
  <si>
    <t>D</t>
  </si>
  <si>
    <t>True-Up/Actual</t>
  </si>
  <si>
    <t>Coal Based</t>
  </si>
  <si>
    <t>Other Employee Benefits</t>
  </si>
  <si>
    <t>HO/SE Coal/WM</t>
  </si>
  <si>
    <t>Allocation : HO/SE Coal/WM</t>
  </si>
  <si>
    <t>Income of LD recovery</t>
  </si>
  <si>
    <t>Other Misc Income (Delayed payment charges, Interest on advances to suppliers, Land charges fm Contractors &amp; others, Sale of Tender forms, Registration fees, Ground rent on material lying in stores, Recruitment- exam fees, Income from Services, Miscellaneous receipts)</t>
  </si>
  <si>
    <t>Supplementary bill (Prov.True-up FY 19-20)</t>
  </si>
  <si>
    <t xml:space="preserve">Coal handling costs </t>
  </si>
  <si>
    <t>Other Gen expenses-Security</t>
  </si>
  <si>
    <t>Dep rate</t>
  </si>
  <si>
    <t>Balance useful life</t>
  </si>
  <si>
    <t>MYT 
Order</t>
  </si>
  <si>
    <t>True-Up 
requirement</t>
  </si>
  <si>
    <t>MYT 
Order*</t>
  </si>
  <si>
    <t>Revised 
Normative</t>
  </si>
  <si>
    <t>Rental from contractors &amp; staff Quarters</t>
  </si>
  <si>
    <t>C) Existing Actual Long-term Loans (Station Specific)</t>
  </si>
  <si>
    <t>D ) Actual Loans drawn during the year</t>
  </si>
  <si>
    <t>Other charges (NMET/DMF)</t>
  </si>
  <si>
    <t>Rescheduling charges</t>
  </si>
  <si>
    <t>Group 79 and its allocation</t>
  </si>
  <si>
    <t>Income on Energy saving certificate tra</t>
  </si>
  <si>
    <t>Taxes (CST/VAT/GST)</t>
  </si>
  <si>
    <t>Others (Discounts)</t>
  </si>
  <si>
    <t>Duties (Excise Duty)</t>
  </si>
  <si>
    <t>Others (Discount)</t>
  </si>
  <si>
    <t>Allowances</t>
  </si>
  <si>
    <t>Civil/Hydraulic, building</t>
  </si>
  <si>
    <t>Pollution control Exp</t>
  </si>
  <si>
    <t>Rent</t>
  </si>
  <si>
    <t>Gain/Loss on sale of Fixed Assets</t>
  </si>
  <si>
    <t>Profit / Loss on Exchange variance</t>
  </si>
  <si>
    <t>7.1.4</t>
  </si>
  <si>
    <t>7.1.5</t>
  </si>
  <si>
    <t>7.1.6</t>
  </si>
  <si>
    <t>7.1.7</t>
  </si>
  <si>
    <t>7.1.8</t>
  </si>
  <si>
    <t>7.1.9</t>
  </si>
  <si>
    <t>7.1.10</t>
  </si>
  <si>
    <t>7.1.11</t>
  </si>
  <si>
    <t>7.1.12</t>
  </si>
  <si>
    <t>7.1.13</t>
  </si>
  <si>
    <t>Land &amp; Rights</t>
  </si>
  <si>
    <t>Buildings</t>
  </si>
  <si>
    <t>Cooling Towers and Circulating Water Systems</t>
  </si>
  <si>
    <t>Hydraulic works</t>
  </si>
  <si>
    <t>Other &amp; Civil work</t>
  </si>
  <si>
    <t>Batteries</t>
  </si>
  <si>
    <t>Air Conditioning</t>
  </si>
  <si>
    <t>Lines &amp; cable Network</t>
  </si>
  <si>
    <t>Intangibles</t>
  </si>
  <si>
    <t>Other Variable Charges</t>
  </si>
  <si>
    <t>Other Adjustments (Pl. specify details)</t>
  </si>
  <si>
    <t>Variable Charges Amount (Mine Specific)</t>
  </si>
  <si>
    <t>Fuel 3-Washed Coal</t>
  </si>
  <si>
    <t>Fuel 6-LSHS</t>
  </si>
  <si>
    <t>Fuel 7-HSD</t>
  </si>
  <si>
    <t>2.1.5</t>
  </si>
  <si>
    <t>2.1.6</t>
  </si>
  <si>
    <t>2.1.7</t>
  </si>
  <si>
    <t>2.2.5</t>
  </si>
  <si>
    <t>2.2.6</t>
  </si>
  <si>
    <t>2.2.7</t>
  </si>
  <si>
    <t>2.5.5</t>
  </si>
  <si>
    <t>2.5.6</t>
  </si>
  <si>
    <t>2.5.7</t>
  </si>
  <si>
    <t>3.1.5</t>
  </si>
  <si>
    <t>3.1.6</t>
  </si>
  <si>
    <t>3.1.7</t>
  </si>
  <si>
    <t>3.2.5</t>
  </si>
  <si>
    <t>3.2.6</t>
  </si>
  <si>
    <t>3.2.7</t>
  </si>
  <si>
    <t>3.3.5</t>
  </si>
  <si>
    <t>3.3.6</t>
  </si>
  <si>
    <t>3.3.7</t>
  </si>
  <si>
    <t>4.1.1</t>
  </si>
  <si>
    <t>4.1.2</t>
  </si>
  <si>
    <t>4.1.3</t>
  </si>
  <si>
    <t>4.1.4</t>
  </si>
  <si>
    <t>4.1.5</t>
  </si>
  <si>
    <t>4.1.6</t>
  </si>
  <si>
    <t>4.1.7</t>
  </si>
  <si>
    <t>Coal - Washed Coal</t>
  </si>
  <si>
    <t>Rs./MT</t>
  </si>
  <si>
    <t>Others (Washing charges)</t>
  </si>
  <si>
    <t xml:space="preserve">Total Washed Coal </t>
  </si>
  <si>
    <t>E</t>
  </si>
  <si>
    <t>Oil - HSD</t>
  </si>
  <si>
    <t>Others (Additional VAT)</t>
  </si>
  <si>
    <t xml:space="preserve">Total HSD
</t>
  </si>
  <si>
    <t>Oil -LSHS</t>
  </si>
  <si>
    <t>Total LSHS</t>
  </si>
  <si>
    <t>F</t>
  </si>
  <si>
    <t>G</t>
  </si>
  <si>
    <t>unit/kWh</t>
  </si>
  <si>
    <t>unit</t>
  </si>
  <si>
    <t xml:space="preserve">HO Deprciation </t>
  </si>
  <si>
    <t xml:space="preserve">Other coal related costs                          </t>
  </si>
  <si>
    <t>Communication Equipments</t>
  </si>
  <si>
    <t>I.T. Equipment</t>
  </si>
  <si>
    <t>Software</t>
  </si>
  <si>
    <t>RIGHT TO USE OF KGSC LEASE ASSET STAGE I &amp; II</t>
  </si>
  <si>
    <t>Revenue loss/(gain) due to higher auxiliary consumption</t>
  </si>
  <si>
    <t>Revenue for True Up</t>
  </si>
  <si>
    <t>Add : Pay revision</t>
  </si>
  <si>
    <t>Add : water charges</t>
  </si>
  <si>
    <t>Sharing of Auxiliary Energy Consumption (AEC)</t>
  </si>
  <si>
    <t xml:space="preserve">FY </t>
  </si>
  <si>
    <t>Actual Gross Generation 
(MU)</t>
  </si>
  <si>
    <t>Normative AEC 
%</t>
  </si>
  <si>
    <t>Actual AEC 
%</t>
  </si>
  <si>
    <t>Lesser/ (Additional) energy sale (MU)</t>
  </si>
  <si>
    <t>Rate of Energy Charge 
(Rs. kWh)</t>
  </si>
  <si>
    <t>Revenue Loss due to higher AEC
(Rs. Cr)</t>
  </si>
  <si>
    <t>Sharing of Efficiency (Gain)/Loss</t>
  </si>
  <si>
    <t>To be approved</t>
  </si>
  <si>
    <t>Target Availability</t>
  </si>
  <si>
    <t>Total AFC</t>
  </si>
  <si>
    <t>Less: water charges</t>
  </si>
  <si>
    <t>AFC Reduction</t>
  </si>
  <si>
    <t>Reduced AFC</t>
  </si>
  <si>
    <t>Reduced AFC plus water charges</t>
  </si>
  <si>
    <t>UoM</t>
  </si>
  <si>
    <t>FY 22-23</t>
  </si>
  <si>
    <t>FY 23-24</t>
  </si>
  <si>
    <t>FY 24-25</t>
  </si>
  <si>
    <t>Working of AFC Reduction:</t>
  </si>
  <si>
    <t>Total Employee Expense incl. Pay Revision arrears</t>
  </si>
  <si>
    <t>Form 3:  Summary of Operations and Maintenance Expenses</t>
  </si>
  <si>
    <t>MTR Petition Formats - Generation</t>
  </si>
  <si>
    <t>DPR</t>
  </si>
  <si>
    <t>Date of Submission</t>
  </si>
  <si>
    <t xml:space="preserve">Cost as per DPR  Crs. </t>
  </si>
  <si>
    <t>Old Asset retired against capitalised item (in Rs. Cr)</t>
  </si>
  <si>
    <t>Current Status</t>
  </si>
  <si>
    <t>N.A.</t>
  </si>
  <si>
    <t>Not Initiated</t>
  </si>
  <si>
    <t>Scheme</t>
  </si>
  <si>
    <t>WIP</t>
  </si>
  <si>
    <t>Non-DPR</t>
  </si>
  <si>
    <t>Capitalised</t>
  </si>
  <si>
    <t>Cancelled</t>
  </si>
  <si>
    <t>To be cancelled</t>
  </si>
  <si>
    <t>To be confirmed</t>
  </si>
  <si>
    <t xml:space="preserve">Actual IoWC </t>
  </si>
  <si>
    <t>Add : Pay Revision Component</t>
  </si>
  <si>
    <t xml:space="preserve">Operation &amp; Maintenance Expenses Normative </t>
  </si>
  <si>
    <t>Operation &amp; Maintenance Expenses - Normative/actual</t>
  </si>
  <si>
    <t>ś</t>
  </si>
  <si>
    <t>Pay revision component</t>
  </si>
  <si>
    <t>Total AFC claim minus water charges</t>
  </si>
  <si>
    <t>Approved/ Revised Normative</t>
  </si>
  <si>
    <t>HDS - Peak hours</t>
  </si>
  <si>
    <t>HDS- Off-peak hours</t>
  </si>
  <si>
    <t>LDS- Peak hours</t>
  </si>
  <si>
    <t>LDS- Off-peak hours</t>
  </si>
  <si>
    <t>Actual availability</t>
  </si>
  <si>
    <t>MTR Order</t>
  </si>
  <si>
    <t>Ensuing Years</t>
  </si>
  <si>
    <t>FY 2025-26</t>
  </si>
  <si>
    <t>FY 2026-27</t>
  </si>
  <si>
    <t>FY 2027-28</t>
  </si>
  <si>
    <t>FY 2028-29</t>
  </si>
  <si>
    <t>FY 2029-30</t>
  </si>
  <si>
    <t>MTR
Order</t>
  </si>
  <si>
    <t>MTR 
Order</t>
  </si>
  <si>
    <t>April-March
  (Audited )</t>
  </si>
  <si>
    <r>
      <rPr>
        <b/>
        <sz val="11"/>
        <rFont val="Times New Roman"/>
        <family val="1"/>
      </rPr>
      <t>Note</t>
    </r>
    <r>
      <rPr>
        <sz val="11"/>
        <rFont val="Times New Roman"/>
        <family val="1"/>
      </rPr>
      <t xml:space="preserve">: </t>
    </r>
  </si>
  <si>
    <t>Year: FY 2023-24</t>
  </si>
  <si>
    <t>Year: FY 2024-25</t>
  </si>
  <si>
    <t>Ensuing Year FY 2025-26</t>
  </si>
  <si>
    <t>Ensuing Year FY 2026-27</t>
  </si>
  <si>
    <t>Ensuing Year FY 2027-28</t>
  </si>
  <si>
    <t>Ensuing Year FY 2028-29</t>
  </si>
  <si>
    <t>Ensuing Year FY 2029-30</t>
  </si>
  <si>
    <t>(k) = (i) - (g)</t>
  </si>
  <si>
    <t>Year : FY 2022-23</t>
  </si>
  <si>
    <t>Year : FY 2023-24</t>
  </si>
  <si>
    <t>Normative</t>
  </si>
  <si>
    <t>Normative Auxiliary Energy Consumption (Base)</t>
  </si>
  <si>
    <t>Normative Additional Aux: Selective Catalytic Reduction system</t>
  </si>
  <si>
    <t>Normative Additional Aux: Total</t>
  </si>
  <si>
    <t>Actual/Estimated/Projected: Selective Catalytic Reduction system</t>
  </si>
  <si>
    <t>Actual/Projected Auxiliary Energy Consumption - Total</t>
  </si>
  <si>
    <t>Normative  Aux COnsumption: Total</t>
  </si>
  <si>
    <t>Actual/Estimated/Projected Auxiliary Energy Consumption - Base</t>
  </si>
  <si>
    <t>Actual/normative/Projected Auxiliary Energy Consumption - Total</t>
  </si>
  <si>
    <t>Actual/Normative/Projected Auxiliary Energy Consumption with FGD</t>
  </si>
  <si>
    <t>Actual/Normative/Estimated/Projected Net Generation</t>
  </si>
  <si>
    <t>Normative Auxiliary Energy Consumption Base</t>
  </si>
  <si>
    <t>Actual/Estimated/Projected Auxiliary Energy Consumption Base</t>
  </si>
  <si>
    <t>Actual/Estimated Auxiliary Energy Consumption with FGD</t>
  </si>
  <si>
    <t>Actual/Estimated Additional Aux: Selective Catalytic Reduction system</t>
  </si>
  <si>
    <t>Actual/Estimated Additional Aux: Total</t>
  </si>
  <si>
    <t>Actual/Estimated/Projected/Normative Auxiliary Energy Consumption Base</t>
  </si>
  <si>
    <t>Actual/Estimated/Normative  Auxiliary Energy Consumption with FGD</t>
  </si>
  <si>
    <t>Actual/Estimated/Normative  Additional Aux: Selective Catalytic Reduction system</t>
  </si>
  <si>
    <t>Actual/Estimated/Normative  Additional Aux: Total</t>
  </si>
  <si>
    <t>B) Fifth Control Period</t>
  </si>
  <si>
    <t>Year:</t>
  </si>
  <si>
    <t>FY 2025-26 Projection</t>
  </si>
  <si>
    <t>FY 2026-27 Projection</t>
  </si>
  <si>
    <t>FY 2027-28 Projection</t>
  </si>
  <si>
    <t>FY 2028-29 Projection</t>
  </si>
  <si>
    <t>FY 2029-30 Projection</t>
  </si>
  <si>
    <t>A) FY 2022-23, FY 2023-24 &amp; FY 2024-25</t>
  </si>
  <si>
    <t>Maintenance Spares (% of Opg GFA)</t>
  </si>
  <si>
    <t>A) FY 2022-23</t>
  </si>
  <si>
    <t>Pay Revisiosn Impact</t>
  </si>
  <si>
    <t>Esc Rate</t>
  </si>
  <si>
    <t xml:space="preserve">Form 7:  Base Return on Regulatory Equity </t>
  </si>
  <si>
    <t>Supplementary bill</t>
  </si>
  <si>
    <t>FY 2022-23 Actual</t>
  </si>
  <si>
    <t>FY 2023-24 Approved</t>
  </si>
  <si>
    <t>FY 2023-24 Actual</t>
  </si>
  <si>
    <t>FY 2024-25 Approved</t>
  </si>
  <si>
    <t>FY 2024-25 Actual (Apr- Sep)</t>
  </si>
  <si>
    <t>FY 2024-25 Estimated</t>
  </si>
  <si>
    <t>FY 2025-26  Projected</t>
  </si>
  <si>
    <t>FY 2026-27 Projected</t>
  </si>
  <si>
    <t>FY 2027-28 Projected</t>
  </si>
  <si>
    <t>FY 2028-29 Projected</t>
  </si>
  <si>
    <t>FY 2029-30 Projected</t>
  </si>
  <si>
    <t xml:space="preserve">Ceiling AFC for recovery </t>
  </si>
  <si>
    <t>High Demand-Peak</t>
  </si>
  <si>
    <t>High Demand-Off Peak</t>
  </si>
  <si>
    <t>Low Demand-Peak</t>
  </si>
  <si>
    <t>Low Demand-Off Peak</t>
  </si>
  <si>
    <t xml:space="preserve">AFC recoverable without  adjustment as per Regulation 50.4 </t>
  </si>
  <si>
    <t xml:space="preserve">Shortfall in recovery during off peak hours </t>
  </si>
  <si>
    <t>Notional overrecovery in peak hours (Rs. Crore)</t>
  </si>
  <si>
    <t>Adjustment as per Regulation 50.4 (Rs. Crore)</t>
  </si>
  <si>
    <t>Price variation 71 Group</t>
  </si>
  <si>
    <t>Payments to railway staff-Fixed</t>
  </si>
  <si>
    <t xml:space="preserve">Material Variance cost - O &amp; M                    </t>
  </si>
  <si>
    <t xml:space="preserve">Income of LD recovery-Reduced from R&amp; M </t>
  </si>
  <si>
    <t>Net Revenue Requirement</t>
  </si>
  <si>
    <t>MYT Petition Formats - Generation</t>
  </si>
  <si>
    <t>Form 15:  Depreciation Schedule Assets</t>
  </si>
  <si>
    <t>2025-26</t>
  </si>
  <si>
    <t>2026-27</t>
  </si>
  <si>
    <t>2027-28</t>
  </si>
  <si>
    <t>2028-29</t>
  </si>
  <si>
    <t>2029-30</t>
  </si>
  <si>
    <t>Form 5.1 (N): Assets &amp; Depreciation - New Schemes  (not covered under Existing Assets)</t>
  </si>
  <si>
    <t>(m) = (i)+(j)-(k)-(l)</t>
  </si>
  <si>
    <t>(o)</t>
  </si>
  <si>
    <t>(p)</t>
  </si>
  <si>
    <t>(q) = (m)+(n)-(o)-(p)</t>
  </si>
  <si>
    <t>(u)=(q)+(r)</t>
  </si>
  <si>
    <t>Capital Cost Approval Petition Formats - Generation</t>
  </si>
  <si>
    <t>Form 14.1 - Project Schedule</t>
  </si>
  <si>
    <t>Scheduled Date of Commercial Operation</t>
  </si>
  <si>
    <t>Actual Date of Commercial Operation</t>
  </si>
  <si>
    <t>Reasons for Delay, if any</t>
  </si>
  <si>
    <t>Liquidated Damages recoverable as per provisions of Contract*</t>
  </si>
  <si>
    <r>
      <rPr>
        <b/>
        <sz val="11"/>
        <rFont val="Times New Roman"/>
        <family val="1"/>
      </rPr>
      <t>Note</t>
    </r>
    <r>
      <rPr>
        <sz val="11"/>
        <rFont val="Times New Roman"/>
        <family val="1"/>
      </rPr>
      <t>: * Copies of Contract to be submitted</t>
    </r>
  </si>
  <si>
    <t>Form 14.2 - Abstract of Capital Cost</t>
  </si>
  <si>
    <t>Capital Cost as per Original Estimates*</t>
  </si>
  <si>
    <t>Actual Capital Cost on COD (Unit-1)</t>
  </si>
  <si>
    <t>Actual Capital Cost on COD (Unit-2)</t>
  </si>
  <si>
    <t>… … …</t>
  </si>
  <si>
    <t>Actual Capital Cost on COD of Station or all Units</t>
  </si>
  <si>
    <t>Capital Cost excluding IDC &amp; Financing Charges</t>
  </si>
  <si>
    <t>Component 1</t>
  </si>
  <si>
    <t>Component 2</t>
  </si>
  <si>
    <t>Capital cost excluding IDC &amp; Financing Charges</t>
  </si>
  <si>
    <t>Interest During Construction (IDC) &amp; Financing Charges (FC)</t>
  </si>
  <si>
    <t>Total IDC &amp; FC</t>
  </si>
  <si>
    <t>Capital cost Including IDC &amp; Financing Charges</t>
  </si>
  <si>
    <t>Note: * Original Estimate of Capital Cost to be submitted for the Units for which Capital Cost approval is being sought</t>
  </si>
  <si>
    <t>Form 14.3 - Break-up of Capital Cost</t>
  </si>
  <si>
    <t xml:space="preserve">Break Down </t>
  </si>
  <si>
    <t>Break up of Capital Cost</t>
  </si>
  <si>
    <t xml:space="preserve">Variation </t>
  </si>
  <si>
    <t>Reasons for Variation</t>
  </si>
  <si>
    <t>Ordering Cost</t>
  </si>
  <si>
    <t>As  on COD of Unit-Name</t>
  </si>
  <si>
    <t>As  on COD of Unit-…</t>
  </si>
  <si>
    <t>Consolidated as  on COD of Station</t>
  </si>
  <si>
    <t>Contractors</t>
  </si>
  <si>
    <t>Foreign Currency Component (Specify Currency)</t>
  </si>
  <si>
    <t>Domestic Component</t>
  </si>
  <si>
    <t>Total Cost</t>
  </si>
  <si>
    <t>(c) = (a) + (b)</t>
  </si>
  <si>
    <t>(f) = (d) + (e)</t>
  </si>
  <si>
    <t>(i) = (g) + (h)</t>
  </si>
  <si>
    <t>(j) = (d) + (g)</t>
  </si>
  <si>
    <t>(k) = (e) + (h)</t>
  </si>
  <si>
    <t>(l) = (j) + (k)</t>
  </si>
  <si>
    <t>(m) = (l) - (c)</t>
  </si>
  <si>
    <t xml:space="preserve">Cost of Land &amp; Site Development  </t>
  </si>
  <si>
    <t xml:space="preserve">Land </t>
  </si>
  <si>
    <t>Rehabilitation &amp; Resettlement  (R&amp;R)</t>
  </si>
  <si>
    <t>Preliminary Investigation &amp; Site development</t>
  </si>
  <si>
    <t xml:space="preserve">Total  Land &amp; Site Development </t>
  </si>
  <si>
    <t>Plant &amp; Equipment (BTG)</t>
  </si>
  <si>
    <t>Steam Generator Island</t>
  </si>
  <si>
    <t>SG &amp; Auxiliaries</t>
  </si>
  <si>
    <t>ESP,ID,FD,PA Fans &amp;Other Boiler Auxiliaries</t>
  </si>
  <si>
    <t>Mills</t>
  </si>
  <si>
    <t>SG HT Motor</t>
  </si>
  <si>
    <t>SG Controls</t>
  </si>
  <si>
    <t>Ceraline Bends</t>
  </si>
  <si>
    <t>HVR with EC</t>
  </si>
  <si>
    <t>2.1.8</t>
  </si>
  <si>
    <t>Critical Piping</t>
  </si>
  <si>
    <t>Turbine Generator Island</t>
  </si>
  <si>
    <t>TG and Auxiliaries</t>
  </si>
  <si>
    <t>Power Cycle Pumps,LP Heaters 2&amp; 3,Drain Cooler,HP Heaters,Deaearators</t>
  </si>
  <si>
    <t>TG HT Motors,ACWP Motors</t>
  </si>
  <si>
    <t>TG Controls</t>
  </si>
  <si>
    <t>RE Joints &amp; Butterfly Valves,Misc.Tanks,Condensor&amp; Heat Exchanger</t>
  </si>
  <si>
    <t>Valves</t>
  </si>
  <si>
    <t>Other Misc.Items</t>
  </si>
  <si>
    <t>2.2.8</t>
  </si>
  <si>
    <t>CPU,DM Storage Tank,Condensate Storage Tank,Structural Steel.</t>
  </si>
  <si>
    <t>2.2.9</t>
  </si>
  <si>
    <t>TG Cycle Piping &amp; LP Piping</t>
  </si>
  <si>
    <t>2.2.10</t>
  </si>
  <si>
    <t>Other</t>
  </si>
  <si>
    <t>2.2.11</t>
  </si>
  <si>
    <t>Generator Transformer,Station Transformer</t>
  </si>
  <si>
    <t>2.2.12</t>
  </si>
  <si>
    <t>6.6 KV Switchgear &amp; Relay Panels&amp; Bus Transfer Scheme</t>
  </si>
  <si>
    <t>2.2.13</t>
  </si>
  <si>
    <t>Station C&amp;I + OCAMMS</t>
  </si>
  <si>
    <t>2.2.14</t>
  </si>
  <si>
    <t>UAT,DTT</t>
  </si>
  <si>
    <t>2.2.15</t>
  </si>
  <si>
    <t>SPB &amp; IBP</t>
  </si>
  <si>
    <t>2.2.16</t>
  </si>
  <si>
    <t>CW Pumps</t>
  </si>
  <si>
    <t>2.2.17</t>
  </si>
  <si>
    <t>CW Pump Motor</t>
  </si>
  <si>
    <t>BOP Mechanical</t>
  </si>
  <si>
    <t>2.3.1</t>
  </si>
  <si>
    <t>Water Treatment Plant</t>
  </si>
  <si>
    <t>2.3.2</t>
  </si>
  <si>
    <t>Fire Protection Alarm &amp; Detection System</t>
  </si>
  <si>
    <t>2.3.3</t>
  </si>
  <si>
    <t>Fuel Oil System</t>
  </si>
  <si>
    <t>2.3.4</t>
  </si>
  <si>
    <t>Coal Handling System</t>
  </si>
  <si>
    <t>2.3.5</t>
  </si>
  <si>
    <t>NDCT (Elec &amp;Mech. Supply Items)</t>
  </si>
  <si>
    <t>2.3.6</t>
  </si>
  <si>
    <t>Chimney Supply Components</t>
  </si>
  <si>
    <t>2.3.7</t>
  </si>
  <si>
    <t>Log Gates,Screensfor RWPH &amp; CWPH</t>
  </si>
  <si>
    <t>2.3.8</t>
  </si>
  <si>
    <t>CW Piping Material</t>
  </si>
  <si>
    <t>2.3.9</t>
  </si>
  <si>
    <t>Fitting for CW System</t>
  </si>
  <si>
    <t>2.3.10</t>
  </si>
  <si>
    <t>ACW Piping Material</t>
  </si>
  <si>
    <t>2.3.11</t>
  </si>
  <si>
    <t>Fittings for ACW System</t>
  </si>
  <si>
    <t>2.3.12</t>
  </si>
  <si>
    <t>WTP Chemicals</t>
  </si>
  <si>
    <t>2.3.13</t>
  </si>
  <si>
    <t>Chlorination Plant</t>
  </si>
  <si>
    <t>2.3.14</t>
  </si>
  <si>
    <t>LP Pipings &amp; Fittings</t>
  </si>
  <si>
    <t>2.3.15</t>
  </si>
  <si>
    <t>Supports for LP Piping</t>
  </si>
  <si>
    <t>2.3.16</t>
  </si>
  <si>
    <t>Miscellaneous Pumps</t>
  </si>
  <si>
    <t>2.3.17</t>
  </si>
  <si>
    <t>Miscellaneous Cranes &amp; Hoists</t>
  </si>
  <si>
    <t>2.3.18</t>
  </si>
  <si>
    <t>Turbine EOT Crane</t>
  </si>
  <si>
    <t>2.3.19</t>
  </si>
  <si>
    <t>CHP Other Mechanical Works (DE/DS System)</t>
  </si>
  <si>
    <t>2.3.20</t>
  </si>
  <si>
    <t>Ash Handling(Main Plant)</t>
  </si>
  <si>
    <t>2.3.21</t>
  </si>
  <si>
    <t>HCSD Pumps</t>
  </si>
  <si>
    <t>2.3.22</t>
  </si>
  <si>
    <t>Ash Disposal Piping</t>
  </si>
  <si>
    <t>2.3.23</t>
  </si>
  <si>
    <t>Mill Reject Handling System</t>
  </si>
  <si>
    <t>2.3.24</t>
  </si>
  <si>
    <t>Instrument/Service Air Compressors</t>
  </si>
  <si>
    <t>2.3.25</t>
  </si>
  <si>
    <t>Dryers</t>
  </si>
  <si>
    <t>2.3.26</t>
  </si>
  <si>
    <t>Equipment for Testing,Monitoring &amp; Control of Pollution</t>
  </si>
  <si>
    <t>2.3.27</t>
  </si>
  <si>
    <t>Gas Bottles</t>
  </si>
  <si>
    <t>2.3.28</t>
  </si>
  <si>
    <t>Lab Equipments &amp; Reagents</t>
  </si>
  <si>
    <t>2.3.29</t>
  </si>
  <si>
    <t>Passenger Lifts</t>
  </si>
  <si>
    <t>2.3.30</t>
  </si>
  <si>
    <t>Paints for Equipment &amp; System</t>
  </si>
  <si>
    <t>2.3.31</t>
  </si>
  <si>
    <t>2.3.32</t>
  </si>
  <si>
    <t>Ventilation</t>
  </si>
  <si>
    <t>2.3.33</t>
  </si>
  <si>
    <t>Vibration Isolation Springs (TG &amp; Auxiliary Equip)</t>
  </si>
  <si>
    <t>Total BOP Mechanical</t>
  </si>
  <si>
    <t>BOP Electrical</t>
  </si>
  <si>
    <t>2.4.1</t>
  </si>
  <si>
    <t>Power Transformer</t>
  </si>
  <si>
    <t>2.4.2</t>
  </si>
  <si>
    <t>Service Transformer</t>
  </si>
  <si>
    <t>2.4.3</t>
  </si>
  <si>
    <t>NSPBD (Bus Ducts)</t>
  </si>
  <si>
    <t>2.4.4</t>
  </si>
  <si>
    <t>LT Switchgear</t>
  </si>
  <si>
    <t>2.4.5</t>
  </si>
  <si>
    <t>HT,LT,Power Control &amp;Instrumentation &amp; Communication Cables</t>
  </si>
  <si>
    <t>2.4.6</t>
  </si>
  <si>
    <t>Cable Terminations</t>
  </si>
  <si>
    <t>2.4.7</t>
  </si>
  <si>
    <t>Cable Trays</t>
  </si>
  <si>
    <t>2.4.8</t>
  </si>
  <si>
    <t>Lighting Fixtures &amp; Accessories</t>
  </si>
  <si>
    <t>2.4.9</t>
  </si>
  <si>
    <t>Fire Proof Sealing System</t>
  </si>
  <si>
    <t>2.4.10</t>
  </si>
  <si>
    <t>Plant Communication System</t>
  </si>
  <si>
    <t>2.4.11</t>
  </si>
  <si>
    <t>Baterry &amp; Battery Chargers</t>
  </si>
  <si>
    <t>2.4.12</t>
  </si>
  <si>
    <t>Earthing And Lightening Protection</t>
  </si>
  <si>
    <t>2.4.13</t>
  </si>
  <si>
    <t>Emergency DG Set</t>
  </si>
  <si>
    <t>2.4.14</t>
  </si>
  <si>
    <t>UPS System</t>
  </si>
  <si>
    <t>2.4.15</t>
  </si>
  <si>
    <t>CHP Electrical,C&amp;I</t>
  </si>
  <si>
    <t>2.4.16</t>
  </si>
  <si>
    <t>Total BOP Electrical</t>
  </si>
  <si>
    <t>Total BoP E&amp;M</t>
  </si>
  <si>
    <t>Control &amp; Instrumentation (C &amp; I)   Package</t>
  </si>
  <si>
    <t>Control &amp; Instrumentation Package</t>
  </si>
  <si>
    <t>Other E&amp;M Works</t>
  </si>
  <si>
    <t>Total Plant &amp; Equipment including taxes &amp; Duties</t>
  </si>
  <si>
    <t>Taxes and Duties</t>
  </si>
  <si>
    <t>2.6.1</t>
  </si>
  <si>
    <t>Custom Duty</t>
  </si>
  <si>
    <t>2.6.2</t>
  </si>
  <si>
    <t>Other Taxes &amp; Duties</t>
  </si>
  <si>
    <t>2.6.3</t>
  </si>
  <si>
    <t>Total Taxes &amp; Duties</t>
  </si>
  <si>
    <t>2.6.4</t>
  </si>
  <si>
    <t xml:space="preserve">Total Plant &amp; Equipment  </t>
  </si>
  <si>
    <t>Initial spares</t>
  </si>
  <si>
    <t>Civil Works</t>
  </si>
  <si>
    <t>Main plant/Adm. Building</t>
  </si>
  <si>
    <t>CW system</t>
  </si>
  <si>
    <t>Cooling Towers</t>
  </si>
  <si>
    <t xml:space="preserve">DM water Plant </t>
  </si>
  <si>
    <t>Clarification plant</t>
  </si>
  <si>
    <t>Chlorination plant</t>
  </si>
  <si>
    <t>Fuel  Handling &amp; Storage system</t>
  </si>
  <si>
    <t>Coal Handling Plant</t>
  </si>
  <si>
    <t>MGR &amp; Marshalling Yard</t>
  </si>
  <si>
    <t xml:space="preserve">Ash Handling System </t>
  </si>
  <si>
    <t>Ash disposal area development</t>
  </si>
  <si>
    <t>Fire fighting System</t>
  </si>
  <si>
    <t>Township &amp; Colony</t>
  </si>
  <si>
    <t>Temp. construction &amp; enabling works</t>
  </si>
  <si>
    <t xml:space="preserve"> Road &amp; Drainage</t>
  </si>
  <si>
    <t>Other than BTG/BOP</t>
  </si>
  <si>
    <t xml:space="preserve">Total Civil works </t>
  </si>
  <si>
    <t>Construction &amp; Pre- Commissioning Expenses</t>
  </si>
  <si>
    <t>Erection Testing and commissioning</t>
  </si>
  <si>
    <t>Site supervision</t>
  </si>
  <si>
    <t>Operator's Training</t>
  </si>
  <si>
    <t>Construction Insurance</t>
  </si>
  <si>
    <t>Tools &amp; Plant</t>
  </si>
  <si>
    <t>Start up fuel</t>
  </si>
  <si>
    <t>Total  Construction &amp; Pre- Commissioning Expenses</t>
  </si>
  <si>
    <t>Overheads</t>
  </si>
  <si>
    <t>Establishment</t>
  </si>
  <si>
    <t>Design &amp; Engineering</t>
  </si>
  <si>
    <t>Audit &amp; Accounts</t>
  </si>
  <si>
    <t>Contingency</t>
  </si>
  <si>
    <t>Total Overheads</t>
  </si>
  <si>
    <t>Capital cost Excluding IDC &amp; FC</t>
  </si>
  <si>
    <t>Interest During Construction (IDC) Capitalised in above cost</t>
  </si>
  <si>
    <t>Financing Charges (FC)</t>
  </si>
  <si>
    <t>Capital cost including IDC &amp; FC</t>
  </si>
  <si>
    <t>Form 14.4 : Break up of Construction / Supply / Services / Package</t>
  </si>
  <si>
    <t>Name / No. of Construction / Supply / Service Package</t>
  </si>
  <si>
    <t>Scope of works (in line with head of cost break-ups as applicable)</t>
  </si>
  <si>
    <t>Whether awarded through ICB/DCB/Departmentally</t>
  </si>
  <si>
    <t>No. of bids recd.</t>
  </si>
  <si>
    <t>Date of Award</t>
  </si>
  <si>
    <t>Date of Start of Work</t>
  </si>
  <si>
    <t>Scheduled date of completion of work</t>
  </si>
  <si>
    <t>Actual date of completion of work</t>
  </si>
  <si>
    <t>Value of Award in Rs. Crore</t>
  </si>
  <si>
    <t>Firm or with Escalation in prices</t>
  </si>
  <si>
    <t>Total incl. Price Variation</t>
  </si>
  <si>
    <t>Actual expenditure till the completion or upto COD whichever is earlier (Rs. Crore)</t>
  </si>
  <si>
    <t>Form 14.5 : Financial Package</t>
  </si>
  <si>
    <t>Project Cost as on COD (Rs Crore): _______________</t>
  </si>
  <si>
    <t>Date of Commercial Operation of the Station: _________________</t>
  </si>
  <si>
    <t>Original Financial Package</t>
  </si>
  <si>
    <t>Financial Package as on COD of Unit- Name 1</t>
  </si>
  <si>
    <t>Financial Package as on COD of Unit- Name 2</t>
  </si>
  <si>
    <t>Financial Package as on COD of Unit-…</t>
  </si>
  <si>
    <t>Financial Package as on COD (Consolidated)</t>
  </si>
  <si>
    <t xml:space="preserve">Currency </t>
  </si>
  <si>
    <t>Amount in foreign currency (for foreign loans)</t>
  </si>
  <si>
    <t>Equivalent Amount in Rs Crore</t>
  </si>
  <si>
    <t>Currency</t>
  </si>
  <si>
    <t>Loan</t>
  </si>
  <si>
    <t>Total Loan</t>
  </si>
  <si>
    <t>Equity-</t>
  </si>
  <si>
    <t>Foreign</t>
  </si>
  <si>
    <t xml:space="preserve">Domestic </t>
  </si>
  <si>
    <t>Internal Accurals</t>
  </si>
  <si>
    <t>Total Equity</t>
  </si>
  <si>
    <t>Undischarged Liabilities</t>
  </si>
  <si>
    <t>Debt : Equity Ratio (Excluding Undischarged Liabilities)</t>
  </si>
  <si>
    <t>Note : Please submit copy of sanction letters/Loan Agreements for each loan</t>
  </si>
  <si>
    <t>Form 14.6 : Details of Loans</t>
  </si>
  <si>
    <t>Loan Source</t>
  </si>
  <si>
    <t>Source of Loan/Name of Agency</t>
  </si>
  <si>
    <t>Amount of Loan sanctioned (Rs. Crore)</t>
  </si>
  <si>
    <t>Amount of Gross Loan drawn upto COD (Rs. Crore)</t>
  </si>
  <si>
    <t>Interest Type1</t>
  </si>
  <si>
    <t>Fixed Interest Rate, if applicable</t>
  </si>
  <si>
    <t>Base Rate, if Floating Interest2</t>
  </si>
  <si>
    <t>Margin, if Floating Interest3</t>
  </si>
  <si>
    <t>Are there any Caps/Floor4</t>
  </si>
  <si>
    <t>If above is yes,specify caps/floor</t>
  </si>
  <si>
    <t>Moratorium Period5</t>
  </si>
  <si>
    <t>Moratorium effective from</t>
  </si>
  <si>
    <t>Repayment Period6</t>
  </si>
  <si>
    <t>Repayment effective from</t>
  </si>
  <si>
    <t>Repayment Frequency7</t>
  </si>
  <si>
    <t>Repayment Instalment8,9,10</t>
  </si>
  <si>
    <t>Base Exchange Rate15</t>
  </si>
  <si>
    <t>1 Interest type means whether the interest is fixed or floating.</t>
  </si>
  <si>
    <t>2 Base rate means the base as PLR, LIBOR etc. over which the margin is to be added. Applicable base rate on different dates from the date of drawal may also be enclosed.</t>
  </si>
  <si>
    <t>3 Margin means the points over and above the floating rate.</t>
  </si>
  <si>
    <t>4 At times caps/floor are put at which the floating rates are frozen. If such a condition exists, specify the limits.</t>
  </si>
  <si>
    <t>5 Moratorium period refers to the period during which loan repayment is not required.</t>
  </si>
  <si>
    <t>6 Repayment period means the repayment of loan such as  10 years, 15 years etc.</t>
  </si>
  <si>
    <t>7 Repayment frequency means the interval at which the debt servicing is to be done such as monthly, quarterly, half yearly, etc</t>
  </si>
  <si>
    <t>8 Where there is more than one drawal/repayment for a loan, the date &amp; amount of each drawal/repayement may also be given seperately</t>
  </si>
  <si>
    <t>9 If the repayment  instalment amount and repayment date  can not be worked out from the data furnished above, the repayment schedule to be  furnished seperately.</t>
  </si>
  <si>
    <t>10 In case of Foreign loan,date of each  drawal &amp; repayment alongwith exchange rate at that date may be given.</t>
  </si>
  <si>
    <t xml:space="preserve">11 Base exchange rate means the exchange rate prevailing as on COD </t>
  </si>
  <si>
    <t>Form 14.7: Details of Additional Capitalisation after COD</t>
  </si>
  <si>
    <t xml:space="preserve">Work/Equipment added after COD </t>
  </si>
  <si>
    <t>Amount Capitalised / Proposed to be capitalised</t>
  </si>
  <si>
    <t>Justification</t>
  </si>
  <si>
    <t xml:space="preserve">A. </t>
  </si>
  <si>
    <t>Upto Cut off Date</t>
  </si>
  <si>
    <t>After Cut off Date</t>
  </si>
  <si>
    <r>
      <rPr>
        <b/>
        <sz val="11"/>
        <rFont val="Times New Roman"/>
        <family val="1"/>
      </rPr>
      <t>Note</t>
    </r>
    <r>
      <rPr>
        <sz val="11"/>
        <rFont val="Times New Roman"/>
        <family val="1"/>
      </rPr>
      <t>: 1. Claim for additional capitalization shall be substantiated with the technical justification duly supported by documentary evidence</t>
    </r>
  </si>
  <si>
    <t xml:space="preserve">           2. Generating Company shall submit a report on impact assessment done by any reputed third-party technical expert/agency for additional capitalization necessary for efficient operation</t>
  </si>
  <si>
    <t xml:space="preserve">           3. In case of additional capitalization for Revised Emmission Standard, Generating Company shall provide for details of proposed technology as specified by CEA or other alternative technology with justification and cost benefit analysis with indicative impact on tariff of beneficiaries</t>
  </si>
  <si>
    <t>Form 14.8: Financing Additional Capitalisation</t>
  </si>
  <si>
    <t>Financial Year (Starting from COD)</t>
  </si>
  <si>
    <t>Not Applicable</t>
  </si>
  <si>
    <t>Amount capitalised</t>
  </si>
  <si>
    <t>Financing Details</t>
  </si>
  <si>
    <t>Equity</t>
  </si>
  <si>
    <t>Internal Resources</t>
  </si>
  <si>
    <t>Others (Pls provide details)</t>
  </si>
  <si>
    <t>Form 14.9: Drawdown Schedule and Computation of IDC and Financing Charges</t>
  </si>
  <si>
    <t>Sl. No.</t>
  </si>
  <si>
    <t>Financial Year</t>
  </si>
  <si>
    <t>Year 1</t>
  </si>
  <si>
    <t>Year n</t>
  </si>
  <si>
    <t>Draw Down</t>
  </si>
  <si>
    <t>Q-1</t>
  </si>
  <si>
    <t>Q-2</t>
  </si>
  <si>
    <t>Q-3</t>
  </si>
  <si>
    <t>Q-4</t>
  </si>
  <si>
    <t>Loans</t>
  </si>
  <si>
    <t xml:space="preserve">Draw down Amount </t>
  </si>
  <si>
    <t>Cumulative</t>
  </si>
  <si>
    <t>Financing charges/Guarantee Fee</t>
  </si>
  <si>
    <t>Other (pls provide details)</t>
  </si>
  <si>
    <t>……..</t>
  </si>
  <si>
    <t>Total Loans</t>
  </si>
  <si>
    <t>Equity drawn</t>
  </si>
  <si>
    <t>Domestic/Foreign</t>
  </si>
  <si>
    <t xml:space="preserve">Internal Accruals </t>
  </si>
  <si>
    <t>Total equity deployed</t>
  </si>
  <si>
    <t>MYT Formats - Generation</t>
  </si>
  <si>
    <t>Form 18: Special Allowance</t>
  </si>
  <si>
    <t>Generating Stations</t>
  </si>
  <si>
    <t>Fuel Type/Hydro</t>
  </si>
  <si>
    <t>Capacity (MW)</t>
  </si>
  <si>
    <t>Date of COD</t>
  </si>
  <si>
    <t>Year of 
completion 
of useful life 
of 25 years</t>
  </si>
  <si>
    <t>Ensuing Years (Rs Lakh)</t>
  </si>
  <si>
    <t>XXX</t>
  </si>
  <si>
    <t>Unit 1</t>
  </si>
  <si>
    <t>xxx</t>
  </si>
  <si>
    <t>As per Regulation 44.3, the Special Allowance admissible to a generating station shall be maximum upto INR 10.75 lakh per MW per year for the control period.</t>
  </si>
  <si>
    <t>Form 19: PLF Incentive</t>
  </si>
  <si>
    <t>Capacity</t>
  </si>
  <si>
    <t>Normative Availability</t>
  </si>
  <si>
    <t>Actual Availability during peak hours</t>
  </si>
  <si>
    <t>Actual Availability during off-peak hours</t>
  </si>
  <si>
    <t>Normative Generation during peak hours</t>
  </si>
  <si>
    <t>Normative Generation during off-peak hours</t>
  </si>
  <si>
    <t>Actual Generation during peak hours</t>
  </si>
  <si>
    <t>Actual Generation during off-peak hours</t>
  </si>
  <si>
    <t>Excess Energy during peak hours</t>
  </si>
  <si>
    <t>Excess Energy during off-peak hours</t>
  </si>
  <si>
    <t>Incentive during peak hours</t>
  </si>
  <si>
    <t>Rs/Unit</t>
  </si>
  <si>
    <t>Incentive during off peak hours</t>
  </si>
  <si>
    <t>Total Incentive</t>
  </si>
  <si>
    <t>MYT Petition Formats for Parli 8</t>
  </si>
  <si>
    <t xml:space="preserve">Total Assets &amp; Depreciation </t>
  </si>
  <si>
    <t>Assets &amp; Depreciation  - Existing Schemes (CoD on or before the March 31, 2025 or Assets in-principally approved  before the notification of MERC MYT Regulations 2024)</t>
  </si>
  <si>
    <t>Form 5.1 (E)</t>
  </si>
  <si>
    <t>Assets &amp; Depreciation - New Schemes  (not covered under Existing Assets)</t>
  </si>
  <si>
    <t>Form 5.2 (N)</t>
  </si>
  <si>
    <t>Capital Cost Approval*</t>
  </si>
  <si>
    <t>Project Schedule</t>
  </si>
  <si>
    <t>Form 14.1</t>
  </si>
  <si>
    <t>Abstract of Capital Cost</t>
  </si>
  <si>
    <t>Form 14.2</t>
  </si>
  <si>
    <t>Breakup of Capital Cost</t>
  </si>
  <si>
    <t>Form 14.3</t>
  </si>
  <si>
    <t>Breakup of Construction/Supply/Services/Packages</t>
  </si>
  <si>
    <t>Form 14.4</t>
  </si>
  <si>
    <t>Financial Package</t>
  </si>
  <si>
    <t>Form 14.5</t>
  </si>
  <si>
    <t>Details of Loans</t>
  </si>
  <si>
    <t>Form 14.6</t>
  </si>
  <si>
    <t>Details of Additional Capitalisation after COD</t>
  </si>
  <si>
    <t>Form 14.7</t>
  </si>
  <si>
    <t>Financing of Additional Capitalisation</t>
  </si>
  <si>
    <t>Form 14.8</t>
  </si>
  <si>
    <t>Drawdown Schedule and Computation of IDC and Financing Charges</t>
  </si>
  <si>
    <t>Form 14.9</t>
  </si>
  <si>
    <t>Depreciation Schedule before 31 March 2025</t>
  </si>
  <si>
    <t>Form 15.1</t>
  </si>
  <si>
    <t>Depreciation Schedule after 1 April 2025</t>
  </si>
  <si>
    <t>Form 15.2</t>
  </si>
  <si>
    <t>Form 17</t>
  </si>
  <si>
    <t>Special Allowance</t>
  </si>
  <si>
    <t>Form 18</t>
  </si>
  <si>
    <t>Incentive</t>
  </si>
  <si>
    <t>Form 19</t>
  </si>
  <si>
    <r>
      <rPr>
        <b/>
        <sz val="10"/>
        <rFont val="Times New Roman"/>
        <family val="1"/>
      </rPr>
      <t>Note</t>
    </r>
    <r>
      <rPr>
        <sz val="10"/>
        <rFont val="Times New Roman"/>
        <family val="1"/>
      </rPr>
      <t>: * Applicable only for new Generation Project for which Provisional/Final tariff approval is being sought</t>
    </r>
  </si>
  <si>
    <t>(ag) = (ac)+(ad)-(ae)-(af)</t>
  </si>
  <si>
    <t>(af)</t>
  </si>
  <si>
    <t>(ae)</t>
  </si>
  <si>
    <t>(ad)</t>
  </si>
  <si>
    <t>(ac)</t>
  </si>
  <si>
    <t xml:space="preserve">Form 5= Form 5.1 (E) + Form 5.1 (N) : Total Assets &amp; Depreciation for assets </t>
  </si>
  <si>
    <t>Admin building Rent (Treatment is different as per IND AS)</t>
  </si>
  <si>
    <t>Calorific Value (As Fired) Imported</t>
  </si>
  <si>
    <t xml:space="preserve">  PFC (Allocation of Generic Loans) (All TPS)</t>
  </si>
  <si>
    <t>PFC - BLC General Capex (Allocation of Generic loans) (All TPS)</t>
  </si>
  <si>
    <t>REC</t>
  </si>
  <si>
    <t>REC MTL</t>
  </si>
  <si>
    <t>South Indian Bank</t>
  </si>
  <si>
    <t xml:space="preserve">Inst 6 - (Indian Bank-7 &amp; BoM-1) </t>
  </si>
  <si>
    <t>Inst 7 -  (Indian Bank-7 &amp; BoM-1)</t>
  </si>
  <si>
    <t>Inst 8 - Addln Capex</t>
  </si>
  <si>
    <t>PFC</t>
  </si>
  <si>
    <t>PFC BLC General Capex</t>
  </si>
  <si>
    <t>Inst 14 -South Indian Bank</t>
  </si>
  <si>
    <t>Hudco</t>
  </si>
  <si>
    <t>Inst 9 - Addln Capex (STL Capex)</t>
  </si>
  <si>
    <t>Inst 12 - World Bank</t>
  </si>
  <si>
    <t>Inst 13 - SBI</t>
  </si>
  <si>
    <t>Fuel 4 - GP II</t>
  </si>
  <si>
    <t>Fuel 5 - Biomass Pellets</t>
  </si>
  <si>
    <t>2.1.9</t>
  </si>
  <si>
    <t>2.5.8</t>
  </si>
  <si>
    <t>2.5.9</t>
  </si>
  <si>
    <t>3.1.8</t>
  </si>
  <si>
    <t>3.1.9</t>
  </si>
  <si>
    <t>3.2.8</t>
  </si>
  <si>
    <t>3.2.9</t>
  </si>
  <si>
    <t>3.3.8</t>
  </si>
  <si>
    <t>3.3.9</t>
  </si>
  <si>
    <t>4.1.8</t>
  </si>
  <si>
    <t>4.1.9</t>
  </si>
  <si>
    <t>Coal - GP II</t>
  </si>
  <si>
    <t>Total GP II Coal</t>
  </si>
  <si>
    <t>Biomass Pellet</t>
  </si>
  <si>
    <t>Total Biomass Pellet</t>
  </si>
  <si>
    <t>Fuel Related Expenses - ECS</t>
  </si>
  <si>
    <t>O&amp;M Charges - ECS</t>
  </si>
  <si>
    <t>Interest on Working Capital - ECS</t>
  </si>
  <si>
    <t>Interest on Working capital - towards Emission Control System</t>
  </si>
  <si>
    <t>Cost of limestone/reagent towards stock - 20 days</t>
  </si>
  <si>
    <t>Advance payment for 30 days towards cost of reagent - 30 days</t>
  </si>
  <si>
    <t>Normative O&amp;M expense in respect of Emission Control system for one month</t>
  </si>
  <si>
    <t>Maintenance Spares  (% of capitalisation)</t>
  </si>
  <si>
    <t>Total Working Capital Requirement - ECS</t>
  </si>
  <si>
    <t>Rate of IoWC</t>
  </si>
  <si>
    <t>O&amp;M Expenses towards Emission Control System (ECS)</t>
  </si>
  <si>
    <t>Capitalisation towards FGD (excl. IDC)</t>
  </si>
  <si>
    <t>Capitalisation towards SCR (excl. IDC)</t>
  </si>
  <si>
    <t>Total Cummulative  capitalisation towards ECS (excl. IDC)</t>
  </si>
  <si>
    <t>Trued up O&amp;M expense*</t>
  </si>
  <si>
    <t>5-Year Average</t>
  </si>
  <si>
    <t>Normative#</t>
  </si>
  <si>
    <t xml:space="preserve">(c) </t>
  </si>
  <si>
    <t xml:space="preserve">(e) </t>
  </si>
  <si>
    <t>(f) =               [(a)+(b)+(c)+(d)+(e)]/5</t>
  </si>
  <si>
    <t>Ensuing Period</t>
  </si>
  <si>
    <t>[K x SHR x S/CVPF] x [85/LP]</t>
  </si>
  <si>
    <t>FY 25-26</t>
  </si>
  <si>
    <t>FY 26-27</t>
  </si>
  <si>
    <t>FY 27-28</t>
  </si>
  <si>
    <t>FY 28-29</t>
  </si>
  <si>
    <t>FY 29-30</t>
  </si>
  <si>
    <t>SHR (kCal/kWh)</t>
  </si>
  <si>
    <t>GCV (kCal/kg)</t>
  </si>
  <si>
    <t>CVPF (kCal/kg)</t>
  </si>
  <si>
    <t>S (%)</t>
  </si>
  <si>
    <t>SO2 Emission norm 
(100/200 mg/Nm3; 600 mg/Nm3)</t>
  </si>
  <si>
    <t>% as per SO2 Emission norm</t>
  </si>
  <si>
    <t>Multiplication Factor</t>
  </si>
  <si>
    <t>Design SO2 removal efficiency</t>
  </si>
  <si>
    <t>K</t>
  </si>
  <si>
    <t>Sp. Limestone consumption (g/kWh)</t>
  </si>
  <si>
    <t>Reagent Cost and Requirement</t>
  </si>
  <si>
    <t>Gross Generation (MU)</t>
  </si>
  <si>
    <t>Reagent</t>
  </si>
  <si>
    <t>Total Reagent Req. (T)</t>
  </si>
  <si>
    <t>Reagent Cost per Ton</t>
  </si>
  <si>
    <t>Total Reagent Cost (Rs.Cr)</t>
  </si>
  <si>
    <t>Ammonia Consumption and Cost of SCR system</t>
  </si>
  <si>
    <t>Sp. Ammonia Req. (g/kWh)</t>
  </si>
  <si>
    <t>Total Ammonia Req. (T)</t>
  </si>
  <si>
    <t>Ammonia Cost per Ton</t>
  </si>
  <si>
    <t>Total Ammonia Cost (Rs.Cr)</t>
  </si>
  <si>
    <t>Total Variable Cost - ECS</t>
  </si>
  <si>
    <t>Interest on Loan Capital - HO Assets</t>
  </si>
  <si>
    <t>Add: Return on Equity Capital - HO Assets</t>
  </si>
  <si>
    <t>Parli 8</t>
  </si>
  <si>
    <t>MSEDCL - H1</t>
  </si>
  <si>
    <t>MSEDCL - H2</t>
  </si>
  <si>
    <t>Calorific Value (As Fired)- Raw &amp; Washed</t>
  </si>
  <si>
    <t>MTR Order*</t>
  </si>
  <si>
    <t>(c )</t>
  </si>
  <si>
    <t>(d) = (c) - (b)</t>
  </si>
  <si>
    <t>(h) = (g) - (f)</t>
  </si>
  <si>
    <r>
      <rPr>
        <b/>
        <sz val="11"/>
        <rFont val="Times New Roman"/>
        <family val="1"/>
      </rPr>
      <t>Note</t>
    </r>
    <r>
      <rPr>
        <sz val="11"/>
        <rFont val="Times New Roman"/>
        <family val="1"/>
      </rPr>
      <t>: * - In case MTR Order is yet to be issued, then MYT Order values to be captured under this column</t>
    </r>
  </si>
  <si>
    <t xml:space="preserve">* As approved in MTR Order; in case MTR Order is not issued, then MYT Order values to be considered </t>
  </si>
  <si>
    <t xml:space="preserve">To be submitted separately for each Unit/Station for which Tariff is to be determined separately </t>
  </si>
  <si>
    <t>MSPGCL: Parli 8</t>
  </si>
  <si>
    <t>Partially Capitalized</t>
  </si>
  <si>
    <t>PO.NO</t>
  </si>
  <si>
    <t>Actual Capex till FY 2021-22</t>
  </si>
  <si>
    <t xml:space="preserve"> Actual </t>
  </si>
  <si>
    <t xml:space="preserve"> Revised Projected </t>
  </si>
  <si>
    <t xml:space="preserve">Projected </t>
  </si>
  <si>
    <t>Actual Capitalization till FY 2021-22</t>
  </si>
  <si>
    <t>Asset No</t>
  </si>
  <si>
    <t>DATE OF COMMISSION OF ASSET</t>
  </si>
  <si>
    <t>Add Cap (As per 296 of 2019)</t>
  </si>
  <si>
    <t xml:space="preserve">Initial spares </t>
  </si>
  <si>
    <t>Boiler and Auxiliaries</t>
  </si>
  <si>
    <t>N.A</t>
  </si>
  <si>
    <t>-</t>
  </si>
  <si>
    <t>Procurement of Coal Mill XRP-903 Gear Box Type KMP-280 Spares of Unit # 8 at BM-NPTPS Parli-Vaijnath</t>
  </si>
  <si>
    <t>28/07/2020</t>
  </si>
  <si>
    <t>31.03.2022</t>
  </si>
  <si>
    <t>Coal Mill XRP-903 is having planetary gear box as drive unit, which is having various spares. Availability of these sparts are very much essential to avoid outages of Coal Mill and hence to avoid generation loss. Currently no stock of any spares is available at Parli TPS and at other TPS’s.</t>
  </si>
  <si>
    <t>PO dispatch 18/11; Material received.</t>
  </si>
  <si>
    <t>Supply of Labyrinth Seal Rings with replaceable Inner liners for Coal Mill XRP-903 required for BM Unit-8, NPTPS, Parli-V.</t>
  </si>
  <si>
    <t>15/09/2020</t>
  </si>
  <si>
    <t>12.03.2021</t>
  </si>
  <si>
    <t>Availability of auxiliaries will  improve which finally avoid emergency &amp; generation loss.</t>
  </si>
  <si>
    <t>HO app recd 25/9; PO dis 3/12; material received 12/03;</t>
  </si>
  <si>
    <t>Supply and Installation of coal mill  liners(weld overlay) of XRP-903 Coal Mill in BM U-8, NPTPS,Parli-V.</t>
  </si>
  <si>
    <t>30/07/2020</t>
  </si>
  <si>
    <t>12.06.2021</t>
  </si>
  <si>
    <t xml:space="preserve"> Dispatch 07/04; Material received</t>
  </si>
  <si>
    <t>Procurement of Coal Mill XRP-903 Bowl &amp; Bowl Hub of Unit # 8 at BM-NPTPS Parli-Vaijnath</t>
  </si>
  <si>
    <t>13.11.2021</t>
  </si>
  <si>
    <t>PO dispatch; Material received</t>
  </si>
  <si>
    <t>Supply of impeller assembly for ID fan</t>
  </si>
  <si>
    <t>28/10/2020</t>
  </si>
  <si>
    <t>PO Dispatch 01/06/21; Material RECEIVED</t>
  </si>
  <si>
    <t>Procurement of Primary Air Fan &amp; Forced Draught Fan Drive Coupling on OEM basis required at BM U-8, NPTPS, Parli-V</t>
  </si>
  <si>
    <t>PO dispatch 15/04/22; Material received.</t>
  </si>
  <si>
    <t>Procurement of  Primary Air Fan PAF 17/11.8-2 Hydraulic Adjustment Device on OEM basis required at BM U-8 NPTPS Parli-V</t>
  </si>
  <si>
    <t>14.08.2021</t>
  </si>
  <si>
    <t>PO Dispatch 23/06/21;Material received.</t>
  </si>
  <si>
    <t>Proc of spares for fabric expansion joints required at BM U-8, NPTPS, Parli-V.</t>
  </si>
  <si>
    <t>12.02.2021</t>
  </si>
  <si>
    <t xml:space="preserve">PO Placed 11/02 material received at site; </t>
  </si>
  <si>
    <t>Proc of separator body and seperator top spares for coal mill XRP-903 at BM U-8, NPTPS Parli-V.</t>
  </si>
  <si>
    <t>26.04.2021</t>
  </si>
  <si>
    <t xml:space="preserve">PO Dispatch 30/03; Material received; </t>
  </si>
  <si>
    <t>Proc of scrapper area &amp; reject system spares for coal mill XRP-903 at BM U-8, NPTPS Parli-V.</t>
  </si>
  <si>
    <t>31.03.2021</t>
  </si>
  <si>
    <t>PO Dispatch 30/03; Material received</t>
  </si>
  <si>
    <t>Proc of seal air fan spares at BM-8 NPTPS, Parli-V.</t>
  </si>
  <si>
    <t xml:space="preserve">PO  Dispatch 30/03;  Material received; </t>
  </si>
  <si>
    <t>Procurement of  FD Fan Type FAF 17/9.5-1 Drive Coupling required at BM U-8 NPTPS Parli-V</t>
  </si>
  <si>
    <t>New PR No.1100131599; DO is in process.</t>
  </si>
  <si>
    <t>_</t>
  </si>
  <si>
    <t>Procurement of complete planatary gear box-KMP -280/300 for coal mill XRP-903 at BM U-8 NPTPS Parli-V</t>
  </si>
  <si>
    <t>Turbine and Auxiliaries</t>
  </si>
  <si>
    <t>Procurement of spares for Equipment Cooling Water Pumps (Make-FLOWMORE) of model FIG-5824 (SG Side) and FIG-5822 (TG side) at Unit-8 NPTPS Parli-V</t>
  </si>
  <si>
    <t>31/03/2021</t>
  </si>
  <si>
    <t>11.06.2021</t>
  </si>
  <si>
    <t>PO dispatch 16/4; Material received</t>
  </si>
  <si>
    <t>Supply of spars for recovery &amp; FF Pumps along with work  at U#8</t>
  </si>
  <si>
    <t>27.07.2021</t>
  </si>
  <si>
    <t>new PR 1100115195 -; PO placed material received</t>
  </si>
  <si>
    <t>Supply of seal oil vacuum pump  in unit 08</t>
  </si>
  <si>
    <t>16/12/2020</t>
  </si>
  <si>
    <t>25.03.2021</t>
  </si>
  <si>
    <t xml:space="preserve">PO Placed 12/03;  material received; </t>
  </si>
  <si>
    <t>Procurement of AC pressure pipes (235MM OD, 200MM ID, 4.5M Length) for NDCT hot spray water distribution system in Unit-8 NPTPS Parli-Vaijnath</t>
  </si>
  <si>
    <t xml:space="preserve">PO Dispatch  25/02; Material received, </t>
  </si>
  <si>
    <t>Supply of M/s Summits make Instrument Air Dryer &amp; spares at U # 8 TM, Parli-V</t>
  </si>
  <si>
    <t>16/01/2021</t>
  </si>
  <si>
    <t>05.07.2021</t>
  </si>
  <si>
    <t xml:space="preserve">PO dis 22/3/21; material received
</t>
  </si>
  <si>
    <t>Supply of PVC fills for NDCTs at U # 8 TM, Parli-V</t>
  </si>
  <si>
    <t>20/01/2021</t>
  </si>
  <si>
    <t>14.05.2021/
03.04.2021</t>
  </si>
  <si>
    <t>PO dis 24/3;Material received;</t>
  </si>
  <si>
    <t>4550008409 /4550008410</t>
  </si>
  <si>
    <t>130100801/
130100802</t>
  </si>
  <si>
    <t>Procurement of NB 600MM Gate valves for ACW self cleaning strainers in U#8 TM NPTPS Parli-V</t>
  </si>
  <si>
    <t>15/01/2021</t>
  </si>
  <si>
    <t>15.06.2021</t>
  </si>
  <si>
    <t>PO dis 17/3; material received</t>
  </si>
  <si>
    <t>Procurement of Mechanical seals ( Make Leak-Proof) for various pumps in TM Unit-8 NPTPS Parli.</t>
  </si>
  <si>
    <t>05.05.2021</t>
  </si>
  <si>
    <t>PO placed 26/03 material received</t>
  </si>
  <si>
    <t>Supply of SS 304 pipes &amp; others at U # 8 TM, Parli-V.</t>
  </si>
  <si>
    <t>28/01/2021</t>
  </si>
  <si>
    <t>01.04.2021</t>
  </si>
  <si>
    <t>PO placed 22/03/21 material received</t>
  </si>
  <si>
    <t xml:space="preserve">Electrical and Instrumentation </t>
  </si>
  <si>
    <t>Supply of Instrumentation Spares of LP Bypass System at Unit-8.</t>
  </si>
  <si>
    <t>30.03.2022</t>
  </si>
  <si>
    <t>PO dispatch 08/12; Material received</t>
  </si>
  <si>
    <t>Procurement of Schneider MICOM Numerical Relays for GRP and STPR swithcgear at NPTPS Unit-8 Testing</t>
  </si>
  <si>
    <t>17/08/2020</t>
  </si>
  <si>
    <t>26.03.2022</t>
  </si>
  <si>
    <t>PO dispatch 27/01; Material received</t>
  </si>
  <si>
    <t xml:space="preserve">Procurement of 220V DC Chloride make (formally caldyne) make battery chargers Spre of Unit 8 NPTPS Parli-V                           </t>
  </si>
  <si>
    <t>27/08/2020</t>
  </si>
  <si>
    <t>22.02.2022</t>
  </si>
  <si>
    <t>PO dispatch 02/11;Material received</t>
  </si>
  <si>
    <t>Procurement of 24V DC Chhabi make make battery chargers Spare of Unit 8 NPTPS Parli-V</t>
  </si>
  <si>
    <t>18/08/2020</t>
  </si>
  <si>
    <t>21.12.2021</t>
  </si>
  <si>
    <t>PO Dispatch 1/5/21; Material received</t>
  </si>
  <si>
    <t xml:space="preserve"> Procurement of Spare for Hitachi Hi-Rel make UPS systems installed at Unit-8 NPTPS Parli Vaijnath.</t>
  </si>
  <si>
    <t>14/08/2020</t>
  </si>
  <si>
    <t>17.09.2021</t>
  </si>
  <si>
    <t>PO dispatch 19/4; Material received</t>
  </si>
  <si>
    <t>Procurement of various test kit for testing U#8 such as energy meter calibration kit, DC earth faulth locator kit, promary current injection kit, breaker time measurement kit, numeric relay test kit and other testing instruments.</t>
  </si>
  <si>
    <t>06.04.2021/
14.07.2021</t>
  </si>
  <si>
    <t>1.4385000351 PO Placed 18/03 Material received;
2.114125: Dis 26/03; material received</t>
  </si>
  <si>
    <t>4385000351/4385000385</t>
  </si>
  <si>
    <t>1501008513/
1501008514</t>
  </si>
  <si>
    <t>Procurement of   Energymeter Caliberation Software Module and hardware for upgrading Numeric Relay Test kit at Unit -8 Testing.</t>
  </si>
  <si>
    <t>PO Dis 31/01; Material received</t>
  </si>
  <si>
    <t>Procurement of H T Motors.</t>
  </si>
  <si>
    <t>PR To section obs 14/12; Budgetary offer validity which was given at the time of estimate of PR expired.Then account asked to provide new budgetary offer with extended vality but agency not provided budgetary offers.so further processing pending.</t>
  </si>
  <si>
    <t>Procurement of critical L T Motors</t>
  </si>
  <si>
    <t xml:space="preserve">Procurement  of ESP Hopper heaters (As a initial spares) Installed at EM U-8, NPTPS, Parli-Vaijnath under add cap scheme.
</t>
  </si>
  <si>
    <t>23/04/2021</t>
  </si>
  <si>
    <t>24.11.2021</t>
  </si>
  <si>
    <t>PO dispatch 22/07/21; Material received</t>
  </si>
  <si>
    <t>Outdoor Plant(CHP/AHP/WTP)</t>
  </si>
  <si>
    <t>Supply of Apron Feeder spares installed at CHP NPTPS Parli-V</t>
  </si>
  <si>
    <t>14/01/2020</t>
  </si>
  <si>
    <t>16.10.2021</t>
  </si>
  <si>
    <t xml:space="preserve">PO Dispatch  8/6/21; Material received;
</t>
  </si>
  <si>
    <t>Supply of various drive and non drive pulleys for CHP U-8.</t>
  </si>
  <si>
    <t>13/01/2020</t>
  </si>
  <si>
    <t>06.08.2021/
09.11.2021</t>
  </si>
  <si>
    <t>PO Placed 27/03; material received</t>
  </si>
  <si>
    <t>4385000402 /4385000403</t>
  </si>
  <si>
    <t>1501008509/
1501008656</t>
  </si>
  <si>
    <t>Supply and installation of clamp pads &amp; resting pads for Side Beam of Wagon Tippler for CHP U-8</t>
  </si>
  <si>
    <t>15.04.2021</t>
  </si>
  <si>
    <t xml:space="preserve">PO Dis 9/2;Material received; </t>
  </si>
  <si>
    <t>Supply of unbalance motorozied vibrating feeder for S/R of U-7/8 CHP NPTPS Parli-V.</t>
  </si>
  <si>
    <t>16/01/2020</t>
  </si>
  <si>
    <t>07.09.2021</t>
  </si>
  <si>
    <t xml:space="preserve"> T.C.3000011773. PO dis 12/4; material received; </t>
  </si>
  <si>
    <t>Procurement of conveying and Instrument air compressor spares at AHP U#8</t>
  </si>
  <si>
    <t>16.03.2022</t>
  </si>
  <si>
    <t>PO dispatch 27/11; Material received</t>
  </si>
  <si>
    <t>Procurement of vacuum pump spares at AHP U#8</t>
  </si>
  <si>
    <t>21/01/2021</t>
  </si>
  <si>
    <t>12.08.2021</t>
  </si>
  <si>
    <t xml:space="preserve"> PO Dispatch 12/4; Material received</t>
  </si>
  <si>
    <t>Procurement of fluidizing blower spares at AHP U#8</t>
  </si>
  <si>
    <t>31/12/2020</t>
  </si>
  <si>
    <t>09.09.2021</t>
  </si>
  <si>
    <t xml:space="preserve">PO Dispatch 12/4; material received
</t>
  </si>
  <si>
    <t>Procurement of slurry pump spares at AHP U#8</t>
  </si>
  <si>
    <t>29/09/2020</t>
  </si>
  <si>
    <t>PO stage</t>
  </si>
  <si>
    <t>Procurement of Clinker grinder spares at AHP U#8</t>
  </si>
  <si>
    <t xml:space="preserve">PO Dispatch 19/05; Material received
</t>
  </si>
  <si>
    <t>Reassessment of remaining BOP work after insolvency of M/s Sunil Hi-Tech</t>
  </si>
  <si>
    <t>Project balance E&amp;M  and procurement of mandetory spares</t>
  </si>
  <si>
    <t>MERC CAPEX Approval in MTR Order 296 of 2019</t>
  </si>
  <si>
    <t>Order 296 of 2019</t>
  </si>
  <si>
    <t>Approved Cost of BR is Rs.35.13 Crs, Excluding taxes.</t>
  </si>
  <si>
    <t>Work order for Contract of Supply and application of Fire Stop Mortar Seal and Fire Retardant Cable Coating Compound at NPTP U-8 Parli Project</t>
  </si>
  <si>
    <t>Supply &amp; Work completed</t>
  </si>
  <si>
    <t>Work order for contract for Supply Installaion Testing &amp; Commissioning Smoke Detection &amp; alaram system</t>
  </si>
  <si>
    <t>Work order for contract for Supply Installaion Testing &amp; Commissioning of Balance Fire Fighting System at NPTP U-8 Parli Project</t>
  </si>
  <si>
    <t>Supply, Errection, testing &amp; commissioning works of RWP, PT potable chlorination system, ETP system control panel, automation of LDO, HFO tank foam system Hose boxes with RRL hoses and branch pipe and allied system at NPTP</t>
  </si>
  <si>
    <t xml:space="preserve">Work Order contract for supply, installation Testing &amp; Commissioning of telephone exchange (EPBAX) &amp; Telephone System at NPTP U-8 Parli project  </t>
  </si>
  <si>
    <t>Balance Supply of Electrical Lab Equipment  at NPTP parli-V</t>
  </si>
  <si>
    <t>Work order for contract for Supply Installaion Testing &amp; Commissioning with required material to complete  Balance CHP work at NPTP U-8 Parli Project</t>
  </si>
  <si>
    <t>Supply, Errection, testing &amp; commissioning of Interconnecting Conveyor no.9 &amp; 10 from U-8 to U-6&amp;7 of CHP at NPTP U-8, Parli-V</t>
  </si>
  <si>
    <t>Suply completed, work completed</t>
  </si>
  <si>
    <t>SUPPLY ,INSTA,TEST ,COMM ELECTRICAL SYS</t>
  </si>
  <si>
    <t>work completed</t>
  </si>
  <si>
    <t>SUPPLY,INSTAL,TEST,COMM OF  CRANS&amp;HOIST</t>
  </si>
  <si>
    <t>Suply completed,work completed</t>
  </si>
  <si>
    <t>Supply, Errection, testing &amp; commissioning of Dust Extraction system at NPTP U-8, Parli-V</t>
  </si>
  <si>
    <t>Supply, Errection, testing &amp; commissioning of DSS &amp; DFDS at NPTP U-8, Parli-V</t>
  </si>
  <si>
    <t>Supply, Errection, testing &amp; commissioning of Monorail at NPTP U-8, Parli-V</t>
  </si>
  <si>
    <t>Supply, Errection, testing &amp; commissioning of various Control &amp; Instrumentation equipments at NPTP U-8, Parli-V</t>
  </si>
  <si>
    <t xml:space="preserve">Work completed </t>
  </si>
  <si>
    <t>Supply, Errection, testing &amp; commissioning of Air Conditioning System at NPTP U-8, Parli-V</t>
  </si>
  <si>
    <t>Supply, Errection, testing &amp; commissioning of Ventilation  System at NPTP U-8, Parli-V</t>
  </si>
  <si>
    <t>Supply, Errection, testing &amp; commissioning of Elevator works.</t>
  </si>
  <si>
    <t>Work contract for dismentaling, supply, erection &amp; commissioning of MRHS</t>
  </si>
  <si>
    <t>Supply, Errection, testing &amp; commissioning of FF System, Smoke detection &amp; Fire stop mortar &amp; Fire retradant cable coating for conveyor 09 &amp; 10</t>
  </si>
  <si>
    <t>Supply, Errection, testing &amp; commissioning of Chimney Elevator</t>
  </si>
  <si>
    <t>Supply, Errection, testing &amp; commissioning work of GEHO Pumps.</t>
  </si>
  <si>
    <t>90% WORK COMPLETED</t>
  </si>
  <si>
    <t>Procurement of various Mandetory spares of BOP packages</t>
  </si>
  <si>
    <t>PROPOSAL IS IN PROCESS</t>
  </si>
  <si>
    <t>Balance civil work of BOP scope at 250 MW Parli-V</t>
  </si>
  <si>
    <t xml:space="preserve">Approved Cost of BR is Rs.38.41 Crs, Excluding taxes.
1) The work of BOP was awarded to M/s SHEL vide Order No DG/PARLI-8/BOP/SUPPLY DT. 01.01.2010 AND Order No DG/PARLI-8/BOP/ERECTION/2 DT. 01.01.2010. M/s SHEL has not carried out the work completely and M/s SHEL approached to Arbitration, Due to this work of BOP held up and so in the interest of MSPGCL Hon. Managiing Director, MSPGCL issued the BR No 48 dt. 15.02.2019 for RS 73.54 Crores for Risk and Cost against Encashment of BGs already deposited by M/s SHEL RS. 83 Crores
2) Therefore Bal Civil work of BOP Scope at 1*250 MW parli was undertaken and Order No. CE[C]/II/KRD TECH/t-68/1376 dt. 20.08.2019 issued to M/s Mitcon for RS. 49.08 Crores inclusive of Taxes. 
3) The SHEL completed the work of Rs. 116 crores Civil order No 2 against W.O value Rs. 133 Crores(incl. of taxes) and balance work Rs. 16.50 was incomplete, after Technical inspection and scrutiny the work by Competent Authorities the remained work was decided to complete in all respect, so that the revised Estimate of Balance work prepared for RS. 36.21 Crores package wise and approved by HO and Hon. MD and BR NO. MSPGCL/CS/CIR RES/48 DT. 15.02.2019 issued for RS. 38.41 Crores exclusive of Taxes.
4) The work of BOP civil stopped by SHEL and therefore New Order of Rs. 49.08 (incl. taxes) issued to M/s Mitcon to complete the work, in the mean period the costs has been increased of Cement, Steel and other civil equipment hence the Rates are taken as per New Govt. DSR for the respective year and revised estimates of RS. 36.21 crores packages wise prepared and approved by HO. 
5) The order Value has also increased due to higher rate quoated by M/S Mitcon by RS. 14.89% above the estimated cost of RS. 36.21 crores hence the amount of Rs. 5.39 Crores increased
6) Now the Work of BOP Civil has been completed to the values of RS. 37.41 Crores against Total Order of Rs. 49.08 Crores i.e. 76% and balance work is in progress and total work is estimated to be completed in 2022-23.
7) Therefore the reasons for increased costs against civil work order due to-
i) Delay in completion of work by SHEL.
ii) Prize Hike in Material and Equipments during the mean time.
iii) Higher Prize quoted by Agency M/S Mitcon.
iv) Taxes increase in due period.
</t>
  </si>
  <si>
    <t>Area grading</t>
  </si>
  <si>
    <t>CMD</t>
  </si>
  <si>
    <t>Conveyor 09, 10 &amp; TP 06</t>
  </si>
  <si>
    <t>Finishing item</t>
  </si>
  <si>
    <t>Drain &amp; nala</t>
  </si>
  <si>
    <t>Internal roads</t>
  </si>
  <si>
    <t>Stacker &amp; reclaimer</t>
  </si>
  <si>
    <t>Other Add Cap</t>
  </si>
  <si>
    <t>Laboratory set up</t>
  </si>
  <si>
    <t>Quality control of fuel,water, bulk chemicals, lub oils etc.Moniters heatrate, fuel consumption,chemical consumption etc.</t>
  </si>
  <si>
    <t>Supply of Analytical Instruments for condition monitoring Laboratory for 1X250 MW of   NPTPS, Parli-V.</t>
  </si>
  <si>
    <t>25.11.2020</t>
  </si>
  <si>
    <t>Material received.</t>
  </si>
  <si>
    <t>Supply of Analytical Instruments for Water Analysis Laboratory for 1X250 MW of   NPTPS, Parli-V</t>
  </si>
  <si>
    <t>17.06.2021/
08.09.2021</t>
  </si>
  <si>
    <t>4385000392 /4385000393</t>
  </si>
  <si>
    <t>1501008556/
1501008555</t>
  </si>
  <si>
    <t>Supply of Analytical Instruments for Environment Laboratory for 1 x 250 MW, NPTPS, Parli-V.</t>
  </si>
  <si>
    <t>08.02.2020</t>
  </si>
  <si>
    <t>4385000073/4385000074</t>
  </si>
  <si>
    <t>Supply of Analytical Instruments for Precision Laboratory for 1 x 250 MW, NPTPS, Parli-V.</t>
  </si>
  <si>
    <t>ADDCAP Proposal No.1100098925 is returned back as per SE Chemist remark.Office note dated 16.12.2020  remark by Suptd.Cemist(FM)ref N.CE/Suptdg chem/CPA/Inst/1038 dated 16.12.2020.</t>
  </si>
  <si>
    <t>Supply of Analytical Instruments for General Laboratory of Water Treatment Plant of 1 x 250 MW, NPTPS, Parli-V.</t>
  </si>
  <si>
    <t>Supply of Corrosion Monitor/Meter, Corrosion Coupon &amp; Coupon Rack for 1X250 MW of   NPTPS, Parli-V.</t>
  </si>
  <si>
    <t>10.10.2019</t>
  </si>
  <si>
    <t>Supply of Analytical Instruments for Coal Analysis Laboratory for 1X250 MW of   NPTPS, Parli-V</t>
  </si>
  <si>
    <t>31.12.2021</t>
  </si>
  <si>
    <t>4385000460 / 4385000461</t>
  </si>
  <si>
    <t>Grade slab (WTP Area)</t>
  </si>
  <si>
    <t>30.11.2019/
05.01.2020</t>
  </si>
  <si>
    <t>120201366/
120201392</t>
  </si>
  <si>
    <t>Grade slab (Near AHP Building)</t>
  </si>
  <si>
    <t>15.12.2019</t>
  </si>
  <si>
    <t>Temporary shed for empty barrles &amp; filled barrles</t>
  </si>
  <si>
    <t>17.05.2020</t>
  </si>
  <si>
    <t xml:space="preserve">For reduced the pollustion and healthy working enviroment </t>
  </si>
  <si>
    <t>Cabins for operators at TP.</t>
  </si>
  <si>
    <t>10.02.2020</t>
  </si>
  <si>
    <t>Provide healthy working enviroment to the operator</t>
  </si>
  <si>
    <t>Compound wall for isolation of administrative building.</t>
  </si>
  <si>
    <t>Provde safety to admine building</t>
  </si>
  <si>
    <t>Constrution of admin building near NPTPS premises pending. hence Site yet not handed over to agency. Pertains to Civil-iii</t>
  </si>
  <si>
    <t>Work of providing/ fixing of internal partitions of aluminium/Nova palm/glass/wooden for Unit 8 service building &amp; other allied builings in the premises.</t>
  </si>
  <si>
    <t>05.01.2020</t>
  </si>
  <si>
    <t>Provision of DM and softening water line interconnection from u-6,7 to u-8 &amp; Provision of recovery of waste water from sandava pump house,NDCT.</t>
  </si>
  <si>
    <t>26/02/2019</t>
  </si>
  <si>
    <t>20.05.2019</t>
  </si>
  <si>
    <t xml:space="preserve">Water conservation </t>
  </si>
  <si>
    <t>31/08/2019</t>
  </si>
  <si>
    <t>09.01.2020</t>
  </si>
  <si>
    <t xml:space="preserve"> Hydraulic drive system modification.    </t>
  </si>
  <si>
    <t>26.08.2021</t>
  </si>
  <si>
    <t>Work completed, Scheme capitalized</t>
  </si>
  <si>
    <t xml:space="preserve">Link conveyor from Con-2 of U-6/7 to Con.-2AB of U-8. </t>
  </si>
  <si>
    <t>10.01.2022</t>
  </si>
  <si>
    <t>Better utilisation of coal feeding system for all the units</t>
  </si>
  <si>
    <t>Ozone plant for Unit -8</t>
  </si>
  <si>
    <t>P&amp;P HO</t>
  </si>
  <si>
    <t xml:space="preserve">controls bio growth in cooling water system &amp; helps in reducing of fouling of condenser. Helps in improving NDCT performance. </t>
  </si>
  <si>
    <t>Work completed.</t>
  </si>
  <si>
    <t>P&amp;P Project</t>
  </si>
  <si>
    <t>Water management system</t>
  </si>
  <si>
    <t>20/02/2019</t>
  </si>
  <si>
    <t>To measure consumed water at various locations to optimise water consumption.</t>
  </si>
  <si>
    <t>Proposal returened back as per CE CPA letterCE(CPA)/Gr.IVB/NPTPS/ADDCAP Return  No.5296 Dtd. 13.06.2022</t>
  </si>
  <si>
    <t>8, 20</t>
  </si>
  <si>
    <t>Procurement &amp; Installation of EMS system at Unit-8 NPTPS Parli-Vaijnath</t>
  </si>
  <si>
    <t>14.10.2021</t>
  </si>
  <si>
    <t>1. Improved availability of EMS System will help in APC Calculation Fulfillment norms of PAT Mandatory Audit. 
2. Availability of EMS will help in reducing APC as APC will be monitored precisely. Hence it will go with planning for achieving zero disallowance mission.</t>
  </si>
  <si>
    <t>Conveyor-5 of  stacking/reclaiming belt double drive arrangement.</t>
  </si>
  <si>
    <t>10.06.2021</t>
  </si>
  <si>
    <t xml:space="preserve">for coal stacking </t>
  </si>
  <si>
    <t>Chemical lab building</t>
  </si>
  <si>
    <t>To be confirmed from Civil-III, Fresh DPR preparation in progress</t>
  </si>
  <si>
    <t>Chemical store</t>
  </si>
  <si>
    <t>for provide safe storage to the chemical.</t>
  </si>
  <si>
    <t xml:space="preserve"> Lawn development around NDCT.</t>
  </si>
  <si>
    <t>Tree plantation &amp; greenery along road side.</t>
  </si>
  <si>
    <t>Greenery development in area between  WTP &amp; main plant.</t>
  </si>
  <si>
    <t>Construction of staff rooms &amp; store for CHP maint..</t>
  </si>
  <si>
    <t>Provide healthy working enviroment to the staffs</t>
  </si>
  <si>
    <t xml:space="preserve">Dsludg filteration for raw water </t>
  </si>
  <si>
    <t>Removes sediments &amp; bio growth drom water .Minimises accumulation of sludge in pond.</t>
  </si>
  <si>
    <t>PLC/UPS system  upgradation</t>
  </si>
  <si>
    <t>Order placed, Material received work completed.</t>
  </si>
  <si>
    <t>DPR Schemes</t>
  </si>
  <si>
    <t>FGD at Parli Unit # 8</t>
  </si>
  <si>
    <t>MERC/CAPEX/2021-2022/0284</t>
  </si>
  <si>
    <t>Work in progress</t>
  </si>
  <si>
    <t>HO
DPR 16</t>
  </si>
  <si>
    <t>Construction of new Administrative Building for Mahagenco at Vidyut Bhawan, Katol Road, Nagpur</t>
  </si>
  <si>
    <t>MERC/CAPEX/2021-2022/MSPGCL/063</t>
  </si>
  <si>
    <t>HO
DPR 16.1</t>
  </si>
  <si>
    <t>HO
DPR 17</t>
  </si>
  <si>
    <t>Centralized Monitoring Solution</t>
  </si>
  <si>
    <t>MERC/CAPEX/MSPGCL/2023-24/0576</t>
  </si>
  <si>
    <t>HO
DPR 17.1</t>
  </si>
  <si>
    <t>(ii) Yet to be submitted to MERC</t>
  </si>
  <si>
    <t xml:space="preserve">Detailed Project Report on  Boiler plant performance improvement and availability improvement schemes at Boiler Maintenance 1x250MW Unit-8 TPS Parli-V </t>
  </si>
  <si>
    <t>Yet to be approved</t>
  </si>
  <si>
    <t>Board approval RECEIVED, DPR submitted to MERC</t>
  </si>
  <si>
    <t>Procurement &amp; Replacement of Complete Economizer Upper &amp; Lower Bank Coil Assemblies at Unit-8, NPTPS Parli-V</t>
  </si>
  <si>
    <t>1.Reduced number of tube leakages in Economizer area will increase reliability of boiler operation.
2.Generation loss due to boiler tube leakages will be avoided.
3.Better operating efficiency of Economizer will help in recovering heat from flue gas to heat feed water and hence heat rate will improve.
4. Decrease in repair and outage cost of boiler due to tube leakages in Economizer area.
5. Better heat transfer area will be available as currently 17 numbers of coils are in bypass condition.</t>
  </si>
  <si>
    <t>Procurement &amp; Replacement of Two complete set of APH Baskets at 250 MW Unit-8, Parli TPS.</t>
  </si>
  <si>
    <t>1. Reduction in flue gas outlet temp.
2.Reduction in DP across APH.
3.Reduction in loss due to Dry flue gas.
4.Improvement in performance of APH &amp; Improvement in boiler efficiency.
5.Heat rate of unit will be improved.
6.Reduction in the Fuel consumption.
7.Reduction in the Maintenance cost on account of APH Overhaul.</t>
  </si>
  <si>
    <t>Procurement &amp; replacement of  PA Fan PAF 17/11.8-2 and FD Fan FAF 17/9.5-1 Complete Blade set required at BM U-8 NPTPS Parli-V.</t>
  </si>
  <si>
    <t>	Better and stable operation of both fans.
	No variation in PA header pressure and furnace draft hence aavailability and Reliability of    unit will be increased. 
	Better response and control over the air output of both fans.
	Reduction in fuel (HFO) consumption due to better availability of fans.
	Improvement in overall plant efficiency.</t>
  </si>
  <si>
    <t>Procurement &amp; Replacement of  Coal Mill Gear Box Type KMP 280 at 250 MW Unit-8, Parli TPS.</t>
  </si>
  <si>
    <t>	Better availability of coal mills.
	Decrease in generation loss due to outage of coal mills.
	Availability and Reliability of unit will be increased. 
	Reduction in fuel (HFO) consumption due to better availability of coal mills.
	Improvement in overall milling plant efficiency.</t>
  </si>
  <si>
    <t>Procurement &amp; replacement of Bowl &amp; Bowl Hub Assembly of Coal Mill XRP-903 required at BM U-8 NPTPS Parli-V.</t>
  </si>
  <si>
    <t>	Since this scheme involves complete replacement of bowl and bowl hub assembly of coal mill, it will be very beneficial in view of the coal mill availability and to avoid generation loss. Major tangible aspects in this regard have been considered as below.
	Better availability of coal mills.
	Decrease in generation loss due to lesser outage of coal mills for labyrinth seal leakage.
	Availability and Reliability of unit will be increased. 
	Reduction in fuel (HFO) consumption due to better availability of coal mills.
	Improvement in overall milling plant efficiency.</t>
  </si>
  <si>
    <t>Procurement of Complete Journal Assembly without Grinding roll for Coal Mill XRP-903  required at BM U-8 NPTPS Parli-V</t>
  </si>
  <si>
    <t>Procurement of  Hydraulic Adjustment Device for FD Fan FAF 17/9.5-1 at BM U-8 NPTPS Parli-V.</t>
  </si>
  <si>
    <t>	Better response and accuracy in operation of FD fan.
	Sustainable provision of secondary air for combustion without any fluctuations.
	Availability and Reliability of unit will be increased.</t>
  </si>
  <si>
    <t>SWAS upgradation at U#8</t>
  </si>
  <si>
    <t>•	Online real time analysis of Water &amp; Steam parameters and stringent quality monitoring thereof.
•	Achieving better control over process controlling operational parameters.
•	Precise Boiler water chemical parameters optimization. 
•	Control over chemical corrosion of boiler and other related piping.
•	Stringent control over steam quality and purity. 
•	Decrease in heat rate. 
•	Reduction in CBD losses. 
•	Reduction in boiler tube leakages.
•	Availability of qualitative and quantitative Boiler Drum water chemical parameter data bank for evaluation of present and future performance level and gap analysis. 
•	Analysis of Generation loss through CBD, Deterioration &amp; Chemical losses in terms of quality.
•	Boiler Tube Leakage and turbine blades deterioration and corrosion can be avoided by knowing exact nature of steam Quality.
•	DM water saving by optimizing process control.
•	Reduction in outages.
•	Quick, on- line, real time sampling by reducing manual error, thereby precision in analysis.
•	Measurement of critical chemical parameters at normal room temperature.
•	Control over other related parameters like temperature and pressure of samples.
•	fast and real time analysis and action to be taken in case, if any abnormality is observed in the parameters</t>
  </si>
  <si>
    <t xml:space="preserve"> Procurement &amp; Replacement of Complete Platen super heater coils  Coil Assemblies at Unit-8, TPS Parli-V,  Procurement &amp; Replacement of Complete LTSH upper &amp; lower bank Coil Assemblies at Unit-8, TPS Parli-V &amp;  Procurement &amp; Replacement of  Coal Mill Gear Box Type KMP 280 at 250 MW Unit-8, Parli TPS.</t>
  </si>
  <si>
    <t>DPR under preparation</t>
  </si>
  <si>
    <t>Procurement &amp; Replacement of Complete Platen super heater coils  Coil Assemblies at Unit-8, TPS Parli-V</t>
  </si>
  <si>
    <t xml:space="preserve">1) Increased Reliability of platen superheater operation.2) Gain in heat rate due to improvement in heat absoption. </t>
  </si>
  <si>
    <t>Procurement &amp; Replacement of Complete LTSH upper &amp; lower bank Coil Assemblies at Unit-8, TPS Parli-V</t>
  </si>
  <si>
    <t>1) Avoid outages due to tube leakage in LTSH. 2) Imporove in heat rate.</t>
  </si>
  <si>
    <t xml:space="preserve"> Procurement &amp; Replacement of  Coal Mill Gear Box Type KMP 280 at 250 MW Unit-8, Parli TPS.</t>
  </si>
  <si>
    <t>1) Increased availability and loadability of mills. 2) Avoiding generation loss on account of mills due to longer outages caused by PGB failure.</t>
  </si>
  <si>
    <t xml:space="preserve"> Procurement &amp; Replacement of Two complete set of APH Baskets at 250 MW Unit-8, Parli TPS Procurement &amp; replacement of PA &amp; FD fan rotar hub assembly at Unit-8 TPS Parli-V</t>
  </si>
  <si>
    <t xml:space="preserve"> Procurement &amp; Replacement of Two complete set of APH Baskets at 250 MW Unit-8, Parli TPS.</t>
  </si>
  <si>
    <t xml:space="preserve">1) Improvement in heat rate. 2) Improvement in waste heat recovery from flue gas towards primary and secondary air. </t>
  </si>
  <si>
    <t>Procurement &amp; replacement of PA &amp; FD fan rotar hub assembly at Unit-8 TPS Parli-V</t>
  </si>
  <si>
    <t xml:space="preserve">1) Better and stable operation of both fans.               2) Availability and Reliability of unit will be increase. </t>
  </si>
  <si>
    <t xml:space="preserve">DPR on Refurbishment of TG Governing system at Unit-8, PTPS, Parli V. </t>
  </si>
  <si>
    <t xml:space="preserve">Refurbishment of TG Governing system at Unit-8, PTPS, Parli V. </t>
  </si>
  <si>
    <t xml:space="preserve">1. Reduced time of rolling and synchronisation. Hence oil consumption of  reduced.   2. Precise functioning of sub-assemblies of Governing unit, malfunctioning of system avoided.   3. Accurate operation of protection devices which saves major damage to TG unit and avoids permanant deformations in turbine      4. Enhancement in Unit operational service life   5. Availabality of unit ensured. </t>
  </si>
  <si>
    <t>DPR on Performance improvement of Natural Draft Cooling Tower (NDCT) at Unit-8, PTPS, Parli V.</t>
  </si>
  <si>
    <t>Performance improvement of Natural Draft Cooling Tower (NDCT) by replacement of PVC fills, AC cement pipes, strengthening of Hot water distribution system, replacement of beams, columns, support structures, etc. at Unit-8, PTPS, Parli V.</t>
  </si>
  <si>
    <t>1. NDCT and condenser efficiency improved.   2. Cost efficient elecricity generation ensured       3. Unit PLF, Heat rate and availability improved     4  Maintenance cost per year reduced</t>
  </si>
  <si>
    <t xml:space="preserve">DPR on Procurement of  ACW &amp; CW pump along with mandatory spares at Unit-8, PTPS, Parli V. </t>
  </si>
  <si>
    <t>1. Auxiliary power consumption reduced due to improved performance of pumps   2 . Availability of unit ensured    3. Maintenance cost on pumps reduced due to improved reliability.</t>
  </si>
  <si>
    <t xml:space="preserve">DPR on Procurement of  CEP pump and BFP Booster pump along with mandatory spares at Unit-8, PTPS, Parli V and Procurement of Energy Efficient Cartridges of Boiler Feed Pump at Unit-8, PTPS, Parli V. </t>
  </si>
  <si>
    <t xml:space="preserve">Procurement of  CEP pump and BFP Booster pump along with mandatory spares at Unit-8, PTPS, Parli </t>
  </si>
  <si>
    <t>Availability of unit ensured    2 Maintenance cost on pumps reduced due to improved reliability.</t>
  </si>
  <si>
    <t xml:space="preserve">Procurement of Energy Efficient Cartridges of Boiler Feed Pump at Unit-8, PTPS, Parli V. </t>
  </si>
  <si>
    <t xml:space="preserve">3. Auxiliary power consumption reduced due to improved performance of pumps   2 </t>
  </si>
  <si>
    <t>DPR on Procurement of turbine blades of HP, IP &amp; LP rotor in Unit-8, PTPS, Parli V.</t>
  </si>
  <si>
    <t xml:space="preserve">1. HP, IP and LP turbine thermal and overall effiency improved  2 Major deformation in turbine avoided due to use of worn out blades  3 Heat rate improved 4  Improved service life of unit  5. Efficient electricity generation </t>
  </si>
  <si>
    <t xml:space="preserve">DPR on Repair &amp; Reconditioning of Water treatment plant at Unit-8, PTPS, Parli V and Performance improvement of centralised AC plant at Unit-8, PTPS, Parli V. </t>
  </si>
  <si>
    <t>Reconditioning of Acid and Alkali Unloading and storage system at Unit-8, PTPS, Parli V.</t>
  </si>
  <si>
    <t>1. Timely unloading and efficient utilisation of Acid and alkali.  2.  Accident due to acid and alkali avoided. 3 Wastage of costly acid and alkali minimised. 4. Environmental damaged avoided.</t>
  </si>
  <si>
    <t>Reconditioning &amp; repairing of WTP DM Plant regeneration system at Unit-8, PTPS, Parli V.</t>
  </si>
  <si>
    <t xml:space="preserve">1 Unintrrupted supply of DM and service  water for unit  2. Better perfomance of DM plant. 3. Cost of raisin procurement reduced </t>
  </si>
  <si>
    <t xml:space="preserve"> Performance improvement of centralised AC plant by reconditioning of cooling tower, various pumps, heat exchangers, etc. at Unit-8, PTPS, Parli V. </t>
  </si>
  <si>
    <t>1. Malfunctioning of instrumentation system avoided, hence unit tripping avoided   2. Service life of instrumentation logic cards improved    3 availability of unit ensured</t>
  </si>
  <si>
    <t>DPR on Procurement of Control Fluid (HPCF) pump, Lube Oil pump, Emergency Oil pump, Jacking Oil pump, Seal oil pump at Unit-8, PTPS, Parli V.</t>
  </si>
  <si>
    <t>1 TG unit lube oil, seal oil and governing system functional reliabilty improved.  2 Reduced APC due to energy efficient and improved performance of pumps   3.  Unit availability and reliabilty ensured.  4. Operational life of Unit improved. 5.  Major deformation in TG unit avoided due to failure of these auxiliaries.</t>
  </si>
  <si>
    <t xml:space="preserve">DPR on Procurement of H2 cooler, BFP coolers, generator exciter cooler, Seal and Lube oil coolers at Unit-8, PTPS, Parli V. </t>
  </si>
  <si>
    <t xml:space="preserve">1 Better heat dessipation gnerated in system during electricity generation. 2. Improved service life of various systems like seal oil and lube oil system    3. Major accident  due to  higher oil temperatures avoided. 4 Unit availability improved. </t>
  </si>
  <si>
    <t>Supply, installation &amp; commissioning of 220V 2140AH,24V 830AH &amp; 710AH, 360V 570AH Mains UPS,110V 110AH AHP PLC , 110V , 103 AH DM plant battery set for unit 8 , NPTPS Parli-V &amp; Procurement of HT motors at U#8</t>
  </si>
  <si>
    <t>Supply, installation &amp; commissioning of 220V 2140AH,24V 830AH &amp; 710AH, 360V 570AH Mains UPS,110V 110AH AHP PLC , 110V , 103 AH DM plant battery set for unit 8 , NPTPS Parli-V</t>
  </si>
  <si>
    <t>Procurement of HT motors at U#8</t>
  </si>
  <si>
    <t xml:space="preserve">1. The existing motors have been repaired / rewound several times during this period. The motors are in dilapidated condition with increased internal losses, mechanical deterioration etc. Replacement of such motors will definitely result in to reduced failures and ready availability of spare motors for replacement.
2. The availability of spare motors will enable periodical overhaul of motors irrespective of unit overhauls as the spare motors can be kept overhauled and replaced even in short outage of units.
	For example, in case of failure of any HT motor of 250 MW unit, the common pool motor is to be brought from other power station which involved transportation. Thus, for restoration of normalcy considerable period is required. If such motor is readily available, the work involved would only be removal and replacement of failed motor. Early restoration of normalcy will add to generation as the unit is brought on bars earlier than what used to be without spare motor.
	Reduced failures will reduce the yearly expenditure on maintenance and rewinding.
	The present-day motors are of energy efficient construction.
	Increased efficiency will result in reduced loading on the old cables and help avoid cable failures/replacements.
	Reduced noise level and vibrations around the running motor.
	Considerable generation loss on account of failure of Coal mill HT motors will be avoided.
	There is considerable saving in auxiliary consumption due to energy efficient HT Motor.
</t>
  </si>
  <si>
    <t>DPR on various instrumentation &amp; control schemes at U#8</t>
  </si>
  <si>
    <t>Upgradation of MAX-DNA  DCS system at U#8 (HMI upgradation)</t>
  </si>
  <si>
    <t>1.To improve reliability of MAX-DNA DCS system.  2.To avoid any outage due MAX DNA DCS System. 3.For better and stable operation of DCS system.  4.To avoid any generation loss due to DCS system.    5 .New versions of hardware &amp; software will be available which will be useful to operate plant with greater flexibility &amp; reliability</t>
  </si>
  <si>
    <t>Upgradation of existing Pcal system with plant performance analysis diagnostic and optimization system (PADO) at Unit  8 New Parli TPS</t>
  </si>
  <si>
    <t>1.To improve reliability of PCAL system.                         2.For better and stable operation of PCAL system.  .    5 .New versions of hardware &amp; software will be available which will be useful to operate plant with greater flexibility &amp; reliability</t>
  </si>
  <si>
    <t xml:space="preserve"> Upgradation of coal feeder for I&amp;C Unit8 PTPS Parli V.</t>
  </si>
  <si>
    <t>1.To improve reliability of Coal feeder                       2.To avoid any outage due to coal feeder                     3.For better and stable operation of coal feeder.  4.To avoid any generation loss due to coal feeder.    5 .New versions of hardware &amp; software will be available which will be useful to operate plant with greater flexibility &amp; reliability</t>
  </si>
  <si>
    <t>Procurement of smart control positioner at I&amp;C Unit8 PTPS Parli V.</t>
  </si>
  <si>
    <t xml:space="preserve">1.To improve reliability of control valve &amp; dampers .  2.To avoid any outage due valve &amp; dampers.                     3.For better and stable operation of valve &amp; dampers.                                                                                     4.To avoid any generation loss due tovalve &amp; dampers    </t>
  </si>
  <si>
    <t>Upgradation Electronic control drive for I&amp;C Unit8 PTPS Parli V.</t>
  </si>
  <si>
    <t>1.To improve reliability of  Electric control drive system.                                                                                    2.To avoid any outage due Electric control drive System.                                                                                      3.For better and stable operation ofElectric control drive system.                                                                                 4.To avoid any generation loss due to Electric control drive system.                                                                                 5 .New versions of hardware &amp; software will be available which will be useful to operate plant with greater flexibility &amp; reliability</t>
  </si>
  <si>
    <t>Upgradation of turbovisory &amp; vibration monitoring system control panel.</t>
  </si>
  <si>
    <t>1.To improve reliability of  turbovisory &amp; vibration monitoring system.                                                                                    2.To avoid any outage dueturbovisory &amp; vibration monitoring System.                                                                                      3.For better and stable operation of turbovisory &amp; vibration monitoring system.                                                                                 4.To avoid any generation loss due toturbovisory &amp; vibration monitoring system.                                                                                 5 .New versions of hardware &amp; software will be available which will be useful to operate plant with greater flexibility &amp; reliability</t>
  </si>
  <si>
    <t>Performance improvement by system up gradation  at CHP &amp; DPR for normalization and stabilization of coal handling plant performance at Parli TPS</t>
  </si>
  <si>
    <t xml:space="preserve">Supply and Commissioning of Energy Efficient Evaporative Cooling System for Control Panel &amp; Breaker room of CHP Unit-8   For  PARLI TPS </t>
  </si>
  <si>
    <t>Supply and commissioning of Suspended Magnets for U-8 CHP NPTPS</t>
  </si>
  <si>
    <t>1. Improved availability of conveyor system thus healthy bunker levels &amp; help to improve generation.
2. Reductions in Operation and Maintenance cost of HT/LT switchgear equipments..
3. Reduction in breakdowns of HT/LT breakers..
4. Availability of motors will be maximized so that scheduled preventive maintenance will be followed.
5. Less energy consumption
6. Reduction in CO2 emission</t>
  </si>
  <si>
    <t>Stacker-reclaimer Bucket wheel drive modification work of U- 8 CHP</t>
  </si>
  <si>
    <t>1. Smooth and uninterrupted operation of CHP. 
2. Maximize the utilization and availability of the CHP. 
3. Reduction in maintenance and belt failure cost of conveyors. Increase in coal wagon unloading rate.
4. Improved coal mill availability.
5. Improved conveyor belt availability.</t>
  </si>
  <si>
    <t>Apron feeder drive modification from Hydraulic to Electro-Mechanical at CHP U-8  NPTPS</t>
  </si>
  <si>
    <t>1. Smooth and uninterrupted operation of CHP. 
2. Maximize the utilization and availability of the CHP. 
3. Reduction in maintenance &amp; Failure cost of Stacker-reclaimer. Improved coal mill availability
4.  Improved Bucket wheel availability.
5. Utilization of rated capacity of Bucket wheelBetter management of Coal stack yard.
6. Better house keeping at Coal stack yard.</t>
  </si>
  <si>
    <t>Procurement of U-8 W/T Major spares</t>
  </si>
  <si>
    <t>1.Smooth and uninterrupted operation of CHP. 
2. Maximize the utilization and availability of the CHP. 
3. Reduction in maintenance &amp; Failure cost of Apron feeder 
4. Improved Apron feeder wheel availability.
5. Utilization of rated capacity of Apron feeder</t>
  </si>
  <si>
    <t>Provision of Soft starter / VFD for Various conveyor</t>
  </si>
  <si>
    <t xml:space="preserve"> Since commissioning these Wagon Tipplers are incontinoues service. Major spares like planatory gearbox, Wagon Tippler / Side Arm Charger racks and pinion, clamps, motors etc parts are  detoriated hence replacement is essential to avoid major breakdown and non avaiability of Wagon Tippler / SAC.</t>
  </si>
  <si>
    <t>TP-3 chute modification at U-8 CHP.</t>
  </si>
  <si>
    <t>1. Maximum Coal Handling Plant availability
2. Faster coal wagon Unloading
3. Reduction in maintenance and operational cost.
4. Utilization of rated capacity of conveyor belts
5. Reduction in auxiliary consumption
6. Reduction in breakdown time</t>
  </si>
  <si>
    <t>Design, supply and commissioning of solar operated lighting system in CHP  U-8.</t>
  </si>
  <si>
    <t xml:space="preserve"> Installation of CCTV survillance system alongwith all conveyors.</t>
  </si>
  <si>
    <t>1. Use of renewable energy and reduction in auxilary consumption. 
2. Reduction in Carbon emission.
3. Ambience improvement by providing sufficient lighting during night hours.</t>
  </si>
  <si>
    <t>DPR for maximiation of Coal Handling Plant efficiency &amp; DPR on life enhancement of Coal Handling Plant</t>
  </si>
  <si>
    <t>1. Proper survillence of man and machine.
2. Survillence will reduce downtime of auxilaries.
3. As a safety and security will improve.</t>
  </si>
  <si>
    <t>W/T control room &amp; bunker house battery &amp; UPS upgradation</t>
  </si>
  <si>
    <t>Refurbishment of  conveyor no. 2 A/B &amp; 6 A/B drive system of CHP U-8 TPS Parli.</t>
  </si>
  <si>
    <t>1. Smooth and uninterrupted operation of CHP. 
2. Uninterrupted power supply to PLC panels.
3. Reduction in maintenance of electronic cards and program software.
4. Improved CHP auxilaries availability.</t>
  </si>
  <si>
    <t>Procurement &amp; installation of Belt tear detection system</t>
  </si>
  <si>
    <t>Conveyor gravity takeup infrastructure strengthening work</t>
  </si>
  <si>
    <t>1. Maximum Coal Handling Plant availability
2. Faster coal wagon Unloading
3. Reduction in maintenance and operational cost.
4. Utilization of rated capacity of conveyor belts
5. Reduction in auxiliary consumption
6. Reduction in breakdown time
7. Spare cost on account of LT switch gear panel will reduce.
8. Break down due to belt snapping will reduce.
9. Conveyor availability will improve by strengthening gravity take insfrastructure work.
10. Faster unloading due to replacement of VF-1</t>
  </si>
  <si>
    <t>U-8 CHP apron feeder-I to Conveyor 1 A/B chute modification work .</t>
  </si>
  <si>
    <t>DPR for stabiliazation of Coal Handling Performance.</t>
  </si>
  <si>
    <t xml:space="preserve">Drive modification of Stacker Reclaimer slewing system. </t>
  </si>
  <si>
    <t>Retrofitting of Side Arm Charger-I &amp; II at CHP U-8</t>
  </si>
  <si>
    <t xml:space="preserve">1. Maximum Coal Handling Plant availability
2. Faster coal wagon Unloading
3. Reduction in maintenance and operational cost.
4. Utilization of rated capacity of conveyor belts
5. Reduction in auxiliary consumption
6. Reduction in breakdown time
7. Break down due to belt snapping will reduce.
</t>
  </si>
  <si>
    <t>Upgradation of GE/Schineder make PLC system atU-8 CHP.</t>
  </si>
  <si>
    <t>Refurbishment of Apron Feeder at CHP U-8.</t>
  </si>
  <si>
    <t>Provision of moveable stacker and crusher in CHP coal stack yard at CHP U-8.</t>
  </si>
  <si>
    <t>Procurement of Loco &amp; Bulldozer at CHP U-8.</t>
  </si>
  <si>
    <t>DPR on dry fly ash utilisation improvement scheme for AHP U-8 NPTPS Parli-V.</t>
  </si>
  <si>
    <t>Design, supply, erection, installation &amp; comissioning of intermediate silo with sub system at AHP U-8.</t>
  </si>
  <si>
    <t>DPR on ash handling plant improvement scheme for AHP U-8 NPTPS Parli-V.</t>
  </si>
  <si>
    <t xml:space="preserve"> Design, supply, erection &amp; comissioning of weigh bridge for silo at AHP U-8.</t>
  </si>
  <si>
    <t>Supply, installation &amp; comissioning of energy efficient air compressor at AHP U-8.</t>
  </si>
  <si>
    <t xml:space="preserve"> PROCUREMENT OF COMPLETE ASSEMBLY OF SAM MAKE AR-150/510 PUMPS (2 NOS) FOR REPLACEMENT OF ASH SLURRY PUMPS OF BOTTOM ASH SLURRY DISPOSAL FROM SLURRY TANK TO ASH BUND IN SLURRY PUMP HOUSE. </t>
  </si>
  <si>
    <t>PROCUREMENT OF COMPLETE ASSEMBLY OF SAM MAKE ZM-II 530/02 (2 NOS) FOR REPLACEMENT OF HP PUMPS OF BOTTOM ASH &amp; COARSE ASH EVACUATION FROM BA/CA HOPPERS TO SLURRY TANK IN ASH WATER PUMP HOUSE. 0.75 0.89</t>
  </si>
  <si>
    <t>Procurement of vacuum pumps complete assembly for AHP U-8 NPTPS Parli-V.</t>
  </si>
  <si>
    <t>Procurement of Feed Gate Complete Assembly along with modified metallurgy to enhance the life of Clinker Grinder.</t>
  </si>
  <si>
    <t>Procurement of Double Roll Clinker Grinder Complete Assembly with Drive Unit installed at AHP</t>
  </si>
  <si>
    <t>Procurement of Instrument Air Dryers assembly for performance improvement</t>
  </si>
  <si>
    <t>Procurement of various types of Isolation Valves assembly, Dome Valves assembly, Root Valve Assembly &amp; Expansion Bellows Assembly for Dry Ash Conveing performance improvement</t>
  </si>
  <si>
    <t>Design, supply, erection, installation &amp; comissioning of DM water close loop cooling system for air compressors at AHP U-8.</t>
  </si>
  <si>
    <t>Up-gradation of Existing Schneider make PLC (HMI + PLC hardware) installed at AHP Unit -8 at Parli TPS.</t>
  </si>
  <si>
    <t>Procurement of HT motors for AHP U-8 Parli TPS.</t>
  </si>
  <si>
    <t>PROCUREMENT OF CRITICAL GEARBOXES AND FLUID COUPLINGS INTERNAL ASSEMBLIES FOR SLURRY PUMPS AND SILO HCSD SYSTEM INSTALLED AT AHP, PARLI TPS.</t>
  </si>
  <si>
    <t>Procurement of Atlas Copco Make Instrument Air Compressors Critical/Non-Critical Spares sub-assembly for performance improvement</t>
  </si>
  <si>
    <t>Upgradation and improvement in Hopper Temperature monitoring system by providing Rf Type Hopper Level Sensors for performance improvement of conveying of Dry ash evacuation system.</t>
  </si>
  <si>
    <t xml:space="preserve"> Design, supply, erection, installation &amp; comissioning ESP 1st &amp; 2nd field dry fly ash evacuation &amp; conveying system at AHP U-8.</t>
  </si>
  <si>
    <t>Design, supply, erection, installation &amp; comissioning of dry ash evacuation &amp; conveying system for APH &amp; Economiser ash hoppers at AHP U-8.</t>
  </si>
  <si>
    <t>Verious Civil schemes in Unit 8 NPTPS  Parli V.</t>
  </si>
  <si>
    <t>Construction of chemical laboratory building at Unit 8, NPTPS, Parli V.</t>
  </si>
  <si>
    <t>Construction of Alum/salt storage area at Unit No.8 (1X250MW) NPTPS Parli Vaijnath.</t>
  </si>
  <si>
    <t>Construction of Fire Fighting station  at Unit-8,  NPTPS  Parli V.</t>
  </si>
  <si>
    <t xml:space="preserve">Construction of workshop building at Unit-8,  NPTPS  Parli V. </t>
  </si>
  <si>
    <t>CHP improvement scheme at 250 MW</t>
  </si>
  <si>
    <t>For provide machines and workshop building</t>
  </si>
  <si>
    <t>B) Non-DPR</t>
  </si>
  <si>
    <t>B) GA</t>
  </si>
  <si>
    <t>C) Asset received from Project U#8</t>
  </si>
  <si>
    <t xml:space="preserve">Categorise (Works deferred for execution  Regu.No.24.1 (ii). </t>
  </si>
  <si>
    <t>Asset Recived From Civil-U#8-Land-10101</t>
  </si>
  <si>
    <t>19.11.2016</t>
  </si>
  <si>
    <t>BOP Works before 19.11.2016 (COD) within Original Scope</t>
  </si>
  <si>
    <t>Asset Recived From Civil-U#8-T.G. Building-10201</t>
  </si>
  <si>
    <t>Asset Recived From Civil-U#8-T.G. Building(BC)bay&amp;control room-10201</t>
  </si>
  <si>
    <t>Asset Recived From Civil-U#8-StructuralSteelWorks4TGBldgA2EBays-10201</t>
  </si>
  <si>
    <t>Asset Recived From Civil-U#8-WTP Building-10201</t>
  </si>
  <si>
    <t>Asset Recived From Civil-U#8-DG SET ROOM CUM AIR COMP. HOUSE-10201</t>
  </si>
  <si>
    <t>Asset Recived From Civil-U#8-WTP-Raw/Fire water pump House-10233</t>
  </si>
  <si>
    <t>Asset Recived From Civil-U#8-SERVICE BUILDING -10211</t>
  </si>
  <si>
    <t>Asset Recived From Civil-U#8-Canteen -10233</t>
  </si>
  <si>
    <t>Asset Recived From Civil-U#8-PARKING SHED -10233</t>
  </si>
  <si>
    <t>Asset Recived From Civil-U#8-Time Security Building -10233</t>
  </si>
  <si>
    <t>Asset Recived From Civil-U#8-Misc.Building/structure/Watchtower-10233</t>
  </si>
  <si>
    <t>Other than BTG &amp; BOP.</t>
  </si>
  <si>
    <t>Asset Recived From Civil-U#8-Boundry compound wall Mall-10233</t>
  </si>
  <si>
    <t>Asset Recived From Civil-U#8-Workshop civil work-10233</t>
  </si>
  <si>
    <t>Asset Recived From Civil-U#8-Interior Work for CEC-I Office-10233</t>
  </si>
  <si>
    <t>Asset Recived From Civil-U#8-WTP-Raw water reservoir -10305</t>
  </si>
  <si>
    <t>Asset Recived From Civil-U#8-WTP-Clarifier -10305</t>
  </si>
  <si>
    <t>Asset Recived From Civil-U#8-WTP-Clarifier Water Storage Tank-10305</t>
  </si>
  <si>
    <t>Asset Recived From Civil-U#8-C.W. pump house &amp; forebay-10310</t>
  </si>
  <si>
    <t>Asset Recived From Civil-U#8-Construction of STP for Colony-10322</t>
  </si>
  <si>
    <t>Asset Recived From Civil-U#8-Cooling Towers-10311</t>
  </si>
  <si>
    <t>Asset Recived From Civil-U#8-Railway sidings-10412</t>
  </si>
  <si>
    <t>Asset Recived From Civil-U#8-In plant Roads -10401</t>
  </si>
  <si>
    <t>Asset Recived From Civil-U#8-Pipe Rack -10419</t>
  </si>
  <si>
    <t>Asset Recived From Civil-U#8-Transformar yard area -10541</t>
  </si>
  <si>
    <t>Asset Recived From Civil-U#8-BA-Boiler and Auxilary foundation-10501</t>
  </si>
  <si>
    <t>Asset Recived From Civil-U#8-BA-FD FAN FOUNDATIONS -10501</t>
  </si>
  <si>
    <t>Asset Recived From Civil-U#8-BA-PA FAN FOUNDATION -10501</t>
  </si>
  <si>
    <t>Asset Recived From Civil-U#8-BA-I.D. Fan foundation -10501</t>
  </si>
  <si>
    <t>Asset Recived From Civil-U#8-BA-MILL FOUNDATION-10501</t>
  </si>
  <si>
    <t>Asset Recived From Civil-U#8-BA-BUNKER FOUNDATION &amp; STRUCTURE-10515</t>
  </si>
  <si>
    <t>Asset Recived From Civil-U#8-ESP-10501</t>
  </si>
  <si>
    <t>Asset Recived From Civil-U#8-ESP Control Room-10501</t>
  </si>
  <si>
    <t>Asset Recived From Civil-U#8-RCC Chimney -10501</t>
  </si>
  <si>
    <t>Asset Recived From Civil-U#8-WTP-D.M.Plant equipment fdn. etc.-10509</t>
  </si>
  <si>
    <t>Asset Recived From Civil-U#8-CHP-Wagon Tippler-10515</t>
  </si>
  <si>
    <t>Asset Recived From Civil-U#8-CHP-Crusher House -10515</t>
  </si>
  <si>
    <t>Asset Recived From Civil-U#8-CHP-Stacker Reclaimer -10515</t>
  </si>
  <si>
    <t>Asset Recived From Civil-U#8-CHP-Stock Yard-10515</t>
  </si>
  <si>
    <t>Asset Recived From Civil-U#8-CHP-ConveyorPedetals&amp;TransferPoint-10515</t>
  </si>
  <si>
    <t>Asset Recived From Civil-U#8-CHP-MCC ROOM -10515</t>
  </si>
  <si>
    <t>Asset Recived From Civil-U#8-AHP-RCC Ash Silo -10501</t>
  </si>
  <si>
    <t>Asset Recived From Civil-U#8-AHP-Staicase near Silo-10501</t>
  </si>
  <si>
    <t>Asset Recived From Civil-U#8-AHP-Drain sump in Silo Area -10501</t>
  </si>
  <si>
    <t>Asset Recived From Civil-U#8-AHP-Slurry Mixing Tank Fdn.-10501</t>
  </si>
  <si>
    <t>Asset Recived From Civil-U#8-AHP-HCSD PUMP HOUSE-10501</t>
  </si>
  <si>
    <t>Asset Recived From Civil-U#8-AHP-Ash Slurry Pump House -10501</t>
  </si>
  <si>
    <t>Asset Recived From Civil-U#8-AHP-Ash Slurry Sump-10501</t>
  </si>
  <si>
    <t>Asset Recived From Civil-U#8-AHP-Ash Water Tank-10501</t>
  </si>
  <si>
    <t>Asset Recived From Civil-U#8-AHP-Bottom Ash Hopper-10501</t>
  </si>
  <si>
    <t>Asset Recived From Civil-U#8-AHP-Drain sump in BAH Area -10501</t>
  </si>
  <si>
    <t>Asset Recived From Civil-U#8-Ash Slurry Pipe Line AHP-Pedestals-10501</t>
  </si>
  <si>
    <t>Asset Recived From Civil-U#8-AHP-Buffer Hopper Foundation-10501</t>
  </si>
  <si>
    <t>Asset Recived From Civil-U#8-AHP-Mill reject hopper foundation-10501</t>
  </si>
  <si>
    <t>Asset Recived From Civil-U#8-FHP-Fuel Oil pump house-10516</t>
  </si>
  <si>
    <t>Asset Recived From Civil-U#8-FHP-DYKE AREA -10516</t>
  </si>
  <si>
    <t>Asset Recived From Civil-U#8-Effulent Treatment Plant -10509</t>
  </si>
  <si>
    <t>Asset Recived From Project-U#8-Boiler Pressure parts-10501</t>
  </si>
  <si>
    <t>BTG Work after COD within original scope</t>
  </si>
  <si>
    <t>Asset Recived From Project-U#8-Mandatory Spares from BHEL–Trichy</t>
  </si>
  <si>
    <t>08.01.2021</t>
  </si>
  <si>
    <t>Asset Recived From Civil-U#8-Coal mill reject trench at coal mill D&amp;E</t>
  </si>
  <si>
    <t>18.10.2019</t>
  </si>
  <si>
    <t>Asset Recived From Project-U#8-Canteen Equipments &amp; kitchen Utensils</t>
  </si>
  <si>
    <t>05.11.2020</t>
  </si>
  <si>
    <t>Asset Recived From Project-U#8-Supply &amp; Erection of ACW system-10310</t>
  </si>
  <si>
    <t>BTG Work before COD within original scope</t>
  </si>
  <si>
    <t>Asset Recived From Project-U#8-SUPPLY &amp; ERECTION OF CCW SYSTEM-10310</t>
  </si>
  <si>
    <t>Asset Recived From Project-U#8-TG set &amp; its auxilleries-HP/LPFeedWate</t>
  </si>
  <si>
    <t>Asset Recived From Project-U#8-TG set and its auxilleries- Boilerfeed</t>
  </si>
  <si>
    <t>Asset Recived From Project-U#8-Air Conditioning-MandatorySpares-10576</t>
  </si>
  <si>
    <t>BOP Work after 19.11.2016 (COD) within original scope</t>
  </si>
  <si>
    <t>Asset Recived From Project-U#8-Air Conditioning system-10576</t>
  </si>
  <si>
    <t>Asset Recived From Project-U#8-AHP-FLY ASH &amp; HCSD-SYSTEM-10501</t>
  </si>
  <si>
    <t>Asset Recived From Project-U#8-AHP-FLYASH&amp;HCSD-SYSTEMBOUGHT OUT-10501</t>
  </si>
  <si>
    <t>Asset Recived From Project-U#8-AHP-BOTTOM ASH SYSTEM-10501</t>
  </si>
  <si>
    <t>Asset Recived From Project-U#8-AHP-ELECTRICAL C &amp; I-10501</t>
  </si>
  <si>
    <t>Asset Recived From Project-U#8-AHP-GEHO PUMP-10501</t>
  </si>
  <si>
    <t>Asset Recived FromProject-U#8-Boiler&amp;Aux -Power Cycle Piping-10501</t>
  </si>
  <si>
    <t>Asset Recived From Project-U#8-Boiler&amp;Aux-SUIT BLOWER &amp; PIPING-10501</t>
  </si>
  <si>
    <t>Asset Recived From Project-U#8-Boiler &amp; Auxillaries - PA FAN-10501</t>
  </si>
  <si>
    <t>Asset Recived From Project-U#8-Boiler&amp;Aux-Air Preheaters-10501</t>
  </si>
  <si>
    <t>Asset Recived From Project-U#8-Boiler &amp; Auxillaries -COAL MILL-10501</t>
  </si>
  <si>
    <t>Asset Recived From Project-U#8-Boiler &amp; Auxillaries -FD FAN-10501</t>
  </si>
  <si>
    <t>Asset Recived From Project-U#8-Boiler &amp; Auxillaries- ID FAN-10501</t>
  </si>
  <si>
    <t>Asset Recived From Project-U#8-Boiler&amp;Aux-Mandatory Spares-10501</t>
  </si>
  <si>
    <t>Asset Recived From Project-U#8-Boiler&amp;Aux-PLATFORM,STAIRS,GRATINGS,</t>
  </si>
  <si>
    <t>Asset Recived From Project-U#8-220V-BATTERY+CHARGERS-MAIN PLANT-10563</t>
  </si>
  <si>
    <t>Asset Recived From Project-U#8-220V -BATTERY WITH CHARGERS(CHP)-10563</t>
  </si>
  <si>
    <t>Asset Recived From Project-U#8-220V-BATTERY+CHARG-WAGON TRIP-2N-10563</t>
  </si>
  <si>
    <t>Asset Recived From Project-U#8-BOP-OTHER C&amp; i INSTRUMENTS-10509</t>
  </si>
  <si>
    <t>Asset Recived From Project-U#8-CHP-CONVEYOR SYSTEM-10515</t>
  </si>
  <si>
    <t>Asset Recived From Project-U#8-CHP-WOBLER FEEDER-10515</t>
  </si>
  <si>
    <t>Asset Recived From Project-U#8-CHP-APRON FEEDER-10515</t>
  </si>
  <si>
    <t>Asset Recived From Project-U#8-CHP-ILMS,METAL DETECTOR,BELT WEIGHER</t>
  </si>
  <si>
    <t>Asset Recived From Project-U#8-CHP-IMPACT CRUSHER-10515</t>
  </si>
  <si>
    <t>Project-U#8-CHP-STRACKER CUM RECLAIMER-10515</t>
  </si>
  <si>
    <t>Project-U#8-CHP-SIDE DISCHARGE TYPE WAGON TRIPPLER</t>
  </si>
  <si>
    <t>Project-U#8-Coal Handling Plant-M.S.-10515</t>
  </si>
  <si>
    <t>Project-U#8-communication system-10572</t>
  </si>
  <si>
    <t>Project-U#8-UPS INVERTORS-10563</t>
  </si>
  <si>
    <t>Project-U#8-UPS ACDS-10563</t>
  </si>
  <si>
    <t>Project-U#8-UPS BATTERIRERS-10563</t>
  </si>
  <si>
    <t>Project-U#8-24V BATTERY CHARGERS (SGTG)-10563</t>
  </si>
  <si>
    <t>Project-U#8-24V BATTERY CHARGERS (BOP)-10563</t>
  </si>
  <si>
    <t>Project-U#8-BATTERIS FOR (SGTG)-10563</t>
  </si>
  <si>
    <t>Project-U#8-BATTERIS FOR (BOP)-10563</t>
  </si>
  <si>
    <t>Project-U#8-DCDB(SGTG)-10563</t>
  </si>
  <si>
    <t>Project-U#8-DCDB(BOP)-10563</t>
  </si>
  <si>
    <t>Project-U#8-Controls &amp; Instru. for Main Plant(BTG)</t>
  </si>
  <si>
    <t>Project-U#8-CW Chlorination system-10509</t>
  </si>
  <si>
    <t>Project-U#8-D.G.SET-10509</t>
  </si>
  <si>
    <t>Project-U#8-D.M.Water System-10509</t>
  </si>
  <si>
    <t>Project-U#8-DG set- Manadatory Spares-10509</t>
  </si>
  <si>
    <t>Project-U#8-DG Set Room cum Air Compressor House</t>
  </si>
  <si>
    <t>Project-U#8-Steel for TechnologicalStructure-10501</t>
  </si>
  <si>
    <t>Project-U#8-Electrical Package for BOP-10509</t>
  </si>
  <si>
    <t>Project-U#8-Electrical CHARGES-10509</t>
  </si>
  <si>
    <t>Project-U#8-Electrical Package for BOP-Mandatory</t>
  </si>
  <si>
    <t>Project-U#8-Fire Protection, Alarm &amp; Detection</t>
  </si>
  <si>
    <t>Project-U#8-Fuel Oil Pump House-10516</t>
  </si>
  <si>
    <t>Project-U#8-Generator Transformer-10541</t>
  </si>
  <si>
    <t>Project-U#8-Generator/Transformer protection</t>
  </si>
  <si>
    <t>Project-U#8-H.T.Switchgear for main plant-10561</t>
  </si>
  <si>
    <t>Project-U#8-Indoor &amp; Outdoor plant lighting-10599</t>
  </si>
  <si>
    <t>Project-U#8-L.P.Piping including valves-10509</t>
  </si>
  <si>
    <t>Project-U#8-L.T. Electrical for main plant.-10561</t>
  </si>
  <si>
    <t>Project-U#8-Laying&amp;Termination of HT cables-10561</t>
  </si>
  <si>
    <t>Project-U#8-MainBoiler Structure&amp;foundations-10501</t>
  </si>
  <si>
    <t>Project-U#8-Mandatory Spares for Ash HandlingPlant</t>
  </si>
  <si>
    <t>Project-U#8-Mandatory spares for C&amp;I of Main Plant</t>
  </si>
  <si>
    <t>Project-U#8-Mandatory Spares for Electrical MainPa</t>
  </si>
  <si>
    <t>Project-U#8-Mandatory Spares For TG &amp; Auxilliaries</t>
  </si>
  <si>
    <t>Project-U#8-Misc. Cranes &amp; hoists-10553</t>
  </si>
  <si>
    <t>Project-U#8-Miscellaneous Pumps -10599</t>
  </si>
  <si>
    <t>Project-U#8-Passanger lift for TG Building-10599</t>
  </si>
  <si>
    <t>Project-U#8-Passanger/Material Lift at boiler side</t>
  </si>
  <si>
    <t>Project-U#8-Chemical Laboratory -10509</t>
  </si>
  <si>
    <t>Project-U#8-Sewage Treatment Plant-10509</t>
  </si>
  <si>
    <t>Project-U#8-Station Transformer-10541</t>
  </si>
  <si>
    <t>Project-U#8-Steam Turbine set-10503</t>
  </si>
  <si>
    <t>Project-U#8-TG set and its auxilleries- Condensor</t>
  </si>
  <si>
    <t>Project-U#8-TG set and its auxilleries -Generator</t>
  </si>
  <si>
    <t>Project-U#8-TG set and its auxilleries-Condensor</t>
  </si>
  <si>
    <t>Project-U#8-TG set &amp; its auxilleries-Derator-10503</t>
  </si>
  <si>
    <t>Project-U#8-TG set and its auxilleries-DMMakeUpSys</t>
  </si>
  <si>
    <t>Project-U#8-TG set and its auxilleries-Gas System</t>
  </si>
  <si>
    <t>Project-U#8-TG set and its auxilleries-GoveringSys</t>
  </si>
  <si>
    <t>Project-U#8-TG set and its auxilleries-HP/LP By-pa</t>
  </si>
  <si>
    <t>Project-U#8-TG set and its auxilleries-HP/LP Dozin</t>
  </si>
  <si>
    <t>Project-U#8-TG set and its auxilleries-SealOilPump</t>
  </si>
  <si>
    <t>Project-U#8-TG set and its auxilleries-Vaccum Syst</t>
  </si>
  <si>
    <t>Project-U#8-Turbine Lub. Oil System With Purifier</t>
  </si>
  <si>
    <t>Project-U#8-Ventillation system-10599</t>
  </si>
  <si>
    <t>Asset Recived From Project-U#8-M.SPARE_Ventillation system-10599</t>
  </si>
  <si>
    <t>Asset Recived From Project-U#8-Water Treatment Plant-10509</t>
  </si>
  <si>
    <t>Asset Recived From Project-U#8-WORK SHOP MAD_SPARE-10565</t>
  </si>
  <si>
    <t>Asset Recived From Project-U#8-Workshop-10565</t>
  </si>
  <si>
    <t>Asset Recived From Project-U#8-CMR SYSTEM-10501</t>
  </si>
  <si>
    <t>Asset Recived From Project-U#8-MandatorySpares-WTP-10.509</t>
  </si>
  <si>
    <t>Asset Recived From Project-U#8-E.1.07_MandSpar 4 C&amp;I MS 4MeasuringIns E.1.07_M S for C&amp;I_ MS For Measuring Ins</t>
  </si>
  <si>
    <t>29.04.2019</t>
  </si>
  <si>
    <t>Asset Recived From Project-U#8-BOP_ELECTRICAL-10612</t>
  </si>
  <si>
    <t>Asset Recived From Project-U#8-Bus Ducts-10612</t>
  </si>
  <si>
    <t>Asset Recived From Project-U#8-Cable trays &amp; supports-10612</t>
  </si>
  <si>
    <t>Project-U#8-PCR FURNITURE-10810</t>
  </si>
  <si>
    <t>Project-U#8 Server Intel QUAD CORE 02No. HP Office Server</t>
  </si>
  <si>
    <t>Supply Erection testing and commissining of 1000 m3 ETP Civil works</t>
  </si>
  <si>
    <t>Capitalization</t>
  </si>
  <si>
    <t xml:space="preserve">*Trued-up O&amp;M expenses excluding water charges and including insurance and after adding/deducting share of efficiency gains/losses shall be considered </t>
  </si>
  <si>
    <t># Normative O&amp;M expenses for FY 2024-25 to be computed by escalating thrice with an escalation rate of 50% weightage of WPI of the respective past five financial years and 50% weightage of CPI of the respective past five financial years</t>
  </si>
  <si>
    <t>$ Normative O&amp;M expenses for each Year of the Control Period to be computed by escalating (e) by WPI (50%) &amp; CPI (50%) of respective past five financial years, reduced by efficiency factor of 1%</t>
  </si>
  <si>
    <t>$$ In case Projected O&amp;M expenses for Control Period are different from Normative O&amp;M expenses, then detailed justification should be provided</t>
  </si>
  <si>
    <r>
      <rPr>
        <b/>
        <sz val="11"/>
        <rFont val="Times New Roman"/>
        <family val="1"/>
      </rPr>
      <t>Note</t>
    </r>
    <r>
      <rPr>
        <sz val="11"/>
        <rFont val="Times New Roman"/>
        <family val="1"/>
      </rPr>
      <t>: Water charges shall be projected based on the actual Water Charges as per latest Audited Accounts available for the Generating Company</t>
    </r>
  </si>
  <si>
    <t>Form 12 A: Income Tax Rate for Truing-up Years for Fifth Control Period</t>
  </si>
  <si>
    <t>FY 2024-25*</t>
  </si>
  <si>
    <t>Income Tax Rate of the Company (%) $</t>
  </si>
  <si>
    <r>
      <rPr>
        <b/>
        <sz val="11"/>
        <rFont val="Times New Roman"/>
        <family val="1"/>
      </rPr>
      <t>Note</t>
    </r>
    <r>
      <rPr>
        <sz val="11"/>
        <rFont val="Times New Roman"/>
        <family val="1"/>
      </rPr>
      <t>: # Actual tax paid on income from any other regulated or unregulated Business or Other Business shall be excluded for the calculation of Income Tax rate. Income tax paid on incentive, efficiency gains, Delayed Payment Charges, Interest on Delayed Payment, Income from Other Business, Income from any other source not considered in ARR is to be excluded from actual Income Tax paid, and shown separately</t>
    </r>
  </si>
  <si>
    <t xml:space="preserve">$ In case Entity is paying Minimum Alternate Tax (MAT), the Income Tax rate shall be considered as MAT rate including surcharge and cess </t>
  </si>
  <si>
    <t xml:space="preserve">* The lastest available approved income tax rate shall be considered. </t>
  </si>
  <si>
    <t>Form 12 (B):  Computation of Income Tax Rate for Fifth Control Period</t>
  </si>
  <si>
    <t>Income Tax Rate of the Company (%) *</t>
  </si>
  <si>
    <t>Rate of Return on Equity (%)</t>
  </si>
  <si>
    <t>c = b /(1-a)</t>
  </si>
  <si>
    <r>
      <rPr>
        <b/>
        <sz val="11"/>
        <color rgb="FF000000"/>
        <rFont val="Times New Roman"/>
        <family val="1"/>
      </rPr>
      <t>Note</t>
    </r>
    <r>
      <rPr>
        <sz val="11"/>
        <color rgb="FF000000"/>
        <rFont val="Times New Roman"/>
        <family val="1"/>
      </rPr>
      <t xml:space="preserve">: </t>
    </r>
  </si>
  <si>
    <t xml:space="preserve">*The lastest available approved income tax rate shall be considered. </t>
  </si>
  <si>
    <t>Working of reagent cost</t>
  </si>
  <si>
    <t>LP/SBC Purity (%)</t>
  </si>
  <si>
    <t>Supply completed, work completed</t>
  </si>
  <si>
    <t>Supply completed, work 50% completed</t>
  </si>
  <si>
    <t>HO initiated DPR SCHEME.</t>
  </si>
  <si>
    <t>Board approval RECEIVED, DPR submitted to MERC.</t>
  </si>
  <si>
    <t>Board approval RECEIVED, DPR submitted to MERC, PR sent to HO for approval 21.10.2024</t>
  </si>
  <si>
    <t>Board approval RECEIVED, DPR submitted to MERC, PR at Pre-audit stage</t>
  </si>
  <si>
    <t>Board approval RECEIVED, DPR submitted to MERC, PR sent to HO for approval 25.10.2024</t>
  </si>
  <si>
    <t>Station Batteries are the heart of power plant required for the reliabikity of supply in case of AC failure, as it feed supply to DC auxilaries, Also 24 V and UPS  batteries gives uninterpted  supply to DCS.
failure of DC  supply due battery life lead to direct generation loss and secondary damge to turbine bearing and Rotor. Hencefinancial quantification can not be derived</t>
  </si>
  <si>
    <t>1) Increases dry fly ash evacuation &amp; conveying. 2) Generates additional revenue from ash utilisation. 3) Reduces auxillary power consumption.</t>
  </si>
  <si>
    <t>1) Reduction in electrical power consumption.</t>
  </si>
  <si>
    <t>1) Increases wet coarse ash evacuation &amp; conveying. 2) Generates additional revenue from ash utilisation.</t>
  </si>
  <si>
    <t>1) Increases dry fly ash evacuation. 2) Generates additional revenue from ash utilisation.</t>
  </si>
  <si>
    <t>1) Increases wet coarse &amp; dry fly ash evacuation &amp; conveying. 2) Generates additional revenue from ash utilisation.</t>
  </si>
  <si>
    <t>1) Increases dry fly ash evacuation &amp; conveying. 2) Generates additional revenue from ash utilisation.</t>
  </si>
  <si>
    <t>1) Enhance IAC &amp; CAC air compressor performance. 2) Reduces maintenance time &amp; O&amp;M expenditure.</t>
  </si>
  <si>
    <t>1) Un-interrupted &amp; smooth dry and wet coarse ash evacuation &amp; conveying system. 2) Reduces breakdown maintenance work. 3) Updated software and hardware, ensured support from OEM for software &amp; hardware.</t>
  </si>
  <si>
    <t>1) Reduces breakdown maintenance time. 2) Availability of HT motors enhances dry fly &amp; wet coarse ash evacuation system.</t>
  </si>
  <si>
    <t>1) Reduces breakdown maintenance time. 2) Availability of gearboxes enhances dry fly &amp; wet coarse ash evacuation system.</t>
  </si>
  <si>
    <t>1) Reduces breakdown time. 2) Reduction in electrical power consumption. 3) Ensures un-interrupted dry fly ash evacution &amp; conveying system.</t>
  </si>
  <si>
    <t>1) Enhances max dry fly ash evacuation. 2) Generates additional revenue through ash utilisation.</t>
  </si>
  <si>
    <t>1) Max dry fly ash evacuation &amp; utilisation will generate additional revenue. 2) Enhance dry fly ash evacuation, minimise running hours of vacuum pumps which may decrease energy consumption.</t>
  </si>
  <si>
    <t xml:space="preserve">1) Max dry fly ash evacuation &amp; utilisation will generate additional revenue. 2) Reduction in wet coarse ash evacuation &amp; conveying, minimise water consumption &amp; ash slurry pump running hours, reduce energy consumption. </t>
  </si>
  <si>
    <t>SBC</t>
  </si>
  <si>
    <t>Ammonia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</si>
</sst>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 #,##0.00_ ;_ * \-#,##0.00_ ;_ * &quot;-&quot;??_ ;_ @_ "/>
    <numFmt numFmtId="164" formatCode="_(* #,##0.00_);_(* \(#,##0.00\);_(* &quot;-&quot;??_);_(@_)"/>
    <numFmt numFmtId="165" formatCode="_-* #,##0.00_-;\-* #,##0.00_-;_-* &quot;-&quot;??_-;_-@_-"/>
    <numFmt numFmtId="166" formatCode="0.00_)"/>
    <numFmt numFmtId="167" formatCode="&quot;ß&quot;#,##0.00_);\(&quot;ß&quot;#,##0.00\)"/>
    <numFmt numFmtId="168" formatCode="0.0"/>
    <numFmt numFmtId="169" formatCode="_(* #,##0_);_(* \(#,##0\);_(* &quot;-&quot;??_);_(@_)"/>
    <numFmt numFmtId="170" formatCode="_-* #,##0_-;\-* #,##0_-;_-* &quot;-&quot;??_-;_-@_-"/>
    <numFmt numFmtId="171" formatCode="_ * #,##0_ ;_ * \-#,##0_ ;_ * &quot;-&quot;??_ ;_ @_ "/>
    <numFmt numFmtId="172" formatCode="0\ &quot;Days&quot;"/>
    <numFmt numFmtId="173" formatCode="0\ &quot;Month&quot;"/>
    <numFmt numFmtId="174" formatCode="0.000"/>
    <numFmt numFmtId="175" formatCode="_ * #,##0.0_ ;_ * \-#,##0.0_ ;_ * &quot;-&quot;??_ ;_ @_ "/>
    <numFmt numFmtId="176" formatCode="_ * #,##0.000_ ;_ * \-#,##0.000_ ;_ * &quot;-&quot;??_ ;_ @_ "/>
    <numFmt numFmtId="177" formatCode="_(* #,##0.000_);_(* \(#,##0.000\);_(* &quot;-&quot;??_);_(@_)"/>
    <numFmt numFmtId="178" formatCode="_(* #,##0.00000_);_(* \(#,##0.00000\);_(* &quot;-&quot;??_);_(@_)"/>
    <numFmt numFmtId="179" formatCode="0.000%"/>
    <numFmt numFmtId="180" formatCode="0.0%"/>
    <numFmt numFmtId="181" formatCode="_ * #,##0.000_ ;_ * \-#,##0.000_ ;_ * &quot;-&quot;???_ ;_ @_ "/>
    <numFmt numFmtId="182" formatCode="_(* #,##0.0_);_(* \(#,##0.0\);_(* &quot;-&quot;??_);_(@_)"/>
    <numFmt numFmtId="183" formatCode="0.0000"/>
    <numFmt numFmtId="184" formatCode="0.00000"/>
    <numFmt numFmtId="185" formatCode="0.000000000000000%"/>
    <numFmt numFmtId="186" formatCode="[$-14009]dd/mm/yy;@"/>
    <numFmt numFmtId="187" formatCode="0.00_ "/>
    <numFmt numFmtId="188" formatCode="0.0_ "/>
    <numFmt numFmtId="189" formatCode="[$-14009]dd\-mm\-yy;@"/>
    <numFmt numFmtId="190" formatCode="_ * #,##0.0000_ ;_ * \-#,##0.0000_ ;_ * &quot;-&quot;??.00_ ;_ @_ "/>
    <numFmt numFmtId="191" formatCode="_ * #,##0.000_ ;_ * \-#,##0.000_ ;_ * &quot;-&quot;??.0_ ;_ @_ "/>
  </numFmts>
  <fonts count="1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Times New Roman"/>
      <family val="1"/>
    </font>
    <font>
      <b/>
      <sz val="11"/>
      <name val="Times New Roman"/>
      <family val="1"/>
    </font>
    <font>
      <sz val="10"/>
      <name val="Times New Roman"/>
      <family val="1"/>
    </font>
    <font>
      <b/>
      <sz val="10"/>
      <name val="Times New Roman"/>
      <family val="1"/>
    </font>
    <font>
      <b/>
      <sz val="11"/>
      <color indexed="8"/>
      <name val="Times New Roman"/>
      <family val="1"/>
    </font>
    <font>
      <b/>
      <sz val="12"/>
      <name val="Times New Roman"/>
      <family val="1"/>
    </font>
    <font>
      <b/>
      <sz val="14"/>
      <name val="Times New Roman"/>
      <family val="1"/>
    </font>
    <font>
      <b/>
      <sz val="10"/>
      <color indexed="9"/>
      <name val="Times New Roman"/>
      <family val="1"/>
    </font>
    <font>
      <sz val="12"/>
      <name val="Arial"/>
      <family val="2"/>
    </font>
    <font>
      <sz val="12"/>
      <name val="Times New Roman"/>
      <family val="1"/>
    </font>
    <font>
      <sz val="10"/>
      <name val="Arial"/>
      <family val="2"/>
    </font>
    <font>
      <sz val="12"/>
      <name val="Tms Rmn"/>
    </font>
    <font>
      <sz val="10"/>
      <name val="Helv"/>
    </font>
    <font>
      <sz val="8"/>
      <name val="Arial"/>
      <family val="2"/>
    </font>
    <font>
      <b/>
      <sz val="12"/>
      <name val="Arial"/>
      <family val="2"/>
    </font>
    <font>
      <sz val="7"/>
      <name val="Small Fonts"/>
      <family val="2"/>
    </font>
    <font>
      <b/>
      <i/>
      <sz val="16"/>
      <name val="Helv"/>
    </font>
    <font>
      <vertAlign val="superscript"/>
      <sz val="11"/>
      <name val="Times New Roman"/>
      <family val="1"/>
    </font>
    <font>
      <sz val="11"/>
      <name val="Arial"/>
      <family val="2"/>
    </font>
    <font>
      <sz val="11"/>
      <color indexed="8"/>
      <name val="Times New Roman"/>
      <family val="1"/>
    </font>
    <font>
      <b/>
      <sz val="11"/>
      <color indexed="9"/>
      <name val="Times New Roman"/>
      <family val="1"/>
    </font>
    <font>
      <sz val="11"/>
      <color theme="1"/>
      <name val="Calibri"/>
      <family val="2"/>
      <scheme val="minor"/>
    </font>
    <font>
      <b/>
      <sz val="11"/>
      <color theme="1"/>
      <name val="Times New Roman"/>
      <family val="1"/>
    </font>
    <font>
      <sz val="11"/>
      <color theme="1"/>
      <name val="Times New Roman"/>
      <family val="1"/>
    </font>
    <font>
      <sz val="11"/>
      <color indexed="8"/>
      <name val="Calibri"/>
      <family val="2"/>
    </font>
    <font>
      <sz val="11"/>
      <color theme="1"/>
      <name val="Calibri"/>
      <family val="2"/>
    </font>
    <font>
      <vertAlign val="superscript"/>
      <sz val="11"/>
      <color theme="1"/>
      <name val="Times New Roman"/>
      <family val="1"/>
    </font>
    <font>
      <sz val="12"/>
      <color theme="1"/>
      <name val="Book Antiqua"/>
      <family val="1"/>
    </font>
    <font>
      <sz val="10"/>
      <name val="Arial"/>
      <family val="2"/>
    </font>
    <font>
      <sz val="10"/>
      <color theme="1"/>
      <name val="Arial"/>
      <family val="2"/>
    </font>
    <font>
      <b/>
      <sz val="11"/>
      <name val="Arial"/>
      <family val="2"/>
    </font>
    <font>
      <b/>
      <sz val="10"/>
      <color theme="1"/>
      <name val="Arial"/>
      <family val="2"/>
    </font>
    <font>
      <b/>
      <u/>
      <sz val="11"/>
      <name val="Times New Roman"/>
      <family val="1"/>
    </font>
    <font>
      <b/>
      <sz val="12"/>
      <color theme="1"/>
      <name val="Arial"/>
      <family val="2"/>
    </font>
    <font>
      <sz val="10"/>
      <name val="Arial"/>
      <family val="2"/>
    </font>
    <font>
      <sz val="14"/>
      <name val="Arial"/>
      <family val="2"/>
    </font>
    <font>
      <sz val="9"/>
      <color indexed="81"/>
      <name val="Tahoma"/>
      <family val="2"/>
    </font>
    <font>
      <b/>
      <sz val="9"/>
      <color indexed="81"/>
      <name val="Tahoma"/>
      <family val="2"/>
    </font>
    <font>
      <sz val="11"/>
      <color rgb="FFFF0000"/>
      <name val="Times New Roman"/>
      <family val="1"/>
    </font>
    <font>
      <b/>
      <sz val="12"/>
      <color indexed="8"/>
      <name val="Times New Roman"/>
      <family val="1"/>
    </font>
    <font>
      <b/>
      <sz val="10"/>
      <name val="Arial"/>
      <family val="2"/>
    </font>
    <font>
      <sz val="12"/>
      <color indexed="8"/>
      <name val="Times New Roman"/>
      <family val="1"/>
    </font>
    <font>
      <sz val="12"/>
      <color theme="1"/>
      <name val="Times New Roman"/>
      <family val="1"/>
    </font>
    <font>
      <sz val="10"/>
      <name val="Calibri"/>
      <family val="2"/>
      <scheme val="minor"/>
    </font>
    <font>
      <b/>
      <sz val="10"/>
      <name val="Calibri"/>
      <family val="2"/>
      <scheme val="minor"/>
    </font>
    <font>
      <sz val="10"/>
      <color theme="1"/>
      <name val="Calibri"/>
      <family val="2"/>
      <scheme val="minor"/>
    </font>
    <font>
      <b/>
      <sz val="10"/>
      <color theme="1"/>
      <name val="Calibri"/>
      <family val="2"/>
      <scheme val="minor"/>
    </font>
    <font>
      <sz val="12"/>
      <name val="Calibri"/>
      <family val="2"/>
    </font>
    <font>
      <b/>
      <sz val="11"/>
      <name val="Calibri"/>
      <family val="2"/>
      <scheme val="minor"/>
    </font>
    <font>
      <sz val="11"/>
      <name val="Calibri"/>
      <family val="2"/>
      <scheme val="minor"/>
    </font>
    <font>
      <b/>
      <sz val="12"/>
      <name val="Calibri"/>
      <family val="2"/>
    </font>
    <font>
      <i/>
      <sz val="11"/>
      <name val="Times New Roman"/>
      <family val="1"/>
    </font>
    <font>
      <b/>
      <u/>
      <sz val="10"/>
      <name val="Calibri"/>
      <family val="2"/>
      <scheme val="minor"/>
    </font>
    <font>
      <b/>
      <u/>
      <sz val="10"/>
      <color theme="1"/>
      <name val="Calibri"/>
      <family val="2"/>
      <scheme val="minor"/>
    </font>
    <font>
      <b/>
      <sz val="12"/>
      <color theme="1"/>
      <name val="Times New Roman"/>
      <family val="1"/>
    </font>
    <font>
      <b/>
      <sz val="11"/>
      <color theme="1"/>
      <name val="Calibri"/>
      <family val="2"/>
      <scheme val="minor"/>
    </font>
    <font>
      <b/>
      <sz val="10"/>
      <color theme="1"/>
      <name val="Cambria"/>
      <family val="2"/>
      <scheme val="major"/>
    </font>
    <font>
      <sz val="10"/>
      <color theme="1"/>
      <name val="Cambria"/>
      <family val="2"/>
      <scheme val="major"/>
    </font>
    <font>
      <sz val="11"/>
      <color rgb="FFFF0000"/>
      <name val="Calibri"/>
      <family val="2"/>
      <scheme val="minor"/>
    </font>
    <font>
      <i/>
      <sz val="11"/>
      <color rgb="FF7F7F7F"/>
      <name val="Calibri"/>
      <family val="2"/>
      <scheme val="minor"/>
    </font>
    <font>
      <b/>
      <vertAlign val="superscript"/>
      <sz val="11"/>
      <color theme="1"/>
      <name val="Times New Roman"/>
      <family val="1"/>
    </font>
    <font>
      <b/>
      <sz val="11"/>
      <color indexed="8"/>
      <name val="Calibri"/>
      <family val="2"/>
      <scheme val="minor"/>
    </font>
    <font>
      <b/>
      <sz val="12"/>
      <color indexed="36"/>
      <name val="Calibri"/>
      <family val="2"/>
    </font>
    <font>
      <b/>
      <sz val="11"/>
      <color indexed="36"/>
      <name val="Calibri"/>
      <family val="2"/>
      <scheme val="minor"/>
    </font>
    <font>
      <b/>
      <sz val="12"/>
      <color rgb="FF7030A0"/>
      <name val="Calibri"/>
      <family val="2"/>
      <scheme val="minor"/>
    </font>
    <font>
      <sz val="12"/>
      <color indexed="8"/>
      <name val="Calibri"/>
      <family val="2"/>
    </font>
    <font>
      <sz val="11"/>
      <color indexed="8"/>
      <name val="Calibri"/>
      <family val="2"/>
      <scheme val="minor"/>
    </font>
    <font>
      <b/>
      <sz val="12"/>
      <name val="Calibri"/>
      <family val="2"/>
      <scheme val="minor"/>
    </font>
    <font>
      <b/>
      <sz val="12"/>
      <color rgb="FF7030A0"/>
      <name val="Times New Roman"/>
      <family val="1"/>
    </font>
    <font>
      <b/>
      <sz val="12"/>
      <color rgb="FF7030A0"/>
      <name val="Calibri"/>
      <family val="2"/>
    </font>
    <font>
      <b/>
      <sz val="12"/>
      <color indexed="36"/>
      <name val="Calibri"/>
      <family val="2"/>
      <scheme val="minor"/>
    </font>
    <font>
      <sz val="12"/>
      <name val="Calibri"/>
      <family val="2"/>
      <scheme val="minor"/>
    </font>
    <font>
      <sz val="12"/>
      <color theme="1"/>
      <name val="Calibri"/>
      <family val="2"/>
      <scheme val="minor"/>
    </font>
    <font>
      <sz val="11"/>
      <name val="Calibri"/>
      <family val="2"/>
    </font>
    <font>
      <sz val="12"/>
      <color rgb="FF000000"/>
      <name val="Calibri"/>
      <family val="2"/>
    </font>
    <font>
      <sz val="11"/>
      <color rgb="FF000000"/>
      <name val="Calibri"/>
      <family val="2"/>
    </font>
    <font>
      <b/>
      <sz val="11"/>
      <color rgb="FF800080"/>
      <name val="Calibri"/>
      <family val="2"/>
    </font>
    <font>
      <sz val="18"/>
      <color rgb="FFFF0000"/>
      <name val="Calibri"/>
      <family val="2"/>
      <scheme val="minor"/>
    </font>
    <font>
      <sz val="18"/>
      <color rgb="FFFF0000"/>
      <name val="Calibri"/>
      <family val="2"/>
    </font>
    <font>
      <sz val="12"/>
      <color rgb="FF222222"/>
      <name val="Arial"/>
      <family val="2"/>
    </font>
    <font>
      <sz val="12"/>
      <color rgb="FF00000A"/>
      <name val="Calibri"/>
      <family val="2"/>
    </font>
    <font>
      <b/>
      <sz val="11"/>
      <color indexed="30"/>
      <name val="Calibri"/>
      <family val="2"/>
      <scheme val="minor"/>
    </font>
    <font>
      <sz val="12"/>
      <color rgb="FF000000"/>
      <name val="Arial"/>
      <family val="2"/>
    </font>
    <font>
      <sz val="11"/>
      <color rgb="FF000000"/>
      <name val="Arial"/>
      <family val="2"/>
    </font>
    <font>
      <sz val="11"/>
      <color theme="1"/>
      <name val="Arial"/>
      <family val="2"/>
    </font>
    <font>
      <b/>
      <sz val="16"/>
      <color rgb="FF800080"/>
      <name val="Calibri"/>
      <family val="2"/>
    </font>
    <font>
      <b/>
      <sz val="16"/>
      <color indexed="36"/>
      <name val="Calibri"/>
      <family val="2"/>
      <scheme val="minor"/>
    </font>
    <font>
      <b/>
      <sz val="16"/>
      <name val="Calibri"/>
      <family val="2"/>
      <scheme val="minor"/>
    </font>
    <font>
      <sz val="16"/>
      <name val="Calibri"/>
      <family val="2"/>
      <scheme val="minor"/>
    </font>
    <font>
      <sz val="16"/>
      <name val="Calibri"/>
      <family val="2"/>
    </font>
    <font>
      <b/>
      <sz val="9"/>
      <name val="Tahoma"/>
      <family val="2"/>
    </font>
    <font>
      <sz val="9"/>
      <name val="Tahoma"/>
      <family val="2"/>
    </font>
    <font>
      <sz val="11"/>
      <color rgb="FF000000"/>
      <name val="Times New Roman"/>
      <family val="1"/>
    </font>
    <font>
      <b/>
      <sz val="11"/>
      <color rgb="FF000000"/>
      <name val="Times New Roman"/>
      <family val="1"/>
    </font>
    <font>
      <sz val="11"/>
      <name val="Calibri"/>
      <charset val="134"/>
      <scheme val="minor"/>
    </font>
    <font>
      <sz val="11"/>
      <color indexed="8"/>
      <name val="Calibri"/>
      <charset val="134"/>
      <scheme val="minor"/>
    </font>
    <font>
      <sz val="11"/>
      <name val="Times New Roman"/>
      <charset val="134"/>
    </font>
    <font>
      <sz val="11"/>
      <color rgb="FF000000"/>
      <name val="Calibri"/>
      <charset val="134"/>
    </font>
    <font>
      <sz val="11"/>
      <name val="Calibri"/>
      <charset val="134"/>
    </font>
  </fonts>
  <fills count="3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theme="0"/>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rgb="FFFBCBA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FF99"/>
        <bgColor indexed="64"/>
      </patternFill>
    </fill>
    <fill>
      <patternFill patternType="solid">
        <fgColor rgb="FFFFFF00"/>
        <bgColor indexed="64"/>
      </patternFill>
    </fill>
    <fill>
      <patternFill patternType="solid">
        <fgColor theme="4" tint="0.59999389629810485"/>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00"/>
        <bgColor rgb="FF000000"/>
      </patternFill>
    </fill>
    <fill>
      <patternFill patternType="solid">
        <fgColor rgb="FFA6A6A6"/>
        <bgColor rgb="FF000000"/>
      </patternFill>
    </fill>
    <fill>
      <patternFill patternType="solid">
        <fgColor rgb="FFD9D9D9"/>
        <bgColor rgb="FF000000"/>
      </patternFill>
    </fill>
    <fill>
      <patternFill patternType="solid">
        <fgColor rgb="FFFFFFFF"/>
        <bgColor rgb="FF000000"/>
      </patternFill>
    </fill>
    <fill>
      <patternFill patternType="solid">
        <fgColor rgb="FFBFBFBF"/>
        <bgColor rgb="FF000000"/>
      </patternFill>
    </fill>
    <fill>
      <patternFill patternType="solid">
        <fgColor theme="0" tint="-0.14996795556505021"/>
        <bgColor indexed="64"/>
      </patternFill>
    </fill>
    <fill>
      <patternFill patternType="solid">
        <fgColor theme="0"/>
        <bgColor rgb="FFFFFA9B"/>
      </patternFill>
    </fill>
    <fill>
      <patternFill patternType="solid">
        <fgColor rgb="FF92D050"/>
        <bgColor rgb="FF000000"/>
      </patternFill>
    </fill>
    <fill>
      <patternFill patternType="solid">
        <fgColor rgb="FFB1A0C7"/>
        <bgColor rgb="FF000000"/>
      </patternFill>
    </fill>
    <fill>
      <patternFill patternType="solid">
        <fgColor theme="7" tint="0.39994506668294322"/>
        <bgColor indexed="64"/>
      </patternFill>
    </fill>
    <fill>
      <patternFill patternType="solid">
        <fgColor rgb="FFFFC000"/>
        <bgColor rgb="FF000000"/>
      </patternFill>
    </fill>
    <fill>
      <patternFill patternType="solid">
        <fgColor rgb="FFC4BD97"/>
        <bgColor rgb="FF000000"/>
      </patternFill>
    </fill>
    <fill>
      <patternFill patternType="solid">
        <fgColor theme="2" tint="-0.249977111117893"/>
        <bgColor indexed="64"/>
      </patternFill>
    </fill>
    <fill>
      <patternFill patternType="solid">
        <fgColor rgb="FF95B3D7"/>
        <bgColor rgb="FF000000"/>
      </patternFill>
    </fill>
    <fill>
      <patternFill patternType="solid">
        <fgColor theme="4" tint="0.39994506668294322"/>
        <bgColor indexed="64"/>
      </patternFill>
    </fill>
  </fills>
  <borders count="29">
    <border>
      <left/>
      <right/>
      <top/>
      <bottom/>
      <diagonal/>
    </border>
    <border>
      <left/>
      <right style="thin">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s>
  <cellStyleXfs count="93">
    <xf numFmtId="0" fontId="0" fillId="0" borderId="0"/>
    <xf numFmtId="0" fontId="18" fillId="0" borderId="0" applyNumberFormat="0" applyFill="0" applyBorder="0" applyAlignment="0" applyProtection="0"/>
    <xf numFmtId="0" fontId="19" fillId="0" borderId="1"/>
    <xf numFmtId="0" fontId="19" fillId="0" borderId="1"/>
    <xf numFmtId="38" fontId="20" fillId="2" borderId="0" applyNumberFormat="0" applyBorder="0" applyAlignment="0" applyProtection="0"/>
    <xf numFmtId="0" fontId="21" fillId="0" borderId="2" applyNumberFormat="0" applyAlignment="0" applyProtection="0">
      <alignment horizontal="left" vertical="center"/>
    </xf>
    <xf numFmtId="0" fontId="21" fillId="0" borderId="3">
      <alignment horizontal="left" vertical="center"/>
    </xf>
    <xf numFmtId="10" fontId="20" fillId="3" borderId="4" applyNumberFormat="0" applyBorder="0" applyAlignment="0" applyProtection="0"/>
    <xf numFmtId="37" fontId="22" fillId="0" borderId="0"/>
    <xf numFmtId="166" fontId="23" fillId="0" borderId="0"/>
    <xf numFmtId="0" fontId="17" fillId="0" borderId="0"/>
    <xf numFmtId="0" fontId="17" fillId="0" borderId="0"/>
    <xf numFmtId="0" fontId="9" fillId="0" borderId="0"/>
    <xf numFmtId="0" fontId="9" fillId="0" borderId="0"/>
    <xf numFmtId="0" fontId="17" fillId="0" borderId="0">
      <alignment vertical="center"/>
    </xf>
    <xf numFmtId="0" fontId="17" fillId="0" borderId="0">
      <alignment vertical="center"/>
    </xf>
    <xf numFmtId="167" fontId="17" fillId="0" borderId="0" applyFont="0" applyFill="0" applyBorder="0" applyAlignment="0" applyProtection="0"/>
    <xf numFmtId="10" fontId="17" fillId="0" borderId="0" applyFont="0" applyFill="0" applyBorder="0" applyAlignment="0" applyProtection="0"/>
    <xf numFmtId="0" fontId="17" fillId="0" borderId="0"/>
    <xf numFmtId="0" fontId="28" fillId="0" borderId="0"/>
    <xf numFmtId="164" fontId="28" fillId="0" borderId="0" applyFont="0" applyFill="0" applyBorder="0" applyAlignment="0" applyProtection="0"/>
    <xf numFmtId="9" fontId="28" fillId="0" borderId="0" applyFont="0" applyFill="0" applyBorder="0" applyAlignment="0" applyProtection="0"/>
    <xf numFmtId="165" fontId="31" fillId="0" borderId="0" applyFont="0" applyFill="0" applyBorder="0" applyAlignment="0" applyProtection="0"/>
    <xf numFmtId="0" fontId="32" fillId="0" borderId="0"/>
    <xf numFmtId="9"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17" fillId="0" borderId="0" applyFont="0" applyFill="0" applyBorder="0" applyAlignment="0" applyProtection="0"/>
    <xf numFmtId="164" fontId="31"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28" fillId="0" borderId="0"/>
    <xf numFmtId="0" fontId="31" fillId="0" borderId="0"/>
    <xf numFmtId="0" fontId="31" fillId="0" borderId="0"/>
    <xf numFmtId="0" fontId="2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7" fillId="0" borderId="0" applyFont="0" applyFill="0" applyBorder="0" applyAlignment="0" applyProtection="0"/>
    <xf numFmtId="9" fontId="31" fillId="0" borderId="0" applyFont="0" applyFill="0" applyBorder="0" applyAlignment="0" applyProtection="0"/>
    <xf numFmtId="164" fontId="35"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17" fillId="0" borderId="0"/>
    <xf numFmtId="0" fontId="17" fillId="0" borderId="0"/>
    <xf numFmtId="0" fontId="9" fillId="0" borderId="0"/>
    <xf numFmtId="0" fontId="17" fillId="0" borderId="0" applyBorder="0" applyProtection="0"/>
    <xf numFmtId="167" fontId="31"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6" fillId="0" borderId="0"/>
    <xf numFmtId="164" fontId="6" fillId="0" borderId="0" applyFont="0" applyFill="0" applyBorder="0" applyAlignment="0" applyProtection="0"/>
    <xf numFmtId="165" fontId="17"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0" fontId="17" fillId="0" borderId="0">
      <alignment vertical="center"/>
    </xf>
    <xf numFmtId="164" fontId="41" fillId="0" borderId="0" applyFont="0" applyFill="0" applyBorder="0" applyAlignment="0" applyProtection="0"/>
    <xf numFmtId="9" fontId="41" fillId="0" borderId="0" applyFont="0" applyFill="0" applyBorder="0" applyAlignment="0" applyProtection="0"/>
    <xf numFmtId="0" fontId="17" fillId="0" borderId="0"/>
    <xf numFmtId="164" fontId="5"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0"/>
    <xf numFmtId="164" fontId="17" fillId="0" borderId="0" applyFont="0" applyFill="0" applyBorder="0" applyAlignment="0" applyProtection="0"/>
    <xf numFmtId="0" fontId="17" fillId="0" borderId="0">
      <alignment vertical="center"/>
    </xf>
    <xf numFmtId="9" fontId="17" fillId="0" borderId="0" applyFont="0" applyFill="0" applyBorder="0" applyAlignment="0" applyProtection="0"/>
    <xf numFmtId="43" fontId="2" fillId="0" borderId="0" applyFont="0" applyFill="0" applyBorder="0" applyAlignment="0" applyProtection="0"/>
    <xf numFmtId="0" fontId="2" fillId="0" borderId="0"/>
    <xf numFmtId="43" fontId="31"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66" fillId="0" borderId="0" applyNumberFormat="0" applyFill="0" applyBorder="0" applyAlignment="0" applyProtection="0">
      <alignment vertical="center"/>
    </xf>
    <xf numFmtId="164" fontId="31" fillId="0" borderId="0" applyFont="0" applyFill="0" applyBorder="0" applyAlignment="0" applyProtection="0"/>
    <xf numFmtId="0" fontId="1" fillId="0" borderId="0"/>
    <xf numFmtId="43" fontId="1" fillId="0" borderId="0" applyFont="0" applyFill="0" applyBorder="0" applyAlignment="0" applyProtection="0"/>
  </cellStyleXfs>
  <cellXfs count="2044">
    <xf numFmtId="0" fontId="0" fillId="0" borderId="0" xfId="0"/>
    <xf numFmtId="0" fontId="7" fillId="0" borderId="0" xfId="10" applyFont="1"/>
    <xf numFmtId="0" fontId="7" fillId="0" borderId="0" xfId="10" applyFont="1" applyFill="1"/>
    <xf numFmtId="0" fontId="7" fillId="0" borderId="4" xfId="10" applyFont="1" applyFill="1" applyBorder="1"/>
    <xf numFmtId="0" fontId="8" fillId="0" borderId="4" xfId="10" applyFont="1" applyFill="1" applyBorder="1"/>
    <xf numFmtId="0" fontId="7" fillId="0" borderId="0" xfId="10" applyFont="1" applyBorder="1"/>
    <xf numFmtId="0" fontId="8" fillId="0" borderId="0" xfId="10" applyFont="1" applyBorder="1"/>
    <xf numFmtId="0" fontId="7" fillId="5" borderId="0" xfId="10" applyFont="1" applyFill="1" applyBorder="1"/>
    <xf numFmtId="0" fontId="8" fillId="0" borderId="0" xfId="10" applyFont="1" applyAlignment="1">
      <alignment horizontal="centerContinuous"/>
    </xf>
    <xf numFmtId="0" fontId="7" fillId="0" borderId="4" xfId="10" applyFont="1" applyBorder="1"/>
    <xf numFmtId="0" fontId="7" fillId="5" borderId="4" xfId="10" applyFont="1" applyFill="1" applyBorder="1"/>
    <xf numFmtId="0" fontId="7" fillId="0" borderId="0" xfId="10" applyFont="1" applyFill="1" applyBorder="1"/>
    <xf numFmtId="0" fontId="8" fillId="0" borderId="0" xfId="14" applyFont="1" applyFill="1" applyBorder="1" applyAlignment="1">
      <alignment horizontal="center" vertical="center" wrapText="1"/>
    </xf>
    <xf numFmtId="0" fontId="8" fillId="4" borderId="4" xfId="10" applyFont="1" applyFill="1" applyBorder="1"/>
    <xf numFmtId="0" fontId="7" fillId="0" borderId="0" xfId="14" applyFont="1">
      <alignment vertical="center"/>
    </xf>
    <xf numFmtId="0" fontId="8" fillId="0" borderId="0" xfId="14" applyFont="1" applyAlignment="1">
      <alignment horizontal="centerContinuous" vertical="center"/>
    </xf>
    <xf numFmtId="0" fontId="7" fillId="0" borderId="0" xfId="14" applyFont="1" applyAlignment="1">
      <alignment horizontal="centerContinuous" vertical="center"/>
    </xf>
    <xf numFmtId="0" fontId="8" fillId="0" borderId="0" xfId="10" applyFont="1" applyBorder="1" applyAlignment="1">
      <alignment horizontal="centerContinuous" vertical="top"/>
    </xf>
    <xf numFmtId="0" fontId="7" fillId="0" borderId="0" xfId="10" applyFont="1" applyBorder="1" applyAlignment="1">
      <alignment horizontal="centerContinuous"/>
    </xf>
    <xf numFmtId="0" fontId="8" fillId="0" borderId="0" xfId="10" applyFont="1" applyBorder="1" applyAlignment="1">
      <alignment horizontal="centerContinuous"/>
    </xf>
    <xf numFmtId="0" fontId="7" fillId="6" borderId="0" xfId="10" applyFont="1" applyFill="1" applyBorder="1" applyAlignment="1">
      <alignment horizontal="centerContinuous"/>
    </xf>
    <xf numFmtId="0" fontId="8" fillId="0" borderId="0" xfId="14" applyFont="1" applyAlignment="1">
      <alignment horizontal="right" vertical="center"/>
    </xf>
    <xf numFmtId="0" fontId="8" fillId="0" borderId="0" xfId="14" applyFont="1">
      <alignment vertical="center"/>
    </xf>
    <xf numFmtId="0" fontId="7" fillId="6" borderId="0" xfId="14" applyFont="1" applyFill="1" applyBorder="1">
      <alignment vertical="center"/>
    </xf>
    <xf numFmtId="0" fontId="7" fillId="0" borderId="4" xfId="14" applyFont="1" applyBorder="1">
      <alignment vertical="center"/>
    </xf>
    <xf numFmtId="0" fontId="8" fillId="5" borderId="4" xfId="10" applyFont="1" applyFill="1" applyBorder="1" applyAlignment="1" applyProtection="1">
      <alignment horizontal="left"/>
    </xf>
    <xf numFmtId="0" fontId="7" fillId="5" borderId="4" xfId="10" applyFont="1" applyFill="1" applyBorder="1" applyAlignment="1" applyProtection="1">
      <alignment horizontal="left"/>
    </xf>
    <xf numFmtId="0" fontId="8" fillId="0" borderId="4" xfId="14" applyFont="1" applyBorder="1">
      <alignment vertical="center"/>
    </xf>
    <xf numFmtId="0" fontId="7" fillId="5" borderId="4" xfId="10" quotePrefix="1" applyFont="1" applyFill="1" applyBorder="1" applyAlignment="1">
      <alignment horizontal="left" vertical="top" wrapText="1"/>
    </xf>
    <xf numFmtId="0" fontId="7" fillId="5" borderId="4" xfId="10" applyFont="1" applyFill="1" applyBorder="1" applyAlignment="1" applyProtection="1">
      <alignment horizontal="left" wrapText="1"/>
    </xf>
    <xf numFmtId="0" fontId="15" fillId="0" borderId="0" xfId="10" applyFont="1" applyAlignment="1">
      <alignment horizontal="center" vertical="center"/>
    </xf>
    <xf numFmtId="0" fontId="16" fillId="0" borderId="0" xfId="14" applyFont="1">
      <alignment vertical="center"/>
    </xf>
    <xf numFmtId="0" fontId="12" fillId="0" borderId="0" xfId="14" applyFont="1" applyAlignment="1">
      <alignment horizontal="right" vertical="center"/>
    </xf>
    <xf numFmtId="0" fontId="7" fillId="0" borderId="0" xfId="14" applyFont="1" applyAlignment="1">
      <alignment vertical="center"/>
    </xf>
    <xf numFmtId="0" fontId="7" fillId="0" borderId="0" xfId="10" applyFont="1" applyBorder="1" applyAlignment="1">
      <alignment horizontal="center" vertical="top"/>
    </xf>
    <xf numFmtId="0" fontId="7" fillId="0" borderId="0" xfId="10" applyFont="1" applyBorder="1" applyAlignment="1"/>
    <xf numFmtId="0" fontId="7" fillId="0" borderId="0" xfId="10" applyFont="1" applyBorder="1" applyAlignment="1">
      <alignment vertical="top"/>
    </xf>
    <xf numFmtId="0" fontId="7" fillId="0" borderId="4" xfId="10" applyFont="1" applyBorder="1" applyAlignment="1">
      <alignment vertical="top"/>
    </xf>
    <xf numFmtId="0" fontId="7" fillId="0" borderId="4" xfId="10" applyFont="1" applyBorder="1" applyAlignment="1"/>
    <xf numFmtId="0" fontId="8" fillId="5" borderId="4" xfId="14" applyFont="1" applyFill="1" applyBorder="1" applyAlignment="1">
      <alignment horizontal="center" vertical="center" wrapText="1"/>
    </xf>
    <xf numFmtId="0" fontId="8" fillId="0" borderId="4" xfId="10" applyFont="1" applyBorder="1"/>
    <xf numFmtId="0" fontId="24" fillId="0" borderId="0" xfId="10" applyFont="1" applyFill="1" applyBorder="1" applyProtection="1"/>
    <xf numFmtId="0" fontId="7" fillId="0" borderId="0" xfId="10" applyFont="1" applyFill="1" applyBorder="1" applyProtection="1"/>
    <xf numFmtId="166" fontId="7" fillId="0" borderId="0" xfId="10" applyNumberFormat="1" applyFont="1" applyFill="1" applyBorder="1" applyAlignment="1" applyProtection="1">
      <alignment horizontal="center"/>
    </xf>
    <xf numFmtId="0" fontId="8" fillId="0" borderId="0" xfId="10" applyFont="1"/>
    <xf numFmtId="0" fontId="24" fillId="0" borderId="0" xfId="10" applyFont="1" applyBorder="1" applyAlignment="1">
      <alignment horizontal="left"/>
    </xf>
    <xf numFmtId="0" fontId="24" fillId="0" borderId="0" xfId="10" applyFont="1" applyBorder="1" applyAlignment="1">
      <alignment horizontal="center"/>
    </xf>
    <xf numFmtId="0" fontId="7" fillId="0" borderId="0" xfId="10" applyFont="1" applyBorder="1" applyAlignment="1">
      <alignment horizontal="left"/>
    </xf>
    <xf numFmtId="166" fontId="7" fillId="0" borderId="0" xfId="10" applyNumberFormat="1" applyFont="1" applyFill="1" applyBorder="1" applyProtection="1"/>
    <xf numFmtId="0" fontId="7" fillId="0" borderId="0" xfId="10" applyFont="1" applyBorder="1" applyAlignment="1">
      <alignment horizontal="center" vertical="top" wrapText="1"/>
    </xf>
    <xf numFmtId="0" fontId="7" fillId="0" borderId="0" xfId="10" applyFont="1" applyBorder="1" applyAlignment="1">
      <alignment horizontal="center"/>
    </xf>
    <xf numFmtId="0" fontId="7" fillId="0" borderId="0" xfId="10" applyFont="1" applyBorder="1" applyAlignment="1">
      <alignment horizontal="justify" vertical="top" wrapText="1"/>
    </xf>
    <xf numFmtId="0" fontId="8" fillId="0" borderId="0" xfId="10" applyFont="1" applyFill="1" applyBorder="1" applyAlignment="1">
      <alignment horizontal="left" vertical="top"/>
    </xf>
    <xf numFmtId="0" fontId="8" fillId="0" borderId="0" xfId="10" applyFont="1" applyBorder="1" applyAlignment="1">
      <alignment horizontal="left"/>
    </xf>
    <xf numFmtId="0" fontId="8" fillId="5" borderId="0" xfId="10" applyFont="1" applyFill="1" applyBorder="1"/>
    <xf numFmtId="0" fontId="25" fillId="0" borderId="0" xfId="10" applyFont="1" applyBorder="1" applyAlignment="1">
      <alignment vertical="top" wrapText="1"/>
    </xf>
    <xf numFmtId="0" fontId="7" fillId="5" borderId="0" xfId="10" applyFont="1" applyFill="1" applyBorder="1" applyAlignment="1">
      <alignment wrapText="1"/>
    </xf>
    <xf numFmtId="0" fontId="8" fillId="0" borderId="0" xfId="14" applyFont="1" applyFill="1" applyBorder="1" applyAlignment="1">
      <alignment vertical="center" wrapText="1"/>
    </xf>
    <xf numFmtId="0" fontId="8" fillId="0" borderId="4" xfId="10" applyFont="1" applyFill="1" applyBorder="1" applyProtection="1"/>
    <xf numFmtId="0" fontId="7" fillId="0" borderId="4" xfId="10" applyFont="1" applyFill="1" applyBorder="1" applyAlignment="1" applyProtection="1">
      <alignment horizontal="left"/>
    </xf>
    <xf numFmtId="0" fontId="7" fillId="5" borderId="4" xfId="10" applyFont="1" applyFill="1" applyBorder="1" applyAlignment="1" applyProtection="1">
      <alignment vertical="top" wrapText="1"/>
    </xf>
    <xf numFmtId="0" fontId="8" fillId="5" borderId="4" xfId="10" applyFont="1" applyFill="1" applyBorder="1" applyAlignment="1" applyProtection="1">
      <alignment vertical="top" wrapText="1"/>
    </xf>
    <xf numFmtId="0" fontId="8" fillId="5" borderId="4" xfId="10" applyFont="1" applyFill="1" applyBorder="1" applyAlignment="1">
      <alignment horizontal="left" vertical="top" wrapText="1"/>
    </xf>
    <xf numFmtId="0" fontId="8" fillId="0" borderId="0" xfId="10" applyFont="1" applyBorder="1" applyAlignment="1">
      <alignment horizontal="right"/>
    </xf>
    <xf numFmtId="0" fontId="7" fillId="0" borderId="0" xfId="14" applyFont="1" applyFill="1" applyBorder="1">
      <alignment vertical="center"/>
    </xf>
    <xf numFmtId="0" fontId="8" fillId="0" borderId="0" xfId="10" applyFont="1" applyBorder="1" applyAlignment="1">
      <alignment vertical="center"/>
    </xf>
    <xf numFmtId="0" fontId="7" fillId="0" borderId="0" xfId="10" applyFont="1" applyFill="1" applyBorder="1" applyAlignment="1">
      <alignment horizontal="centerContinuous"/>
    </xf>
    <xf numFmtId="0" fontId="8" fillId="0" borderId="0" xfId="10" applyFont="1" applyFill="1" applyBorder="1" applyAlignment="1">
      <alignment horizontal="centerContinuous"/>
    </xf>
    <xf numFmtId="0" fontId="8" fillId="0" borderId="0" xfId="10" applyFont="1" applyBorder="1" applyAlignment="1">
      <alignment horizontal="left" vertical="top"/>
    </xf>
    <xf numFmtId="0" fontId="7" fillId="0" borderId="0" xfId="10" applyFont="1" applyAlignment="1"/>
    <xf numFmtId="0" fontId="7" fillId="0" borderId="0" xfId="10" applyFont="1" applyBorder="1" applyAlignment="1">
      <alignment horizontal="centerContinuous" vertical="top"/>
    </xf>
    <xf numFmtId="0" fontId="27" fillId="0" borderId="0" xfId="10" applyFont="1" applyFill="1" applyBorder="1"/>
    <xf numFmtId="0" fontId="8" fillId="0" borderId="0" xfId="10" applyFont="1" applyBorder="1" applyAlignment="1">
      <alignment horizontal="center"/>
    </xf>
    <xf numFmtId="0" fontId="8" fillId="0" borderId="4" xfId="10" applyFont="1" applyBorder="1" applyAlignment="1">
      <alignment vertical="top"/>
    </xf>
    <xf numFmtId="0" fontId="9" fillId="0" borderId="0" xfId="14" applyFont="1">
      <alignment vertical="center"/>
    </xf>
    <xf numFmtId="0" fontId="10" fillId="0" borderId="0" xfId="14" applyFont="1">
      <alignment vertical="center"/>
    </xf>
    <xf numFmtId="0" fontId="9" fillId="0" borderId="0" xfId="14" applyFont="1" applyFill="1">
      <alignment vertical="center"/>
    </xf>
    <xf numFmtId="0" fontId="10" fillId="0" borderId="0" xfId="14" applyFont="1" applyFill="1" applyBorder="1">
      <alignment vertical="center"/>
    </xf>
    <xf numFmtId="0" fontId="9" fillId="0" borderId="0" xfId="14" applyFont="1" applyFill="1" applyBorder="1">
      <alignment vertical="center"/>
    </xf>
    <xf numFmtId="0" fontId="7" fillId="6" borderId="0" xfId="10" applyFont="1" applyFill="1" applyBorder="1"/>
    <xf numFmtId="0" fontId="27" fillId="0" borderId="0" xfId="14" applyFont="1" applyFill="1">
      <alignment vertical="center"/>
    </xf>
    <xf numFmtId="0" fontId="8" fillId="0" borderId="0" xfId="10" applyFont="1" applyBorder="1" applyAlignment="1"/>
    <xf numFmtId="0" fontId="8" fillId="0" borderId="0" xfId="14" applyFont="1" applyFill="1" applyBorder="1" applyAlignment="1">
      <alignment horizontal="left" vertical="center"/>
    </xf>
    <xf numFmtId="0" fontId="24" fillId="0" borderId="4" xfId="10" applyFont="1" applyBorder="1" applyAlignment="1">
      <alignment horizontal="left"/>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4" xfId="10"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0" borderId="0" xfId="10" applyFont="1" applyBorder="1" applyAlignment="1">
      <alignment horizontal="center" vertical="top"/>
    </xf>
    <xf numFmtId="0" fontId="10" fillId="0" borderId="0" xfId="10" applyFont="1" applyBorder="1" applyAlignment="1">
      <alignment horizontal="center" vertical="center"/>
    </xf>
    <xf numFmtId="0" fontId="7" fillId="0" borderId="0" xfId="10" applyFont="1" applyBorder="1" applyAlignment="1">
      <alignment vertical="center"/>
    </xf>
    <xf numFmtId="0" fontId="7" fillId="0" borderId="4" xfId="10" applyFont="1" applyFill="1" applyBorder="1" applyAlignment="1" applyProtection="1">
      <alignment horizontal="left" vertical="center"/>
    </xf>
    <xf numFmtId="0" fontId="7" fillId="0" borderId="0" xfId="10" applyFont="1" applyFill="1" applyBorder="1" applyAlignment="1">
      <alignment vertical="center"/>
    </xf>
    <xf numFmtId="0" fontId="8" fillId="0" borderId="0" xfId="10" applyFont="1" applyBorder="1" applyAlignment="1">
      <alignment horizontal="center" vertical="center"/>
    </xf>
    <xf numFmtId="0" fontId="9" fillId="0" borderId="0" xfId="10" applyFont="1"/>
    <xf numFmtId="0" fontId="7" fillId="0" borderId="4" xfId="10" applyFont="1" applyBorder="1" applyAlignment="1">
      <alignment horizontal="center" vertical="top"/>
    </xf>
    <xf numFmtId="0" fontId="7" fillId="0" borderId="0" xfId="10" applyFont="1" applyAlignment="1">
      <alignment vertical="center"/>
    </xf>
    <xf numFmtId="0" fontId="8" fillId="0" borderId="4" xfId="10" applyFont="1" applyBorder="1" applyAlignment="1">
      <alignment horizontal="left" vertical="top"/>
    </xf>
    <xf numFmtId="0" fontId="7" fillId="0" borderId="0" xfId="14" applyFont="1" applyAlignment="1">
      <alignment horizontal="center" vertical="center"/>
    </xf>
    <xf numFmtId="0" fontId="7" fillId="0" borderId="4" xfId="14" applyFont="1" applyBorder="1" applyAlignment="1">
      <alignment horizontal="center" vertical="center"/>
    </xf>
    <xf numFmtId="0" fontId="8" fillId="0" borderId="4" xfId="14" applyFont="1" applyBorder="1" applyAlignment="1">
      <alignment horizontal="center" vertical="center"/>
    </xf>
    <xf numFmtId="0" fontId="13" fillId="0" borderId="0" xfId="14" applyFont="1" applyAlignment="1">
      <alignment horizontal="left" vertical="center"/>
    </xf>
    <xf numFmtId="0" fontId="7" fillId="0" borderId="4" xfId="14" applyFont="1" applyBorder="1" applyAlignment="1">
      <alignment vertical="top" wrapText="1"/>
    </xf>
    <xf numFmtId="0" fontId="7" fillId="0" borderId="4" xfId="14" applyFont="1" applyBorder="1" applyAlignment="1">
      <alignment horizontal="center" vertical="top" wrapText="1"/>
    </xf>
    <xf numFmtId="0" fontId="8" fillId="0" borderId="4" xfId="14" applyFont="1" applyBorder="1" applyAlignment="1">
      <alignment vertical="top" wrapText="1"/>
    </xf>
    <xf numFmtId="0" fontId="8" fillId="4" borderId="4" xfId="10" applyFont="1" applyFill="1" applyBorder="1" applyAlignment="1">
      <alignment vertical="top" wrapText="1"/>
    </xf>
    <xf numFmtId="16" fontId="8" fillId="4" borderId="4" xfId="10" applyNumberFormat="1" applyFont="1" applyFill="1" applyBorder="1" applyAlignment="1">
      <alignment horizontal="center" vertical="center" wrapText="1"/>
    </xf>
    <xf numFmtId="0" fontId="8" fillId="0" borderId="4" xfId="10" applyFont="1" applyFill="1" applyBorder="1" applyAlignment="1" applyProtection="1">
      <alignment vertical="top" wrapText="1"/>
    </xf>
    <xf numFmtId="0" fontId="17" fillId="4" borderId="4" xfId="10" applyFill="1" applyBorder="1" applyAlignment="1">
      <alignment horizontal="center" vertical="center" wrapText="1"/>
    </xf>
    <xf numFmtId="0" fontId="8" fillId="0" borderId="4" xfId="10" applyFont="1" applyBorder="1" applyAlignment="1"/>
    <xf numFmtId="0" fontId="9" fillId="0" borderId="4" xfId="14" applyFont="1" applyFill="1" applyBorder="1" applyAlignment="1">
      <alignment horizontal="center" vertical="center"/>
    </xf>
    <xf numFmtId="0" fontId="10" fillId="0" borderId="4" xfId="10" applyFont="1" applyFill="1" applyBorder="1" applyAlignment="1">
      <alignment horizontal="center" vertical="center" wrapText="1"/>
    </xf>
    <xf numFmtId="0" fontId="10" fillId="0" borderId="4" xfId="10" applyFont="1" applyFill="1" applyBorder="1" applyAlignment="1">
      <alignment horizontal="center" vertical="center"/>
    </xf>
    <xf numFmtId="0" fontId="9" fillId="0" borderId="4" xfId="14" applyFont="1" applyBorder="1">
      <alignment vertical="center"/>
    </xf>
    <xf numFmtId="0" fontId="9" fillId="0" borderId="0" xfId="14" applyFont="1" applyAlignment="1">
      <alignment horizontal="center" vertical="center"/>
    </xf>
    <xf numFmtId="0" fontId="10" fillId="0" borderId="0" xfId="10" applyFont="1"/>
    <xf numFmtId="0" fontId="9" fillId="0" borderId="0" xfId="10" applyFont="1" applyAlignment="1">
      <alignment vertical="center"/>
    </xf>
    <xf numFmtId="0" fontId="17" fillId="0" borderId="0" xfId="10" applyAlignment="1">
      <alignment vertical="center"/>
    </xf>
    <xf numFmtId="0" fontId="8" fillId="0" borderId="4" xfId="14" applyFont="1" applyBorder="1" applyAlignment="1">
      <alignment horizontal="center" vertical="top" wrapText="1"/>
    </xf>
    <xf numFmtId="0" fontId="7" fillId="0" borderId="4" xfId="14" applyFont="1" applyFill="1" applyBorder="1">
      <alignment vertical="center"/>
    </xf>
    <xf numFmtId="0" fontId="7" fillId="0" borderId="4" xfId="14" applyFont="1" applyFill="1" applyBorder="1" applyAlignment="1">
      <alignment vertical="top" wrapText="1"/>
    </xf>
    <xf numFmtId="0" fontId="16" fillId="0" borderId="4" xfId="14" applyFont="1" applyBorder="1">
      <alignment vertical="center"/>
    </xf>
    <xf numFmtId="0" fontId="16" fillId="0" borderId="4" xfId="14" applyFont="1" applyBorder="1" applyAlignment="1">
      <alignment horizontal="center" vertical="center"/>
    </xf>
    <xf numFmtId="0" fontId="16" fillId="0" borderId="4" xfId="14" applyFont="1" applyBorder="1" applyAlignment="1">
      <alignment vertical="top" wrapText="1"/>
    </xf>
    <xf numFmtId="0" fontId="30" fillId="0" borderId="4" xfId="19" applyFont="1" applyBorder="1" applyAlignment="1">
      <alignment vertical="center"/>
    </xf>
    <xf numFmtId="0" fontId="30" fillId="0" borderId="4" xfId="19" applyFont="1" applyBorder="1" applyAlignment="1">
      <alignment horizontal="center" vertical="center"/>
    </xf>
    <xf numFmtId="0" fontId="29" fillId="0" borderId="4" xfId="19" applyFont="1" applyBorder="1" applyAlignment="1">
      <alignment vertical="center"/>
    </xf>
    <xf numFmtId="0" fontId="7" fillId="0" borderId="4" xfId="14" applyFont="1" applyBorder="1" applyAlignment="1">
      <alignment horizontal="left" vertical="center"/>
    </xf>
    <xf numFmtId="0" fontId="7" fillId="0" borderId="4" xfId="14" applyFont="1" applyFill="1" applyBorder="1" applyAlignment="1">
      <alignment horizontal="left" vertical="center"/>
    </xf>
    <xf numFmtId="0" fontId="7" fillId="0" borderId="0" xfId="10" applyFont="1" applyAlignment="1">
      <alignment vertical="top"/>
    </xf>
    <xf numFmtId="0" fontId="8" fillId="0" borderId="0" xfId="10" applyFont="1" applyAlignment="1">
      <alignment horizontal="center"/>
    </xf>
    <xf numFmtId="0" fontId="8" fillId="0" borderId="4" xfId="10" applyFont="1" applyBorder="1" applyAlignment="1">
      <alignment horizontal="center" vertical="center"/>
    </xf>
    <xf numFmtId="0" fontId="7" fillId="0" borderId="4" xfId="10" applyFont="1" applyBorder="1" applyAlignment="1">
      <alignment horizontal="center"/>
    </xf>
    <xf numFmtId="0" fontId="17" fillId="0" borderId="0" xfId="10" applyAlignment="1">
      <alignment horizontal="center" vertical="center"/>
    </xf>
    <xf numFmtId="0" fontId="8" fillId="0" borderId="0" xfId="14" applyFont="1" applyAlignment="1">
      <alignment horizontal="center" vertical="center"/>
    </xf>
    <xf numFmtId="0" fontId="8" fillId="4" borderId="4"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7" fillId="5" borderId="4" xfId="10" applyFont="1" applyFill="1" applyBorder="1" applyAlignment="1">
      <alignment horizontal="center" vertical="top"/>
    </xf>
    <xf numFmtId="0" fontId="7" fillId="5" borderId="4" xfId="14" applyFont="1" applyFill="1" applyBorder="1">
      <alignment vertical="center"/>
    </xf>
    <xf numFmtId="0" fontId="8" fillId="5" borderId="4" xfId="10" applyFont="1" applyFill="1" applyBorder="1" applyAlignment="1" applyProtection="1">
      <alignment horizontal="left" vertical="top" wrapText="1"/>
    </xf>
    <xf numFmtId="0" fontId="7" fillId="5" borderId="4" xfId="10" applyFont="1" applyFill="1" applyBorder="1" applyAlignment="1">
      <alignment horizontal="center"/>
    </xf>
    <xf numFmtId="0" fontId="8" fillId="5" borderId="4" xfId="10" applyFont="1" applyFill="1" applyBorder="1" applyAlignment="1">
      <alignment horizontal="center"/>
    </xf>
    <xf numFmtId="0" fontId="8" fillId="5" borderId="4" xfId="14" quotePrefix="1" applyFont="1" applyFill="1" applyBorder="1" applyAlignment="1">
      <alignment horizontal="center" vertical="center" wrapText="1"/>
    </xf>
    <xf numFmtId="0" fontId="8" fillId="5" borderId="4" xfId="14" applyFont="1" applyFill="1" applyBorder="1" applyAlignment="1">
      <alignment horizontal="left" vertical="center" wrapText="1"/>
    </xf>
    <xf numFmtId="0" fontId="7" fillId="5" borderId="4" xfId="14" quotePrefix="1" applyFont="1" applyFill="1" applyBorder="1" applyAlignment="1">
      <alignment horizontal="center" vertical="center" wrapText="1"/>
    </xf>
    <xf numFmtId="0" fontId="7" fillId="5" borderId="4" xfId="14" applyFont="1" applyFill="1" applyBorder="1" applyAlignment="1">
      <alignment horizontal="center" vertical="center" wrapText="1"/>
    </xf>
    <xf numFmtId="0" fontId="7" fillId="6" borderId="4" xfId="14" applyFont="1" applyFill="1" applyBorder="1" applyAlignment="1">
      <alignment horizontal="left" vertical="center" wrapText="1"/>
    </xf>
    <xf numFmtId="0" fontId="7" fillId="5" borderId="4" xfId="14" applyFont="1" applyFill="1" applyBorder="1" applyAlignment="1">
      <alignment horizontal="left" vertical="center" wrapText="1"/>
    </xf>
    <xf numFmtId="0" fontId="8" fillId="0" borderId="4" xfId="10" applyFont="1" applyBorder="1" applyAlignment="1">
      <alignment vertical="top" wrapText="1"/>
    </xf>
    <xf numFmtId="0" fontId="7" fillId="0" borderId="4" xfId="10" applyFont="1" applyFill="1" applyBorder="1" applyProtection="1"/>
    <xf numFmtId="0" fontId="8" fillId="5" borderId="4" xfId="10" applyFont="1" applyFill="1" applyBorder="1" applyAlignment="1">
      <alignment horizontal="center" vertical="center"/>
    </xf>
    <xf numFmtId="0" fontId="8" fillId="5" borderId="4" xfId="10" applyFont="1" applyFill="1" applyBorder="1" applyAlignment="1">
      <alignment horizontal="center" vertical="top"/>
    </xf>
    <xf numFmtId="0" fontId="7" fillId="5" borderId="4" xfId="14" applyFont="1" applyFill="1" applyBorder="1" applyAlignment="1">
      <alignment vertical="center" wrapText="1"/>
    </xf>
    <xf numFmtId="0" fontId="7" fillId="0" borderId="4" xfId="14" applyFont="1" applyFill="1" applyBorder="1" applyAlignment="1">
      <alignment vertical="center" wrapText="1"/>
    </xf>
    <xf numFmtId="0" fontId="8" fillId="5" borderId="4" xfId="10" quotePrefix="1" applyFont="1" applyFill="1" applyBorder="1" applyAlignment="1">
      <alignment horizontal="center" vertical="top" wrapText="1"/>
    </xf>
    <xf numFmtId="0" fontId="8" fillId="0" borderId="0" xfId="10" applyFont="1" applyBorder="1" applyAlignment="1">
      <alignment horizontal="left" vertical="center"/>
    </xf>
    <xf numFmtId="0" fontId="8" fillId="0" borderId="0" xfId="10" applyFont="1" applyBorder="1" applyAlignment="1">
      <alignment horizontal="centerContinuous" vertical="center"/>
    </xf>
    <xf numFmtId="0" fontId="7" fillId="0" borderId="0" xfId="10" applyFont="1" applyBorder="1" applyAlignment="1">
      <alignment horizontal="centerContinuous" vertical="center"/>
    </xf>
    <xf numFmtId="0" fontId="7" fillId="5" borderId="4" xfId="10" applyFont="1" applyFill="1" applyBorder="1" applyAlignment="1">
      <alignment horizontal="center" vertical="center"/>
    </xf>
    <xf numFmtId="0" fontId="7" fillId="5" borderId="4" xfId="10" applyFont="1" applyFill="1" applyBorder="1" applyAlignment="1" applyProtection="1">
      <alignment vertical="center" wrapText="1"/>
    </xf>
    <xf numFmtId="0" fontId="8" fillId="5" borderId="4" xfId="10" applyFont="1" applyFill="1" applyBorder="1" applyAlignment="1" applyProtection="1">
      <alignment horizontal="left" vertical="center" wrapText="1"/>
    </xf>
    <xf numFmtId="0" fontId="7" fillId="0" borderId="4" xfId="10" applyFont="1" applyBorder="1" applyAlignment="1">
      <alignment vertical="center"/>
    </xf>
    <xf numFmtId="0" fontId="7" fillId="5" borderId="0" xfId="10" applyFont="1" applyFill="1" applyBorder="1" applyAlignment="1">
      <alignment vertical="center"/>
    </xf>
    <xf numFmtId="0" fontId="7" fillId="0" borderId="0" xfId="10" applyFont="1" applyBorder="1" applyAlignment="1">
      <alignment horizontal="left" vertical="center"/>
    </xf>
    <xf numFmtId="0" fontId="24" fillId="0" borderId="0" xfId="10" applyFont="1" applyBorder="1" applyAlignment="1">
      <alignment horizontal="left" vertical="center"/>
    </xf>
    <xf numFmtId="166" fontId="7" fillId="0" borderId="0" xfId="10" applyNumberFormat="1" applyFont="1" applyFill="1" applyBorder="1" applyAlignment="1" applyProtection="1">
      <alignment vertical="center"/>
    </xf>
    <xf numFmtId="0" fontId="7" fillId="0" borderId="4" xfId="10" applyFont="1" applyBorder="1" applyAlignment="1">
      <alignment horizontal="center" vertical="center"/>
    </xf>
    <xf numFmtId="0" fontId="8" fillId="5" borderId="4" xfId="10" applyFont="1" applyFill="1" applyBorder="1" applyAlignment="1" applyProtection="1">
      <alignment vertical="center" wrapText="1"/>
    </xf>
    <xf numFmtId="0" fontId="30" fillId="6" borderId="9" xfId="10" applyFont="1" applyFill="1" applyBorder="1"/>
    <xf numFmtId="0" fontId="30" fillId="6" borderId="11" xfId="10" applyFont="1" applyFill="1" applyBorder="1"/>
    <xf numFmtId="0" fontId="30" fillId="6" borderId="0" xfId="10" applyFont="1" applyFill="1" applyBorder="1"/>
    <xf numFmtId="0" fontId="30" fillId="6" borderId="0" xfId="10" applyFont="1" applyFill="1"/>
    <xf numFmtId="0" fontId="30" fillId="6" borderId="12" xfId="10" applyFont="1" applyFill="1" applyBorder="1"/>
    <xf numFmtId="0" fontId="29" fillId="6" borderId="0" xfId="10" applyFont="1" applyFill="1" applyBorder="1" applyAlignment="1">
      <alignment horizontal="left" vertical="top"/>
    </xf>
    <xf numFmtId="0" fontId="8" fillId="5" borderId="0" xfId="14" applyFont="1" applyFill="1" applyBorder="1" applyAlignment="1">
      <alignment horizontal="center" vertical="center" wrapText="1"/>
    </xf>
    <xf numFmtId="0" fontId="8" fillId="5" borderId="0" xfId="14" applyFont="1" applyFill="1" applyBorder="1" applyAlignment="1">
      <alignment horizontal="left" vertical="center" wrapText="1"/>
    </xf>
    <xf numFmtId="0" fontId="7" fillId="5" borderId="0" xfId="14" quotePrefix="1" applyFont="1" applyFill="1" applyBorder="1" applyAlignment="1">
      <alignment horizontal="center" vertical="center" wrapText="1"/>
    </xf>
    <xf numFmtId="0" fontId="7" fillId="0" borderId="0" xfId="14" applyFont="1" applyAlignment="1"/>
    <xf numFmtId="0" fontId="8" fillId="5" borderId="4" xfId="14" quotePrefix="1" applyFont="1" applyFill="1" applyBorder="1" applyAlignment="1">
      <alignment horizontal="center" wrapText="1"/>
    </xf>
    <xf numFmtId="0" fontId="8" fillId="5" borderId="0" xfId="10" applyFont="1" applyFill="1" applyBorder="1" applyAlignment="1">
      <alignment vertical="center"/>
    </xf>
    <xf numFmtId="0" fontId="7" fillId="0" borderId="4" xfId="10" applyFont="1" applyFill="1" applyBorder="1" applyAlignment="1" applyProtection="1">
      <alignment horizontal="center" vertical="center"/>
    </xf>
    <xf numFmtId="0" fontId="25" fillId="0" borderId="4" xfId="14" applyFont="1" applyFill="1" applyBorder="1" applyAlignment="1">
      <alignment horizontal="center" vertical="center"/>
    </xf>
    <xf numFmtId="0" fontId="8" fillId="0" borderId="4" xfId="10" applyFont="1" applyFill="1" applyBorder="1" applyAlignment="1" applyProtection="1">
      <alignment horizontal="left" vertical="center" wrapText="1"/>
    </xf>
    <xf numFmtId="0" fontId="8" fillId="0" borderId="4" xfId="10" applyFont="1" applyFill="1" applyBorder="1" applyAlignment="1" applyProtection="1">
      <alignment horizontal="center" vertical="center" wrapText="1"/>
    </xf>
    <xf numFmtId="0" fontId="8" fillId="0" borderId="4" xfId="10" applyFont="1" applyFill="1" applyBorder="1" applyAlignment="1" applyProtection="1">
      <alignment horizontal="left" vertical="center"/>
    </xf>
    <xf numFmtId="0" fontId="7" fillId="0" borderId="4" xfId="10" applyFont="1" applyBorder="1" applyAlignment="1">
      <alignment vertical="top" wrapText="1"/>
    </xf>
    <xf numFmtId="0" fontId="8" fillId="0" borderId="4" xfId="10" applyFont="1" applyBorder="1" applyAlignment="1">
      <alignment horizontal="center" vertical="top"/>
    </xf>
    <xf numFmtId="0" fontId="7" fillId="4" borderId="4" xfId="10" applyFont="1" applyFill="1" applyBorder="1" applyAlignment="1">
      <alignment horizontal="center"/>
    </xf>
    <xf numFmtId="0" fontId="7" fillId="6" borderId="4" xfId="10" applyFont="1" applyFill="1" applyBorder="1" applyAlignment="1" applyProtection="1">
      <alignment horizontal="left"/>
    </xf>
    <xf numFmtId="0" fontId="8" fillId="4" borderId="7" xfId="14" applyFont="1" applyFill="1" applyBorder="1" applyAlignment="1">
      <alignment vertical="center" wrapText="1"/>
    </xf>
    <xf numFmtId="0" fontId="8" fillId="4" borderId="7" xfId="14" applyFont="1" applyFill="1" applyBorder="1" applyAlignment="1">
      <alignment vertical="center"/>
    </xf>
    <xf numFmtId="0" fontId="8" fillId="0" borderId="0" xfId="14" applyFont="1" applyAlignment="1">
      <alignment vertical="center"/>
    </xf>
    <xf numFmtId="0" fontId="8" fillId="4" borderId="4" xfId="14" applyFont="1" applyFill="1" applyBorder="1" applyAlignment="1">
      <alignment horizontal="center" vertical="center" wrapText="1"/>
    </xf>
    <xf numFmtId="0" fontId="14" fillId="0" borderId="0" xfId="10" applyFont="1" applyFill="1" applyBorder="1"/>
    <xf numFmtId="0" fontId="9" fillId="0" borderId="0" xfId="10" applyFont="1" applyFill="1" applyBorder="1"/>
    <xf numFmtId="0" fontId="9" fillId="0" borderId="0" xfId="10" applyFont="1" applyFill="1" applyBorder="1" applyAlignment="1">
      <alignment horizontal="centerContinuous"/>
    </xf>
    <xf numFmtId="0" fontId="9" fillId="0" borderId="0" xfId="10" applyFont="1" applyFill="1" applyBorder="1" applyAlignment="1">
      <alignment horizontal="centerContinuous" vertical="top"/>
    </xf>
    <xf numFmtId="0" fontId="10" fillId="0" borderId="0" xfId="10" applyFont="1" applyFill="1" applyBorder="1" applyAlignment="1">
      <alignment horizontal="centerContinuous"/>
    </xf>
    <xf numFmtId="0" fontId="10" fillId="7" borderId="7" xfId="0" applyFont="1" applyFill="1" applyBorder="1" applyAlignment="1">
      <alignment horizontal="center" vertical="center" wrapText="1"/>
    </xf>
    <xf numFmtId="0" fontId="10" fillId="7" borderId="7" xfId="0" applyFont="1" applyFill="1" applyBorder="1" applyAlignment="1">
      <alignment horizontal="center" vertical="center"/>
    </xf>
    <xf numFmtId="0" fontId="9" fillId="0" borderId="7" xfId="0" applyFont="1" applyFill="1" applyBorder="1" applyAlignment="1">
      <alignment horizontal="center" vertical="center" wrapText="1"/>
    </xf>
    <xf numFmtId="0" fontId="9" fillId="0" borderId="7" xfId="0" applyFont="1" applyFill="1" applyBorder="1" applyAlignment="1">
      <alignment vertical="center" wrapText="1"/>
    </xf>
    <xf numFmtId="0" fontId="9" fillId="0" borderId="4" xfId="0" applyFont="1" applyFill="1" applyBorder="1" applyAlignment="1">
      <alignment vertical="center" wrapText="1"/>
    </xf>
    <xf numFmtId="0" fontId="10" fillId="0" borderId="8" xfId="0" applyFont="1" applyFill="1" applyBorder="1" applyAlignment="1">
      <alignment vertical="center" wrapText="1"/>
    </xf>
    <xf numFmtId="0" fontId="10" fillId="0" borderId="4" xfId="0" applyFont="1" applyFill="1" applyBorder="1" applyAlignment="1">
      <alignment vertical="center" wrapText="1"/>
    </xf>
    <xf numFmtId="0" fontId="9" fillId="0" borderId="4" xfId="0" applyFont="1" applyFill="1" applyBorder="1" applyAlignment="1">
      <alignment horizontal="center" vertical="center" wrapText="1"/>
    </xf>
    <xf numFmtId="0" fontId="10" fillId="0" borderId="4" xfId="0" applyFont="1" applyFill="1" applyBorder="1" applyAlignment="1">
      <alignment vertical="center"/>
    </xf>
    <xf numFmtId="0" fontId="9" fillId="0" borderId="0" xfId="10" applyFont="1" applyFill="1" applyBorder="1" applyAlignment="1">
      <alignment horizontal="center"/>
    </xf>
    <xf numFmtId="0" fontId="9" fillId="0" borderId="0" xfId="10" applyFont="1" applyFill="1" applyBorder="1" applyAlignment="1">
      <alignment horizontal="center" vertical="top"/>
    </xf>
    <xf numFmtId="0" fontId="10" fillId="0" borderId="0" xfId="10" applyFont="1" applyFill="1" applyBorder="1" applyAlignment="1">
      <alignment horizontal="center"/>
    </xf>
    <xf numFmtId="0" fontId="10" fillId="0" borderId="0" xfId="14" applyFont="1" applyFill="1">
      <alignment vertical="center"/>
    </xf>
    <xf numFmtId="0" fontId="8" fillId="4" borderId="4" xfId="14" applyFont="1" applyFill="1" applyBorder="1" applyAlignment="1">
      <alignment horizontal="center" vertical="center" wrapText="1"/>
    </xf>
    <xf numFmtId="0" fontId="17" fillId="0" borderId="0" xfId="10" applyAlignment="1">
      <alignment horizontal="center" vertical="center"/>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4" xfId="14" applyFont="1" applyFill="1" applyBorder="1" applyAlignment="1">
      <alignment horizontal="center" vertical="center" wrapText="1"/>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4" xfId="10" applyFont="1" applyFill="1" applyBorder="1" applyAlignment="1">
      <alignment horizontal="center" vertical="center" wrapText="1"/>
    </xf>
    <xf numFmtId="0" fontId="8" fillId="5" borderId="0" xfId="10" applyFont="1" applyFill="1" applyBorder="1" applyAlignment="1">
      <alignment horizontal="center" vertical="center"/>
    </xf>
    <xf numFmtId="0" fontId="7" fillId="5" borderId="0" xfId="14" applyFont="1" applyFill="1" applyBorder="1">
      <alignment vertical="center"/>
    </xf>
    <xf numFmtId="0" fontId="7" fillId="9" borderId="4" xfId="14" applyFont="1" applyFill="1" applyBorder="1">
      <alignment vertical="center"/>
    </xf>
    <xf numFmtId="0" fontId="7" fillId="0" borderId="0" xfId="14" applyFont="1" applyBorder="1">
      <alignment vertical="center"/>
    </xf>
    <xf numFmtId="0" fontId="9" fillId="0" borderId="0" xfId="10" applyFont="1" applyAlignment="1">
      <alignment vertical="center" wrapText="1"/>
    </xf>
    <xf numFmtId="0" fontId="17" fillId="0" borderId="0" xfId="10" applyAlignment="1">
      <alignment horizontal="center" vertical="center"/>
    </xf>
    <xf numFmtId="0" fontId="8" fillId="0" borderId="0" xfId="10" applyFont="1" applyBorder="1" applyAlignment="1">
      <alignment horizontal="center" vertical="center"/>
    </xf>
    <xf numFmtId="0" fontId="8" fillId="0" borderId="0" xfId="14" applyFont="1" applyBorder="1">
      <alignment vertical="center"/>
    </xf>
    <xf numFmtId="0" fontId="16" fillId="0" borderId="4" xfId="14" applyFont="1" applyBorder="1" applyAlignment="1">
      <alignment vertical="top"/>
    </xf>
    <xf numFmtId="0" fontId="8" fillId="4" borderId="4" xfId="14" applyFont="1" applyFill="1" applyBorder="1" applyAlignment="1">
      <alignment horizontal="center" vertical="center" wrapText="1"/>
    </xf>
    <xf numFmtId="0" fontId="30" fillId="6" borderId="0" xfId="10" applyFont="1" applyFill="1" applyAlignment="1">
      <alignment vertical="center"/>
    </xf>
    <xf numFmtId="0" fontId="8" fillId="0" borderId="0" xfId="10" applyFont="1" applyBorder="1" applyAlignment="1">
      <alignment vertical="top"/>
    </xf>
    <xf numFmtId="0" fontId="17" fillId="0" borderId="0" xfId="10" applyAlignment="1">
      <alignment horizontal="center" vertical="center"/>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10"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4" borderId="4" xfId="10" applyFont="1" applyFill="1" applyBorder="1" applyAlignment="1">
      <alignment horizontal="center" vertical="center" wrapText="1"/>
    </xf>
    <xf numFmtId="0" fontId="8" fillId="0" borderId="0" xfId="10" applyFont="1" applyBorder="1" applyAlignment="1">
      <alignment horizontal="center" vertical="top"/>
    </xf>
    <xf numFmtId="0" fontId="11" fillId="0" borderId="0" xfId="10" applyFont="1" applyFill="1" applyBorder="1"/>
    <xf numFmtId="0" fontId="26" fillId="0" borderId="0" xfId="10" applyFont="1" applyFill="1" applyBorder="1"/>
    <xf numFmtId="0" fontId="8" fillId="0" borderId="0" xfId="10" applyFont="1" applyFill="1" applyBorder="1" applyAlignment="1" applyProtection="1">
      <alignment vertical="top" wrapText="1"/>
    </xf>
    <xf numFmtId="0" fontId="25" fillId="0" borderId="0" xfId="10" applyFont="1"/>
    <xf numFmtId="0" fontId="37" fillId="0" borderId="0" xfId="10" applyFont="1"/>
    <xf numFmtId="0" fontId="7" fillId="0" borderId="4" xfId="14" applyFont="1" applyFill="1" applyBorder="1" applyAlignment="1">
      <alignment horizontal="center" vertical="center"/>
    </xf>
    <xf numFmtId="0" fontId="8" fillId="0" borderId="4" xfId="10" applyFont="1" applyFill="1" applyBorder="1" applyAlignment="1">
      <alignment horizontal="center" vertical="center" wrapText="1"/>
    </xf>
    <xf numFmtId="0" fontId="8" fillId="0" borderId="4" xfId="10" applyFont="1" applyFill="1" applyBorder="1" applyAlignment="1">
      <alignment horizontal="center" vertical="center"/>
    </xf>
    <xf numFmtId="0" fontId="8" fillId="0" borderId="4" xfId="14" applyFont="1" applyFill="1" applyBorder="1">
      <alignment vertical="center"/>
    </xf>
    <xf numFmtId="0" fontId="25" fillId="0" borderId="0" xfId="10" applyFont="1" applyAlignment="1">
      <alignment vertical="center"/>
    </xf>
    <xf numFmtId="0" fontId="8" fillId="0" borderId="0" xfId="14" applyFont="1" applyBorder="1" applyAlignment="1">
      <alignment horizontal="center" vertical="top" wrapText="1"/>
    </xf>
    <xf numFmtId="0" fontId="8" fillId="0" borderId="0" xfId="14" applyFont="1" applyBorder="1" applyAlignment="1">
      <alignment vertical="top" wrapText="1"/>
    </xf>
    <xf numFmtId="170" fontId="36" fillId="0" borderId="4" xfId="64" applyNumberFormat="1" applyFont="1" applyBorder="1"/>
    <xf numFmtId="170" fontId="38" fillId="10" borderId="4" xfId="64" applyNumberFormat="1" applyFont="1" applyFill="1" applyBorder="1"/>
    <xf numFmtId="170" fontId="36" fillId="13" borderId="4" xfId="64" applyNumberFormat="1" applyFont="1" applyFill="1" applyBorder="1"/>
    <xf numFmtId="165" fontId="38" fillId="10" borderId="4" xfId="64" applyFont="1" applyFill="1" applyBorder="1"/>
    <xf numFmtId="0" fontId="7" fillId="0" borderId="4" xfId="14" applyFont="1" applyBorder="1" applyAlignment="1">
      <alignment horizontal="center" vertical="center" wrapText="1"/>
    </xf>
    <xf numFmtId="0" fontId="7" fillId="0" borderId="0" xfId="14" applyFont="1" applyAlignment="1">
      <alignment horizontal="left" vertical="center"/>
    </xf>
    <xf numFmtId="0" fontId="7" fillId="0" borderId="0" xfId="0" applyFont="1"/>
    <xf numFmtId="0" fontId="39" fillId="0" borderId="0" xfId="14" applyFont="1" applyAlignment="1">
      <alignment horizontal="left" vertical="center"/>
    </xf>
    <xf numFmtId="0" fontId="8" fillId="4" borderId="10"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4" borderId="5" xfId="14" applyFont="1" applyFill="1" applyBorder="1" applyAlignment="1">
      <alignment horizontal="center" vertical="center" wrapText="1"/>
    </xf>
    <xf numFmtId="170" fontId="36" fillId="6" borderId="4" xfId="64" applyNumberFormat="1" applyFont="1" applyFill="1" applyBorder="1"/>
    <xf numFmtId="170" fontId="36" fillId="8" borderId="4" xfId="64" applyNumberFormat="1" applyFont="1" applyFill="1" applyBorder="1"/>
    <xf numFmtId="0" fontId="11" fillId="0" borderId="0" xfId="10" applyFont="1" applyAlignment="1">
      <alignment horizontal="left"/>
    </xf>
    <xf numFmtId="0" fontId="8" fillId="0" borderId="0" xfId="10" applyFont="1" applyAlignment="1">
      <alignment horizontal="right"/>
    </xf>
    <xf numFmtId="0" fontId="8" fillId="4" borderId="4" xfId="68" applyFont="1" applyFill="1" applyBorder="1" applyAlignment="1">
      <alignment horizontal="center" vertical="center" wrapText="1"/>
    </xf>
    <xf numFmtId="0" fontId="7" fillId="6" borderId="0" xfId="68" applyFont="1" applyFill="1">
      <alignment vertical="center"/>
    </xf>
    <xf numFmtId="0" fontId="24" fillId="0" borderId="0" xfId="10" applyFont="1" applyAlignment="1">
      <alignment horizontal="left"/>
    </xf>
    <xf numFmtId="0" fontId="8" fillId="4" borderId="4" xfId="31" quotePrefix="1" applyFont="1" applyFill="1" applyBorder="1" applyAlignment="1">
      <alignment horizontal="center" vertical="center" wrapText="1"/>
    </xf>
    <xf numFmtId="0" fontId="8" fillId="0" borderId="0" xfId="10" applyFont="1" applyAlignment="1">
      <alignment horizontal="left" vertical="top"/>
    </xf>
    <xf numFmtId="0" fontId="8" fillId="6" borderId="0" xfId="31" applyFont="1" applyFill="1" applyAlignment="1">
      <alignment horizontal="left" vertical="top"/>
    </xf>
    <xf numFmtId="0" fontId="8" fillId="6" borderId="0" xfId="10" applyFont="1" applyFill="1" applyAlignment="1">
      <alignment horizontal="left" vertical="top"/>
    </xf>
    <xf numFmtId="0" fontId="24" fillId="6" borderId="0" xfId="10" applyFont="1" applyFill="1" applyAlignment="1">
      <alignment horizontal="left"/>
    </xf>
    <xf numFmtId="0" fontId="7" fillId="6" borderId="0" xfId="14" applyFont="1" applyFill="1">
      <alignment vertical="center"/>
    </xf>
    <xf numFmtId="0" fontId="7" fillId="6" borderId="4" xfId="10" applyFont="1" applyFill="1" applyBorder="1"/>
    <xf numFmtId="0" fontId="7" fillId="0" borderId="0" xfId="68" applyFont="1">
      <alignment vertical="center"/>
    </xf>
    <xf numFmtId="0" fontId="7" fillId="0" borderId="4" xfId="68" applyFont="1" applyBorder="1">
      <alignment vertical="center"/>
    </xf>
    <xf numFmtId="0" fontId="7" fillId="0" borderId="4" xfId="68" applyFont="1" applyBorder="1" applyAlignment="1">
      <alignment horizontal="center" vertical="center"/>
    </xf>
    <xf numFmtId="0" fontId="8" fillId="0" borderId="4" xfId="68" applyFont="1" applyBorder="1">
      <alignment vertical="center"/>
    </xf>
    <xf numFmtId="0" fontId="8" fillId="0" borderId="0" xfId="68" applyFont="1">
      <alignment vertical="center"/>
    </xf>
    <xf numFmtId="0" fontId="8" fillId="0" borderId="4" xfId="31" applyFont="1" applyBorder="1" applyAlignment="1">
      <alignment horizontal="center" vertical="center" wrapText="1"/>
    </xf>
    <xf numFmtId="0" fontId="8" fillId="0" borderId="7" xfId="31" applyFont="1" applyBorder="1" applyAlignment="1">
      <alignment horizontal="center" vertical="center" wrapText="1"/>
    </xf>
    <xf numFmtId="0" fontId="8" fillId="0" borderId="6" xfId="68" applyFont="1" applyBorder="1" applyAlignment="1">
      <alignment horizontal="center" vertical="center"/>
    </xf>
    <xf numFmtId="0" fontId="8" fillId="7" borderId="4" xfId="31" applyFont="1" applyFill="1" applyBorder="1" applyAlignment="1">
      <alignment horizontal="center" vertical="center" wrapText="1"/>
    </xf>
    <xf numFmtId="0" fontId="8" fillId="7" borderId="7" xfId="31" applyFont="1" applyFill="1" applyBorder="1" applyAlignment="1">
      <alignment horizontal="center" vertical="center" wrapText="1"/>
    </xf>
    <xf numFmtId="0" fontId="7" fillId="0" borderId="0" xfId="68" applyFont="1" applyAlignment="1">
      <alignment horizontal="center" vertical="center"/>
    </xf>
    <xf numFmtId="0" fontId="8" fillId="0" borderId="0" xfId="68" applyFont="1" applyAlignment="1">
      <alignment horizontal="left" vertical="center"/>
    </xf>
    <xf numFmtId="0" fontId="8" fillId="0" borderId="0" xfId="10" applyFont="1" applyAlignment="1">
      <alignment vertical="top"/>
    </xf>
    <xf numFmtId="0" fontId="16" fillId="6" borderId="4" xfId="14" applyFont="1" applyFill="1" applyBorder="1">
      <alignment vertical="center"/>
    </xf>
    <xf numFmtId="0" fontId="16" fillId="6" borderId="4" xfId="14" applyFont="1" applyFill="1" applyBorder="1" applyAlignment="1">
      <alignment horizontal="left" vertical="center"/>
    </xf>
    <xf numFmtId="0" fontId="9" fillId="6" borderId="0" xfId="14" applyFont="1" applyFill="1">
      <alignment vertical="center"/>
    </xf>
    <xf numFmtId="0" fontId="10" fillId="6" borderId="0" xfId="14" applyFont="1" applyFill="1">
      <alignment vertical="center"/>
    </xf>
    <xf numFmtId="0" fontId="17" fillId="0" borderId="0" xfId="10" applyAlignment="1">
      <alignment horizontal="center" vertical="center"/>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10" xfId="14" applyFont="1" applyFill="1" applyBorder="1" applyAlignment="1">
      <alignment horizontal="center" vertical="center" wrapText="1"/>
    </xf>
    <xf numFmtId="0" fontId="8" fillId="4" borderId="4" xfId="14" applyFont="1" applyFill="1" applyBorder="1" applyAlignment="1">
      <alignment horizontal="center" vertical="center"/>
    </xf>
    <xf numFmtId="0" fontId="8" fillId="4" borderId="4" xfId="14" applyFont="1" applyFill="1" applyBorder="1" applyAlignment="1">
      <alignment horizontal="center" vertical="center" wrapText="1"/>
    </xf>
    <xf numFmtId="0" fontId="8" fillId="4" borderId="5" xfId="14" applyFont="1" applyFill="1" applyBorder="1" applyAlignment="1">
      <alignment horizontal="center" vertical="center" wrapText="1"/>
    </xf>
    <xf numFmtId="0" fontId="33" fillId="6" borderId="0" xfId="10" applyFont="1" applyFill="1" applyBorder="1" applyAlignment="1">
      <alignment horizontal="left" vertical="center" wrapText="1"/>
    </xf>
    <xf numFmtId="0" fontId="30" fillId="6" borderId="0" xfId="10" applyFont="1" applyFill="1" applyAlignment="1">
      <alignment vertical="center"/>
    </xf>
    <xf numFmtId="0" fontId="8" fillId="7" borderId="4" xfId="14" applyFont="1" applyFill="1" applyBorder="1" applyAlignment="1">
      <alignment horizontal="center" vertical="center" wrapText="1"/>
    </xf>
    <xf numFmtId="0" fontId="33" fillId="6" borderId="0" xfId="10" applyFont="1" applyFill="1" applyBorder="1" applyAlignment="1">
      <alignment horizontal="left" vertical="center"/>
    </xf>
    <xf numFmtId="0" fontId="29" fillId="7" borderId="4" xfId="10" applyFont="1" applyFill="1" applyBorder="1" applyAlignment="1">
      <alignment horizontal="center" vertical="center"/>
    </xf>
    <xf numFmtId="0" fontId="8" fillId="0" borderId="0" xfId="10" applyFont="1" applyAlignment="1">
      <alignment horizontal="left"/>
    </xf>
    <xf numFmtId="0" fontId="39" fillId="0" borderId="0" xfId="14" applyFont="1" applyAlignment="1">
      <alignment horizontal="left" vertical="center"/>
    </xf>
    <xf numFmtId="0" fontId="8" fillId="7" borderId="4" xfId="14" applyFont="1" applyFill="1" applyBorder="1" applyAlignment="1">
      <alignment horizontal="center" vertical="center"/>
    </xf>
    <xf numFmtId="0" fontId="7" fillId="6" borderId="0" xfId="10" applyFont="1" applyFill="1" applyBorder="1" applyAlignment="1">
      <alignment horizontal="center"/>
    </xf>
    <xf numFmtId="0" fontId="39" fillId="0" borderId="0" xfId="14" applyFont="1">
      <alignment vertical="center"/>
    </xf>
    <xf numFmtId="0" fontId="7" fillId="5" borderId="4" xfId="10" applyFont="1" applyFill="1" applyBorder="1" applyAlignment="1" applyProtection="1">
      <alignment horizontal="center" wrapText="1"/>
    </xf>
    <xf numFmtId="0" fontId="8" fillId="4" borderId="4" xfId="10" applyFont="1" applyFill="1" applyBorder="1" applyAlignment="1">
      <alignment horizontal="center" vertical="center" wrapText="1"/>
    </xf>
    <xf numFmtId="0" fontId="8" fillId="4" borderId="4" xfId="10" applyFont="1" applyFill="1" applyBorder="1" applyAlignment="1">
      <alignment horizontal="center" vertical="center"/>
    </xf>
    <xf numFmtId="0" fontId="8" fillId="4" borderId="4" xfId="14" applyFont="1" applyFill="1" applyBorder="1" applyAlignment="1">
      <alignment horizontal="center" vertical="center" wrapText="1"/>
    </xf>
    <xf numFmtId="164" fontId="7" fillId="0" borderId="4" xfId="69" applyFont="1" applyBorder="1" applyAlignment="1">
      <alignment vertical="center"/>
    </xf>
    <xf numFmtId="164" fontId="7" fillId="6" borderId="4" xfId="69" applyFont="1" applyFill="1" applyBorder="1" applyAlignment="1">
      <alignment vertical="center"/>
    </xf>
    <xf numFmtId="164" fontId="7" fillId="0" borderId="4" xfId="14" applyNumberFormat="1" applyFont="1" applyBorder="1">
      <alignment vertical="center"/>
    </xf>
    <xf numFmtId="0" fontId="8" fillId="0" borderId="4" xfId="10" applyFont="1" applyFill="1" applyBorder="1" applyAlignment="1" applyProtection="1">
      <alignment horizontal="left"/>
    </xf>
    <xf numFmtId="164" fontId="8" fillId="5" borderId="4" xfId="69" applyFont="1" applyFill="1" applyBorder="1" applyAlignment="1" applyProtection="1">
      <alignment horizontal="left"/>
    </xf>
    <xf numFmtId="9" fontId="9" fillId="0" borderId="0" xfId="14" applyNumberFormat="1" applyFont="1" applyFill="1">
      <alignment vertical="center"/>
    </xf>
    <xf numFmtId="1" fontId="9" fillId="0" borderId="0" xfId="14" applyNumberFormat="1" applyFont="1" applyFill="1">
      <alignment vertical="center"/>
    </xf>
    <xf numFmtId="164" fontId="8" fillId="0" borderId="4" xfId="14" applyNumberFormat="1" applyFont="1" applyBorder="1">
      <alignment vertical="center"/>
    </xf>
    <xf numFmtId="0" fontId="8" fillId="0" borderId="4" xfId="14" applyFont="1" applyFill="1" applyBorder="1" applyAlignment="1">
      <alignment horizontal="center" vertical="center"/>
    </xf>
    <xf numFmtId="0" fontId="7" fillId="0" borderId="0" xfId="14" applyFont="1" applyFill="1">
      <alignment vertical="center"/>
    </xf>
    <xf numFmtId="0" fontId="8" fillId="7" borderId="4" xfId="14" applyFont="1" applyFill="1" applyBorder="1" applyAlignment="1">
      <alignment horizontal="center" vertical="center" wrapText="1"/>
    </xf>
    <xf numFmtId="164" fontId="8" fillId="0" borderId="4" xfId="69" applyFont="1" applyBorder="1"/>
    <xf numFmtId="164" fontId="7" fillId="5" borderId="4" xfId="69" applyFont="1" applyFill="1" applyBorder="1" applyAlignment="1" applyProtection="1">
      <alignment horizontal="left"/>
    </xf>
    <xf numFmtId="164" fontId="7" fillId="0" borderId="4" xfId="69" applyFont="1" applyFill="1" applyBorder="1" applyAlignment="1">
      <alignment vertical="center"/>
    </xf>
    <xf numFmtId="164" fontId="17" fillId="0" borderId="4" xfId="69" applyFont="1" applyFill="1" applyBorder="1" applyAlignment="1">
      <alignment horizontal="center" vertical="center" wrapText="1"/>
    </xf>
    <xf numFmtId="164" fontId="7" fillId="0" borderId="0" xfId="69" applyFont="1" applyBorder="1" applyAlignment="1">
      <alignment vertical="center"/>
    </xf>
    <xf numFmtId="164" fontId="7" fillId="0" borderId="4" xfId="69" applyFont="1" applyFill="1" applyBorder="1" applyAlignment="1" applyProtection="1">
      <alignment horizontal="left" vertical="center"/>
    </xf>
    <xf numFmtId="164" fontId="25" fillId="0" borderId="4" xfId="69" applyFont="1" applyFill="1" applyBorder="1" applyAlignment="1">
      <alignment vertical="center"/>
    </xf>
    <xf numFmtId="164" fontId="7" fillId="0" borderId="0" xfId="69" applyFont="1" applyFill="1" applyBorder="1" applyAlignment="1">
      <alignment vertical="center"/>
    </xf>
    <xf numFmtId="164" fontId="8" fillId="0" borderId="4" xfId="69" applyFont="1" applyBorder="1" applyAlignment="1">
      <alignment vertical="center"/>
    </xf>
    <xf numFmtId="164" fontId="7" fillId="0" borderId="0" xfId="69" applyFont="1" applyAlignment="1">
      <alignment vertical="center"/>
    </xf>
    <xf numFmtId="164" fontId="7" fillId="0" borderId="4" xfId="69" applyFont="1" applyBorder="1" applyAlignment="1">
      <alignment vertical="top" wrapText="1"/>
    </xf>
    <xf numFmtId="9" fontId="7" fillId="0" borderId="4" xfId="14" applyNumberFormat="1" applyFont="1" applyBorder="1">
      <alignment vertical="center"/>
    </xf>
    <xf numFmtId="9" fontId="7" fillId="0" borderId="4" xfId="70" applyFont="1" applyBorder="1" applyAlignment="1">
      <alignment vertical="center"/>
    </xf>
    <xf numFmtId="164" fontId="9" fillId="0" borderId="4" xfId="69" applyFont="1" applyBorder="1" applyAlignment="1">
      <alignment vertical="center"/>
    </xf>
    <xf numFmtId="2" fontId="9" fillId="0" borderId="4" xfId="14" applyNumberFormat="1" applyFont="1" applyBorder="1">
      <alignment vertical="center"/>
    </xf>
    <xf numFmtId="164" fontId="9" fillId="0" borderId="4" xfId="14" applyNumberFormat="1" applyFont="1" applyBorder="1">
      <alignment vertical="center"/>
    </xf>
    <xf numFmtId="164" fontId="9" fillId="0" borderId="4" xfId="69" applyFont="1" applyFill="1" applyBorder="1" applyAlignment="1">
      <alignment vertical="center"/>
    </xf>
    <xf numFmtId="164" fontId="9" fillId="0" borderId="0" xfId="69" applyFont="1"/>
    <xf numFmtId="0" fontId="8" fillId="7" borderId="4" xfId="14" applyFont="1" applyFill="1" applyBorder="1" applyAlignment="1">
      <alignment horizontal="center" vertical="center" wrapText="1"/>
    </xf>
    <xf numFmtId="0" fontId="7" fillId="0" borderId="0" xfId="14" applyFont="1" applyFill="1" applyBorder="1" applyAlignment="1">
      <alignment horizontal="centerContinuous" vertical="center"/>
    </xf>
    <xf numFmtId="0" fontId="7" fillId="0" borderId="0" xfId="10" applyFont="1" applyFill="1" applyBorder="1" applyAlignment="1">
      <alignment horizontal="center"/>
    </xf>
    <xf numFmtId="164" fontId="7" fillId="0" borderId="4" xfId="14" applyNumberFormat="1" applyFont="1" applyFill="1" applyBorder="1">
      <alignment vertical="center"/>
    </xf>
    <xf numFmtId="0" fontId="8" fillId="0" borderId="0" xfId="14" applyFont="1" applyAlignment="1">
      <alignment horizontal="center" vertical="center"/>
    </xf>
    <xf numFmtId="0" fontId="12" fillId="0" borderId="4" xfId="10" applyFont="1" applyBorder="1" applyAlignment="1">
      <alignment horizontal="center" vertical="center" wrapText="1"/>
    </xf>
    <xf numFmtId="0" fontId="12" fillId="0" borderId="4" xfId="10" applyFont="1" applyBorder="1" applyAlignment="1">
      <alignment horizontal="left" vertical="center"/>
    </xf>
    <xf numFmtId="166" fontId="7" fillId="0" borderId="4" xfId="10" applyNumberFormat="1" applyFont="1" applyFill="1" applyBorder="1" applyProtection="1"/>
    <xf numFmtId="0" fontId="12" fillId="5" borderId="4" xfId="10" applyFont="1" applyFill="1" applyBorder="1" applyAlignment="1">
      <alignment horizontal="center" vertical="top"/>
    </xf>
    <xf numFmtId="0" fontId="12" fillId="0" borderId="4" xfId="10" applyFont="1" applyFill="1" applyBorder="1" applyAlignment="1" applyProtection="1">
      <alignment horizontal="left"/>
    </xf>
    <xf numFmtId="0" fontId="16" fillId="5" borderId="4" xfId="10" applyFont="1" applyFill="1" applyBorder="1" applyAlignment="1">
      <alignment horizontal="center" vertical="top"/>
    </xf>
    <xf numFmtId="164" fontId="7" fillId="0" borderId="4" xfId="69" applyFont="1" applyBorder="1"/>
    <xf numFmtId="2" fontId="7" fillId="5" borderId="0" xfId="10" applyNumberFormat="1" applyFont="1" applyFill="1" applyBorder="1"/>
    <xf numFmtId="164" fontId="8" fillId="0" borderId="4" xfId="69" applyFont="1" applyBorder="1" applyAlignment="1">
      <alignment horizontal="left" vertical="top"/>
    </xf>
    <xf numFmtId="164" fontId="7" fillId="0" borderId="4" xfId="69" applyFont="1" applyBorder="1" applyAlignment="1">
      <alignment horizontal="left" vertical="top"/>
    </xf>
    <xf numFmtId="164" fontId="7" fillId="6" borderId="4" xfId="69" applyFont="1" applyFill="1" applyBorder="1" applyAlignment="1">
      <alignment horizontal="left" vertical="top"/>
    </xf>
    <xf numFmtId="164" fontId="7" fillId="6" borderId="4" xfId="69" applyFont="1" applyFill="1" applyBorder="1" applyAlignment="1">
      <alignment horizontal="left" vertical="top" wrapText="1"/>
    </xf>
    <xf numFmtId="164" fontId="7" fillId="0" borderId="4" xfId="69" applyFont="1" applyFill="1" applyBorder="1" applyAlignment="1" applyProtection="1">
      <alignment horizontal="left"/>
    </xf>
    <xf numFmtId="164" fontId="10" fillId="0" borderId="4" xfId="69" applyFont="1" applyFill="1" applyBorder="1" applyAlignment="1">
      <alignment vertical="center"/>
    </xf>
    <xf numFmtId="164" fontId="10" fillId="0" borderId="4" xfId="69" applyFont="1" applyFill="1" applyBorder="1" applyAlignment="1">
      <alignment horizontal="center" vertical="center" wrapText="1"/>
    </xf>
    <xf numFmtId="164" fontId="10" fillId="0" borderId="4" xfId="69" applyFont="1" applyFill="1" applyBorder="1" applyAlignment="1">
      <alignment horizontal="center" vertical="center"/>
    </xf>
    <xf numFmtId="0" fontId="7" fillId="0" borderId="0" xfId="10" applyFont="1" applyFill="1" applyAlignment="1">
      <alignment vertical="center"/>
    </xf>
    <xf numFmtId="0" fontId="7" fillId="0" borderId="0" xfId="10" applyFont="1" applyFill="1" applyAlignment="1">
      <alignment vertical="top"/>
    </xf>
    <xf numFmtId="0" fontId="16" fillId="5" borderId="4" xfId="14" applyFont="1" applyFill="1" applyBorder="1" applyAlignment="1">
      <alignment horizontal="center" vertical="center" wrapText="1"/>
    </xf>
    <xf numFmtId="10" fontId="7" fillId="0" borderId="4" xfId="70" applyNumberFormat="1" applyFont="1" applyFill="1" applyBorder="1" applyAlignment="1">
      <alignment vertical="center"/>
    </xf>
    <xf numFmtId="164" fontId="7" fillId="0" borderId="4" xfId="69" applyFont="1" applyFill="1" applyBorder="1" applyAlignment="1">
      <alignment vertical="top" wrapText="1"/>
    </xf>
    <xf numFmtId="164" fontId="8" fillId="0" borderId="4" xfId="69" applyFont="1" applyFill="1" applyBorder="1" applyAlignment="1">
      <alignment vertical="center"/>
    </xf>
    <xf numFmtId="164" fontId="7" fillId="0" borderId="0" xfId="14" applyNumberFormat="1" applyFont="1">
      <alignment vertical="center"/>
    </xf>
    <xf numFmtId="9" fontId="7" fillId="0" borderId="0" xfId="70" applyFont="1" applyBorder="1" applyAlignment="1">
      <alignment vertical="top"/>
    </xf>
    <xf numFmtId="0" fontId="8" fillId="0" borderId="0" xfId="10" applyFont="1" applyBorder="1" applyAlignment="1">
      <alignment horizontal="center" vertical="center"/>
    </xf>
    <xf numFmtId="0" fontId="8" fillId="4" borderId="4" xfId="10" applyFont="1" applyFill="1" applyBorder="1" applyAlignment="1">
      <alignment horizontal="center" vertical="center" wrapText="1"/>
    </xf>
    <xf numFmtId="0" fontId="8" fillId="0" borderId="0" xfId="10" applyFont="1" applyAlignment="1">
      <alignment horizontal="left"/>
    </xf>
    <xf numFmtId="0" fontId="8" fillId="4" borderId="4" xfId="31" applyFont="1" applyFill="1" applyBorder="1" applyAlignment="1">
      <alignment horizontal="center" vertical="center" wrapText="1"/>
    </xf>
    <xf numFmtId="0" fontId="8" fillId="0" borderId="0" xfId="10" applyFont="1" applyBorder="1" applyAlignment="1">
      <alignment horizontal="center" vertical="center"/>
    </xf>
    <xf numFmtId="0" fontId="8" fillId="4" borderId="4" xfId="14" applyFont="1" applyFill="1" applyBorder="1" applyAlignment="1">
      <alignment horizontal="center" vertical="center" wrapText="1"/>
    </xf>
    <xf numFmtId="0" fontId="12" fillId="5" borderId="4" xfId="14" applyFont="1" applyFill="1" applyBorder="1" applyAlignment="1">
      <alignment horizontal="center" wrapText="1"/>
    </xf>
    <xf numFmtId="0" fontId="12" fillId="5" borderId="4" xfId="14" applyFont="1" applyFill="1" applyBorder="1" applyAlignment="1">
      <alignment horizontal="left" vertical="center" wrapText="1"/>
    </xf>
    <xf numFmtId="0" fontId="16" fillId="5" borderId="4" xfId="14" quotePrefix="1" applyFont="1" applyFill="1" applyBorder="1" applyAlignment="1">
      <alignment horizontal="center" vertical="center" wrapText="1"/>
    </xf>
    <xf numFmtId="0" fontId="16" fillId="5" borderId="4" xfId="14" applyFont="1" applyFill="1" applyBorder="1" applyAlignment="1">
      <alignment horizontal="center" wrapText="1"/>
    </xf>
    <xf numFmtId="0" fontId="16" fillId="6" borderId="4" xfId="14" applyFont="1" applyFill="1" applyBorder="1" applyAlignment="1">
      <alignment horizontal="left" vertical="center" wrapText="1"/>
    </xf>
    <xf numFmtId="0" fontId="16" fillId="6" borderId="4" xfId="14" applyFont="1" applyFill="1" applyBorder="1" applyAlignment="1">
      <alignment horizontal="left" vertical="center" wrapText="1" indent="1"/>
    </xf>
    <xf numFmtId="0" fontId="16" fillId="6" borderId="4" xfId="14" applyFont="1" applyFill="1" applyBorder="1" applyAlignment="1">
      <alignment horizontal="left" vertical="center" wrapText="1" indent="2"/>
    </xf>
    <xf numFmtId="0" fontId="16" fillId="0" borderId="4" xfId="14" applyFont="1" applyFill="1" applyBorder="1" applyAlignment="1">
      <alignment horizontal="left" vertical="center" wrapText="1"/>
    </xf>
    <xf numFmtId="0" fontId="16" fillId="6" borderId="4" xfId="14" applyFont="1" applyFill="1" applyBorder="1" applyAlignment="1">
      <alignment vertical="center" wrapText="1"/>
    </xf>
    <xf numFmtId="168" fontId="16" fillId="5" borderId="4" xfId="14" applyNumberFormat="1" applyFont="1" applyFill="1" applyBorder="1" applyAlignment="1">
      <alignment horizontal="center" wrapText="1"/>
    </xf>
    <xf numFmtId="2" fontId="16" fillId="5" borderId="4" xfId="14" applyNumberFormat="1" applyFont="1" applyFill="1" applyBorder="1" applyAlignment="1">
      <alignment horizontal="center" vertical="center" wrapText="1"/>
    </xf>
    <xf numFmtId="2" fontId="16" fillId="5" borderId="4" xfId="14" applyNumberFormat="1" applyFont="1" applyFill="1" applyBorder="1" applyAlignment="1">
      <alignment horizontal="center" wrapText="1"/>
    </xf>
    <xf numFmtId="0" fontId="12" fillId="0" borderId="4" xfId="10" applyFont="1" applyBorder="1" applyAlignment="1">
      <alignment horizontal="center"/>
    </xf>
    <xf numFmtId="0" fontId="12" fillId="6" borderId="4" xfId="10" applyFont="1" applyFill="1" applyBorder="1" applyAlignment="1">
      <alignment vertical="top"/>
    </xf>
    <xf numFmtId="0" fontId="16" fillId="0" borderId="4" xfId="10" applyFont="1" applyBorder="1" applyAlignment="1">
      <alignment horizontal="center"/>
    </xf>
    <xf numFmtId="0" fontId="16" fillId="0" borderId="4" xfId="10" applyFont="1" applyBorder="1" applyAlignment="1">
      <alignment vertical="top"/>
    </xf>
    <xf numFmtId="9" fontId="16" fillId="5" borderId="4" xfId="70" applyFont="1" applyFill="1" applyBorder="1" applyAlignment="1">
      <alignment horizontal="center" vertical="center" wrapText="1"/>
    </xf>
    <xf numFmtId="0" fontId="12" fillId="5" borderId="4" xfId="14" applyFont="1" applyFill="1" applyBorder="1" applyAlignment="1">
      <alignment horizontal="center" vertical="center" wrapText="1"/>
    </xf>
    <xf numFmtId="0" fontId="16" fillId="0" borderId="4" xfId="14" applyFont="1" applyFill="1" applyBorder="1" applyAlignment="1">
      <alignment horizontal="center" vertical="center" wrapText="1"/>
    </xf>
    <xf numFmtId="0" fontId="12" fillId="0" borderId="4" xfId="14" applyFont="1" applyFill="1" applyBorder="1" applyAlignment="1">
      <alignment horizontal="center" vertical="center" wrapText="1"/>
    </xf>
    <xf numFmtId="0" fontId="16" fillId="0" borderId="4" xfId="10" applyFont="1" applyFill="1" applyBorder="1" applyAlignment="1">
      <alignment vertical="top"/>
    </xf>
    <xf numFmtId="10" fontId="16" fillId="5" borderId="4" xfId="70" applyNumberFormat="1" applyFont="1" applyFill="1" applyBorder="1" applyAlignment="1">
      <alignment horizontal="center" vertical="center" wrapText="1"/>
    </xf>
    <xf numFmtId="0" fontId="12" fillId="0" borderId="4" xfId="10" applyFont="1" applyBorder="1"/>
    <xf numFmtId="0" fontId="12" fillId="6" borderId="4" xfId="14" applyFont="1" applyFill="1" applyBorder="1" applyAlignment="1">
      <alignment horizontal="left" vertical="center" wrapText="1"/>
    </xf>
    <xf numFmtId="9" fontId="16" fillId="6" borderId="4" xfId="70" applyFont="1" applyFill="1" applyBorder="1" applyAlignment="1">
      <alignment horizontal="left" vertical="center" wrapText="1"/>
    </xf>
    <xf numFmtId="175" fontId="16" fillId="5" borderId="4" xfId="69" applyNumberFormat="1" applyFont="1" applyFill="1" applyBorder="1" applyAlignment="1">
      <alignment horizontal="center" vertical="center" wrapText="1"/>
    </xf>
    <xf numFmtId="0" fontId="12" fillId="6" borderId="4" xfId="14" applyFont="1" applyFill="1" applyBorder="1" applyAlignment="1">
      <alignment vertical="center" wrapText="1"/>
    </xf>
    <xf numFmtId="0" fontId="15" fillId="5" borderId="4" xfId="10" applyFont="1" applyFill="1" applyBorder="1" applyAlignment="1">
      <alignment horizontal="center" vertical="center"/>
    </xf>
    <xf numFmtId="0" fontId="16" fillId="0" borderId="4" xfId="10" applyFont="1" applyFill="1" applyBorder="1" applyProtection="1"/>
    <xf numFmtId="0" fontId="16" fillId="0" borderId="4" xfId="10" applyFont="1" applyFill="1" applyBorder="1" applyAlignment="1" applyProtection="1">
      <alignment horizontal="left"/>
    </xf>
    <xf numFmtId="164" fontId="12" fillId="0" borderId="4" xfId="69" applyFont="1" applyBorder="1"/>
    <xf numFmtId="0" fontId="12" fillId="5" borderId="4" xfId="10" applyFont="1" applyFill="1" applyBorder="1" applyAlignment="1" applyProtection="1">
      <alignment vertical="top" wrapText="1"/>
    </xf>
    <xf numFmtId="164" fontId="12" fillId="0" borderId="4" xfId="69" applyFont="1" applyFill="1" applyBorder="1"/>
    <xf numFmtId="0" fontId="12" fillId="0" borderId="4" xfId="10" applyFont="1" applyFill="1" applyBorder="1"/>
    <xf numFmtId="0" fontId="12" fillId="5" borderId="4" xfId="10" applyFont="1" applyFill="1" applyBorder="1" applyAlignment="1">
      <alignment horizontal="center" vertical="center"/>
    </xf>
    <xf numFmtId="0" fontId="16" fillId="5" borderId="4" xfId="10" applyFont="1" applyFill="1" applyBorder="1" applyAlignment="1">
      <alignment horizontal="center" vertical="center"/>
    </xf>
    <xf numFmtId="0" fontId="12" fillId="5" borderId="4" xfId="10" applyFont="1" applyFill="1" applyBorder="1" applyAlignment="1">
      <alignment horizontal="center"/>
    </xf>
    <xf numFmtId="0" fontId="12" fillId="5" borderId="4" xfId="10" applyFont="1" applyFill="1" applyBorder="1"/>
    <xf numFmtId="0" fontId="16" fillId="5" borderId="4" xfId="10" applyFont="1" applyFill="1" applyBorder="1"/>
    <xf numFmtId="0" fontId="8" fillId="7" borderId="4" xfId="14" applyFont="1" applyFill="1" applyBorder="1" applyAlignment="1">
      <alignment horizontal="center" vertical="center" wrapText="1"/>
    </xf>
    <xf numFmtId="0" fontId="7" fillId="0" borderId="4" xfId="14" applyFont="1" applyBorder="1" applyAlignment="1">
      <alignment vertical="center"/>
    </xf>
    <xf numFmtId="0" fontId="7" fillId="0" borderId="4" xfId="14" applyFont="1" applyFill="1" applyBorder="1" applyAlignment="1">
      <alignment vertical="center"/>
    </xf>
    <xf numFmtId="0" fontId="7" fillId="6" borderId="4" xfId="14" applyFont="1" applyFill="1" applyBorder="1" applyAlignment="1">
      <alignment vertical="center"/>
    </xf>
    <xf numFmtId="0" fontId="7" fillId="0" borderId="4" xfId="10" applyFont="1" applyFill="1" applyBorder="1" applyAlignment="1" applyProtection="1">
      <alignment vertical="center"/>
    </xf>
    <xf numFmtId="0" fontId="8" fillId="0" borderId="4" xfId="10" applyFont="1" applyFill="1" applyBorder="1" applyAlignment="1" applyProtection="1">
      <alignment vertical="center" wrapText="1"/>
    </xf>
    <xf numFmtId="0" fontId="7" fillId="0" borderId="4" xfId="10" applyFont="1" applyFill="1" applyBorder="1" applyAlignment="1" applyProtection="1">
      <alignment vertical="center" wrapText="1"/>
    </xf>
    <xf numFmtId="0" fontId="16" fillId="0" borderId="4" xfId="14" applyFont="1" applyFill="1" applyBorder="1" applyAlignment="1">
      <alignment vertical="center" wrapText="1"/>
    </xf>
    <xf numFmtId="0" fontId="7" fillId="0" borderId="0" xfId="10" applyFont="1" applyFill="1" applyBorder="1" applyAlignment="1">
      <alignment vertical="top"/>
    </xf>
    <xf numFmtId="0" fontId="16" fillId="0" borderId="4" xfId="10" applyFont="1" applyFill="1" applyBorder="1" applyAlignment="1">
      <alignment horizontal="center" vertical="top"/>
    </xf>
    <xf numFmtId="164" fontId="12" fillId="0" borderId="4" xfId="69" applyFont="1" applyFill="1" applyBorder="1" applyAlignment="1">
      <alignment horizontal="center" vertical="center" wrapText="1"/>
    </xf>
    <xf numFmtId="0" fontId="8" fillId="0" borderId="0" xfId="10" applyFont="1" applyFill="1" applyBorder="1"/>
    <xf numFmtId="0" fontId="12" fillId="0" borderId="4" xfId="10" applyFont="1" applyFill="1" applyBorder="1" applyAlignment="1" applyProtection="1">
      <alignment vertical="top" wrapText="1"/>
    </xf>
    <xf numFmtId="0" fontId="16" fillId="0" borderId="4" xfId="10" applyFont="1" applyFill="1" applyBorder="1" applyAlignment="1" applyProtection="1">
      <alignment vertical="top" wrapText="1"/>
    </xf>
    <xf numFmtId="0" fontId="12" fillId="0" borderId="4" xfId="10" applyFont="1" applyFill="1" applyBorder="1" applyAlignment="1">
      <alignment horizontal="center" vertical="center"/>
    </xf>
    <xf numFmtId="0" fontId="7" fillId="0" borderId="4" xfId="10" applyFont="1" applyFill="1" applyBorder="1" applyAlignment="1">
      <alignment horizontal="center" vertical="center"/>
    </xf>
    <xf numFmtId="0" fontId="7" fillId="0" borderId="0" xfId="10" applyFont="1" applyFill="1" applyBorder="1" applyAlignment="1"/>
    <xf numFmtId="0" fontId="8" fillId="0" borderId="4" xfId="10" applyFont="1" applyFill="1" applyBorder="1" applyAlignment="1" applyProtection="1">
      <alignment vertical="center"/>
    </xf>
    <xf numFmtId="176" fontId="7" fillId="0" borderId="4" xfId="69" applyNumberFormat="1" applyFont="1" applyFill="1" applyBorder="1" applyAlignment="1" applyProtection="1">
      <alignment vertical="center" wrapText="1"/>
    </xf>
    <xf numFmtId="176" fontId="7" fillId="0" borderId="0" xfId="69" applyNumberFormat="1" applyFont="1" applyAlignment="1">
      <alignment vertical="center"/>
    </xf>
    <xf numFmtId="0" fontId="7" fillId="5" borderId="4" xfId="10" applyFont="1" applyFill="1" applyBorder="1" applyAlignment="1">
      <alignment horizontal="left"/>
    </xf>
    <xf numFmtId="176" fontId="7" fillId="5" borderId="4" xfId="69" applyNumberFormat="1" applyFont="1" applyFill="1" applyBorder="1" applyAlignment="1" applyProtection="1">
      <alignment horizontal="left"/>
    </xf>
    <xf numFmtId="176" fontId="8" fillId="5" borderId="4" xfId="69" applyNumberFormat="1" applyFont="1" applyFill="1" applyBorder="1" applyAlignment="1" applyProtection="1">
      <alignment horizontal="left"/>
    </xf>
    <xf numFmtId="176" fontId="7" fillId="0" borderId="4" xfId="69" applyNumberFormat="1" applyFont="1" applyBorder="1"/>
    <xf numFmtId="176" fontId="8" fillId="0" borderId="4" xfId="69" applyNumberFormat="1" applyFont="1" applyFill="1" applyBorder="1" applyAlignment="1">
      <alignment vertical="center"/>
    </xf>
    <xf numFmtId="176" fontId="7" fillId="5" borderId="4" xfId="69" quotePrefix="1" applyNumberFormat="1" applyFont="1" applyFill="1" applyBorder="1" applyAlignment="1">
      <alignment horizontal="left" vertical="top" wrapText="1"/>
    </xf>
    <xf numFmtId="176" fontId="7" fillId="5" borderId="0" xfId="69" quotePrefix="1" applyNumberFormat="1" applyFont="1" applyFill="1" applyBorder="1" applyAlignment="1">
      <alignment horizontal="left" vertical="top" wrapText="1"/>
    </xf>
    <xf numFmtId="176" fontId="7" fillId="0" borderId="0" xfId="69" applyNumberFormat="1" applyFont="1" applyBorder="1" applyAlignment="1">
      <alignment vertical="center"/>
    </xf>
    <xf numFmtId="176" fontId="13" fillId="0" borderId="0" xfId="69" applyNumberFormat="1" applyFont="1" applyAlignment="1">
      <alignment horizontal="left" vertical="center"/>
    </xf>
    <xf numFmtId="176" fontId="8" fillId="7" borderId="4" xfId="69" applyNumberFormat="1" applyFont="1" applyFill="1" applyBorder="1" applyAlignment="1">
      <alignment horizontal="center" vertical="center"/>
    </xf>
    <xf numFmtId="176" fontId="8" fillId="7" borderId="4" xfId="69" applyNumberFormat="1" applyFont="1" applyFill="1" applyBorder="1" applyAlignment="1">
      <alignment horizontal="center" vertical="center" wrapText="1"/>
    </xf>
    <xf numFmtId="176" fontId="7" fillId="9" borderId="4" xfId="69" applyNumberFormat="1" applyFont="1" applyFill="1" applyBorder="1" applyAlignment="1">
      <alignment vertical="center"/>
    </xf>
    <xf numFmtId="176" fontId="7" fillId="0" borderId="4" xfId="69" applyNumberFormat="1" applyFont="1" applyBorder="1" applyAlignment="1">
      <alignment vertical="center"/>
    </xf>
    <xf numFmtId="176" fontId="8" fillId="0" borderId="4" xfId="69" applyNumberFormat="1" applyFont="1" applyFill="1" applyBorder="1" applyAlignment="1" applyProtection="1">
      <alignment vertical="center" wrapText="1"/>
    </xf>
    <xf numFmtId="176" fontId="8" fillId="0" borderId="4" xfId="69" applyNumberFormat="1" applyFont="1" applyBorder="1" applyAlignment="1">
      <alignment vertical="center"/>
    </xf>
    <xf numFmtId="164" fontId="7" fillId="0" borderId="4" xfId="69" applyFont="1" applyFill="1" applyBorder="1"/>
    <xf numFmtId="164" fontId="8" fillId="0" borderId="4" xfId="69" applyFont="1" applyFill="1" applyBorder="1"/>
    <xf numFmtId="0" fontId="7" fillId="0" borderId="4" xfId="10" quotePrefix="1" applyFont="1" applyFill="1" applyBorder="1" applyAlignment="1">
      <alignment horizontal="left" vertical="top" wrapText="1"/>
    </xf>
    <xf numFmtId="0" fontId="7" fillId="0" borderId="4" xfId="10" applyFont="1" applyFill="1" applyBorder="1" applyAlignment="1">
      <alignment horizontal="left" vertical="top" wrapText="1"/>
    </xf>
    <xf numFmtId="0" fontId="30" fillId="0" borderId="4" xfId="0" applyFont="1" applyBorder="1"/>
    <xf numFmtId="0" fontId="7" fillId="0" borderId="4" xfId="10" applyFont="1" applyBorder="1" applyAlignment="1">
      <alignment horizontal="left"/>
    </xf>
    <xf numFmtId="0" fontId="8" fillId="4" borderId="4" xfId="14" applyFont="1" applyFill="1" applyBorder="1" applyAlignment="1">
      <alignment horizontal="center" vertical="center" wrapText="1"/>
    </xf>
    <xf numFmtId="10" fontId="16" fillId="0" borderId="4" xfId="70" applyNumberFormat="1" applyFont="1" applyFill="1" applyBorder="1" applyAlignment="1">
      <alignment vertical="center"/>
    </xf>
    <xf numFmtId="0" fontId="7" fillId="0" borderId="4" xfId="14" applyFont="1" applyFill="1" applyBorder="1" applyAlignment="1">
      <alignment horizontal="center" vertical="top" wrapText="1"/>
    </xf>
    <xf numFmtId="164" fontId="8" fillId="0" borderId="4" xfId="69" applyFont="1" applyFill="1" applyBorder="1" applyAlignment="1">
      <alignment vertical="top" wrapText="1"/>
    </xf>
    <xf numFmtId="164" fontId="7" fillId="5" borderId="4" xfId="69" applyFont="1" applyFill="1" applyBorder="1" applyAlignment="1">
      <alignment horizontal="center" vertical="center" wrapText="1"/>
    </xf>
    <xf numFmtId="164" fontId="16" fillId="5" borderId="4" xfId="69" applyFont="1" applyFill="1" applyBorder="1" applyAlignment="1">
      <alignment horizontal="center" vertical="center" wrapText="1"/>
    </xf>
    <xf numFmtId="10" fontId="7" fillId="0" borderId="4" xfId="40" applyNumberFormat="1" applyFont="1" applyFill="1" applyBorder="1" applyAlignment="1">
      <alignment horizontal="center" vertical="center"/>
    </xf>
    <xf numFmtId="164" fontId="8" fillId="0" borderId="4" xfId="69" applyFont="1" applyFill="1" applyBorder="1" applyAlignment="1">
      <alignment horizontal="center" vertical="center"/>
    </xf>
    <xf numFmtId="9" fontId="9" fillId="0" borderId="4" xfId="14" applyNumberFormat="1" applyFont="1" applyBorder="1">
      <alignment vertical="center"/>
    </xf>
    <xf numFmtId="10" fontId="7" fillId="14" borderId="0" xfId="70" applyNumberFormat="1" applyFont="1" applyFill="1" applyBorder="1"/>
    <xf numFmtId="10" fontId="7" fillId="0" borderId="0" xfId="70" applyNumberFormat="1" applyFont="1" applyBorder="1"/>
    <xf numFmtId="0" fontId="12" fillId="0" borderId="4" xfId="14" applyFont="1" applyFill="1" applyBorder="1" applyAlignment="1">
      <alignment horizontal="left" vertical="center" wrapText="1"/>
    </xf>
    <xf numFmtId="0" fontId="12" fillId="0" borderId="4" xfId="14" applyFont="1" applyFill="1" applyBorder="1" applyAlignment="1">
      <alignment horizontal="center" wrapText="1"/>
    </xf>
    <xf numFmtId="0" fontId="16" fillId="0" borderId="4" xfId="14" quotePrefix="1" applyFont="1" applyFill="1" applyBorder="1" applyAlignment="1">
      <alignment horizontal="center" vertical="center" wrapText="1"/>
    </xf>
    <xf numFmtId="0" fontId="12" fillId="0" borderId="4" xfId="10" applyFont="1" applyFill="1" applyBorder="1" applyAlignment="1">
      <alignment horizontal="center"/>
    </xf>
    <xf numFmtId="0" fontId="12" fillId="0" borderId="4" xfId="10" applyFont="1" applyFill="1" applyBorder="1" applyAlignment="1">
      <alignment vertical="top"/>
    </xf>
    <xf numFmtId="0" fontId="7" fillId="0" borderId="4" xfId="10" applyFont="1" applyFill="1" applyBorder="1" applyAlignment="1">
      <alignment horizontal="center"/>
    </xf>
    <xf numFmtId="0" fontId="7" fillId="0" borderId="4" xfId="10" applyFont="1" applyFill="1" applyBorder="1" applyAlignment="1">
      <alignment horizontal="center" vertical="top"/>
    </xf>
    <xf numFmtId="0" fontId="8" fillId="0" borderId="0" xfId="10" applyFont="1" applyFill="1"/>
    <xf numFmtId="0" fontId="30" fillId="0" borderId="4" xfId="0" applyFont="1" applyFill="1" applyBorder="1"/>
    <xf numFmtId="164" fontId="7" fillId="0" borderId="4" xfId="69" applyFont="1" applyFill="1" applyBorder="1" applyAlignment="1">
      <alignment horizontal="left" vertical="top"/>
    </xf>
    <xf numFmtId="164" fontId="7" fillId="0" borderId="4" xfId="69" applyFont="1" applyFill="1" applyBorder="1" applyAlignment="1">
      <alignment horizontal="left" vertical="top" wrapText="1"/>
    </xf>
    <xf numFmtId="43" fontId="9" fillId="0" borderId="0" xfId="14" applyNumberFormat="1" applyFont="1" applyFill="1">
      <alignment vertical="center"/>
    </xf>
    <xf numFmtId="9" fontId="7" fillId="14" borderId="0" xfId="70" applyFont="1" applyFill="1" applyBorder="1" applyAlignment="1">
      <alignment vertical="top"/>
    </xf>
    <xf numFmtId="175" fontId="16" fillId="0" borderId="4" xfId="69" applyNumberFormat="1" applyFont="1" applyFill="1" applyBorder="1" applyAlignment="1">
      <alignment horizontal="center" vertical="center" wrapText="1"/>
    </xf>
    <xf numFmtId="9" fontId="16" fillId="0" borderId="4" xfId="70" applyFont="1" applyFill="1" applyBorder="1" applyAlignment="1">
      <alignment horizontal="left" vertical="center" wrapText="1"/>
    </xf>
    <xf numFmtId="9" fontId="16" fillId="0" borderId="4" xfId="70" applyFont="1" applyFill="1" applyBorder="1" applyAlignment="1">
      <alignment horizontal="center" vertical="center" wrapText="1"/>
    </xf>
    <xf numFmtId="9" fontId="16" fillId="0" borderId="4" xfId="70" applyFont="1" applyFill="1" applyBorder="1" applyAlignment="1">
      <alignment vertical="top"/>
    </xf>
    <xf numFmtId="9" fontId="7" fillId="0" borderId="0" xfId="70" applyFont="1" applyFill="1" applyBorder="1" applyAlignment="1">
      <alignment vertical="top"/>
    </xf>
    <xf numFmtId="0" fontId="16" fillId="0" borderId="4" xfId="14" applyFont="1" applyFill="1" applyBorder="1" applyAlignment="1">
      <alignment horizontal="center" wrapText="1"/>
    </xf>
    <xf numFmtId="0" fontId="8" fillId="0" borderId="0" xfId="10" applyFont="1" applyFill="1" applyBorder="1" applyAlignment="1">
      <alignment vertical="top"/>
    </xf>
    <xf numFmtId="10" fontId="7" fillId="5" borderId="4" xfId="70" applyNumberFormat="1" applyFont="1" applyFill="1" applyBorder="1" applyAlignment="1">
      <alignment horizontal="center" vertical="center" wrapText="1"/>
    </xf>
    <xf numFmtId="0" fontId="12" fillId="0" borderId="4" xfId="10" applyFont="1" applyFill="1" applyBorder="1" applyAlignment="1">
      <alignment horizontal="center" vertical="top"/>
    </xf>
    <xf numFmtId="177" fontId="7" fillId="0" borderId="4" xfId="69" applyNumberFormat="1" applyFont="1" applyFill="1" applyBorder="1" applyAlignment="1">
      <alignment horizontal="center" vertical="center"/>
    </xf>
    <xf numFmtId="177" fontId="8" fillId="0" borderId="4" xfId="69" applyNumberFormat="1" applyFont="1" applyFill="1" applyBorder="1" applyAlignment="1">
      <alignment horizontal="center" vertical="center"/>
    </xf>
    <xf numFmtId="164" fontId="8" fillId="0" borderId="0" xfId="69" applyFont="1" applyAlignment="1">
      <alignment horizontal="left" vertical="top"/>
    </xf>
    <xf numFmtId="164" fontId="8" fillId="14" borderId="0" xfId="69" applyFont="1" applyFill="1" applyAlignment="1">
      <alignment horizontal="center" vertical="top"/>
    </xf>
    <xf numFmtId="164" fontId="24" fillId="0" borderId="0" xfId="69" applyFont="1" applyAlignment="1">
      <alignment horizontal="left"/>
    </xf>
    <xf numFmtId="164" fontId="7" fillId="0" borderId="4" xfId="69" applyFont="1" applyFill="1" applyBorder="1" applyAlignment="1" applyProtection="1">
      <alignment vertical="center" wrapText="1"/>
    </xf>
    <xf numFmtId="164" fontId="7" fillId="0" borderId="4" xfId="69" applyFont="1" applyBorder="1" applyAlignment="1">
      <alignment vertical="center" wrapText="1"/>
    </xf>
    <xf numFmtId="164" fontId="7" fillId="0" borderId="4" xfId="69" applyFont="1" applyFill="1" applyBorder="1" applyAlignment="1" applyProtection="1">
      <alignment vertical="center"/>
    </xf>
    <xf numFmtId="164" fontId="8" fillId="0" borderId="4" xfId="69" applyFont="1" applyFill="1" applyBorder="1" applyAlignment="1" applyProtection="1">
      <alignment vertical="center"/>
    </xf>
    <xf numFmtId="0" fontId="12" fillId="0" borderId="4" xfId="14" applyFont="1" applyFill="1" applyBorder="1" applyAlignment="1">
      <alignment horizontal="left" vertical="center"/>
    </xf>
    <xf numFmtId="164" fontId="9" fillId="0" borderId="4" xfId="69" applyFont="1" applyFill="1" applyBorder="1" applyAlignment="1">
      <alignment horizontal="center" vertical="center"/>
    </xf>
    <xf numFmtId="0" fontId="9" fillId="0" borderId="4" xfId="71" applyFont="1" applyFill="1" applyBorder="1" applyAlignment="1">
      <alignment vertical="center" wrapText="1"/>
    </xf>
    <xf numFmtId="0" fontId="9" fillId="0" borderId="4" xfId="71" applyFont="1" applyFill="1" applyBorder="1" applyAlignment="1">
      <alignment horizontal="center" vertical="center" wrapText="1"/>
    </xf>
    <xf numFmtId="0" fontId="7" fillId="0" borderId="4" xfId="10" applyFont="1" applyFill="1" applyBorder="1" applyAlignment="1">
      <alignment vertical="center"/>
    </xf>
    <xf numFmtId="164" fontId="7" fillId="0" borderId="4" xfId="29" applyFont="1" applyFill="1" applyBorder="1" applyAlignment="1">
      <alignment vertical="center"/>
    </xf>
    <xf numFmtId="0" fontId="7" fillId="0" borderId="0" xfId="10" applyFont="1" applyFill="1" applyAlignment="1">
      <alignment horizontal="center" vertical="center"/>
    </xf>
    <xf numFmtId="164" fontId="7" fillId="0" borderId="0" xfId="29" applyFont="1" applyFill="1" applyAlignment="1">
      <alignment horizontal="center" vertical="center"/>
    </xf>
    <xf numFmtId="0" fontId="7" fillId="0" borderId="0" xfId="10" applyFont="1" applyAlignment="1">
      <alignment vertical="center" wrapText="1"/>
    </xf>
    <xf numFmtId="0" fontId="8" fillId="0" borderId="4" xfId="14" applyFont="1" applyFill="1" applyBorder="1" applyAlignment="1">
      <alignment horizontal="center" vertical="center" wrapText="1"/>
    </xf>
    <xf numFmtId="176" fontId="12" fillId="0" borderId="4" xfId="29" applyNumberFormat="1" applyFont="1" applyFill="1" applyBorder="1"/>
    <xf numFmtId="176" fontId="12" fillId="0" borderId="4" xfId="29" applyNumberFormat="1" applyFont="1" applyFill="1" applyBorder="1" applyAlignment="1">
      <alignment horizontal="center"/>
    </xf>
    <xf numFmtId="9" fontId="7" fillId="0" borderId="4" xfId="40" applyFont="1" applyBorder="1" applyAlignment="1">
      <alignment vertical="top"/>
    </xf>
    <xf numFmtId="164" fontId="8" fillId="0" borderId="4" xfId="14" applyNumberFormat="1" applyFont="1" applyFill="1" applyBorder="1">
      <alignment vertical="center"/>
    </xf>
    <xf numFmtId="164" fontId="8" fillId="0" borderId="4" xfId="29" applyFont="1" applyFill="1" applyBorder="1" applyAlignment="1">
      <alignment vertical="center"/>
    </xf>
    <xf numFmtId="2" fontId="7" fillId="0" borderId="4" xfId="14" applyNumberFormat="1" applyFont="1" applyFill="1" applyBorder="1">
      <alignment vertical="center"/>
    </xf>
    <xf numFmtId="0" fontId="8" fillId="0" borderId="4" xfId="14" applyFont="1" applyFill="1" applyBorder="1" applyAlignment="1">
      <alignment horizontal="center" vertical="top" wrapText="1"/>
    </xf>
    <xf numFmtId="0" fontId="8" fillId="0" borderId="4" xfId="14" applyFont="1" applyFill="1" applyBorder="1" applyAlignment="1">
      <alignment vertical="top" wrapText="1"/>
    </xf>
    <xf numFmtId="0" fontId="7" fillId="0" borderId="4" xfId="14" applyFont="1" applyFill="1" applyBorder="1" applyAlignment="1">
      <alignment vertical="top"/>
    </xf>
    <xf numFmtId="43" fontId="7" fillId="0" borderId="0" xfId="14" applyNumberFormat="1" applyFont="1">
      <alignment vertical="center"/>
    </xf>
    <xf numFmtId="10" fontId="34" fillId="0" borderId="4" xfId="70" applyNumberFormat="1" applyFont="1" applyFill="1" applyBorder="1"/>
    <xf numFmtId="164" fontId="16" fillId="0" borderId="4" xfId="69" applyFont="1" applyFill="1" applyBorder="1" applyAlignment="1">
      <alignment horizontal="center" vertical="center" wrapText="1"/>
    </xf>
    <xf numFmtId="164" fontId="7" fillId="0" borderId="4" xfId="69" applyFont="1" applyFill="1" applyBorder="1" applyAlignment="1">
      <alignment horizontal="center" vertical="center" wrapText="1"/>
    </xf>
    <xf numFmtId="164" fontId="16" fillId="0" borderId="4" xfId="69" applyFont="1" applyFill="1" applyBorder="1" applyAlignment="1">
      <alignment vertical="top"/>
    </xf>
    <xf numFmtId="164" fontId="7" fillId="0" borderId="4" xfId="69" quotePrefix="1" applyFont="1" applyFill="1" applyBorder="1" applyAlignment="1">
      <alignment horizontal="center" vertical="center" wrapText="1"/>
    </xf>
    <xf numFmtId="164" fontId="16" fillId="0" borderId="4" xfId="69" quotePrefix="1" applyFont="1" applyFill="1" applyBorder="1" applyAlignment="1">
      <alignment horizontal="center" vertical="center" wrapText="1"/>
    </xf>
    <xf numFmtId="164" fontId="12" fillId="0" borderId="4" xfId="69" applyFont="1" applyFill="1" applyBorder="1" applyAlignment="1">
      <alignment vertical="top"/>
    </xf>
    <xf numFmtId="10" fontId="7" fillId="0" borderId="4" xfId="70" applyNumberFormat="1" applyFont="1" applyFill="1" applyBorder="1" applyAlignment="1">
      <alignment horizontal="center" vertical="center"/>
    </xf>
    <xf numFmtId="0" fontId="16" fillId="0" borderId="4" xfId="10" applyFont="1" applyFill="1" applyBorder="1" applyAlignment="1">
      <alignment horizontal="center"/>
    </xf>
    <xf numFmtId="0" fontId="16" fillId="0" borderId="4" xfId="10" applyFont="1" applyFill="1" applyBorder="1"/>
    <xf numFmtId="169" fontId="16" fillId="0" borderId="4" xfId="69" applyNumberFormat="1" applyFont="1" applyFill="1" applyBorder="1" applyAlignment="1">
      <alignment vertical="top"/>
    </xf>
    <xf numFmtId="169" fontId="7" fillId="0" borderId="0" xfId="10" applyNumberFormat="1" applyFont="1" applyFill="1" applyBorder="1" applyAlignment="1">
      <alignment vertical="top"/>
    </xf>
    <xf numFmtId="0" fontId="50" fillId="0" borderId="0" xfId="0" applyFont="1"/>
    <xf numFmtId="0" fontId="50" fillId="0" borderId="0" xfId="0" applyFont="1" applyAlignment="1">
      <alignment horizontal="left"/>
    </xf>
    <xf numFmtId="0" fontId="52" fillId="0" borderId="4" xfId="0" applyFont="1" applyFill="1" applyBorder="1" applyAlignment="1">
      <alignment horizontal="left" vertical="center"/>
    </xf>
    <xf numFmtId="0" fontId="52" fillId="0" borderId="4" xfId="0" applyFont="1" applyFill="1" applyBorder="1" applyAlignment="1">
      <alignment horizontal="left" vertical="center" wrapText="1"/>
    </xf>
    <xf numFmtId="0" fontId="50" fillId="0" borderId="4" xfId="0" applyFont="1" applyBorder="1" applyAlignment="1">
      <alignment horizontal="center"/>
    </xf>
    <xf numFmtId="0" fontId="53" fillId="0" borderId="4" xfId="0" applyFont="1" applyFill="1" applyBorder="1" applyAlignment="1">
      <alignment horizontal="left" vertical="center" wrapText="1"/>
    </xf>
    <xf numFmtId="0" fontId="51" fillId="0" borderId="0" xfId="0" applyFont="1" applyAlignment="1">
      <alignment horizontal="left"/>
    </xf>
    <xf numFmtId="0" fontId="8" fillId="0" borderId="5" xfId="14" applyFont="1" applyFill="1" applyBorder="1">
      <alignment vertical="center"/>
    </xf>
    <xf numFmtId="0" fontId="8" fillId="0" borderId="4" xfId="14" applyFont="1" applyFill="1" applyBorder="1" applyAlignment="1">
      <alignment horizontal="left" vertical="center"/>
    </xf>
    <xf numFmtId="164" fontId="16" fillId="0" borderId="4" xfId="69" applyFont="1" applyFill="1" applyBorder="1" applyAlignment="1">
      <alignment vertical="center"/>
    </xf>
    <xf numFmtId="0" fontId="30" fillId="6" borderId="0" xfId="10" applyFont="1" applyFill="1" applyAlignment="1">
      <alignment vertical="center"/>
    </xf>
    <xf numFmtId="164" fontId="7" fillId="0" borderId="4" xfId="69" quotePrefix="1" applyFont="1" applyFill="1" applyBorder="1" applyAlignment="1">
      <alignment horizontal="center" vertical="center"/>
    </xf>
    <xf numFmtId="0" fontId="8" fillId="6" borderId="0" xfId="14" applyFont="1" applyFill="1" applyBorder="1" applyAlignment="1">
      <alignment vertical="center"/>
    </xf>
    <xf numFmtId="0" fontId="8" fillId="6" borderId="0" xfId="10" applyFont="1" applyFill="1" applyBorder="1" applyAlignment="1">
      <alignment vertical="center"/>
    </xf>
    <xf numFmtId="10" fontId="8" fillId="0" borderId="4" xfId="70" applyNumberFormat="1" applyFont="1" applyFill="1" applyBorder="1" applyAlignment="1">
      <alignment vertical="center"/>
    </xf>
    <xf numFmtId="10" fontId="7" fillId="0" borderId="4" xfId="70" applyNumberFormat="1" applyFont="1" applyFill="1" applyBorder="1" applyAlignment="1">
      <alignment horizontal="center" vertical="center" wrapText="1"/>
    </xf>
    <xf numFmtId="164" fontId="11" fillId="5" borderId="4" xfId="69" applyFont="1" applyFill="1" applyBorder="1" applyAlignment="1">
      <alignment horizontal="center" vertical="center" wrapText="1"/>
    </xf>
    <xf numFmtId="10" fontId="16" fillId="0" borderId="4" xfId="70" applyNumberFormat="1" applyFont="1" applyFill="1" applyBorder="1" applyAlignment="1">
      <alignment horizontal="center" vertical="center" wrapText="1"/>
    </xf>
    <xf numFmtId="164" fontId="46" fillId="0" borderId="4" xfId="69" applyFont="1" applyFill="1" applyBorder="1" applyAlignment="1">
      <alignment horizontal="center" vertical="center" wrapText="1"/>
    </xf>
    <xf numFmtId="175" fontId="16" fillId="0" borderId="4" xfId="70" applyNumberFormat="1" applyFont="1" applyFill="1" applyBorder="1" applyAlignment="1">
      <alignment horizontal="center" vertical="center" wrapText="1"/>
    </xf>
    <xf numFmtId="10" fontId="16" fillId="0" borderId="4" xfId="70" applyNumberFormat="1" applyFont="1" applyFill="1" applyBorder="1" applyAlignment="1">
      <alignment vertical="center" wrapText="1"/>
    </xf>
    <xf numFmtId="10" fontId="16" fillId="0" borderId="4" xfId="70" applyNumberFormat="1" applyFont="1" applyFill="1" applyBorder="1" applyAlignment="1">
      <alignment vertical="top"/>
    </xf>
    <xf numFmtId="10" fontId="7" fillId="0" borderId="0" xfId="70" applyNumberFormat="1" applyFont="1" applyFill="1" applyBorder="1" applyAlignment="1">
      <alignment vertical="top"/>
    </xf>
    <xf numFmtId="2" fontId="16" fillId="0" borderId="4" xfId="14" applyNumberFormat="1" applyFont="1" applyFill="1" applyBorder="1" applyAlignment="1">
      <alignment horizontal="center" vertical="center" wrapText="1"/>
    </xf>
    <xf numFmtId="10" fontId="16" fillId="0" borderId="4" xfId="70" applyNumberFormat="1" applyFont="1" applyFill="1" applyBorder="1" applyAlignment="1"/>
    <xf numFmtId="10" fontId="7" fillId="0" borderId="4" xfId="70" applyNumberFormat="1" applyFont="1" applyFill="1" applyBorder="1" applyAlignment="1">
      <alignment wrapText="1"/>
    </xf>
    <xf numFmtId="10" fontId="16" fillId="0" borderId="4" xfId="70" applyNumberFormat="1" applyFont="1" applyFill="1" applyBorder="1" applyAlignment="1">
      <alignment wrapText="1"/>
    </xf>
    <xf numFmtId="10" fontId="48" fillId="0" borderId="4" xfId="70" applyNumberFormat="1" applyFont="1" applyFill="1" applyBorder="1" applyAlignment="1">
      <alignment wrapText="1"/>
    </xf>
    <xf numFmtId="164" fontId="7" fillId="0" borderId="4" xfId="69" applyFont="1" applyFill="1" applyBorder="1" applyAlignment="1">
      <alignment horizontal="right" vertical="center" wrapText="1"/>
    </xf>
    <xf numFmtId="164" fontId="16" fillId="0" borderId="4" xfId="69" applyFont="1" applyFill="1" applyBorder="1" applyAlignment="1">
      <alignment horizontal="right" vertical="center" wrapText="1"/>
    </xf>
    <xf numFmtId="10" fontId="16" fillId="0" borderId="4" xfId="70" applyNumberFormat="1" applyFont="1" applyFill="1" applyBorder="1" applyAlignment="1">
      <alignment horizontal="right" vertical="center" wrapText="1"/>
    </xf>
    <xf numFmtId="10" fontId="7" fillId="0" borderId="4" xfId="70" applyNumberFormat="1" applyFont="1" applyFill="1" applyBorder="1" applyAlignment="1">
      <alignment horizontal="right" vertical="center" wrapText="1"/>
    </xf>
    <xf numFmtId="10" fontId="16" fillId="0" borderId="4" xfId="70" applyNumberFormat="1" applyFont="1" applyFill="1" applyBorder="1" applyAlignment="1">
      <alignment horizontal="right" vertical="center"/>
    </xf>
    <xf numFmtId="164" fontId="7" fillId="0" borderId="4" xfId="69" applyFont="1" applyFill="1" applyBorder="1" applyAlignment="1">
      <alignment horizontal="right" vertical="center"/>
    </xf>
    <xf numFmtId="164" fontId="16" fillId="0" borderId="4" xfId="69" applyFont="1" applyFill="1" applyBorder="1" applyAlignment="1">
      <alignment horizontal="right" vertical="center"/>
    </xf>
    <xf numFmtId="164" fontId="7" fillId="0" borderId="4" xfId="69" quotePrefix="1" applyFont="1" applyFill="1" applyBorder="1" applyAlignment="1">
      <alignment horizontal="right" vertical="center" wrapText="1"/>
    </xf>
    <xf numFmtId="164" fontId="16" fillId="0" borderId="4" xfId="69" quotePrefix="1" applyFont="1" applyFill="1" applyBorder="1" applyAlignment="1">
      <alignment horizontal="right" vertical="center" wrapText="1"/>
    </xf>
    <xf numFmtId="176" fontId="7" fillId="0" borderId="4" xfId="69" applyNumberFormat="1" applyFont="1" applyFill="1" applyBorder="1" applyAlignment="1">
      <alignment horizontal="center" vertical="center"/>
    </xf>
    <xf numFmtId="0" fontId="7" fillId="0" borderId="4" xfId="10" applyFont="1" applyFill="1" applyBorder="1" applyAlignment="1" applyProtection="1">
      <alignment horizontal="left" vertical="center" wrapText="1"/>
    </xf>
    <xf numFmtId="0" fontId="8" fillId="5" borderId="0" xfId="10" applyFont="1" applyFill="1" applyBorder="1" applyAlignment="1" applyProtection="1">
      <alignment horizontal="left" vertical="center" wrapText="1"/>
    </xf>
    <xf numFmtId="0" fontId="7" fillId="5" borderId="0" xfId="10" applyFont="1" applyFill="1" applyBorder="1" applyAlignment="1">
      <alignment horizontal="left" vertical="center"/>
    </xf>
    <xf numFmtId="0" fontId="7" fillId="0" borderId="0" xfId="10" applyFont="1" applyFill="1" applyBorder="1" applyAlignment="1" applyProtection="1">
      <alignment horizontal="left" vertical="center"/>
    </xf>
    <xf numFmtId="0" fontId="7" fillId="0" borderId="4" xfId="14" applyFont="1" applyFill="1" applyBorder="1" applyAlignment="1">
      <alignment horizontal="left" vertical="center" wrapText="1"/>
    </xf>
    <xf numFmtId="0" fontId="7" fillId="0" borderId="4" xfId="10" applyFont="1" applyFill="1" applyBorder="1" applyAlignment="1">
      <alignment horizontal="left" vertical="center"/>
    </xf>
    <xf numFmtId="0" fontId="8" fillId="0" borderId="0" xfId="10" applyFont="1" applyFill="1" applyBorder="1" applyAlignment="1">
      <alignment vertical="center"/>
    </xf>
    <xf numFmtId="0" fontId="7" fillId="0" borderId="11" xfId="10" applyFont="1" applyBorder="1"/>
    <xf numFmtId="0" fontId="7" fillId="17" borderId="4" xfId="10" applyFont="1" applyFill="1" applyBorder="1" applyAlignment="1">
      <alignment vertical="center"/>
    </xf>
    <xf numFmtId="0" fontId="7" fillId="0" borderId="4" xfId="10" applyFont="1" applyFill="1" applyBorder="1" applyAlignment="1">
      <alignment horizontal="left" vertical="center" wrapText="1"/>
    </xf>
    <xf numFmtId="0" fontId="7" fillId="0" borderId="0" xfId="10" applyFont="1" applyAlignment="1">
      <alignment horizontal="center" vertical="center" wrapText="1"/>
    </xf>
    <xf numFmtId="14" fontId="7" fillId="0" borderId="0" xfId="10" applyNumberFormat="1" applyFont="1" applyAlignment="1">
      <alignment horizontal="center" vertical="center" wrapText="1"/>
    </xf>
    <xf numFmtId="10" fontId="7" fillId="0" borderId="0" xfId="40" applyNumberFormat="1" applyFont="1" applyFill="1" applyAlignment="1">
      <alignment horizontal="center" vertical="center"/>
    </xf>
    <xf numFmtId="10" fontId="7" fillId="0" borderId="0" xfId="10" applyNumberFormat="1" applyFont="1" applyFill="1" applyAlignment="1">
      <alignment horizontal="center" vertical="center"/>
    </xf>
    <xf numFmtId="43" fontId="8" fillId="0" borderId="4" xfId="29" applyNumberFormat="1" applyFont="1" applyFill="1" applyBorder="1" applyAlignment="1">
      <alignment vertical="center"/>
    </xf>
    <xf numFmtId="0" fontId="7" fillId="0" borderId="4" xfId="14" applyFont="1" applyFill="1" applyBorder="1" applyAlignment="1">
      <alignment horizontal="center" vertical="center" wrapText="1"/>
    </xf>
    <xf numFmtId="164" fontId="7" fillId="0" borderId="4" xfId="29" applyFont="1" applyFill="1" applyBorder="1" applyAlignment="1">
      <alignment horizontal="center" vertical="center" wrapText="1"/>
    </xf>
    <xf numFmtId="10" fontId="26" fillId="5" borderId="4" xfId="70" applyNumberFormat="1" applyFont="1" applyFill="1" applyBorder="1" applyAlignment="1">
      <alignment horizontal="center" vertical="center" wrapText="1"/>
    </xf>
    <xf numFmtId="10" fontId="48" fillId="5" borderId="4" xfId="70" applyNumberFormat="1" applyFont="1" applyFill="1" applyBorder="1" applyAlignment="1">
      <alignment horizontal="center" vertical="center" wrapText="1"/>
    </xf>
    <xf numFmtId="10" fontId="48" fillId="0" borderId="4" xfId="70" applyNumberFormat="1" applyFont="1" applyFill="1" applyBorder="1" applyAlignment="1">
      <alignment horizontal="center" vertical="center" wrapText="1"/>
    </xf>
    <xf numFmtId="10" fontId="26" fillId="0" borderId="4" xfId="70" applyNumberFormat="1" applyFont="1" applyFill="1" applyBorder="1" applyAlignment="1">
      <alignment horizontal="center" vertical="center" wrapText="1"/>
    </xf>
    <xf numFmtId="164" fontId="48" fillId="0" borderId="4" xfId="69" applyFont="1" applyFill="1" applyBorder="1" applyAlignment="1">
      <alignment horizontal="center" vertical="center" wrapText="1"/>
    </xf>
    <xf numFmtId="164" fontId="7" fillId="0" borderId="4" xfId="29" applyFont="1" applyFill="1" applyBorder="1" applyAlignment="1">
      <alignment horizontal="center" vertical="center"/>
    </xf>
    <xf numFmtId="0" fontId="7" fillId="0" borderId="0" xfId="10" applyFont="1" applyFill="1" applyBorder="1" applyAlignment="1">
      <alignment horizontal="left"/>
    </xf>
    <xf numFmtId="43" fontId="7" fillId="0" borderId="0" xfId="14" applyNumberFormat="1" applyFont="1" applyFill="1">
      <alignment vertical="center"/>
    </xf>
    <xf numFmtId="10" fontId="34" fillId="0" borderId="4" xfId="69" applyNumberFormat="1" applyFont="1" applyFill="1" applyBorder="1"/>
    <xf numFmtId="10" fontId="7" fillId="0" borderId="4" xfId="14" applyNumberFormat="1" applyFont="1" applyFill="1" applyBorder="1">
      <alignment vertical="center"/>
    </xf>
    <xf numFmtId="0" fontId="8" fillId="0" borderId="0" xfId="14" applyFont="1" applyFill="1">
      <alignment vertical="center"/>
    </xf>
    <xf numFmtId="2" fontId="7" fillId="0" borderId="4" xfId="14" applyNumberFormat="1" applyFont="1" applyBorder="1">
      <alignment vertical="center"/>
    </xf>
    <xf numFmtId="10" fontId="7" fillId="0" borderId="4" xfId="70" applyNumberFormat="1" applyFont="1" applyBorder="1" applyAlignment="1">
      <alignment vertical="center"/>
    </xf>
    <xf numFmtId="179" fontId="9" fillId="0" borderId="4" xfId="70" applyNumberFormat="1" applyFont="1" applyFill="1" applyBorder="1" applyAlignment="1">
      <alignment horizontal="center" vertical="center"/>
    </xf>
    <xf numFmtId="179" fontId="9" fillId="0" borderId="4" xfId="70" applyNumberFormat="1" applyFont="1" applyBorder="1" applyAlignment="1">
      <alignment horizontal="center" vertical="center"/>
    </xf>
    <xf numFmtId="179" fontId="9" fillId="0" borderId="4" xfId="70" applyNumberFormat="1" applyFont="1" applyBorder="1" applyAlignment="1">
      <alignment vertical="center"/>
    </xf>
    <xf numFmtId="10" fontId="7" fillId="5" borderId="4" xfId="70" applyNumberFormat="1" applyFont="1" applyFill="1" applyBorder="1" applyAlignment="1" applyProtection="1">
      <alignment horizontal="left"/>
    </xf>
    <xf numFmtId="10" fontId="7" fillId="0" borderId="4" xfId="70" applyNumberFormat="1" applyFont="1" applyFill="1" applyBorder="1" applyAlignment="1" applyProtection="1">
      <alignment vertical="center" wrapText="1"/>
    </xf>
    <xf numFmtId="10" fontId="7" fillId="0" borderId="4" xfId="70" applyNumberFormat="1" applyFont="1" applyBorder="1" applyAlignment="1">
      <alignment vertical="center" wrapText="1"/>
    </xf>
    <xf numFmtId="10" fontId="7" fillId="0" borderId="4" xfId="70" applyNumberFormat="1" applyFont="1" applyFill="1" applyBorder="1" applyAlignment="1" applyProtection="1">
      <alignment vertical="center"/>
    </xf>
    <xf numFmtId="10" fontId="7" fillId="0" borderId="0" xfId="70" applyNumberFormat="1" applyFont="1" applyAlignment="1">
      <alignment vertical="center"/>
    </xf>
    <xf numFmtId="0" fontId="7" fillId="0" borderId="0" xfId="14" applyNumberFormat="1" applyFont="1" applyAlignment="1">
      <alignment horizontal="center" vertical="center"/>
    </xf>
    <xf numFmtId="0" fontId="7" fillId="0" borderId="0" xfId="10" applyNumberFormat="1" applyFont="1" applyBorder="1" applyAlignment="1">
      <alignment horizontal="center"/>
    </xf>
    <xf numFmtId="0" fontId="8" fillId="4" borderId="4" xfId="14" applyNumberFormat="1" applyFont="1" applyFill="1" applyBorder="1" applyAlignment="1">
      <alignment horizontal="center" vertical="center" wrapText="1"/>
    </xf>
    <xf numFmtId="0" fontId="7" fillId="0" borderId="4" xfId="14" applyNumberFormat="1" applyFont="1" applyBorder="1" applyAlignment="1">
      <alignment horizontal="center" vertical="center"/>
    </xf>
    <xf numFmtId="0" fontId="7" fillId="0" borderId="4" xfId="14" applyNumberFormat="1" applyFont="1" applyFill="1" applyBorder="1" applyAlignment="1">
      <alignment horizontal="center" vertical="center"/>
    </xf>
    <xf numFmtId="0" fontId="8" fillId="0" borderId="4" xfId="14" applyNumberFormat="1" applyFont="1" applyBorder="1" applyAlignment="1">
      <alignment horizontal="center" vertical="center"/>
    </xf>
    <xf numFmtId="0" fontId="7" fillId="9" borderId="4" xfId="14" applyNumberFormat="1" applyFont="1" applyFill="1" applyBorder="1" applyAlignment="1">
      <alignment horizontal="center" vertical="center"/>
    </xf>
    <xf numFmtId="0" fontId="7" fillId="0" borderId="4" xfId="70" applyNumberFormat="1" applyFont="1" applyBorder="1" applyAlignment="1">
      <alignment horizontal="center" vertical="center"/>
    </xf>
    <xf numFmtId="0" fontId="8" fillId="0" borderId="4" xfId="14" applyNumberFormat="1" applyFont="1" applyFill="1" applyBorder="1" applyAlignment="1">
      <alignment horizontal="center" vertical="center"/>
    </xf>
    <xf numFmtId="0" fontId="7" fillId="0" borderId="0" xfId="14" applyNumberFormat="1" applyFont="1" applyBorder="1" applyAlignment="1">
      <alignment horizontal="center" vertical="center"/>
    </xf>
    <xf numFmtId="0" fontId="7" fillId="0" borderId="0" xfId="14" applyNumberFormat="1" applyFont="1">
      <alignment vertical="center"/>
    </xf>
    <xf numFmtId="43" fontId="7" fillId="0" borderId="0" xfId="10" applyNumberFormat="1" applyFont="1"/>
    <xf numFmtId="2" fontId="7" fillId="0" borderId="0" xfId="14" applyNumberFormat="1" applyFont="1">
      <alignment vertical="center"/>
    </xf>
    <xf numFmtId="43" fontId="9" fillId="0" borderId="0" xfId="14" applyNumberFormat="1" applyFont="1">
      <alignment vertical="center"/>
    </xf>
    <xf numFmtId="43" fontId="7" fillId="0" borderId="0" xfId="10" applyNumberFormat="1" applyFont="1" applyBorder="1"/>
    <xf numFmtId="0" fontId="30" fillId="0" borderId="4" xfId="10" applyFont="1" applyFill="1" applyBorder="1" applyAlignment="1">
      <alignment horizontal="center"/>
    </xf>
    <xf numFmtId="0" fontId="29" fillId="0" borderId="4" xfId="10" applyFont="1" applyFill="1" applyBorder="1" applyAlignment="1">
      <alignment horizontal="center"/>
    </xf>
    <xf numFmtId="0" fontId="30" fillId="0" borderId="4" xfId="10" applyFont="1" applyFill="1" applyBorder="1" applyAlignment="1"/>
    <xf numFmtId="0" fontId="29" fillId="7" borderId="4" xfId="10" applyFont="1" applyFill="1" applyBorder="1" applyAlignment="1">
      <alignment horizontal="center" vertical="center" wrapText="1"/>
    </xf>
    <xf numFmtId="43" fontId="7" fillId="0" borderId="0" xfId="10" applyNumberFormat="1" applyFont="1" applyFill="1"/>
    <xf numFmtId="0" fontId="8" fillId="0" borderId="7" xfId="14" applyFont="1" applyFill="1" applyBorder="1" applyAlignment="1">
      <alignment horizontal="center" vertical="center"/>
    </xf>
    <xf numFmtId="0" fontId="7" fillId="0" borderId="4" xfId="10" applyFont="1" applyFill="1" applyBorder="1" applyAlignment="1"/>
    <xf numFmtId="164" fontId="50" fillId="0" borderId="4" xfId="69" applyFont="1" applyFill="1" applyBorder="1"/>
    <xf numFmtId="10" fontId="50" fillId="0" borderId="4" xfId="0" applyNumberFormat="1" applyFont="1" applyFill="1" applyBorder="1"/>
    <xf numFmtId="0" fontId="8" fillId="0" borderId="4" xfId="10" applyFont="1" applyFill="1" applyBorder="1" applyAlignment="1"/>
    <xf numFmtId="9" fontId="7" fillId="0" borderId="4" xfId="14" applyNumberFormat="1" applyFont="1" applyFill="1" applyBorder="1">
      <alignment vertical="center"/>
    </xf>
    <xf numFmtId="0" fontId="8" fillId="4" borderId="4" xfId="14" applyFont="1" applyFill="1" applyBorder="1" applyAlignment="1">
      <alignment horizontal="center" vertical="center" wrapText="1"/>
    </xf>
    <xf numFmtId="0" fontId="8" fillId="0" borderId="0" xfId="10" applyFont="1" applyBorder="1" applyAlignment="1">
      <alignment horizontal="center" vertical="center"/>
    </xf>
    <xf numFmtId="0" fontId="8" fillId="0" borderId="0" xfId="14" applyFont="1" applyAlignment="1">
      <alignment horizontal="center" vertical="center"/>
    </xf>
    <xf numFmtId="0" fontId="8" fillId="0" borderId="0" xfId="10" applyFont="1" applyFill="1" applyBorder="1" applyAlignment="1">
      <alignment horizontal="center" vertical="center"/>
    </xf>
    <xf numFmtId="0" fontId="8" fillId="0" borderId="0" xfId="10" applyFont="1" applyAlignment="1">
      <alignment horizontal="left"/>
    </xf>
    <xf numFmtId="0" fontId="8" fillId="6" borderId="0" xfId="14" applyFont="1" applyFill="1" applyBorder="1" applyAlignment="1">
      <alignment horizontal="center" vertical="center"/>
    </xf>
    <xf numFmtId="0" fontId="8" fillId="6" borderId="0" xfId="10" applyFont="1" applyFill="1" applyBorder="1" applyAlignment="1">
      <alignment horizontal="center" vertical="center"/>
    </xf>
    <xf numFmtId="164" fontId="7" fillId="0" borderId="4" xfId="69" applyFont="1" applyFill="1" applyBorder="1" applyAlignment="1">
      <alignment horizontal="center" vertical="center"/>
    </xf>
    <xf numFmtId="164" fontId="7" fillId="0" borderId="4" xfId="29" applyFont="1" applyFill="1" applyBorder="1" applyAlignment="1">
      <alignment horizontal="right" vertical="center"/>
    </xf>
    <xf numFmtId="180" fontId="16" fillId="0" borderId="4" xfId="70" applyNumberFormat="1" applyFont="1" applyFill="1" applyBorder="1" applyAlignment="1"/>
    <xf numFmtId="10" fontId="7" fillId="0" borderId="4" xfId="70" applyNumberFormat="1" applyFont="1" applyBorder="1" applyAlignment="1">
      <alignment vertical="top"/>
    </xf>
    <xf numFmtId="10" fontId="16" fillId="0" borderId="4" xfId="70" applyNumberFormat="1" applyFont="1" applyBorder="1" applyAlignment="1">
      <alignment vertical="top"/>
    </xf>
    <xf numFmtId="180" fontId="7" fillId="0" borderId="4" xfId="70" applyNumberFormat="1" applyFont="1" applyFill="1" applyBorder="1" applyAlignment="1">
      <alignment wrapText="1"/>
    </xf>
    <xf numFmtId="180" fontId="16" fillId="0" borderId="4" xfId="70" applyNumberFormat="1" applyFont="1" applyFill="1" applyBorder="1" applyAlignment="1">
      <alignment wrapText="1"/>
    </xf>
    <xf numFmtId="180" fontId="48" fillId="0" borderId="4" xfId="70" applyNumberFormat="1" applyFont="1" applyFill="1" applyBorder="1" applyAlignment="1">
      <alignment wrapText="1"/>
    </xf>
    <xf numFmtId="180" fontId="16" fillId="0" borderId="4" xfId="70" applyNumberFormat="1" applyFont="1" applyFill="1" applyBorder="1" applyAlignment="1">
      <alignment vertical="top"/>
    </xf>
    <xf numFmtId="10" fontId="16" fillId="0" borderId="4" xfId="40" applyNumberFormat="1" applyFont="1" applyFill="1" applyBorder="1" applyAlignment="1"/>
    <xf numFmtId="9" fontId="16" fillId="0" borderId="4" xfId="40" applyNumberFormat="1" applyFont="1" applyFill="1" applyBorder="1" applyAlignment="1">
      <alignment horizontal="center"/>
    </xf>
    <xf numFmtId="164" fontId="16" fillId="0" borderId="4" xfId="29" applyFont="1" applyFill="1" applyBorder="1" applyAlignment="1">
      <alignment horizontal="right" vertical="center"/>
    </xf>
    <xf numFmtId="10" fontId="7" fillId="0" borderId="4" xfId="40" applyNumberFormat="1" applyFont="1" applyFill="1" applyBorder="1" applyAlignment="1">
      <alignment horizontal="right" vertical="center"/>
    </xf>
    <xf numFmtId="10" fontId="16" fillId="0" borderId="4" xfId="40" applyNumberFormat="1" applyFont="1" applyFill="1" applyBorder="1" applyAlignment="1">
      <alignment horizontal="right" vertical="center"/>
    </xf>
    <xf numFmtId="169" fontId="7" fillId="0" borderId="4" xfId="29" applyNumberFormat="1" applyFont="1" applyFill="1" applyBorder="1" applyAlignment="1">
      <alignment horizontal="right" vertical="center"/>
    </xf>
    <xf numFmtId="164" fontId="7" fillId="0" borderId="4" xfId="29" quotePrefix="1" applyFont="1" applyFill="1" applyBorder="1" applyAlignment="1">
      <alignment horizontal="center" vertical="center"/>
    </xf>
    <xf numFmtId="164" fontId="7" fillId="0" borderId="4" xfId="29" quotePrefix="1" applyFont="1" applyFill="1" applyBorder="1" applyAlignment="1">
      <alignment horizontal="right" vertical="center"/>
    </xf>
    <xf numFmtId="164" fontId="16" fillId="0" borderId="4" xfId="29" quotePrefix="1" applyFont="1" applyFill="1" applyBorder="1" applyAlignment="1">
      <alignment horizontal="right" vertical="center"/>
    </xf>
    <xf numFmtId="164" fontId="16" fillId="0" borderId="4" xfId="29" applyFont="1" applyFill="1" applyBorder="1" applyAlignment="1">
      <alignment horizontal="center" vertical="center"/>
    </xf>
    <xf numFmtId="164" fontId="16" fillId="0" borderId="4" xfId="29" quotePrefix="1" applyFont="1" applyFill="1" applyBorder="1" applyAlignment="1">
      <alignment horizontal="center" vertical="center"/>
    </xf>
    <xf numFmtId="164" fontId="12" fillId="0" borderId="4" xfId="29" applyFont="1" applyFill="1" applyBorder="1" applyAlignment="1">
      <alignment horizontal="center" vertical="center"/>
    </xf>
    <xf numFmtId="10" fontId="16" fillId="0" borderId="4" xfId="40" applyNumberFormat="1" applyFont="1" applyFill="1" applyBorder="1" applyAlignment="1">
      <alignment horizontal="center" vertical="center"/>
    </xf>
    <xf numFmtId="169" fontId="7" fillId="0" borderId="4" xfId="29" quotePrefix="1" applyNumberFormat="1" applyFont="1" applyFill="1" applyBorder="1" applyAlignment="1">
      <alignment vertical="center"/>
    </xf>
    <xf numFmtId="169" fontId="16" fillId="0" borderId="4" xfId="29" quotePrefix="1" applyNumberFormat="1" applyFont="1" applyFill="1" applyBorder="1" applyAlignment="1">
      <alignment vertical="center"/>
    </xf>
    <xf numFmtId="169" fontId="16" fillId="0" borderId="4" xfId="29" applyNumberFormat="1" applyFont="1" applyFill="1" applyBorder="1" applyAlignment="1">
      <alignment horizontal="right" vertical="center"/>
    </xf>
    <xf numFmtId="164" fontId="16" fillId="0" borderId="4" xfId="29" applyFont="1" applyFill="1" applyBorder="1" applyAlignment="1">
      <alignment vertical="center"/>
    </xf>
    <xf numFmtId="164" fontId="7" fillId="0" borderId="4" xfId="69" applyFont="1" applyFill="1" applyBorder="1" applyAlignment="1">
      <alignment horizontal="left" vertical="center"/>
    </xf>
    <xf numFmtId="164" fontId="7" fillId="0" borderId="4" xfId="14" applyNumberFormat="1" applyFont="1" applyFill="1" applyBorder="1" applyAlignment="1">
      <alignment horizontal="left" vertical="center"/>
    </xf>
    <xf numFmtId="0" fontId="45" fillId="0" borderId="0" xfId="14" applyFont="1" applyFill="1">
      <alignment vertical="center"/>
    </xf>
    <xf numFmtId="43" fontId="45" fillId="0" borderId="0" xfId="14" applyNumberFormat="1" applyFont="1" applyFill="1">
      <alignment vertical="center"/>
    </xf>
    <xf numFmtId="164" fontId="45" fillId="0" borderId="0" xfId="14" applyNumberFormat="1" applyFont="1" applyFill="1">
      <alignment vertical="center"/>
    </xf>
    <xf numFmtId="0" fontId="29" fillId="0" borderId="4" xfId="10" applyFont="1" applyFill="1" applyBorder="1" applyAlignment="1">
      <alignment horizontal="center" vertical="center"/>
    </xf>
    <xf numFmtId="0" fontId="29" fillId="0" borderId="4" xfId="10" applyFont="1" applyFill="1" applyBorder="1" applyAlignment="1">
      <alignment vertical="center"/>
    </xf>
    <xf numFmtId="164" fontId="29" fillId="0" borderId="4" xfId="69" applyFont="1" applyFill="1" applyBorder="1" applyAlignment="1">
      <alignment vertical="center"/>
    </xf>
    <xf numFmtId="164" fontId="29" fillId="0" borderId="4" xfId="10" applyNumberFormat="1" applyFont="1" applyFill="1" applyBorder="1" applyAlignment="1">
      <alignment horizontal="center"/>
    </xf>
    <xf numFmtId="164" fontId="30" fillId="0" borderId="4" xfId="10" applyNumberFormat="1" applyFont="1" applyFill="1" applyBorder="1" applyAlignment="1">
      <alignment horizontal="center"/>
    </xf>
    <xf numFmtId="0" fontId="30" fillId="0" borderId="4" xfId="10" applyFont="1" applyFill="1" applyBorder="1" applyAlignment="1">
      <alignment vertical="center"/>
    </xf>
    <xf numFmtId="0" fontId="30" fillId="0" borderId="0" xfId="10" applyFont="1" applyFill="1" applyAlignment="1">
      <alignment vertical="center"/>
    </xf>
    <xf numFmtId="0" fontId="30" fillId="0" borderId="4" xfId="10" applyFont="1" applyFill="1" applyBorder="1" applyAlignment="1">
      <alignment horizontal="center" vertical="center"/>
    </xf>
    <xf numFmtId="0" fontId="7" fillId="0" borderId="4" xfId="14" applyFont="1" applyFill="1" applyBorder="1" applyAlignment="1">
      <alignment horizontal="center"/>
    </xf>
    <xf numFmtId="0" fontId="29" fillId="0" borderId="4" xfId="10" applyFont="1" applyFill="1" applyBorder="1" applyAlignment="1"/>
    <xf numFmtId="164" fontId="29" fillId="0" borderId="4" xfId="69" applyFont="1" applyFill="1" applyBorder="1" applyAlignment="1"/>
    <xf numFmtId="174" fontId="7" fillId="0" borderId="4" xfId="14" applyNumberFormat="1" applyFont="1" applyFill="1" applyBorder="1" applyAlignment="1">
      <alignment horizontal="center"/>
    </xf>
    <xf numFmtId="177" fontId="7" fillId="0" borderId="4" xfId="69" applyNumberFormat="1" applyFont="1" applyFill="1" applyBorder="1" applyAlignment="1">
      <alignment horizontal="center"/>
    </xf>
    <xf numFmtId="0" fontId="30" fillId="0" borderId="0" xfId="10" applyFont="1" applyFill="1" applyAlignment="1"/>
    <xf numFmtId="0" fontId="30" fillId="0" borderId="0" xfId="10" applyFont="1" applyFill="1"/>
    <xf numFmtId="0" fontId="24" fillId="0" borderId="4" xfId="10" applyFont="1" applyFill="1" applyBorder="1" applyAlignment="1" applyProtection="1"/>
    <xf numFmtId="166" fontId="7" fillId="0" borderId="4" xfId="10" applyNumberFormat="1" applyFont="1" applyFill="1" applyBorder="1" applyAlignment="1" applyProtection="1">
      <alignment horizontal="center"/>
    </xf>
    <xf numFmtId="164" fontId="7" fillId="0" borderId="4" xfId="69" applyFont="1" applyFill="1" applyBorder="1" applyAlignment="1">
      <alignment horizontal="center" vertical="center"/>
    </xf>
    <xf numFmtId="0" fontId="50" fillId="0" borderId="4" xfId="71" applyFont="1" applyBorder="1" applyAlignment="1">
      <alignment horizontal="center"/>
    </xf>
    <xf numFmtId="164" fontId="50" fillId="0" borderId="4" xfId="29" applyFont="1" applyBorder="1"/>
    <xf numFmtId="0" fontId="51" fillId="0" borderId="4" xfId="71" applyFont="1" applyBorder="1" applyAlignment="1">
      <alignment horizontal="center"/>
    </xf>
    <xf numFmtId="164" fontId="51" fillId="0" borderId="4" xfId="29" applyFont="1" applyBorder="1"/>
    <xf numFmtId="10" fontId="50" fillId="0" borderId="4" xfId="70" applyNumberFormat="1" applyFont="1" applyBorder="1"/>
    <xf numFmtId="0" fontId="58" fillId="0" borderId="0" xfId="14" applyFont="1" applyFill="1">
      <alignment vertical="center"/>
    </xf>
    <xf numFmtId="0" fontId="7" fillId="0" borderId="4" xfId="0" applyFont="1" applyFill="1" applyBorder="1" applyAlignment="1">
      <alignment vertical="top"/>
    </xf>
    <xf numFmtId="10" fontId="7" fillId="14" borderId="0" xfId="40" applyNumberFormat="1" applyFont="1" applyFill="1" applyBorder="1"/>
    <xf numFmtId="164" fontId="7" fillId="0" borderId="4" xfId="29" applyFont="1" applyBorder="1" applyAlignment="1">
      <alignment horizontal="left" vertical="top"/>
    </xf>
    <xf numFmtId="0" fontId="8"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0" fontId="7" fillId="7" borderId="4" xfId="10" applyFont="1" applyFill="1" applyBorder="1" applyAlignment="1">
      <alignment horizontal="center" vertical="center" wrapText="1"/>
    </xf>
    <xf numFmtId="0" fontId="29" fillId="7" borderId="6" xfId="10" applyFont="1" applyFill="1" applyBorder="1" applyAlignment="1">
      <alignment horizontal="center" vertical="center"/>
    </xf>
    <xf numFmtId="0" fontId="29" fillId="7" borderId="6" xfId="10" applyFont="1" applyFill="1" applyBorder="1" applyAlignment="1">
      <alignment horizontal="center" vertical="center" wrapText="1"/>
    </xf>
    <xf numFmtId="0" fontId="8" fillId="4" borderId="4" xfId="10" applyFont="1" applyFill="1" applyBorder="1" applyAlignment="1">
      <alignment horizontal="center" vertical="center" wrapText="1"/>
    </xf>
    <xf numFmtId="0" fontId="17" fillId="0" borderId="0" xfId="10" applyAlignment="1">
      <alignment horizontal="center" vertical="center"/>
    </xf>
    <xf numFmtId="0" fontId="8" fillId="0" borderId="0" xfId="14" applyFont="1" applyFill="1" applyBorder="1" applyAlignment="1">
      <alignment horizontal="center" vertical="center" wrapText="1"/>
    </xf>
    <xf numFmtId="164" fontId="7" fillId="0" borderId="4" xfId="69" applyFont="1" applyFill="1" applyBorder="1" applyAlignment="1">
      <alignment horizontal="center" vertical="center"/>
    </xf>
    <xf numFmtId="0" fontId="8" fillId="0" borderId="0" xfId="14" applyFont="1" applyFill="1" applyBorder="1" applyAlignment="1">
      <alignment horizontal="center" vertical="center"/>
    </xf>
    <xf numFmtId="0" fontId="8" fillId="4" borderId="4" xfId="31" applyFont="1" applyFill="1" applyBorder="1" applyAlignment="1">
      <alignment horizontal="center" vertical="center" wrapText="1"/>
    </xf>
    <xf numFmtId="0" fontId="12" fillId="4" borderId="4" xfId="14" applyFont="1" applyFill="1" applyBorder="1" applyAlignment="1">
      <alignment horizontal="center" vertical="center" wrapText="1"/>
    </xf>
    <xf numFmtId="0" fontId="7" fillId="0" borderId="4" xfId="69" applyNumberFormat="1" applyFont="1" applyFill="1" applyBorder="1" applyAlignment="1">
      <alignment vertical="center"/>
    </xf>
    <xf numFmtId="164" fontId="7" fillId="0" borderId="0" xfId="69" applyFont="1" applyFill="1" applyBorder="1"/>
    <xf numFmtId="0" fontId="7" fillId="19" borderId="4" xfId="10" applyFont="1" applyFill="1" applyBorder="1" applyAlignment="1" applyProtection="1">
      <alignment horizontal="left"/>
    </xf>
    <xf numFmtId="164" fontId="7" fillId="19" borderId="4" xfId="69" applyFont="1" applyFill="1" applyBorder="1" applyAlignment="1" applyProtection="1">
      <alignment horizontal="left"/>
    </xf>
    <xf numFmtId="164" fontId="7" fillId="19" borderId="4" xfId="69" applyFont="1" applyFill="1" applyBorder="1" applyAlignment="1">
      <alignment vertical="center"/>
    </xf>
    <xf numFmtId="164" fontId="34" fillId="19" borderId="4" xfId="69" applyFont="1" applyFill="1" applyBorder="1"/>
    <xf numFmtId="176" fontId="13" fillId="14" borderId="0" xfId="69" applyNumberFormat="1" applyFont="1" applyFill="1" applyAlignment="1">
      <alignment horizontal="left" vertical="center"/>
    </xf>
    <xf numFmtId="164" fontId="58" fillId="0" borderId="4" xfId="69" applyFont="1" applyBorder="1" applyAlignment="1">
      <alignment vertical="top" wrapText="1"/>
    </xf>
    <xf numFmtId="0" fontId="8" fillId="4" borderId="5" xfId="14" applyFont="1" applyFill="1" applyBorder="1" applyAlignment="1">
      <alignment vertical="center" wrapText="1"/>
    </xf>
    <xf numFmtId="0" fontId="58" fillId="0" borderId="4" xfId="69" applyNumberFormat="1" applyFont="1" applyBorder="1" applyAlignment="1">
      <alignment vertical="center"/>
    </xf>
    <xf numFmtId="0" fontId="7" fillId="0" borderId="0" xfId="14" applyFont="1" applyFill="1" applyBorder="1" applyAlignment="1">
      <alignment horizontal="center" vertical="center"/>
    </xf>
    <xf numFmtId="164" fontId="8" fillId="0" borderId="0" xfId="29" applyFont="1" applyFill="1" applyBorder="1" applyAlignment="1">
      <alignment vertical="center"/>
    </xf>
    <xf numFmtId="2" fontId="7" fillId="0" borderId="0" xfId="14" applyNumberFormat="1" applyFont="1" applyFill="1" applyBorder="1">
      <alignment vertical="center"/>
    </xf>
    <xf numFmtId="0" fontId="8" fillId="0" borderId="0" xfId="14" applyFont="1" applyFill="1" applyBorder="1">
      <alignment vertical="center"/>
    </xf>
    <xf numFmtId="164" fontId="7" fillId="0" borderId="0" xfId="29" applyFont="1" applyFill="1" applyBorder="1" applyAlignment="1">
      <alignment vertical="center"/>
    </xf>
    <xf numFmtId="0" fontId="7" fillId="0" borderId="0" xfId="14" applyFont="1" applyFill="1" applyBorder="1" applyAlignment="1">
      <alignment vertical="top" wrapText="1"/>
    </xf>
    <xf numFmtId="164" fontId="8" fillId="0" borderId="0" xfId="69" applyFont="1" applyFill="1" applyBorder="1" applyAlignment="1">
      <alignment vertical="center"/>
    </xf>
    <xf numFmtId="0" fontId="8" fillId="0" borderId="0" xfId="14" applyFont="1" applyFill="1" applyBorder="1" applyAlignment="1">
      <alignment horizontal="center" vertical="top" wrapText="1"/>
    </xf>
    <xf numFmtId="0" fontId="8" fillId="0" borderId="0" xfId="14" applyFont="1" applyFill="1" applyBorder="1" applyAlignment="1">
      <alignment vertical="top" wrapText="1"/>
    </xf>
    <xf numFmtId="0" fontId="7" fillId="0" borderId="0" xfId="14" applyFont="1" applyFill="1" applyBorder="1" applyAlignment="1">
      <alignment horizontal="center" vertical="top" wrapText="1"/>
    </xf>
    <xf numFmtId="164" fontId="7" fillId="0" borderId="0" xfId="14" applyNumberFormat="1" applyFont="1" applyFill="1" applyBorder="1">
      <alignment vertical="center"/>
    </xf>
    <xf numFmtId="164" fontId="8" fillId="0" borderId="0" xfId="14" applyNumberFormat="1" applyFont="1" applyFill="1" applyBorder="1">
      <alignment vertical="center"/>
    </xf>
    <xf numFmtId="0" fontId="8" fillId="0" borderId="0" xfId="14" applyFont="1" applyFill="1" applyBorder="1" applyAlignment="1">
      <alignment horizontal="right" vertical="center"/>
    </xf>
    <xf numFmtId="0" fontId="8" fillId="0" borderId="0" xfId="14" applyFont="1" applyFill="1" applyBorder="1" applyAlignment="1">
      <alignment vertical="center"/>
    </xf>
    <xf numFmtId="0" fontId="7" fillId="0" borderId="0" xfId="15" applyFont="1" applyFill="1" applyBorder="1" applyAlignment="1">
      <alignment vertical="center"/>
    </xf>
    <xf numFmtId="0" fontId="7" fillId="0" borderId="0" xfId="14" applyFont="1" applyFill="1" applyBorder="1" applyAlignment="1">
      <alignment vertical="center" wrapText="1"/>
    </xf>
    <xf numFmtId="0" fontId="12" fillId="0" borderId="4" xfId="69" applyNumberFormat="1" applyFont="1" applyFill="1" applyBorder="1" applyAlignment="1">
      <alignment horizontal="center" vertical="center" wrapText="1"/>
    </xf>
    <xf numFmtId="10" fontId="7" fillId="0" borderId="0" xfId="70" applyNumberFormat="1" applyFont="1" applyFill="1" applyBorder="1" applyAlignment="1">
      <alignment horizontal="center" vertical="center" wrapText="1"/>
    </xf>
    <xf numFmtId="10" fontId="7" fillId="0" borderId="0" xfId="70" applyNumberFormat="1" applyFont="1" applyFill="1" applyBorder="1" applyAlignment="1">
      <alignment horizontal="center" vertical="center"/>
    </xf>
    <xf numFmtId="164" fontId="8" fillId="0" borderId="0" xfId="69" applyFont="1" applyFill="1" applyBorder="1"/>
    <xf numFmtId="10" fontId="7" fillId="0" borderId="0" xfId="70" applyNumberFormat="1" applyFont="1" applyFill="1" applyBorder="1" applyAlignment="1">
      <alignment vertical="center"/>
    </xf>
    <xf numFmtId="10" fontId="7" fillId="0" borderId="0" xfId="70" applyNumberFormat="1" applyFont="1" applyFill="1" applyBorder="1"/>
    <xf numFmtId="0" fontId="8" fillId="4" borderId="4" xfId="14" applyFont="1" applyFill="1" applyBorder="1" applyAlignment="1">
      <alignment vertical="center" wrapText="1"/>
    </xf>
    <xf numFmtId="0" fontId="8" fillId="0" borderId="4" xfId="69" applyNumberFormat="1" applyFont="1" applyFill="1" applyBorder="1" applyAlignment="1">
      <alignment horizontal="center" vertical="center"/>
    </xf>
    <xf numFmtId="0" fontId="12" fillId="0" borderId="4" xfId="29" applyNumberFormat="1" applyFont="1" applyFill="1" applyBorder="1" applyAlignment="1">
      <alignment horizontal="center"/>
    </xf>
    <xf numFmtId="2" fontId="48" fillId="0" borderId="4" xfId="70" applyNumberFormat="1" applyFont="1" applyFill="1" applyBorder="1" applyAlignment="1">
      <alignment wrapText="1"/>
    </xf>
    <xf numFmtId="2" fontId="7" fillId="0" borderId="4" xfId="14" applyNumberFormat="1" applyFont="1" applyFill="1" applyBorder="1" applyAlignment="1">
      <alignment horizontal="center" vertical="center" wrapText="1"/>
    </xf>
    <xf numFmtId="0" fontId="16" fillId="0" borderId="4" xfId="69" applyNumberFormat="1" applyFont="1" applyFill="1" applyBorder="1" applyAlignment="1">
      <alignment horizontal="right" vertical="center" wrapText="1"/>
    </xf>
    <xf numFmtId="0" fontId="8" fillId="4" borderId="10" xfId="14" applyFont="1" applyFill="1" applyBorder="1" applyAlignment="1">
      <alignment horizontal="center" vertical="center" wrapText="1"/>
    </xf>
    <xf numFmtId="0" fontId="8" fillId="4" borderId="4" xfId="14" applyFont="1" applyFill="1" applyBorder="1" applyAlignment="1">
      <alignment horizontal="center" vertical="center"/>
    </xf>
    <xf numFmtId="0" fontId="8" fillId="4" borderId="5" xfId="14" applyFont="1" applyFill="1" applyBorder="1" applyAlignment="1">
      <alignment horizontal="center" vertical="center" wrapText="1"/>
    </xf>
    <xf numFmtId="0" fontId="8"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0" fontId="8" fillId="4" borderId="4" xfId="10" applyFont="1" applyFill="1" applyBorder="1" applyAlignment="1">
      <alignment horizontal="center" vertical="center" wrapText="1"/>
    </xf>
    <xf numFmtId="0" fontId="8" fillId="4" borderId="4" xfId="10" applyFont="1" applyFill="1" applyBorder="1" applyAlignment="1">
      <alignment horizontal="center" vertical="center"/>
    </xf>
    <xf numFmtId="164" fontId="7" fillId="0" borderId="4" xfId="69" applyFont="1" applyFill="1" applyBorder="1" applyAlignment="1">
      <alignment horizontal="center" vertical="center"/>
    </xf>
    <xf numFmtId="164" fontId="7" fillId="0" borderId="4" xfId="29" applyFont="1" applyFill="1" applyBorder="1" applyAlignment="1">
      <alignment horizontal="right" vertical="center"/>
    </xf>
    <xf numFmtId="0" fontId="39" fillId="0" borderId="0" xfId="14" applyFont="1" applyAlignment="1">
      <alignment horizontal="left" vertical="center"/>
    </xf>
    <xf numFmtId="164" fontId="16" fillId="0" borderId="4" xfId="29" quotePrefix="1" applyFont="1" applyFill="1" applyBorder="1" applyAlignment="1">
      <alignment horizontal="right" vertical="center" wrapText="1"/>
    </xf>
    <xf numFmtId="0" fontId="16" fillId="0" borderId="4" xfId="69" quotePrefix="1" applyNumberFormat="1" applyFont="1" applyFill="1" applyBorder="1" applyAlignment="1">
      <alignment horizontal="right" vertical="center" wrapText="1"/>
    </xf>
    <xf numFmtId="164" fontId="16" fillId="0" borderId="4" xfId="69" applyFont="1" applyFill="1" applyBorder="1" applyAlignment="1">
      <alignment horizontal="center" vertical="center"/>
    </xf>
    <xf numFmtId="178" fontId="7" fillId="0" borderId="4" xfId="69" applyNumberFormat="1" applyFont="1" applyFill="1" applyBorder="1" applyAlignment="1">
      <alignment horizontal="center" vertical="center"/>
    </xf>
    <xf numFmtId="0" fontId="16" fillId="0" borderId="4" xfId="14" applyFont="1" applyFill="1" applyBorder="1">
      <alignment vertical="center"/>
    </xf>
    <xf numFmtId="10" fontId="16" fillId="10" borderId="4" xfId="70" applyNumberFormat="1" applyFont="1" applyFill="1" applyBorder="1" applyAlignment="1">
      <alignment horizontal="right" vertical="center" wrapText="1"/>
    </xf>
    <xf numFmtId="10" fontId="7" fillId="10" borderId="4" xfId="70" applyNumberFormat="1" applyFont="1" applyFill="1" applyBorder="1" applyAlignment="1">
      <alignment horizontal="right" vertical="center" wrapText="1"/>
    </xf>
    <xf numFmtId="164" fontId="7" fillId="10" borderId="4" xfId="69" applyFont="1" applyFill="1" applyBorder="1" applyAlignment="1">
      <alignment horizontal="right" vertical="center" wrapText="1"/>
    </xf>
    <xf numFmtId="164" fontId="7" fillId="10" borderId="4" xfId="69" applyFont="1" applyFill="1" applyBorder="1" applyAlignment="1">
      <alignment horizontal="center" vertical="center" wrapText="1"/>
    </xf>
    <xf numFmtId="169" fontId="7" fillId="10" borderId="4" xfId="29" applyNumberFormat="1" applyFont="1" applyFill="1" applyBorder="1" applyAlignment="1">
      <alignment horizontal="right" vertical="center"/>
    </xf>
    <xf numFmtId="164" fontId="16" fillId="10" borderId="4" xfId="69" applyFont="1" applyFill="1" applyBorder="1" applyAlignment="1">
      <alignment horizontal="right" vertical="center" wrapText="1"/>
    </xf>
    <xf numFmtId="43" fontId="16" fillId="0" borderId="4" xfId="69" applyNumberFormat="1" applyFont="1" applyFill="1" applyBorder="1" applyAlignment="1">
      <alignment horizontal="right" vertical="center" wrapText="1"/>
    </xf>
    <xf numFmtId="181" fontId="16" fillId="0" borderId="4" xfId="69" applyNumberFormat="1" applyFont="1" applyFill="1" applyBorder="1" applyAlignment="1">
      <alignment horizontal="right" vertical="center" wrapText="1"/>
    </xf>
    <xf numFmtId="0" fontId="7" fillId="0" borderId="4" xfId="69" applyNumberFormat="1" applyFont="1" applyFill="1" applyBorder="1" applyAlignment="1">
      <alignment horizontal="center" vertical="center" wrapText="1"/>
    </xf>
    <xf numFmtId="164" fontId="7" fillId="18" borderId="4" xfId="69" applyFont="1" applyFill="1" applyBorder="1" applyAlignment="1">
      <alignment horizontal="center" vertical="center" wrapText="1"/>
    </xf>
    <xf numFmtId="10" fontId="7" fillId="18" borderId="4" xfId="70" applyNumberFormat="1" applyFont="1" applyFill="1" applyBorder="1" applyAlignment="1">
      <alignment horizontal="center" vertical="center" wrapText="1"/>
    </xf>
    <xf numFmtId="0" fontId="25" fillId="0" borderId="0" xfId="10" applyFont="1" applyFill="1" applyBorder="1" applyAlignment="1">
      <alignment vertical="top" wrapText="1"/>
    </xf>
    <xf numFmtId="10" fontId="8" fillId="0" borderId="4" xfId="70" applyNumberFormat="1" applyFont="1" applyFill="1" applyBorder="1" applyAlignment="1">
      <alignment vertical="center" wrapText="1"/>
    </xf>
    <xf numFmtId="164" fontId="8" fillId="0" borderId="4" xfId="69" applyFont="1" applyFill="1" applyBorder="1" applyAlignment="1">
      <alignment vertical="center" wrapText="1"/>
    </xf>
    <xf numFmtId="0" fontId="58" fillId="0" borderId="4" xfId="14" applyFont="1" applyFill="1" applyBorder="1" applyAlignment="1">
      <alignment horizontal="left" vertical="center" wrapText="1"/>
    </xf>
    <xf numFmtId="0" fontId="9" fillId="0" borderId="0" xfId="0" applyFont="1" applyFill="1" applyBorder="1" applyAlignment="1">
      <alignment horizontal="center" vertical="center" wrapText="1"/>
    </xf>
    <xf numFmtId="0" fontId="10" fillId="0" borderId="0" xfId="0" applyFont="1" applyFill="1" applyBorder="1" applyAlignment="1">
      <alignment vertical="center"/>
    </xf>
    <xf numFmtId="164" fontId="9" fillId="0" borderId="0" xfId="69" applyFont="1" applyFill="1" applyBorder="1" applyAlignment="1">
      <alignment horizontal="center" vertical="center"/>
    </xf>
    <xf numFmtId="164" fontId="10" fillId="0" borderId="0" xfId="69" applyFont="1" applyFill="1" applyBorder="1" applyAlignment="1">
      <alignment horizontal="center" vertical="center"/>
    </xf>
    <xf numFmtId="164" fontId="8" fillId="0" borderId="4" xfId="29" applyFont="1" applyFill="1" applyBorder="1"/>
    <xf numFmtId="43" fontId="8" fillId="0" borderId="4" xfId="29" applyNumberFormat="1" applyFont="1" applyFill="1" applyBorder="1"/>
    <xf numFmtId="164" fontId="7" fillId="10" borderId="4" xfId="69" applyFont="1" applyFill="1" applyBorder="1" applyAlignment="1">
      <alignment vertical="center"/>
    </xf>
    <xf numFmtId="0" fontId="7" fillId="0" borderId="0" xfId="10" applyFont="1" applyFill="1" applyBorder="1" applyAlignment="1">
      <alignment horizontal="left" vertical="center"/>
    </xf>
    <xf numFmtId="0" fontId="8" fillId="0" borderId="0" xfId="14" applyFont="1" applyFill="1" applyAlignment="1">
      <alignment horizontal="right" vertical="center"/>
    </xf>
    <xf numFmtId="0" fontId="8" fillId="0" borderId="0" xfId="10" applyFont="1" applyFill="1" applyAlignment="1">
      <alignment horizontal="left"/>
    </xf>
    <xf numFmtId="0" fontId="7" fillId="0" borderId="0" xfId="10" applyFont="1" applyFill="1" applyAlignment="1">
      <alignment horizontal="center"/>
    </xf>
    <xf numFmtId="10" fontId="7" fillId="14" borderId="0" xfId="40" applyNumberFormat="1" applyFont="1" applyFill="1" applyAlignment="1">
      <alignment horizontal="center" vertical="center"/>
    </xf>
    <xf numFmtId="10" fontId="7" fillId="14" borderId="0" xfId="10" applyNumberFormat="1" applyFont="1" applyFill="1" applyAlignment="1">
      <alignment horizontal="center" vertical="center"/>
    </xf>
    <xf numFmtId="0" fontId="7" fillId="0" borderId="4" xfId="14" applyNumberFormat="1" applyFont="1" applyFill="1" applyBorder="1">
      <alignment vertical="center"/>
    </xf>
    <xf numFmtId="0" fontId="8" fillId="0" borderId="0" xfId="10" applyFont="1" applyFill="1" applyBorder="1" applyAlignment="1">
      <alignment horizontal="left"/>
    </xf>
    <xf numFmtId="10" fontId="7" fillId="14" borderId="0" xfId="10" applyNumberFormat="1" applyFont="1" applyFill="1" applyAlignment="1">
      <alignment horizontal="center" vertical="top"/>
    </xf>
    <xf numFmtId="10" fontId="7" fillId="0" borderId="4" xfId="14" applyNumberFormat="1" applyFont="1" applyFill="1" applyBorder="1" applyAlignment="1">
      <alignment vertical="center"/>
    </xf>
    <xf numFmtId="177" fontId="7" fillId="0" borderId="4" xfId="29" applyNumberFormat="1" applyFont="1" applyFill="1" applyBorder="1" applyAlignment="1">
      <alignment vertical="center"/>
    </xf>
    <xf numFmtId="164" fontId="49" fillId="0" borderId="4" xfId="72" applyFont="1" applyFill="1" applyBorder="1" applyAlignment="1">
      <alignment vertical="center"/>
    </xf>
    <xf numFmtId="0" fontId="8" fillId="20" borderId="4" xfId="14" applyFont="1" applyFill="1" applyBorder="1">
      <alignment vertical="center"/>
    </xf>
    <xf numFmtId="0" fontId="8" fillId="20" borderId="4" xfId="14" applyFont="1" applyFill="1" applyBorder="1" applyAlignment="1">
      <alignment vertical="center" wrapText="1"/>
    </xf>
    <xf numFmtId="0" fontId="52" fillId="0" borderId="4" xfId="71" applyFont="1" applyBorder="1" applyAlignment="1">
      <alignment horizontal="left" vertical="center"/>
    </xf>
    <xf numFmtId="0" fontId="59" fillId="0" borderId="0" xfId="0" applyFont="1" applyAlignment="1">
      <alignment horizontal="left"/>
    </xf>
    <xf numFmtId="0" fontId="52" fillId="0" borderId="4" xfId="71" applyFont="1" applyBorder="1" applyAlignment="1">
      <alignment horizontal="left" vertical="center" wrapText="1"/>
    </xf>
    <xf numFmtId="0" fontId="60" fillId="0" borderId="4" xfId="71" applyFont="1" applyBorder="1" applyAlignment="1">
      <alignment horizontal="left" vertical="center" wrapText="1"/>
    </xf>
    <xf numFmtId="0" fontId="53" fillId="0" borderId="4" xfId="71" applyFont="1" applyBorder="1" applyAlignment="1">
      <alignment horizontal="left" vertical="center" wrapText="1"/>
    </xf>
    <xf numFmtId="0" fontId="50" fillId="0" borderId="4" xfId="29" applyNumberFormat="1" applyFont="1" applyBorder="1"/>
    <xf numFmtId="0" fontId="51" fillId="0" borderId="4" xfId="0" applyFont="1" applyFill="1" applyBorder="1" applyAlignment="1">
      <alignment horizontal="center"/>
    </xf>
    <xf numFmtId="0" fontId="50" fillId="0" borderId="0" xfId="0" applyFont="1" applyFill="1"/>
    <xf numFmtId="0" fontId="50" fillId="0" borderId="4" xfId="0" applyFont="1" applyFill="1" applyBorder="1" applyAlignment="1">
      <alignment horizontal="center"/>
    </xf>
    <xf numFmtId="164" fontId="51" fillId="0" borderId="4" xfId="69" applyFont="1" applyFill="1" applyBorder="1"/>
    <xf numFmtId="0" fontId="50" fillId="0" borderId="0" xfId="0" applyFont="1" applyFill="1" applyAlignment="1">
      <alignment horizontal="left"/>
    </xf>
    <xf numFmtId="0" fontId="51" fillId="12" borderId="4" xfId="0" applyFont="1" applyFill="1" applyBorder="1" applyAlignment="1">
      <alignment horizontal="left"/>
    </xf>
    <xf numFmtId="0" fontId="51" fillId="12" borderId="4" xfId="0" applyFont="1" applyFill="1" applyBorder="1" applyAlignment="1">
      <alignment horizontal="center"/>
    </xf>
    <xf numFmtId="0" fontId="8" fillId="4" borderId="4" xfId="14" applyFont="1" applyFill="1" applyBorder="1" applyAlignment="1">
      <alignment horizontal="center" vertical="center" wrapText="1"/>
    </xf>
    <xf numFmtId="0" fontId="12"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10" fontId="16" fillId="5" borderId="4" xfId="14" applyNumberFormat="1" applyFont="1" applyFill="1" applyBorder="1" applyAlignment="1">
      <alignment horizontal="center" vertical="center" wrapText="1"/>
    </xf>
    <xf numFmtId="10" fontId="16" fillId="0" borderId="4" xfId="40" applyNumberFormat="1" applyFont="1" applyFill="1" applyBorder="1" applyAlignment="1">
      <alignment horizontal="center"/>
    </xf>
    <xf numFmtId="164" fontId="7" fillId="21" borderId="4" xfId="69" applyFont="1" applyFill="1" applyBorder="1"/>
    <xf numFmtId="164" fontId="7" fillId="21" borderId="4" xfId="69" applyFont="1" applyFill="1" applyBorder="1" applyAlignment="1">
      <alignment vertical="center"/>
    </xf>
    <xf numFmtId="0" fontId="34" fillId="19" borderId="4" xfId="69" applyNumberFormat="1" applyFont="1" applyFill="1" applyBorder="1"/>
    <xf numFmtId="0" fontId="7" fillId="0" borderId="4" xfId="70" applyNumberFormat="1" applyFont="1" applyFill="1" applyBorder="1" applyAlignment="1">
      <alignment vertical="center"/>
    </xf>
    <xf numFmtId="10" fontId="7" fillId="21" borderId="4" xfId="70" applyNumberFormat="1" applyFont="1" applyFill="1" applyBorder="1" applyAlignment="1" applyProtection="1">
      <alignment horizontal="left"/>
    </xf>
    <xf numFmtId="10" fontId="7" fillId="21" borderId="4" xfId="70" applyNumberFormat="1" applyFont="1" applyFill="1" applyBorder="1" applyAlignment="1" applyProtection="1">
      <alignment vertical="center"/>
    </xf>
    <xf numFmtId="0" fontId="8" fillId="4" borderId="4" xfId="10" applyFont="1" applyFill="1" applyBorder="1" applyAlignment="1">
      <alignment horizontal="center" vertical="center" wrapText="1"/>
    </xf>
    <xf numFmtId="10" fontId="9" fillId="0" borderId="4" xfId="70" applyNumberFormat="1" applyFont="1" applyFill="1" applyBorder="1" applyAlignment="1">
      <alignment horizontal="center" vertical="center"/>
    </xf>
    <xf numFmtId="4" fontId="7" fillId="0" borderId="4" xfId="14" applyNumberFormat="1" applyFont="1" applyFill="1" applyBorder="1">
      <alignment vertical="center"/>
    </xf>
    <xf numFmtId="0" fontId="7" fillId="0" borderId="4" xfId="69" applyNumberFormat="1" applyFont="1" applyBorder="1" applyAlignment="1">
      <alignment horizontal="left" vertical="top"/>
    </xf>
    <xf numFmtId="43" fontId="34" fillId="19" borderId="4" xfId="69" applyNumberFormat="1" applyFont="1" applyFill="1" applyBorder="1"/>
    <xf numFmtId="43" fontId="50" fillId="0" borderId="4" xfId="69" applyNumberFormat="1" applyFont="1" applyFill="1" applyBorder="1"/>
    <xf numFmtId="43" fontId="50" fillId="0" borderId="4" xfId="29" applyNumberFormat="1" applyFont="1" applyBorder="1" applyAlignment="1">
      <alignment vertical="center"/>
    </xf>
    <xf numFmtId="43" fontId="50" fillId="0" borderId="4" xfId="29" applyNumberFormat="1" applyFont="1" applyBorder="1"/>
    <xf numFmtId="43" fontId="12" fillId="0" borderId="4" xfId="69" applyNumberFormat="1" applyFont="1" applyFill="1" applyBorder="1" applyAlignment="1">
      <alignment horizontal="center" vertical="center" wrapText="1"/>
    </xf>
    <xf numFmtId="182" fontId="7" fillId="0" borderId="4" xfId="69" applyNumberFormat="1" applyFont="1" applyFill="1" applyBorder="1" applyAlignment="1">
      <alignment horizontal="left" vertical="top"/>
    </xf>
    <xf numFmtId="43" fontId="30" fillId="0" borderId="4" xfId="73" applyFont="1" applyBorder="1"/>
    <xf numFmtId="164" fontId="16" fillId="0" borderId="4" xfId="29" applyFont="1" applyFill="1" applyBorder="1" applyAlignment="1">
      <alignment horizontal="right" vertical="center" wrapText="1"/>
    </xf>
    <xf numFmtId="10" fontId="49" fillId="0" borderId="4" xfId="70" applyNumberFormat="1" applyFont="1" applyBorder="1" applyAlignment="1">
      <alignment horizontal="center" vertical="center"/>
    </xf>
    <xf numFmtId="2" fontId="49" fillId="0" borderId="4" xfId="0" applyNumberFormat="1" applyFont="1" applyBorder="1" applyAlignment="1">
      <alignment horizontal="right" vertical="center"/>
    </xf>
    <xf numFmtId="169" fontId="16" fillId="0" borderId="4" xfId="29" quotePrefix="1" applyNumberFormat="1" applyFont="1" applyFill="1" applyBorder="1" applyAlignment="1">
      <alignment horizontal="right" vertical="center" wrapText="1"/>
    </xf>
    <xf numFmtId="43" fontId="16" fillId="0" borderId="4" xfId="29" quotePrefix="1" applyNumberFormat="1" applyFont="1" applyFill="1" applyBorder="1" applyAlignment="1">
      <alignment horizontal="right" vertical="center" wrapText="1"/>
    </xf>
    <xf numFmtId="43" fontId="16" fillId="0" borderId="4" xfId="29" applyNumberFormat="1" applyFont="1" applyFill="1" applyBorder="1" applyAlignment="1">
      <alignment horizontal="right" vertical="center" wrapText="1"/>
    </xf>
    <xf numFmtId="9" fontId="8" fillId="0" borderId="4" xfId="69" applyNumberFormat="1" applyFont="1" applyFill="1" applyBorder="1" applyAlignment="1">
      <alignment vertical="center"/>
    </xf>
    <xf numFmtId="164" fontId="7" fillId="0" borderId="4" xfId="69" applyFont="1" applyFill="1" applyBorder="1" applyAlignment="1">
      <alignment horizontal="center" vertical="center"/>
    </xf>
    <xf numFmtId="164" fontId="51" fillId="0" borderId="4" xfId="69" applyNumberFormat="1" applyFont="1" applyFill="1" applyBorder="1"/>
    <xf numFmtId="43" fontId="50" fillId="0" borderId="4" xfId="29" applyNumberFormat="1" applyFont="1" applyFill="1" applyBorder="1"/>
    <xf numFmtId="0" fontId="7" fillId="0" borderId="4" xfId="10" applyFont="1" applyFill="1" applyBorder="1" applyAlignment="1">
      <alignment vertical="top" wrapText="1"/>
    </xf>
    <xf numFmtId="0" fontId="7" fillId="0" borderId="4" xfId="10" applyFont="1" applyFill="1" applyBorder="1" applyAlignment="1" applyProtection="1">
      <alignment vertical="top" wrapText="1"/>
    </xf>
    <xf numFmtId="0" fontId="7" fillId="0" borderId="4" xfId="10" applyFont="1" applyFill="1" applyBorder="1" applyAlignment="1" applyProtection="1">
      <alignment horizontal="left" vertical="top" wrapText="1"/>
    </xf>
    <xf numFmtId="0" fontId="7" fillId="0" borderId="4" xfId="10" applyFont="1" applyFill="1" applyBorder="1" applyAlignment="1">
      <alignment vertical="top"/>
    </xf>
    <xf numFmtId="4" fontId="7" fillId="0" borderId="4" xfId="29" applyNumberFormat="1" applyFont="1" applyFill="1" applyBorder="1" applyAlignment="1">
      <alignment vertical="center"/>
    </xf>
    <xf numFmtId="164" fontId="16" fillId="5" borderId="4" xfId="14" applyNumberFormat="1" applyFont="1" applyFill="1" applyBorder="1" applyAlignment="1">
      <alignment horizontal="center" vertical="center" wrapText="1"/>
    </xf>
    <xf numFmtId="2" fontId="7" fillId="0" borderId="0" xfId="14" applyNumberFormat="1" applyFont="1" applyFill="1">
      <alignment vertical="center"/>
    </xf>
    <xf numFmtId="2" fontId="49" fillId="0" borderId="4" xfId="0" applyNumberFormat="1" applyFont="1" applyBorder="1" applyAlignment="1">
      <alignment vertical="center"/>
    </xf>
    <xf numFmtId="0" fontId="49" fillId="0" borderId="4" xfId="0" applyFont="1" applyBorder="1" applyAlignment="1">
      <alignment vertical="center"/>
    </xf>
    <xf numFmtId="0" fontId="61" fillId="0" borderId="4" xfId="0" applyFont="1" applyBorder="1" applyAlignment="1">
      <alignment vertical="center"/>
    </xf>
    <xf numFmtId="2" fontId="7" fillId="0" borderId="4" xfId="14" applyNumberFormat="1" applyFont="1" applyFill="1" applyBorder="1" applyAlignment="1">
      <alignment horizontal="right" vertical="center"/>
    </xf>
    <xf numFmtId="0" fontId="17" fillId="0" borderId="4" xfId="0" applyFont="1" applyFill="1" applyBorder="1"/>
    <xf numFmtId="0" fontId="0" fillId="0" borderId="0" xfId="0" applyFill="1"/>
    <xf numFmtId="0" fontId="0" fillId="0" borderId="5" xfId="0" applyFill="1" applyBorder="1"/>
    <xf numFmtId="164" fontId="7" fillId="0" borderId="4" xfId="69" applyFont="1" applyFill="1" applyBorder="1" applyAlignment="1">
      <alignment horizontal="center" vertical="center"/>
    </xf>
    <xf numFmtId="10" fontId="7" fillId="5" borderId="4" xfId="40" applyNumberFormat="1" applyFont="1" applyFill="1" applyBorder="1" applyAlignment="1">
      <alignment horizontal="center" vertical="center" wrapText="1"/>
    </xf>
    <xf numFmtId="10" fontId="16" fillId="5" borderId="4" xfId="40" applyNumberFormat="1" applyFont="1" applyFill="1" applyBorder="1" applyAlignment="1">
      <alignment horizontal="center" vertical="center" wrapText="1"/>
    </xf>
    <xf numFmtId="10" fontId="16" fillId="0" borderId="4" xfId="40" applyNumberFormat="1" applyFont="1" applyFill="1" applyBorder="1" applyAlignment="1">
      <alignment vertical="center"/>
    </xf>
    <xf numFmtId="10" fontId="16" fillId="0" borderId="4" xfId="40" applyNumberFormat="1" applyFont="1" applyFill="1" applyBorder="1" applyAlignment="1">
      <alignment horizontal="center" vertical="center" wrapText="1"/>
    </xf>
    <xf numFmtId="164" fontId="16" fillId="0" borderId="4" xfId="29" applyFont="1" applyFill="1" applyBorder="1" applyAlignment="1">
      <alignment horizontal="center" vertical="center" wrapText="1"/>
    </xf>
    <xf numFmtId="10" fontId="7" fillId="0" borderId="4" xfId="40" applyNumberFormat="1" applyFont="1" applyFill="1" applyBorder="1" applyAlignment="1">
      <alignment horizontal="center" vertical="center" wrapText="1"/>
    </xf>
    <xf numFmtId="10" fontId="7" fillId="0" borderId="4" xfId="40" applyNumberFormat="1" applyFont="1" applyFill="1" applyBorder="1" applyAlignment="1">
      <alignment vertical="center"/>
    </xf>
    <xf numFmtId="10" fontId="26" fillId="5" borderId="4" xfId="40" applyNumberFormat="1" applyFont="1" applyFill="1" applyBorder="1" applyAlignment="1">
      <alignment horizontal="center" vertical="center" wrapText="1"/>
    </xf>
    <xf numFmtId="10" fontId="48" fillId="5" borderId="4" xfId="40" applyNumberFormat="1" applyFont="1" applyFill="1" applyBorder="1" applyAlignment="1">
      <alignment horizontal="center" vertical="center" wrapText="1"/>
    </xf>
    <xf numFmtId="10" fontId="48" fillId="0" borderId="4" xfId="40" applyNumberFormat="1" applyFont="1" applyFill="1" applyBorder="1" applyAlignment="1">
      <alignment horizontal="center" vertical="center" wrapText="1"/>
    </xf>
    <xf numFmtId="164" fontId="12" fillId="0" borderId="4" xfId="29" applyFont="1" applyFill="1" applyBorder="1" applyAlignment="1">
      <alignment horizontal="center" vertical="center" wrapText="1"/>
    </xf>
    <xf numFmtId="9" fontId="8" fillId="0" borderId="4" xfId="29" applyNumberFormat="1" applyFont="1" applyFill="1" applyBorder="1" applyAlignment="1">
      <alignment vertical="center"/>
    </xf>
    <xf numFmtId="164" fontId="7" fillId="0" borderId="4" xfId="29" applyFont="1" applyFill="1" applyBorder="1" applyAlignment="1" applyProtection="1">
      <alignment horizontal="left" vertical="center"/>
    </xf>
    <xf numFmtId="164" fontId="7" fillId="0" borderId="4" xfId="29" applyFont="1" applyBorder="1" applyAlignment="1">
      <alignment vertical="center"/>
    </xf>
    <xf numFmtId="164" fontId="25" fillId="0" borderId="4" xfId="29" applyFont="1" applyFill="1" applyBorder="1" applyAlignment="1">
      <alignment vertical="center"/>
    </xf>
    <xf numFmtId="10" fontId="34" fillId="0" borderId="4" xfId="40" applyNumberFormat="1" applyFont="1" applyFill="1" applyBorder="1"/>
    <xf numFmtId="10" fontId="34" fillId="0" borderId="4" xfId="29" applyNumberFormat="1" applyFont="1" applyFill="1" applyBorder="1"/>
    <xf numFmtId="164" fontId="7" fillId="5" borderId="4" xfId="29" applyFont="1" applyFill="1" applyBorder="1" applyAlignment="1" applyProtection="1">
      <alignment horizontal="left"/>
    </xf>
    <xf numFmtId="9" fontId="7" fillId="0" borderId="4" xfId="40" applyFont="1" applyBorder="1" applyAlignment="1">
      <alignment vertical="center"/>
    </xf>
    <xf numFmtId="164" fontId="8" fillId="0" borderId="4" xfId="29" applyFont="1" applyFill="1" applyBorder="1" applyAlignment="1">
      <alignment vertical="top" wrapText="1"/>
    </xf>
    <xf numFmtId="164" fontId="8" fillId="0" borderId="4" xfId="29" applyFont="1" applyBorder="1" applyAlignment="1">
      <alignment vertical="center"/>
    </xf>
    <xf numFmtId="164" fontId="7" fillId="0" borderId="4" xfId="29" applyFont="1" applyFill="1" applyBorder="1"/>
    <xf numFmtId="0" fontId="8" fillId="4" borderId="4" xfId="14" applyFont="1" applyFill="1" applyBorder="1" applyAlignment="1">
      <alignment horizontal="center" vertical="center" wrapText="1"/>
    </xf>
    <xf numFmtId="0" fontId="12"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164" fontId="7" fillId="0" borderId="4" xfId="69" applyFont="1" applyFill="1" applyBorder="1" applyAlignment="1">
      <alignment horizontal="center" vertical="center"/>
    </xf>
    <xf numFmtId="169" fontId="7" fillId="0" borderId="4" xfId="29" applyNumberFormat="1" applyFont="1" applyBorder="1" applyAlignment="1">
      <alignment vertical="top" wrapText="1"/>
    </xf>
    <xf numFmtId="164" fontId="7" fillId="0" borderId="4" xfId="29" applyFont="1" applyBorder="1" applyAlignment="1">
      <alignment vertical="top" wrapText="1"/>
    </xf>
    <xf numFmtId="164" fontId="8" fillId="0" borderId="4" xfId="29" applyFont="1" applyBorder="1" applyAlignment="1">
      <alignment vertical="top" wrapText="1"/>
    </xf>
    <xf numFmtId="169" fontId="8" fillId="4" borderId="4" xfId="69" applyNumberFormat="1" applyFont="1" applyFill="1" applyBorder="1"/>
    <xf numFmtId="0" fontId="8" fillId="4" borderId="4" xfId="14" applyFont="1" applyFill="1" applyBorder="1" applyAlignment="1">
      <alignment horizontal="center" vertical="center" wrapText="1"/>
    </xf>
    <xf numFmtId="0" fontId="8" fillId="4" borderId="8" xfId="14" applyFont="1" applyFill="1" applyBorder="1" applyAlignment="1">
      <alignment horizontal="center" vertical="center" wrapText="1"/>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4" xfId="14" quotePrefix="1" applyFont="1" applyFill="1" applyBorder="1" applyAlignment="1">
      <alignment horizontal="center" vertical="center" wrapText="1"/>
    </xf>
    <xf numFmtId="0" fontId="8" fillId="4" borderId="4" xfId="10" applyFont="1" applyFill="1" applyBorder="1" applyAlignment="1">
      <alignment horizontal="center" vertical="center" wrapText="1"/>
    </xf>
    <xf numFmtId="0" fontId="8" fillId="0" borderId="0" xfId="10" applyFont="1" applyAlignment="1">
      <alignment horizontal="left"/>
    </xf>
    <xf numFmtId="0" fontId="8" fillId="4" borderId="4" xfId="31" applyFont="1" applyFill="1" applyBorder="1" applyAlignment="1">
      <alignment horizontal="center" vertical="center" wrapText="1"/>
    </xf>
    <xf numFmtId="0" fontId="8" fillId="4" borderId="4" xfId="10" applyFont="1" applyFill="1" applyBorder="1" applyAlignment="1">
      <alignment horizontal="center"/>
    </xf>
    <xf numFmtId="0" fontId="8" fillId="4" borderId="4" xfId="10" applyFont="1" applyFill="1" applyBorder="1" applyAlignment="1">
      <alignment horizontal="center" vertical="top" wrapText="1"/>
    </xf>
    <xf numFmtId="0" fontId="8" fillId="0" borderId="0" xfId="10" applyFont="1" applyBorder="1" applyAlignment="1">
      <alignment horizontal="center" vertical="center"/>
    </xf>
    <xf numFmtId="0" fontId="8" fillId="4" borderId="4" xfId="10" applyFont="1" applyFill="1" applyBorder="1" applyAlignment="1">
      <alignment horizontal="center" vertical="center" wrapText="1"/>
    </xf>
    <xf numFmtId="0" fontId="8" fillId="0" borderId="0" xfId="10" applyFont="1" applyAlignment="1">
      <alignment horizontal="left"/>
    </xf>
    <xf numFmtId="0" fontId="8" fillId="4" borderId="4" xfId="31" applyFont="1" applyFill="1" applyBorder="1" applyAlignment="1">
      <alignment horizontal="center" vertical="center" wrapText="1"/>
    </xf>
    <xf numFmtId="0" fontId="36" fillId="0" borderId="0" xfId="76" applyFont="1"/>
    <xf numFmtId="0" fontId="38" fillId="11" borderId="0" xfId="76" applyFont="1" applyFill="1" applyAlignment="1">
      <alignment horizontal="left"/>
    </xf>
    <xf numFmtId="0" fontId="38" fillId="0" borderId="0" xfId="76" applyFont="1"/>
    <xf numFmtId="0" fontId="38" fillId="12" borderId="4" xfId="76" applyFont="1" applyFill="1" applyBorder="1" applyAlignment="1">
      <alignment vertical="center"/>
    </xf>
    <xf numFmtId="0" fontId="38" fillId="12" borderId="4" xfId="76" applyFont="1" applyFill="1" applyBorder="1" applyAlignment="1">
      <alignment horizontal="center" vertical="center" wrapText="1"/>
    </xf>
    <xf numFmtId="0" fontId="38" fillId="12" borderId="4" xfId="76" applyFont="1" applyFill="1" applyBorder="1" applyAlignment="1">
      <alignment horizontal="center" vertical="center"/>
    </xf>
    <xf numFmtId="0" fontId="36" fillId="0" borderId="4" xfId="76" applyFont="1" applyBorder="1"/>
    <xf numFmtId="0" fontId="36" fillId="0" borderId="4" xfId="76" applyFont="1" applyBorder="1" applyAlignment="1">
      <alignment horizontal="left"/>
    </xf>
    <xf numFmtId="169" fontId="36" fillId="0" borderId="4" xfId="77" applyNumberFormat="1" applyFont="1" applyBorder="1"/>
    <xf numFmtId="170" fontId="36" fillId="0" borderId="4" xfId="64" applyNumberFormat="1" applyFont="1" applyBorder="1" applyAlignment="1">
      <alignment vertical="center" wrapText="1"/>
    </xf>
    <xf numFmtId="0" fontId="38" fillId="10" borderId="4" xfId="76" applyFont="1" applyFill="1" applyBorder="1"/>
    <xf numFmtId="0" fontId="38" fillId="10" borderId="4" xfId="76" applyFont="1" applyFill="1" applyBorder="1" applyAlignment="1">
      <alignment horizontal="left"/>
    </xf>
    <xf numFmtId="170" fontId="36" fillId="0" borderId="0" xfId="76" applyNumberFormat="1" applyFont="1"/>
    <xf numFmtId="0" fontId="36" fillId="0" borderId="0" xfId="76" applyFont="1" applyAlignment="1">
      <alignment vertical="center" wrapText="1"/>
    </xf>
    <xf numFmtId="0" fontId="38" fillId="0" borderId="0" xfId="76" applyFont="1" applyAlignment="1">
      <alignment vertical="center"/>
    </xf>
    <xf numFmtId="0" fontId="38" fillId="12" borderId="4" xfId="76" applyFont="1" applyFill="1" applyBorder="1" applyAlignment="1">
      <alignment vertical="center" wrapText="1"/>
    </xf>
    <xf numFmtId="0" fontId="38" fillId="12" borderId="4" xfId="76" applyFont="1" applyFill="1" applyBorder="1" applyAlignment="1">
      <alignment horizontal="left" vertical="center"/>
    </xf>
    <xf numFmtId="10" fontId="36" fillId="0" borderId="4" xfId="76" applyNumberFormat="1" applyFont="1" applyBorder="1"/>
    <xf numFmtId="164" fontId="36" fillId="0" borderId="4" xfId="78" applyNumberFormat="1" applyFont="1" applyBorder="1" applyAlignment="1">
      <alignment vertical="center"/>
    </xf>
    <xf numFmtId="171" fontId="36" fillId="0" borderId="4" xfId="79" applyNumberFormat="1" applyFont="1" applyBorder="1"/>
    <xf numFmtId="10" fontId="36" fillId="6" borderId="4" xfId="76" applyNumberFormat="1" applyFont="1" applyFill="1" applyBorder="1"/>
    <xf numFmtId="0" fontId="36" fillId="0" borderId="0" xfId="76" applyFont="1" applyAlignment="1">
      <alignment horizontal="left"/>
    </xf>
    <xf numFmtId="164" fontId="36" fillId="0" borderId="0" xfId="77" applyNumberFormat="1" applyFont="1"/>
    <xf numFmtId="0" fontId="36" fillId="0" borderId="0" xfId="76" applyFont="1" applyAlignment="1">
      <alignment vertical="center"/>
    </xf>
    <xf numFmtId="164" fontId="36" fillId="0" borderId="4" xfId="77" applyNumberFormat="1" applyFont="1" applyBorder="1"/>
    <xf numFmtId="170" fontId="36" fillId="0" borderId="4" xfId="76" applyNumberFormat="1" applyFont="1" applyBorder="1"/>
    <xf numFmtId="0" fontId="7" fillId="0" borderId="0" xfId="10" applyFont="1" applyAlignment="1">
      <alignment horizontal="centerContinuous"/>
    </xf>
    <xf numFmtId="0" fontId="8" fillId="0" borderId="0" xfId="10" applyFont="1" applyAlignment="1">
      <alignment horizontal="center" vertical="center"/>
    </xf>
    <xf numFmtId="0" fontId="8" fillId="0" borderId="0" xfId="10" applyFont="1" applyAlignment="1">
      <alignment vertical="center"/>
    </xf>
    <xf numFmtId="0" fontId="7" fillId="0" borderId="0" xfId="71" applyFont="1"/>
    <xf numFmtId="0" fontId="7" fillId="0" borderId="4" xfId="10" applyFont="1" applyBorder="1" applyAlignment="1">
      <alignment horizontal="left" vertical="top"/>
    </xf>
    <xf numFmtId="0" fontId="7" fillId="6" borderId="4" xfId="10" applyFont="1" applyFill="1" applyBorder="1" applyAlignment="1">
      <alignment horizontal="left" vertical="top"/>
    </xf>
    <xf numFmtId="164" fontId="7" fillId="0" borderId="4" xfId="29" applyFont="1" applyFill="1" applyBorder="1" applyAlignment="1">
      <alignment horizontal="left" vertical="top"/>
    </xf>
    <xf numFmtId="164" fontId="7" fillId="0" borderId="4" xfId="10" applyNumberFormat="1" applyFont="1" applyBorder="1"/>
    <xf numFmtId="43" fontId="7" fillId="0" borderId="4" xfId="10" applyNumberFormat="1" applyFont="1" applyBorder="1"/>
    <xf numFmtId="0" fontId="7" fillId="6" borderId="4" xfId="10" applyFont="1" applyFill="1" applyBorder="1" applyAlignment="1">
      <alignment horizontal="left" vertical="top" wrapText="1"/>
    </xf>
    <xf numFmtId="0" fontId="7" fillId="6" borderId="4" xfId="10" applyFont="1" applyFill="1" applyBorder="1" applyAlignment="1">
      <alignment vertical="top"/>
    </xf>
    <xf numFmtId="164" fontId="8" fillId="0" borderId="4" xfId="10" applyNumberFormat="1" applyFont="1" applyBorder="1" applyAlignment="1">
      <alignment horizontal="left" vertical="top"/>
    </xf>
    <xf numFmtId="0" fontId="8" fillId="0" borderId="0" xfId="10" applyFont="1" applyAlignment="1">
      <alignment vertical="center" wrapText="1"/>
    </xf>
    <xf numFmtId="164" fontId="7" fillId="6" borderId="4" xfId="29" applyFont="1" applyFill="1" applyBorder="1" applyAlignment="1">
      <alignment horizontal="left" vertical="top"/>
    </xf>
    <xf numFmtId="164" fontId="7" fillId="0" borderId="4" xfId="29" applyFont="1" applyBorder="1"/>
    <xf numFmtId="164" fontId="7" fillId="6" borderId="4" xfId="29" applyFont="1" applyFill="1" applyBorder="1" applyAlignment="1">
      <alignment horizontal="left" vertical="top" wrapText="1"/>
    </xf>
    <xf numFmtId="164" fontId="8" fillId="0" borderId="4" xfId="29" applyFont="1" applyBorder="1" applyAlignment="1">
      <alignment horizontal="left" vertical="top"/>
    </xf>
    <xf numFmtId="0" fontId="26" fillId="0" borderId="0" xfId="10" applyFont="1"/>
    <xf numFmtId="0" fontId="7" fillId="6" borderId="0" xfId="10" applyFont="1" applyFill="1"/>
    <xf numFmtId="0" fontId="7" fillId="0" borderId="11" xfId="71" applyFont="1" applyBorder="1"/>
    <xf numFmtId="0" fontId="7" fillId="0" borderId="16" xfId="71" applyFont="1" applyBorder="1"/>
    <xf numFmtId="0" fontId="8" fillId="4" borderId="4" xfId="71" applyFont="1" applyFill="1" applyBorder="1" applyAlignment="1">
      <alignment horizontal="center" vertical="top" wrapText="1"/>
    </xf>
    <xf numFmtId="0" fontId="7" fillId="0" borderId="0" xfId="71" applyFont="1" applyAlignment="1">
      <alignment vertical="top" wrapText="1"/>
    </xf>
    <xf numFmtId="0" fontId="7" fillId="0" borderId="4" xfId="10" applyFont="1" applyBorder="1" applyAlignment="1">
      <alignment vertical="center" wrapText="1"/>
    </xf>
    <xf numFmtId="0" fontId="7" fillId="0" borderId="0" xfId="10" applyFont="1" applyAlignment="1">
      <alignment horizontal="left" vertical="center" wrapText="1"/>
    </xf>
    <xf numFmtId="2" fontId="7" fillId="0" borderId="0" xfId="10" applyNumberFormat="1" applyFont="1" applyAlignment="1">
      <alignment horizontal="center" vertical="center" wrapText="1"/>
    </xf>
    <xf numFmtId="14" fontId="7" fillId="0" borderId="0" xfId="71" applyNumberFormat="1" applyFont="1"/>
    <xf numFmtId="2" fontId="7" fillId="0" borderId="0" xfId="71" applyNumberFormat="1" applyFont="1"/>
    <xf numFmtId="0" fontId="7" fillId="0" borderId="0" xfId="71" applyFont="1" applyAlignment="1">
      <alignment vertical="top"/>
    </xf>
    <xf numFmtId="0" fontId="7" fillId="0" borderId="0" xfId="71" applyFont="1" applyAlignment="1">
      <alignment vertical="center" wrapText="1"/>
    </xf>
    <xf numFmtId="0" fontId="8" fillId="0" borderId="0" xfId="71" applyFont="1" applyAlignment="1">
      <alignment vertical="top"/>
    </xf>
    <xf numFmtId="0" fontId="8" fillId="4" borderId="4" xfId="71" applyFont="1" applyFill="1" applyBorder="1" applyAlignment="1">
      <alignment horizontal="center" vertical="center"/>
    </xf>
    <xf numFmtId="0" fontId="8" fillId="4" borderId="4" xfId="71" applyFont="1" applyFill="1" applyBorder="1" applyAlignment="1">
      <alignment horizontal="center" vertical="center" wrapText="1"/>
    </xf>
    <xf numFmtId="0" fontId="8" fillId="4" borderId="4" xfId="71" applyFont="1" applyFill="1" applyBorder="1" applyAlignment="1">
      <alignment horizontal="left" vertical="center" wrapText="1"/>
    </xf>
    <xf numFmtId="0" fontId="7" fillId="0" borderId="0" xfId="71" applyFont="1" applyAlignment="1">
      <alignment horizontal="center" vertical="center"/>
    </xf>
    <xf numFmtId="0" fontId="8" fillId="0" borderId="4" xfId="71" applyFont="1" applyBorder="1" applyAlignment="1">
      <alignment horizontal="justify" vertical="top"/>
    </xf>
    <xf numFmtId="0" fontId="7" fillId="0" borderId="4" xfId="71" applyFont="1" applyBorder="1" applyAlignment="1">
      <alignment vertical="center"/>
    </xf>
    <xf numFmtId="0" fontId="7" fillId="0" borderId="4" xfId="71" applyFont="1" applyBorder="1" applyAlignment="1">
      <alignment horizontal="justify" vertical="top"/>
    </xf>
    <xf numFmtId="0" fontId="7" fillId="0" borderId="0" xfId="35" applyFont="1" applyAlignment="1">
      <alignment vertical="center"/>
    </xf>
    <xf numFmtId="0" fontId="7" fillId="0" borderId="11" xfId="35" applyFont="1" applyBorder="1" applyAlignment="1">
      <alignment vertical="center" wrapText="1"/>
    </xf>
    <xf numFmtId="0" fontId="7" fillId="0" borderId="11" xfId="35" applyFont="1" applyBorder="1"/>
    <xf numFmtId="0" fontId="7" fillId="0" borderId="0" xfId="35" applyFont="1"/>
    <xf numFmtId="2" fontId="7" fillId="0" borderId="0" xfId="35" applyNumberFormat="1" applyFont="1"/>
    <xf numFmtId="0" fontId="7" fillId="0" borderId="0" xfId="35" applyFont="1" applyAlignment="1">
      <alignment wrapText="1"/>
    </xf>
    <xf numFmtId="0" fontId="7" fillId="0" borderId="0" xfId="71" applyFont="1" applyAlignment="1">
      <alignment vertical="center"/>
    </xf>
    <xf numFmtId="0" fontId="8" fillId="0" borderId="0" xfId="71" applyFont="1" applyAlignment="1">
      <alignment vertical="center"/>
    </xf>
    <xf numFmtId="0" fontId="7" fillId="0" borderId="0" xfId="35" applyFont="1" applyAlignment="1">
      <alignment vertical="center" wrapText="1"/>
    </xf>
    <xf numFmtId="0" fontId="8" fillId="0" borderId="0" xfId="35" applyFont="1" applyAlignment="1">
      <alignment horizontal="right" wrapText="1"/>
    </xf>
    <xf numFmtId="0" fontId="7" fillId="0" borderId="0" xfId="35" applyFont="1" applyAlignment="1">
      <alignment horizontal="center"/>
    </xf>
    <xf numFmtId="0" fontId="7" fillId="0" borderId="0" xfId="35" applyFont="1" applyAlignment="1">
      <alignment horizontal="center" vertical="center"/>
    </xf>
    <xf numFmtId="0" fontId="8" fillId="4" borderId="4" xfId="35" applyFont="1" applyFill="1" applyBorder="1" applyAlignment="1">
      <alignment horizontal="center" vertical="center" wrapText="1"/>
    </xf>
    <xf numFmtId="0" fontId="7" fillId="0" borderId="0" xfId="35" applyFont="1" applyAlignment="1">
      <alignment horizontal="center" vertical="center" wrapText="1"/>
    </xf>
    <xf numFmtId="2" fontId="8" fillId="4" borderId="4" xfId="35" applyNumberFormat="1" applyFont="1" applyFill="1" applyBorder="1" applyAlignment="1">
      <alignment horizontal="center" vertical="center" wrapText="1"/>
    </xf>
    <xf numFmtId="168" fontId="8" fillId="0" borderId="4" xfId="35" quotePrefix="1" applyNumberFormat="1" applyFont="1" applyBorder="1" applyAlignment="1">
      <alignment horizontal="center" vertical="center" wrapText="1"/>
    </xf>
    <xf numFmtId="0" fontId="8" fillId="0" borderId="4" xfId="35" applyFont="1" applyBorder="1" applyAlignment="1">
      <alignment horizontal="justify" vertical="center" wrapText="1"/>
    </xf>
    <xf numFmtId="0" fontId="8" fillId="0" borderId="4" xfId="35" applyFont="1" applyBorder="1" applyAlignment="1">
      <alignment vertical="top"/>
    </xf>
    <xf numFmtId="0" fontId="8" fillId="0" borderId="0" xfId="35" applyFont="1"/>
    <xf numFmtId="168" fontId="7" fillId="0" borderId="4" xfId="35" applyNumberFormat="1" applyFont="1" applyBorder="1" applyAlignment="1">
      <alignment horizontal="center" vertical="center"/>
    </xf>
    <xf numFmtId="0" fontId="7" fillId="0" borderId="4" xfId="35" applyFont="1" applyBorder="1" applyAlignment="1">
      <alignment vertical="center" wrapText="1"/>
    </xf>
    <xf numFmtId="0" fontId="7" fillId="0" borderId="4" xfId="80" applyFont="1" applyBorder="1" applyAlignment="1">
      <alignment vertical="center" wrapText="1"/>
    </xf>
    <xf numFmtId="0" fontId="7" fillId="0" borderId="4" xfId="35" applyFont="1" applyBorder="1" applyAlignment="1">
      <alignment horizontal="center" vertical="center"/>
    </xf>
    <xf numFmtId="168" fontId="8" fillId="0" borderId="4" xfId="35" applyNumberFormat="1" applyFont="1" applyBorder="1" applyAlignment="1">
      <alignment horizontal="center" vertical="center"/>
    </xf>
    <xf numFmtId="0" fontId="8" fillId="0" borderId="4" xfId="80" applyFont="1" applyBorder="1" applyAlignment="1">
      <alignment vertical="center" wrapText="1"/>
    </xf>
    <xf numFmtId="168" fontId="8" fillId="0" borderId="4" xfId="71" applyNumberFormat="1" applyFont="1" applyBorder="1" applyAlignment="1">
      <alignment horizontal="center" vertical="center"/>
    </xf>
    <xf numFmtId="168" fontId="7" fillId="0" borderId="4" xfId="71" applyNumberFormat="1" applyFont="1" applyBorder="1" applyAlignment="1">
      <alignment horizontal="center" vertical="center"/>
    </xf>
    <xf numFmtId="0" fontId="7" fillId="0" borderId="4" xfId="71" applyFont="1" applyBorder="1" applyAlignment="1">
      <alignment vertical="center" wrapText="1"/>
    </xf>
    <xf numFmtId="10" fontId="8" fillId="0" borderId="0" xfId="40" applyNumberFormat="1" applyFont="1" applyFill="1" applyBorder="1"/>
    <xf numFmtId="10" fontId="7" fillId="0" borderId="0" xfId="40" applyNumberFormat="1" applyFont="1" applyFill="1" applyBorder="1"/>
    <xf numFmtId="0" fontId="8" fillId="0" borderId="4" xfId="71" applyFont="1" applyBorder="1" applyAlignment="1">
      <alignment vertical="center" wrapText="1"/>
    </xf>
    <xf numFmtId="0" fontId="7" fillId="0" borderId="4" xfId="71" applyFont="1" applyBorder="1" applyAlignment="1">
      <alignment horizontal="center" vertical="center"/>
    </xf>
    <xf numFmtId="0" fontId="8" fillId="0" borderId="4" xfId="80" applyFont="1" applyBorder="1" applyAlignment="1">
      <alignment horizontal="justify" vertical="center" wrapText="1"/>
    </xf>
    <xf numFmtId="0" fontId="8" fillId="0" borderId="4" xfId="35" applyFont="1" applyBorder="1" applyAlignment="1">
      <alignment wrapText="1"/>
    </xf>
    <xf numFmtId="2" fontId="7" fillId="0" borderId="4" xfId="71" applyNumberFormat="1" applyFont="1" applyBorder="1" applyAlignment="1">
      <alignment horizontal="center" vertical="center"/>
    </xf>
    <xf numFmtId="2" fontId="8" fillId="0" borderId="4" xfId="71" applyNumberFormat="1" applyFont="1" applyBorder="1" applyAlignment="1">
      <alignment horizontal="center" vertical="center"/>
    </xf>
    <xf numFmtId="164" fontId="7" fillId="0" borderId="0" xfId="35" applyNumberFormat="1" applyFont="1"/>
    <xf numFmtId="0" fontId="7" fillId="0" borderId="0" xfId="34" applyFont="1" applyAlignment="1">
      <alignment wrapText="1"/>
    </xf>
    <xf numFmtId="0" fontId="7" fillId="0" borderId="11" xfId="34" applyFont="1" applyBorder="1" applyAlignment="1">
      <alignment wrapText="1"/>
    </xf>
    <xf numFmtId="0" fontId="7" fillId="0" borderId="0" xfId="34" applyFont="1" applyAlignment="1">
      <alignment horizontal="center" wrapText="1"/>
    </xf>
    <xf numFmtId="0" fontId="8" fillId="0" borderId="0" xfId="71" applyFont="1" applyAlignment="1">
      <alignment horizontal="center" vertical="center"/>
    </xf>
    <xf numFmtId="0" fontId="8" fillId="7" borderId="4" xfId="71" applyFont="1" applyFill="1" applyBorder="1" applyAlignment="1">
      <alignment horizontal="center" vertical="center" wrapText="1"/>
    </xf>
    <xf numFmtId="1" fontId="8" fillId="7" borderId="4" xfId="71" applyNumberFormat="1" applyFont="1" applyFill="1" applyBorder="1" applyAlignment="1">
      <alignment horizontal="center" vertical="center" wrapText="1"/>
    </xf>
    <xf numFmtId="0" fontId="7" fillId="0" borderId="20" xfId="71" applyFont="1" applyBorder="1" applyAlignment="1">
      <alignment horizontal="center" vertical="center"/>
    </xf>
    <xf numFmtId="0" fontId="8" fillId="0" borderId="0" xfId="34" applyFont="1" applyAlignment="1">
      <alignment wrapText="1"/>
    </xf>
    <xf numFmtId="0" fontId="7" fillId="0" borderId="21" xfId="71" applyFont="1" applyBorder="1" applyAlignment="1">
      <alignment vertical="center"/>
    </xf>
    <xf numFmtId="0" fontId="7" fillId="0" borderId="0" xfId="34" applyFont="1" applyAlignment="1">
      <alignment vertical="center" wrapText="1"/>
    </xf>
    <xf numFmtId="2" fontId="7" fillId="0" borderId="0" xfId="34" applyNumberFormat="1" applyFont="1" applyAlignment="1">
      <alignment wrapText="1"/>
    </xf>
    <xf numFmtId="183" fontId="7" fillId="0" borderId="0" xfId="34" applyNumberFormat="1" applyFont="1" applyAlignment="1">
      <alignment horizontal="center" wrapText="1"/>
    </xf>
    <xf numFmtId="2" fontId="7" fillId="0" borderId="0" xfId="34" applyNumberFormat="1" applyFont="1" applyAlignment="1">
      <alignment horizontal="center" wrapText="1"/>
    </xf>
    <xf numFmtId="183" fontId="7" fillId="0" borderId="0" xfId="34" applyNumberFormat="1" applyFont="1" applyAlignment="1">
      <alignment wrapText="1"/>
    </xf>
    <xf numFmtId="184" fontId="8" fillId="0" borderId="0" xfId="80" applyNumberFormat="1" applyFont="1" applyAlignment="1">
      <alignment horizontal="center" wrapText="1"/>
    </xf>
    <xf numFmtId="184" fontId="7" fillId="0" borderId="0" xfId="34" applyNumberFormat="1" applyFont="1" applyAlignment="1">
      <alignment horizontal="center" wrapText="1"/>
    </xf>
    <xf numFmtId="0" fontId="8" fillId="4" borderId="4" xfId="10" quotePrefix="1" applyFont="1" applyFill="1" applyBorder="1" applyAlignment="1">
      <alignment horizontal="center" vertical="top" wrapText="1"/>
    </xf>
    <xf numFmtId="0" fontId="8" fillId="0" borderId="4" xfId="10" applyFont="1" applyBorder="1" applyAlignment="1">
      <alignment horizontal="left" vertical="top" wrapText="1"/>
    </xf>
    <xf numFmtId="0" fontId="8" fillId="0" borderId="4" xfId="10" applyFont="1" applyBorder="1" applyAlignment="1">
      <alignment vertical="center" wrapText="1"/>
    </xf>
    <xf numFmtId="2" fontId="7" fillId="0" borderId="0" xfId="10" applyNumberFormat="1" applyFont="1"/>
    <xf numFmtId="9" fontId="7" fillId="0" borderId="0" xfId="40" applyFont="1" applyBorder="1"/>
    <xf numFmtId="10" fontId="7" fillId="0" borderId="0" xfId="40" applyNumberFormat="1" applyFont="1" applyBorder="1"/>
    <xf numFmtId="0" fontId="7" fillId="0" borderId="4" xfId="10" applyFont="1" applyBorder="1" applyAlignment="1">
      <alignment horizontal="right"/>
    </xf>
    <xf numFmtId="0" fontId="7" fillId="6" borderId="4" xfId="10" applyFont="1" applyFill="1" applyBorder="1" applyAlignment="1">
      <alignment horizontal="right"/>
    </xf>
    <xf numFmtId="185" fontId="7" fillId="0" borderId="0" xfId="40" applyNumberFormat="1" applyFont="1" applyBorder="1"/>
    <xf numFmtId="183" fontId="7" fillId="0" borderId="0" xfId="10" applyNumberFormat="1" applyFont="1"/>
    <xf numFmtId="2" fontId="8" fillId="0" borderId="0" xfId="10" applyNumberFormat="1" applyFont="1"/>
    <xf numFmtId="0" fontId="8" fillId="0" borderId="4" xfId="10" applyFont="1" applyBorder="1" applyAlignment="1">
      <alignment wrapText="1"/>
    </xf>
    <xf numFmtId="0" fontId="7" fillId="0" borderId="0" xfId="10" applyFont="1" applyAlignment="1">
      <alignment horizontal="left" vertical="top"/>
    </xf>
    <xf numFmtId="46" fontId="8" fillId="0" borderId="0" xfId="10" applyNumberFormat="1" applyFont="1" applyAlignment="1">
      <alignment horizontal="left"/>
    </xf>
    <xf numFmtId="164" fontId="8" fillId="0" borderId="0" xfId="10" applyNumberFormat="1" applyFont="1" applyAlignment="1">
      <alignment horizontal="center"/>
    </xf>
    <xf numFmtId="9" fontId="8" fillId="0" borderId="0" xfId="40" quotePrefix="1" applyFont="1" applyFill="1" applyBorder="1" applyAlignment="1">
      <alignment horizontal="right"/>
    </xf>
    <xf numFmtId="164" fontId="8" fillId="0" borderId="0" xfId="81" applyFont="1" applyFill="1" applyBorder="1" applyAlignment="1">
      <alignment horizontal="center"/>
    </xf>
    <xf numFmtId="164" fontId="8" fillId="0" borderId="0" xfId="81" quotePrefix="1" applyFont="1" applyFill="1" applyBorder="1" applyAlignment="1">
      <alignment horizontal="right"/>
    </xf>
    <xf numFmtId="2" fontId="8" fillId="0" borderId="0" xfId="10" applyNumberFormat="1" applyFont="1" applyAlignment="1">
      <alignment horizontal="center"/>
    </xf>
    <xf numFmtId="164" fontId="7" fillId="0" borderId="0" xfId="81" applyFont="1" applyFill="1" applyBorder="1"/>
    <xf numFmtId="174" fontId="7" fillId="0" borderId="0" xfId="10" applyNumberFormat="1" applyFont="1"/>
    <xf numFmtId="0" fontId="8" fillId="0" borderId="4" xfId="10" quotePrefix="1" applyFont="1" applyBorder="1" applyAlignment="1">
      <alignment horizontal="center"/>
    </xf>
    <xf numFmtId="0" fontId="8" fillId="0" borderId="4" xfId="10" quotePrefix="1" applyFont="1" applyBorder="1" applyAlignment="1">
      <alignment vertical="center"/>
    </xf>
    <xf numFmtId="0" fontId="7" fillId="0" borderId="4" xfId="10" applyFont="1" applyBorder="1" applyAlignment="1">
      <alignment wrapText="1"/>
    </xf>
    <xf numFmtId="0" fontId="7" fillId="0" borderId="0" xfId="10" applyFont="1" applyAlignment="1">
      <alignment horizontal="left" wrapText="1"/>
    </xf>
    <xf numFmtId="0" fontId="8" fillId="0" borderId="0" xfId="35" applyFont="1" applyAlignment="1">
      <alignment vertical="top"/>
    </xf>
    <xf numFmtId="0" fontId="8" fillId="0" borderId="0" xfId="35" applyFont="1" applyAlignment="1">
      <alignment horizontal="center" vertical="top"/>
    </xf>
    <xf numFmtId="0" fontId="8" fillId="4" borderId="4" xfId="35" applyFont="1" applyFill="1" applyBorder="1" applyAlignment="1">
      <alignment horizontal="center" vertical="top" wrapText="1"/>
    </xf>
    <xf numFmtId="0" fontId="7" fillId="0" borderId="4" xfId="35" applyFont="1" applyBorder="1"/>
    <xf numFmtId="0" fontId="7" fillId="0" borderId="4" xfId="35" applyFont="1" applyBorder="1" applyAlignment="1">
      <alignment vertical="center"/>
    </xf>
    <xf numFmtId="0" fontId="8" fillId="0" borderId="4" xfId="35" applyFont="1" applyBorder="1" applyAlignment="1">
      <alignment horizontal="center" vertical="top" wrapText="1"/>
    </xf>
    <xf numFmtId="0" fontId="8" fillId="0" borderId="4" xfId="35" applyFont="1" applyBorder="1" applyAlignment="1">
      <alignment horizontal="left" vertical="top"/>
    </xf>
    <xf numFmtId="0" fontId="8" fillId="0" borderId="22" xfId="35" applyFont="1" applyBorder="1" applyAlignment="1">
      <alignment horizontal="center" vertical="top" wrapText="1"/>
    </xf>
    <xf numFmtId="0" fontId="8" fillId="0" borderId="7" xfId="35" applyFont="1" applyBorder="1" applyAlignment="1">
      <alignment horizontal="left" vertical="top"/>
    </xf>
    <xf numFmtId="0" fontId="8" fillId="0" borderId="21" xfId="35" applyFont="1" applyBorder="1" applyAlignment="1">
      <alignment horizontal="center" vertical="top" wrapText="1"/>
    </xf>
    <xf numFmtId="2" fontId="8" fillId="0" borderId="23" xfId="10" quotePrefix="1" applyNumberFormat="1" applyFont="1" applyBorder="1" applyAlignment="1">
      <alignment horizontal="center" vertical="center" wrapText="1"/>
    </xf>
    <xf numFmtId="164" fontId="7" fillId="0" borderId="0" xfId="25" applyFont="1" applyBorder="1"/>
    <xf numFmtId="0" fontId="8" fillId="0" borderId="0" xfId="71" applyFont="1" applyAlignment="1">
      <alignment horizontal="right"/>
    </xf>
    <xf numFmtId="0" fontId="7" fillId="0" borderId="0" xfId="71" applyFont="1" applyAlignment="1">
      <alignment horizontal="center"/>
    </xf>
    <xf numFmtId="0" fontId="7" fillId="0" borderId="4" xfId="71" applyFont="1" applyBorder="1"/>
    <xf numFmtId="0" fontId="7" fillId="0" borderId="4" xfId="71" applyFont="1" applyBorder="1" applyAlignment="1">
      <alignment horizontal="left" vertical="top" wrapText="1"/>
    </xf>
    <xf numFmtId="0" fontId="7" fillId="0" borderId="4" xfId="71" applyFont="1" applyBorder="1" applyAlignment="1">
      <alignment horizontal="left"/>
    </xf>
    <xf numFmtId="0" fontId="8" fillId="0" borderId="4" xfId="71" applyFont="1" applyBorder="1"/>
    <xf numFmtId="0" fontId="8" fillId="0" borderId="4" xfId="71" applyFont="1" applyBorder="1" applyAlignment="1">
      <alignment horizontal="left" vertical="top" wrapText="1"/>
    </xf>
    <xf numFmtId="164" fontId="7" fillId="0" borderId="0" xfId="71" applyNumberFormat="1" applyFont="1"/>
    <xf numFmtId="0" fontId="7" fillId="6" borderId="11" xfId="71" applyFont="1" applyFill="1" applyBorder="1"/>
    <xf numFmtId="0" fontId="7" fillId="6" borderId="0" xfId="71" applyFont="1" applyFill="1"/>
    <xf numFmtId="0" fontId="8" fillId="6" borderId="0" xfId="82" applyFont="1" applyFill="1">
      <alignment vertical="center"/>
    </xf>
    <xf numFmtId="0" fontId="7" fillId="6" borderId="0" xfId="71" applyFont="1" applyFill="1" applyAlignment="1">
      <alignment vertical="center"/>
    </xf>
    <xf numFmtId="0" fontId="8" fillId="6" borderId="0" xfId="71" applyFont="1" applyFill="1" applyAlignment="1">
      <alignment vertical="center"/>
    </xf>
    <xf numFmtId="0" fontId="7" fillId="6" borderId="0" xfId="71" applyFont="1" applyFill="1" applyAlignment="1">
      <alignment horizontal="center" vertical="center"/>
    </xf>
    <xf numFmtId="0" fontId="8" fillId="6" borderId="0" xfId="10" applyFont="1" applyFill="1" applyAlignment="1">
      <alignment horizontal="center" vertical="center"/>
    </xf>
    <xf numFmtId="0" fontId="8" fillId="6" borderId="0" xfId="35" applyFont="1" applyFill="1" applyAlignment="1">
      <alignment horizontal="center" vertical="top"/>
    </xf>
    <xf numFmtId="0" fontId="8" fillId="6" borderId="0" xfId="82" applyFont="1" applyFill="1" applyAlignment="1">
      <alignment horizontal="center" vertical="center"/>
    </xf>
    <xf numFmtId="0" fontId="8" fillId="7" borderId="4" xfId="71" applyFont="1" applyFill="1" applyBorder="1"/>
    <xf numFmtId="0" fontId="7" fillId="7" borderId="4" xfId="71" applyFont="1" applyFill="1" applyBorder="1"/>
    <xf numFmtId="0" fontId="8" fillId="7" borderId="4" xfId="71" applyFont="1" applyFill="1" applyBorder="1" applyAlignment="1">
      <alignment vertical="top" wrapText="1"/>
    </xf>
    <xf numFmtId="0" fontId="8" fillId="7" borderId="4" xfId="71" applyFont="1" applyFill="1" applyBorder="1" applyAlignment="1">
      <alignment horizontal="center" vertical="top" wrapText="1"/>
    </xf>
    <xf numFmtId="0" fontId="7" fillId="6" borderId="4" xfId="71" applyFont="1" applyFill="1" applyBorder="1"/>
    <xf numFmtId="0" fontId="7" fillId="6" borderId="4" xfId="71" applyFont="1" applyFill="1" applyBorder="1" applyAlignment="1">
      <alignment horizontal="right"/>
    </xf>
    <xf numFmtId="0" fontId="8" fillId="6" borderId="4" xfId="71" applyFont="1" applyFill="1" applyBorder="1"/>
    <xf numFmtId="2" fontId="7" fillId="6" borderId="4" xfId="71" applyNumberFormat="1" applyFont="1" applyFill="1" applyBorder="1"/>
    <xf numFmtId="164" fontId="7" fillId="6" borderId="4" xfId="81" applyFont="1" applyFill="1" applyBorder="1"/>
    <xf numFmtId="2" fontId="7" fillId="0" borderId="4" xfId="10" applyNumberFormat="1" applyFont="1" applyBorder="1"/>
    <xf numFmtId="164" fontId="7" fillId="0" borderId="4" xfId="81" applyFont="1" applyFill="1" applyBorder="1"/>
    <xf numFmtId="2" fontId="7" fillId="6" borderId="0" xfId="71" applyNumberFormat="1" applyFont="1" applyFill="1"/>
    <xf numFmtId="2" fontId="8" fillId="6" borderId="4" xfId="71" applyNumberFormat="1" applyFont="1" applyFill="1" applyBorder="1"/>
    <xf numFmtId="164" fontId="8" fillId="6" borderId="4" xfId="81" applyFont="1" applyFill="1" applyBorder="1"/>
    <xf numFmtId="0" fontId="8" fillId="6" borderId="0" xfId="71" applyFont="1" applyFill="1"/>
    <xf numFmtId="164" fontId="7" fillId="0" borderId="4" xfId="81" applyFont="1" applyBorder="1"/>
    <xf numFmtId="0" fontId="7" fillId="6" borderId="4" xfId="71" applyFont="1" applyFill="1" applyBorder="1" applyAlignment="1">
      <alignment vertical="center" wrapText="1"/>
    </xf>
    <xf numFmtId="164" fontId="7" fillId="6" borderId="4" xfId="81" applyFont="1" applyFill="1" applyBorder="1" applyAlignment="1">
      <alignment horizontal="right"/>
    </xf>
    <xf numFmtId="0" fontId="8" fillId="6" borderId="4" xfId="10" applyFont="1" applyFill="1" applyBorder="1"/>
    <xf numFmtId="0" fontId="8" fillId="0" borderId="0" xfId="10" applyFont="1" applyAlignment="1">
      <alignment horizontal="centerContinuous" vertical="top"/>
    </xf>
    <xf numFmtId="0" fontId="0" fillId="0" borderId="4" xfId="10" applyFont="1" applyBorder="1" applyAlignment="1">
      <alignment horizontal="center" vertical="center" wrapText="1"/>
    </xf>
    <xf numFmtId="0" fontId="0" fillId="0" borderId="4" xfId="10" applyFont="1" applyBorder="1" applyAlignment="1">
      <alignment horizontal="center" vertical="center"/>
    </xf>
    <xf numFmtId="0" fontId="7" fillId="5" borderId="7" xfId="10" applyFont="1" applyFill="1" applyBorder="1" applyAlignment="1">
      <alignment horizontal="center" vertical="top"/>
    </xf>
    <xf numFmtId="0" fontId="7" fillId="5" borderId="7" xfId="10" applyFont="1" applyFill="1" applyBorder="1" applyAlignment="1">
      <alignment horizontal="right" vertical="top"/>
    </xf>
    <xf numFmtId="2" fontId="8" fillId="5" borderId="4" xfId="14" applyNumberFormat="1" applyFont="1" applyFill="1" applyBorder="1" applyAlignment="1">
      <alignment horizontal="center" vertical="center" wrapText="1"/>
    </xf>
    <xf numFmtId="0" fontId="8" fillId="0" borderId="8" xfId="10" applyFont="1" applyBorder="1" applyAlignment="1">
      <alignment horizontal="right"/>
    </xf>
    <xf numFmtId="0" fontId="7" fillId="0" borderId="8" xfId="10" applyFont="1" applyBorder="1" applyAlignment="1">
      <alignment horizontal="left"/>
    </xf>
    <xf numFmtId="0" fontId="7" fillId="5" borderId="6" xfId="10" applyFont="1" applyFill="1" applyBorder="1" applyAlignment="1">
      <alignment horizontal="center" vertical="top"/>
    </xf>
    <xf numFmtId="0" fontId="8" fillId="5" borderId="4" xfId="10" applyFont="1" applyFill="1" applyBorder="1" applyAlignment="1">
      <alignment vertical="top" wrapText="1"/>
    </xf>
    <xf numFmtId="0" fontId="7" fillId="5" borderId="4" xfId="10" applyFont="1" applyFill="1" applyBorder="1" applyAlignment="1">
      <alignment vertical="top" wrapText="1"/>
    </xf>
    <xf numFmtId="0" fontId="8" fillId="5" borderId="0" xfId="10" applyFont="1" applyFill="1"/>
    <xf numFmtId="0" fontId="7" fillId="5" borderId="0" xfId="10" applyFont="1" applyFill="1"/>
    <xf numFmtId="0" fontId="25" fillId="0" borderId="0" xfId="10" applyFont="1" applyAlignment="1">
      <alignment vertical="top" wrapText="1"/>
    </xf>
    <xf numFmtId="0" fontId="7" fillId="5" borderId="0" xfId="10" applyFont="1" applyFill="1" applyAlignment="1">
      <alignment vertical="center" wrapText="1"/>
    </xf>
    <xf numFmtId="0" fontId="17" fillId="0" borderId="0" xfId="71"/>
    <xf numFmtId="0" fontId="7" fillId="0" borderId="0" xfId="10" applyFont="1" applyAlignment="1">
      <alignment horizontal="center" vertical="top"/>
    </xf>
    <xf numFmtId="0" fontId="11" fillId="5" borderId="4" xfId="14" applyFont="1" applyFill="1" applyBorder="1" applyAlignment="1">
      <alignment horizontal="center" vertical="center" wrapText="1"/>
    </xf>
    <xf numFmtId="0" fontId="7" fillId="0" borderId="4" xfId="71" applyFont="1" applyBorder="1" applyAlignment="1">
      <alignment horizontal="center"/>
    </xf>
    <xf numFmtId="0" fontId="7" fillId="0" borderId="4" xfId="71" applyFont="1" applyFill="1" applyBorder="1" applyAlignment="1">
      <alignment horizontal="center"/>
    </xf>
    <xf numFmtId="0" fontId="8" fillId="0" borderId="4" xfId="71" applyFont="1" applyBorder="1" applyAlignment="1">
      <alignment horizontal="center"/>
    </xf>
    <xf numFmtId="0" fontId="8" fillId="0" borderId="4" xfId="71" applyFont="1" applyFill="1" applyBorder="1"/>
    <xf numFmtId="0" fontId="47" fillId="0" borderId="0" xfId="71" applyFont="1"/>
    <xf numFmtId="0" fontId="17" fillId="0" borderId="0" xfId="71" applyAlignment="1">
      <alignment vertical="center" wrapText="1"/>
    </xf>
    <xf numFmtId="0" fontId="16" fillId="0" borderId="4" xfId="14" applyFont="1" applyBorder="1" applyAlignment="1">
      <alignment horizontal="left" vertical="center"/>
    </xf>
    <xf numFmtId="0" fontId="16" fillId="0" borderId="4" xfId="14" applyFont="1" applyBorder="1" applyAlignment="1">
      <alignment vertical="center" wrapText="1"/>
    </xf>
    <xf numFmtId="0" fontId="16" fillId="10" borderId="4" xfId="14" applyFont="1" applyFill="1" applyBorder="1" applyAlignment="1">
      <alignment horizontal="center" vertical="center"/>
    </xf>
    <xf numFmtId="0" fontId="12" fillId="10" borderId="4" xfId="14" applyFont="1" applyFill="1" applyBorder="1">
      <alignment vertical="center"/>
    </xf>
    <xf numFmtId="0" fontId="16" fillId="10" borderId="4" xfId="14" applyFont="1" applyFill="1" applyBorder="1" applyAlignment="1">
      <alignment horizontal="left" vertical="center"/>
    </xf>
    <xf numFmtId="0" fontId="16" fillId="0" borderId="7" xfId="14" applyFont="1" applyBorder="1" applyAlignment="1">
      <alignment horizontal="center" vertical="center"/>
    </xf>
    <xf numFmtId="0" fontId="16" fillId="6" borderId="7" xfId="14" applyFont="1" applyFill="1" applyBorder="1">
      <alignment vertical="center"/>
    </xf>
    <xf numFmtId="0" fontId="16" fillId="6" borderId="7" xfId="14" applyFont="1" applyFill="1" applyBorder="1" applyAlignment="1">
      <alignment horizontal="left" vertical="center"/>
    </xf>
    <xf numFmtId="0" fontId="7" fillId="0" borderId="4" xfId="29" applyNumberFormat="1" applyFont="1" applyBorder="1" applyAlignment="1">
      <alignment horizontal="left" vertical="top"/>
    </xf>
    <xf numFmtId="164" fontId="24" fillId="0" borderId="0" xfId="29" applyFont="1" applyAlignment="1">
      <alignment horizontal="left"/>
    </xf>
    <xf numFmtId="164" fontId="8" fillId="14" borderId="0" xfId="29" applyFont="1" applyFill="1" applyAlignment="1">
      <alignment horizontal="center" vertical="top"/>
    </xf>
    <xf numFmtId="164" fontId="8" fillId="0" borderId="0" xfId="29" applyFont="1" applyAlignment="1">
      <alignment horizontal="left" vertical="top"/>
    </xf>
    <xf numFmtId="0" fontId="7" fillId="0" borderId="4" xfId="10" applyFont="1" applyBorder="1" applyAlignment="1">
      <alignment horizontal="right" vertical="top"/>
    </xf>
    <xf numFmtId="43" fontId="7" fillId="0" borderId="4" xfId="10" applyNumberFormat="1" applyFont="1" applyBorder="1" applyAlignment="1">
      <alignment vertical="top"/>
    </xf>
    <xf numFmtId="0" fontId="7" fillId="0" borderId="4" xfId="10" applyFont="1" applyBorder="1" applyAlignment="1">
      <alignment horizontal="right" vertical="top" wrapText="1"/>
    </xf>
    <xf numFmtId="43" fontId="7" fillId="0" borderId="4" xfId="10" applyNumberFormat="1" applyFont="1" applyBorder="1" applyAlignment="1">
      <alignment vertical="top" wrapText="1"/>
    </xf>
    <xf numFmtId="43" fontId="7" fillId="0" borderId="4" xfId="10" applyNumberFormat="1" applyFont="1" applyBorder="1" applyAlignment="1">
      <alignment horizontal="right" vertical="top"/>
    </xf>
    <xf numFmtId="10" fontId="8" fillId="0" borderId="4" xfId="29" applyNumberFormat="1" applyFont="1" applyFill="1" applyBorder="1" applyAlignment="1">
      <alignment vertical="center"/>
    </xf>
    <xf numFmtId="4" fontId="8" fillId="0" borderId="4" xfId="29" applyNumberFormat="1" applyFont="1" applyFill="1" applyBorder="1" applyAlignment="1">
      <alignment vertical="center"/>
    </xf>
    <xf numFmtId="164" fontId="8" fillId="0" borderId="4" xfId="29" applyFont="1" applyFill="1" applyBorder="1" applyAlignment="1">
      <alignment horizontal="center" vertical="center"/>
    </xf>
    <xf numFmtId="164" fontId="16" fillId="0" borderId="4" xfId="29" applyFont="1" applyFill="1" applyBorder="1"/>
    <xf numFmtId="176" fontId="7" fillId="0" borderId="4" xfId="29" applyNumberFormat="1" applyFont="1" applyFill="1" applyBorder="1" applyAlignment="1">
      <alignment horizontal="center" vertical="center"/>
    </xf>
    <xf numFmtId="177" fontId="7" fillId="0" borderId="4" xfId="29" applyNumberFormat="1" applyFont="1" applyFill="1" applyBorder="1" applyAlignment="1">
      <alignment horizontal="center" vertical="center"/>
    </xf>
    <xf numFmtId="177" fontId="8" fillId="0" borderId="4" xfId="29" applyNumberFormat="1" applyFont="1" applyFill="1" applyBorder="1" applyAlignment="1">
      <alignment horizontal="center" vertical="center"/>
    </xf>
    <xf numFmtId="10" fontId="48" fillId="0" borderId="4" xfId="40" applyNumberFormat="1" applyFont="1" applyFill="1" applyBorder="1" applyAlignment="1">
      <alignment wrapText="1"/>
    </xf>
    <xf numFmtId="10" fontId="16" fillId="0" borderId="4" xfId="40" applyNumberFormat="1" applyFont="1" applyFill="1" applyBorder="1" applyAlignment="1">
      <alignment wrapText="1"/>
    </xf>
    <xf numFmtId="180" fontId="7" fillId="0" borderId="4" xfId="40" applyNumberFormat="1" applyFont="1" applyFill="1" applyBorder="1" applyAlignment="1">
      <alignment wrapText="1"/>
    </xf>
    <xf numFmtId="164" fontId="7" fillId="0" borderId="4" xfId="29" applyFont="1" applyFill="1" applyBorder="1" applyAlignment="1">
      <alignment horizontal="right" vertical="center" wrapText="1"/>
    </xf>
    <xf numFmtId="10" fontId="16" fillId="0" borderId="4" xfId="40" applyNumberFormat="1" applyFont="1" applyFill="1" applyBorder="1" applyAlignment="1">
      <alignment horizontal="right" vertical="center" wrapText="1"/>
    </xf>
    <xf numFmtId="10" fontId="7" fillId="10" borderId="4" xfId="40" applyNumberFormat="1" applyFont="1" applyFill="1" applyBorder="1" applyAlignment="1">
      <alignment horizontal="right" vertical="center" wrapText="1"/>
    </xf>
    <xf numFmtId="10" fontId="7" fillId="0" borderId="4" xfId="40" applyNumberFormat="1" applyFont="1" applyFill="1" applyBorder="1" applyAlignment="1">
      <alignment horizontal="right" vertical="center" wrapText="1"/>
    </xf>
    <xf numFmtId="164" fontId="7" fillId="0" borderId="4" xfId="29" quotePrefix="1" applyFont="1" applyFill="1" applyBorder="1" applyAlignment="1">
      <alignment horizontal="right" vertical="center" wrapText="1"/>
    </xf>
    <xf numFmtId="179" fontId="9" fillId="0" borderId="4" xfId="40" applyNumberFormat="1" applyFont="1" applyFill="1" applyBorder="1" applyAlignment="1">
      <alignment horizontal="center" vertical="center"/>
    </xf>
    <xf numFmtId="179" fontId="9" fillId="0" borderId="4" xfId="40" applyNumberFormat="1" applyFont="1" applyBorder="1" applyAlignment="1">
      <alignment horizontal="center" vertical="center"/>
    </xf>
    <xf numFmtId="164" fontId="9" fillId="0" borderId="4" xfId="29" applyFont="1" applyFill="1" applyBorder="1" applyAlignment="1">
      <alignment horizontal="center" vertical="center"/>
    </xf>
    <xf numFmtId="0" fontId="16" fillId="0" borderId="4" xfId="14" applyFont="1" applyBorder="1" applyAlignment="1">
      <alignment horizontal="center" wrapText="1"/>
    </xf>
    <xf numFmtId="0" fontId="16" fillId="0" borderId="4" xfId="14" applyFont="1" applyBorder="1" applyAlignment="1">
      <alignment horizontal="left" vertical="center" wrapText="1"/>
    </xf>
    <xf numFmtId="0" fontId="16" fillId="0" borderId="4" xfId="14" applyFont="1" applyBorder="1" applyAlignment="1">
      <alignment horizontal="center" vertical="center" wrapText="1"/>
    </xf>
    <xf numFmtId="0" fontId="12" fillId="0" borderId="4" xfId="10" applyFont="1" applyBorder="1" applyAlignment="1">
      <alignment horizontal="center" vertical="top"/>
    </xf>
    <xf numFmtId="0" fontId="12" fillId="0" borderId="4" xfId="10" applyFont="1" applyBorder="1" applyAlignment="1">
      <alignment horizontal="left"/>
    </xf>
    <xf numFmtId="0" fontId="12" fillId="0" borderId="4" xfId="10" applyFont="1" applyBorder="1" applyAlignment="1">
      <alignment horizontal="center" vertical="center"/>
    </xf>
    <xf numFmtId="0" fontId="16" fillId="0" borderId="4" xfId="10" applyFont="1" applyBorder="1" applyAlignment="1">
      <alignment horizontal="left"/>
    </xf>
    <xf numFmtId="0" fontId="8" fillId="4" borderId="4" xfId="14" applyFont="1" applyFill="1" applyBorder="1" applyAlignment="1">
      <alignment horizontal="center" vertical="center" wrapText="1"/>
    </xf>
    <xf numFmtId="0" fontId="12" fillId="4" borderId="4" xfId="14" applyFont="1" applyFill="1" applyBorder="1" applyAlignment="1">
      <alignment horizontal="center" vertical="center" wrapText="1"/>
    </xf>
    <xf numFmtId="0" fontId="8" fillId="7" borderId="4" xfId="14" applyFont="1" applyFill="1" applyBorder="1" applyAlignment="1">
      <alignment horizontal="center" vertical="center" wrapText="1"/>
    </xf>
    <xf numFmtId="0" fontId="8" fillId="0" borderId="0" xfId="10" applyFont="1" applyFill="1" applyBorder="1" applyAlignment="1">
      <alignment horizontal="center" vertical="center"/>
    </xf>
    <xf numFmtId="0" fontId="8" fillId="0" borderId="0" xfId="14" applyFont="1" applyFill="1" applyBorder="1" applyAlignment="1">
      <alignment horizontal="center" vertical="center" wrapText="1"/>
    </xf>
    <xf numFmtId="0" fontId="8" fillId="7" borderId="4" xfId="10" applyFont="1" applyFill="1" applyBorder="1" applyAlignment="1">
      <alignment horizontal="center" vertical="center" wrapText="1"/>
    </xf>
    <xf numFmtId="164" fontId="7" fillId="0" borderId="4" xfId="69" applyFont="1" applyFill="1" applyBorder="1" applyAlignment="1">
      <alignment horizontal="center" vertical="center"/>
    </xf>
    <xf numFmtId="0" fontId="8" fillId="7" borderId="4" xfId="10" applyFont="1" applyFill="1" applyBorder="1" applyAlignment="1">
      <alignment horizontal="center" vertical="center"/>
    </xf>
    <xf numFmtId="0" fontId="8" fillId="7" borderId="4" xfId="10" applyFont="1" applyFill="1" applyBorder="1" applyAlignment="1">
      <alignment horizontal="center" wrapText="1"/>
    </xf>
    <xf numFmtId="0" fontId="39" fillId="0" borderId="0" xfId="10" applyFont="1" applyFill="1" applyBorder="1" applyProtection="1"/>
    <xf numFmtId="0" fontId="0" fillId="0" borderId="20" xfId="0" applyBorder="1"/>
    <xf numFmtId="172" fontId="7" fillId="5" borderId="4" xfId="10" applyNumberFormat="1" applyFont="1" applyFill="1" applyBorder="1" applyAlignment="1">
      <alignment horizontal="center"/>
    </xf>
    <xf numFmtId="173" fontId="7" fillId="5" borderId="4" xfId="10" applyNumberFormat="1" applyFont="1" applyFill="1" applyBorder="1" applyAlignment="1">
      <alignment horizontal="center"/>
    </xf>
    <xf numFmtId="0" fontId="17" fillId="0" borderId="20" xfId="0" applyFont="1" applyBorder="1"/>
    <xf numFmtId="9" fontId="0" fillId="0" borderId="8" xfId="0" applyNumberFormat="1" applyBorder="1" applyAlignment="1">
      <alignment horizontal="center"/>
    </xf>
    <xf numFmtId="0" fontId="62" fillId="0" borderId="20" xfId="0" applyFont="1" applyBorder="1"/>
    <xf numFmtId="0" fontId="62" fillId="0" borderId="8" xfId="0" applyFont="1" applyBorder="1" applyAlignment="1">
      <alignment horizontal="center"/>
    </xf>
    <xf numFmtId="43" fontId="29" fillId="0" borderId="4" xfId="0" applyNumberFormat="1" applyFont="1" applyBorder="1"/>
    <xf numFmtId="0" fontId="62" fillId="0" borderId="4" xfId="0" applyFont="1" applyBorder="1"/>
    <xf numFmtId="0" fontId="62" fillId="0" borderId="4" xfId="0" applyFont="1" applyBorder="1" applyAlignment="1">
      <alignment horizontal="center"/>
    </xf>
    <xf numFmtId="10" fontId="8" fillId="0" borderId="4" xfId="10" applyNumberFormat="1" applyFont="1" applyBorder="1"/>
    <xf numFmtId="0" fontId="30" fillId="0" borderId="4" xfId="0" applyFont="1" applyBorder="1" applyAlignment="1">
      <alignment horizontal="center"/>
    </xf>
    <xf numFmtId="43" fontId="47" fillId="0" borderId="4" xfId="73" applyFont="1" applyFill="1" applyBorder="1"/>
    <xf numFmtId="164" fontId="7" fillId="0" borderId="4" xfId="29" applyFont="1" applyFill="1" applyBorder="1" applyAlignment="1">
      <alignment horizontal="left"/>
    </xf>
    <xf numFmtId="164" fontId="7" fillId="0" borderId="4" xfId="29" applyFont="1" applyFill="1" applyBorder="1" applyAlignment="1">
      <alignment horizontal="center" vertical="center"/>
    </xf>
    <xf numFmtId="164" fontId="25" fillId="0" borderId="6" xfId="29" applyFont="1" applyFill="1" applyBorder="1" applyAlignment="1">
      <alignment horizontal="center" vertical="center"/>
    </xf>
    <xf numFmtId="164" fontId="25" fillId="0" borderId="4" xfId="29" applyFont="1" applyFill="1" applyBorder="1" applyAlignment="1">
      <alignment horizontal="center" vertical="center"/>
    </xf>
    <xf numFmtId="164" fontId="8" fillId="0" borderId="4" xfId="29" applyFont="1" applyFill="1" applyBorder="1" applyAlignment="1" applyProtection="1">
      <alignment horizontal="center" vertical="center" wrapText="1"/>
    </xf>
    <xf numFmtId="164" fontId="7" fillId="0" borderId="0" xfId="29" applyFont="1" applyFill="1"/>
    <xf numFmtId="0" fontId="8" fillId="12" borderId="4" xfId="10" applyFont="1" applyFill="1" applyBorder="1"/>
    <xf numFmtId="0" fontId="8" fillId="12" borderId="4" xfId="10" applyFont="1" applyFill="1" applyBorder="1" applyAlignment="1">
      <alignment horizontal="center"/>
    </xf>
    <xf numFmtId="0" fontId="39" fillId="0" borderId="4" xfId="10" applyFont="1" applyBorder="1" applyAlignment="1">
      <alignment wrapText="1"/>
    </xf>
    <xf numFmtId="164" fontId="8" fillId="0" borderId="4" xfId="29" applyFont="1" applyBorder="1"/>
    <xf numFmtId="9" fontId="8" fillId="0" borderId="4" xfId="10" applyNumberFormat="1" applyFont="1" applyBorder="1" applyAlignment="1">
      <alignment horizontal="center"/>
    </xf>
    <xf numFmtId="0" fontId="8" fillId="7" borderId="0" xfId="10" applyFont="1" applyFill="1" applyAlignment="1">
      <alignment horizontal="center" vertical="center"/>
    </xf>
    <xf numFmtId="0" fontId="7" fillId="0" borderId="0" xfId="10" applyFont="1" applyFill="1" applyBorder="1" applyAlignment="1">
      <alignment horizontal="center" vertical="center"/>
    </xf>
    <xf numFmtId="164" fontId="7" fillId="0" borderId="0" xfId="29" applyFont="1" applyFill="1" applyBorder="1" applyAlignment="1">
      <alignment horizontal="center" vertical="center"/>
    </xf>
    <xf numFmtId="10" fontId="7" fillId="0" borderId="0" xfId="40" applyNumberFormat="1" applyFont="1" applyFill="1" applyBorder="1" applyAlignment="1">
      <alignment horizontal="center" vertical="center"/>
    </xf>
    <xf numFmtId="10" fontId="7" fillId="0" borderId="0" xfId="10" applyNumberFormat="1" applyFont="1" applyFill="1" applyBorder="1" applyAlignment="1">
      <alignment horizontal="center" vertical="top"/>
    </xf>
    <xf numFmtId="10" fontId="7" fillId="0" borderId="0" xfId="10" applyNumberFormat="1" applyFont="1" applyFill="1" applyBorder="1" applyAlignment="1">
      <alignment horizontal="center" vertical="center"/>
    </xf>
    <xf numFmtId="4" fontId="7" fillId="0" borderId="6" xfId="10" applyNumberFormat="1" applyFont="1" applyFill="1" applyBorder="1" applyAlignment="1" applyProtection="1">
      <alignment vertical="center"/>
    </xf>
    <xf numFmtId="164" fontId="7" fillId="0" borderId="4" xfId="29" applyFont="1" applyFill="1" applyBorder="1" applyAlignment="1"/>
    <xf numFmtId="164" fontId="8" fillId="0" borderId="4" xfId="29" applyFont="1" applyFill="1" applyBorder="1" applyAlignment="1" applyProtection="1">
      <alignment horizontal="left" vertical="center"/>
    </xf>
    <xf numFmtId="10" fontId="7" fillId="0" borderId="0" xfId="10" applyNumberFormat="1" applyFont="1" applyFill="1" applyAlignment="1">
      <alignment horizontal="center"/>
    </xf>
    <xf numFmtId="164" fontId="8" fillId="0" borderId="0" xfId="29" applyFont="1" applyFill="1" applyBorder="1" applyAlignment="1">
      <alignment horizontal="right" vertical="center"/>
    </xf>
    <xf numFmtId="164" fontId="7" fillId="0" borderId="4" xfId="10" applyNumberFormat="1" applyFont="1" applyFill="1" applyBorder="1" applyAlignment="1" applyProtection="1">
      <alignment horizontal="left" vertical="center"/>
    </xf>
    <xf numFmtId="164" fontId="7" fillId="0" borderId="0" xfId="29" applyFont="1" applyFill="1" applyBorder="1" applyAlignment="1">
      <alignment horizontal="right" vertical="center"/>
    </xf>
    <xf numFmtId="164" fontId="8" fillId="0" borderId="4" xfId="29" applyFont="1" applyFill="1" applyBorder="1" applyAlignment="1" applyProtection="1">
      <alignment horizontal="left" vertical="center" wrapText="1"/>
    </xf>
    <xf numFmtId="164" fontId="8" fillId="0" borderId="4" xfId="10" applyNumberFormat="1" applyFont="1" applyFill="1" applyBorder="1" applyAlignment="1" applyProtection="1">
      <alignment horizontal="left" vertical="center"/>
    </xf>
    <xf numFmtId="0" fontId="8" fillId="7" borderId="9" xfId="10" applyFont="1" applyFill="1" applyBorder="1" applyAlignment="1">
      <alignment horizontal="center" vertical="center" wrapText="1"/>
    </xf>
    <xf numFmtId="0" fontId="8" fillId="7" borderId="9" xfId="14" applyFont="1" applyFill="1" applyBorder="1" applyAlignment="1">
      <alignment horizontal="center" vertical="center" wrapText="1"/>
    </xf>
    <xf numFmtId="0" fontId="12" fillId="0" borderId="0" xfId="14" applyFont="1" applyFill="1" applyBorder="1" applyAlignment="1">
      <alignment vertical="center" wrapText="1"/>
    </xf>
    <xf numFmtId="0" fontId="8" fillId="7" borderId="12" xfId="14" applyFont="1" applyFill="1" applyBorder="1" applyAlignment="1">
      <alignment horizontal="center" vertical="center" wrapText="1"/>
    </xf>
    <xf numFmtId="0" fontId="12" fillId="0" borderId="0" xfId="14" applyFont="1" applyFill="1" applyBorder="1" applyAlignment="1">
      <alignment horizontal="center" vertical="center" wrapText="1"/>
    </xf>
    <xf numFmtId="0" fontId="8" fillId="7" borderId="15" xfId="14" applyFont="1" applyFill="1" applyBorder="1" applyAlignment="1">
      <alignment horizontal="center" vertical="center" wrapText="1"/>
    </xf>
    <xf numFmtId="2" fontId="7" fillId="0" borderId="4" xfId="10" applyNumberFormat="1" applyFont="1" applyFill="1" applyBorder="1"/>
    <xf numFmtId="0" fontId="7" fillId="0" borderId="5" xfId="10" applyFont="1" applyFill="1" applyBorder="1"/>
    <xf numFmtId="164" fontId="8" fillId="0" borderId="0" xfId="29" applyFont="1" applyFill="1" applyBorder="1"/>
    <xf numFmtId="164" fontId="7" fillId="0" borderId="0" xfId="29" applyFont="1" applyFill="1" applyBorder="1"/>
    <xf numFmtId="0" fontId="7" fillId="6" borderId="5" xfId="10" applyFont="1" applyFill="1" applyBorder="1"/>
    <xf numFmtId="164" fontId="7" fillId="6" borderId="4" xfId="29" applyFont="1" applyFill="1" applyBorder="1"/>
    <xf numFmtId="0" fontId="63" fillId="0" borderId="18" xfId="0" applyFont="1" applyBorder="1" applyAlignment="1">
      <alignment horizontal="left" vertical="center"/>
    </xf>
    <xf numFmtId="0" fontId="30" fillId="0" borderId="0" xfId="0" applyFont="1" applyAlignment="1">
      <alignment horizontal="center"/>
    </xf>
    <xf numFmtId="0" fontId="63" fillId="0" borderId="24" xfId="0" applyFont="1" applyBorder="1" applyAlignment="1">
      <alignment horizontal="left" vertical="center"/>
    </xf>
    <xf numFmtId="0" fontId="49" fillId="0" borderId="0" xfId="0" applyFont="1"/>
    <xf numFmtId="0" fontId="30" fillId="0" borderId="0" xfId="0" applyFont="1"/>
    <xf numFmtId="0" fontId="63" fillId="0" borderId="4" xfId="0" applyFont="1" applyBorder="1" applyAlignment="1">
      <alignment horizontal="center" vertical="center" wrapText="1"/>
    </xf>
    <xf numFmtId="0" fontId="64" fillId="0" borderId="0" xfId="0" applyFont="1"/>
    <xf numFmtId="0" fontId="8" fillId="0" borderId="4" xfId="10" applyFont="1" applyBorder="1" applyAlignment="1">
      <alignment horizontal="center"/>
    </xf>
    <xf numFmtId="9" fontId="7" fillId="0" borderId="4" xfId="83" applyFont="1" applyBorder="1" applyAlignment="1">
      <alignment vertical="center"/>
    </xf>
    <xf numFmtId="164" fontId="7" fillId="0" borderId="4" xfId="29" applyFont="1" applyFill="1" applyBorder="1" applyAlignment="1">
      <alignment horizontal="center" vertical="center"/>
    </xf>
    <xf numFmtId="164" fontId="7" fillId="0" borderId="4" xfId="29" applyFont="1" applyFill="1" applyBorder="1" applyAlignment="1">
      <alignment horizontal="center" vertical="center"/>
    </xf>
    <xf numFmtId="0" fontId="7" fillId="0" borderId="0" xfId="10" applyFont="1" applyAlignment="1">
      <alignment horizontal="center"/>
    </xf>
    <xf numFmtId="1" fontId="29" fillId="20" borderId="25" xfId="0" applyNumberFormat="1" applyFont="1" applyFill="1" applyBorder="1"/>
    <xf numFmtId="1" fontId="29" fillId="20" borderId="8" xfId="0" applyNumberFormat="1" applyFont="1" applyFill="1" applyBorder="1"/>
    <xf numFmtId="1" fontId="29" fillId="20" borderId="4" xfId="0" applyNumberFormat="1" applyFont="1" applyFill="1" applyBorder="1"/>
    <xf numFmtId="9" fontId="29" fillId="20" borderId="26" xfId="0" applyNumberFormat="1" applyFont="1" applyFill="1" applyBorder="1" applyAlignment="1">
      <alignment horizontal="center" wrapText="1"/>
    </xf>
    <xf numFmtId="0" fontId="63" fillId="0" borderId="4" xfId="0" applyFont="1" applyBorder="1" applyAlignment="1">
      <alignment horizontal="left" vertical="center" wrapText="1"/>
    </xf>
    <xf numFmtId="0" fontId="63" fillId="0" borderId="20" xfId="0" applyFont="1" applyBorder="1" applyAlignment="1">
      <alignment horizontal="center" vertical="center" wrapText="1"/>
    </xf>
    <xf numFmtId="0" fontId="7" fillId="0" borderId="8" xfId="10" applyFont="1" applyBorder="1" applyAlignment="1">
      <alignment horizontal="center"/>
    </xf>
    <xf numFmtId="164" fontId="64" fillId="0" borderId="20" xfId="0" applyNumberFormat="1" applyFont="1" applyBorder="1"/>
    <xf numFmtId="164" fontId="7" fillId="0" borderId="8" xfId="10" applyNumberFormat="1" applyFont="1" applyBorder="1" applyAlignment="1">
      <alignment horizontal="center"/>
    </xf>
    <xf numFmtId="164" fontId="7" fillId="0" borderId="4" xfId="10" applyNumberFormat="1" applyFont="1" applyBorder="1" applyAlignment="1">
      <alignment horizontal="center"/>
    </xf>
    <xf numFmtId="171" fontId="64" fillId="0" borderId="20" xfId="0" applyNumberFormat="1" applyFont="1" applyBorder="1"/>
    <xf numFmtId="169" fontId="7" fillId="0" borderId="8" xfId="10" applyNumberFormat="1" applyFont="1" applyBorder="1" applyAlignment="1">
      <alignment horizontal="center"/>
    </xf>
    <xf numFmtId="164" fontId="64" fillId="0" borderId="20" xfId="29" applyFont="1" applyFill="1" applyBorder="1"/>
    <xf numFmtId="164" fontId="64" fillId="0" borderId="8" xfId="29" applyFont="1" applyFill="1" applyBorder="1"/>
    <xf numFmtId="164" fontId="64" fillId="0" borderId="8" xfId="29" applyFont="1" applyBorder="1"/>
    <xf numFmtId="10" fontId="64" fillId="0" borderId="20" xfId="40" applyNumberFormat="1" applyFont="1" applyFill="1" applyBorder="1"/>
    <xf numFmtId="9" fontId="64" fillId="0" borderId="20" xfId="0" applyNumberFormat="1" applyFont="1" applyBorder="1"/>
    <xf numFmtId="0" fontId="64" fillId="0" borderId="20" xfId="0" applyFont="1" applyBorder="1"/>
    <xf numFmtId="2" fontId="64" fillId="0" borderId="20" xfId="0" applyNumberFormat="1" applyFont="1" applyBorder="1"/>
    <xf numFmtId="164" fontId="63" fillId="0" borderId="20" xfId="29" applyFont="1" applyFill="1" applyBorder="1"/>
    <xf numFmtId="164" fontId="63" fillId="0" borderId="20" xfId="29" applyFont="1" applyBorder="1"/>
    <xf numFmtId="0" fontId="64" fillId="0" borderId="27" xfId="0" applyFont="1" applyBorder="1"/>
    <xf numFmtId="43" fontId="64" fillId="0" borderId="20" xfId="0" applyNumberFormat="1" applyFont="1" applyBorder="1"/>
    <xf numFmtId="43" fontId="7" fillId="0" borderId="8" xfId="10" applyNumberFormat="1" applyFont="1" applyBorder="1" applyAlignment="1">
      <alignment horizontal="center"/>
    </xf>
    <xf numFmtId="0" fontId="64" fillId="0" borderId="20" xfId="0" applyFont="1" applyBorder="1" applyAlignment="1">
      <alignment horizontal="center"/>
    </xf>
    <xf numFmtId="164" fontId="64" fillId="0" borderId="20" xfId="29" applyFont="1" applyBorder="1"/>
    <xf numFmtId="164" fontId="64" fillId="14" borderId="20" xfId="29" applyFont="1" applyFill="1" applyBorder="1"/>
    <xf numFmtId="0" fontId="7" fillId="0" borderId="20" xfId="10" applyFont="1" applyBorder="1" applyAlignment="1">
      <alignment horizontal="center"/>
    </xf>
    <xf numFmtId="164" fontId="8" fillId="0" borderId="21" xfId="29" applyFont="1" applyFill="1" applyBorder="1" applyAlignment="1">
      <alignment horizontal="center"/>
    </xf>
    <xf numFmtId="164" fontId="8" fillId="0" borderId="21" xfId="29" applyFont="1" applyBorder="1" applyAlignment="1">
      <alignment horizontal="center"/>
    </xf>
    <xf numFmtId="1" fontId="29" fillId="20" borderId="28" xfId="0" applyNumberFormat="1" applyFont="1" applyFill="1" applyBorder="1"/>
    <xf numFmtId="169" fontId="7" fillId="0" borderId="4" xfId="29" applyNumberFormat="1" applyFont="1" applyFill="1" applyBorder="1" applyAlignment="1">
      <alignment horizontal="right" vertical="center" wrapText="1"/>
    </xf>
    <xf numFmtId="4" fontId="8" fillId="14" borderId="0" xfId="10" applyNumberFormat="1" applyFont="1" applyFill="1" applyAlignment="1">
      <alignment horizontal="left" vertical="top"/>
    </xf>
    <xf numFmtId="10" fontId="7" fillId="0" borderId="0" xfId="10" applyNumberFormat="1" applyFont="1"/>
    <xf numFmtId="43" fontId="24" fillId="0" borderId="0" xfId="10" applyNumberFormat="1" applyFont="1" applyAlignment="1">
      <alignment horizontal="left"/>
    </xf>
    <xf numFmtId="164" fontId="7" fillId="0" borderId="4" xfId="29" applyFont="1" applyFill="1" applyBorder="1" applyAlignment="1">
      <alignment horizontal="center" vertical="center"/>
    </xf>
    <xf numFmtId="0" fontId="7" fillId="0" borderId="4" xfId="29" applyNumberFormat="1" applyFont="1" applyFill="1" applyBorder="1" applyAlignment="1">
      <alignment horizontal="center" vertical="center" wrapText="1"/>
    </xf>
    <xf numFmtId="164" fontId="8" fillId="0" borderId="4" xfId="29" applyFont="1" applyFill="1" applyBorder="1" applyAlignment="1">
      <alignment horizontal="center" vertical="center" wrapText="1"/>
    </xf>
    <xf numFmtId="10" fontId="16" fillId="0" borderId="4" xfId="83" applyNumberFormat="1" applyFont="1" applyFill="1" applyBorder="1" applyAlignment="1">
      <alignment horizontal="center"/>
    </xf>
    <xf numFmtId="0" fontId="7" fillId="0" borderId="4" xfId="29" applyNumberFormat="1" applyFont="1" applyFill="1" applyBorder="1" applyAlignment="1">
      <alignment horizontal="center" vertical="center"/>
    </xf>
    <xf numFmtId="43" fontId="8" fillId="0" borderId="4" xfId="29" applyNumberFormat="1" applyFont="1" applyFill="1" applyBorder="1" applyAlignment="1">
      <alignment horizontal="center" vertical="center"/>
    </xf>
    <xf numFmtId="169" fontId="7" fillId="0" borderId="4" xfId="29" applyNumberFormat="1" applyFont="1" applyFill="1" applyBorder="1" applyAlignment="1">
      <alignment horizontal="center" vertical="center"/>
    </xf>
    <xf numFmtId="169" fontId="8" fillId="0" borderId="4" xfId="29" applyNumberFormat="1" applyFont="1" applyFill="1" applyBorder="1" applyAlignment="1">
      <alignment horizontal="center" vertical="center"/>
    </xf>
    <xf numFmtId="10" fontId="7" fillId="10" borderId="4" xfId="83" applyNumberFormat="1" applyFont="1" applyFill="1" applyBorder="1" applyAlignment="1">
      <alignment horizontal="right" vertical="center" wrapText="1"/>
    </xf>
    <xf numFmtId="10" fontId="7" fillId="0" borderId="4" xfId="83" applyNumberFormat="1" applyFont="1" applyFill="1" applyBorder="1" applyAlignment="1">
      <alignment horizontal="right" vertical="center" wrapText="1"/>
    </xf>
    <xf numFmtId="10" fontId="16" fillId="0" borderId="4" xfId="83" applyNumberFormat="1" applyFont="1" applyFill="1" applyBorder="1" applyAlignment="1">
      <alignment horizontal="right" vertical="center" wrapText="1"/>
    </xf>
    <xf numFmtId="0" fontId="7" fillId="14" borderId="4" xfId="14" applyFont="1" applyFill="1" applyBorder="1">
      <alignment vertical="center"/>
    </xf>
    <xf numFmtId="164" fontId="7" fillId="14" borderId="4" xfId="29" applyFont="1" applyFill="1" applyBorder="1" applyAlignment="1">
      <alignment vertical="center"/>
    </xf>
    <xf numFmtId="10" fontId="7" fillId="14" borderId="4" xfId="14" applyNumberFormat="1" applyFont="1" applyFill="1" applyBorder="1" applyAlignment="1">
      <alignment vertical="center"/>
    </xf>
    <xf numFmtId="10" fontId="7" fillId="14" borderId="4" xfId="14" applyNumberFormat="1" applyFont="1" applyFill="1" applyBorder="1">
      <alignment vertical="center"/>
    </xf>
    <xf numFmtId="177" fontId="7" fillId="14" borderId="4" xfId="29" applyNumberFormat="1" applyFont="1" applyFill="1" applyBorder="1" applyAlignment="1">
      <alignment vertical="center"/>
    </xf>
    <xf numFmtId="164" fontId="49" fillId="14" borderId="4" xfId="72" applyFont="1" applyFill="1" applyBorder="1" applyAlignment="1">
      <alignment vertical="center"/>
    </xf>
    <xf numFmtId="164" fontId="9" fillId="0" borderId="4" xfId="29" applyFont="1" applyBorder="1" applyAlignment="1">
      <alignment vertical="center"/>
    </xf>
    <xf numFmtId="43" fontId="9" fillId="0" borderId="4" xfId="14" applyNumberFormat="1" applyFont="1" applyBorder="1">
      <alignment vertical="center"/>
    </xf>
    <xf numFmtId="164" fontId="9" fillId="0" borderId="4" xfId="29" applyFont="1" applyFill="1" applyBorder="1" applyAlignment="1">
      <alignment vertical="center"/>
    </xf>
    <xf numFmtId="164" fontId="10" fillId="0" borderId="4" xfId="29" applyFont="1" applyFill="1" applyBorder="1" applyAlignment="1">
      <alignment vertical="center"/>
    </xf>
    <xf numFmtId="164" fontId="50" fillId="0" borderId="4" xfId="69" applyFont="1" applyBorder="1" applyAlignment="1">
      <alignment vertical="center"/>
    </xf>
    <xf numFmtId="164" fontId="50" fillId="0" borderId="4" xfId="69" applyFont="1" applyBorder="1"/>
    <xf numFmtId="164" fontId="51" fillId="0" borderId="4" xfId="69" applyFont="1" applyBorder="1"/>
    <xf numFmtId="164" fontId="50" fillId="0" borderId="0" xfId="69" applyFont="1"/>
    <xf numFmtId="164" fontId="50" fillId="0" borderId="4" xfId="29" applyFont="1" applyFill="1" applyBorder="1"/>
    <xf numFmtId="169" fontId="7" fillId="0" borderId="4" xfId="29" quotePrefix="1" applyNumberFormat="1" applyFont="1" applyFill="1" applyBorder="1" applyAlignment="1">
      <alignment horizontal="right" vertical="center" wrapText="1"/>
    </xf>
    <xf numFmtId="43" fontId="8" fillId="0" borderId="4" xfId="10" applyNumberFormat="1" applyFont="1" applyBorder="1"/>
    <xf numFmtId="0" fontId="8" fillId="4" borderId="4" xfId="14" applyFont="1" applyFill="1" applyBorder="1" applyAlignment="1">
      <alignment horizontal="center" vertical="center" wrapText="1"/>
    </xf>
    <xf numFmtId="1" fontId="29" fillId="20" borderId="25" xfId="0" applyNumberFormat="1" applyFont="1" applyFill="1" applyBorder="1" applyAlignment="1">
      <alignment horizontal="center"/>
    </xf>
    <xf numFmtId="1" fontId="29" fillId="20" borderId="8" xfId="0" applyNumberFormat="1" applyFont="1" applyFill="1" applyBorder="1" applyAlignment="1">
      <alignment horizontal="center"/>
    </xf>
    <xf numFmtId="1" fontId="29" fillId="20" borderId="4" xfId="0" applyNumberFormat="1" applyFont="1" applyFill="1" applyBorder="1" applyAlignment="1">
      <alignment horizontal="center"/>
    </xf>
    <xf numFmtId="169" fontId="64" fillId="0" borderId="20" xfId="29" applyNumberFormat="1" applyFont="1" applyBorder="1" applyAlignment="1">
      <alignment horizontal="center"/>
    </xf>
    <xf numFmtId="0" fontId="8" fillId="4" borderId="4" xfId="14" applyFont="1" applyFill="1" applyBorder="1" applyAlignment="1">
      <alignment horizontal="center" vertical="center" wrapText="1"/>
    </xf>
    <xf numFmtId="164" fontId="7" fillId="0" borderId="4" xfId="29" applyFont="1" applyFill="1" applyBorder="1" applyAlignment="1">
      <alignment horizontal="center" vertical="center"/>
    </xf>
    <xf numFmtId="172" fontId="7" fillId="0" borderId="4" xfId="10" applyNumberFormat="1" applyFont="1" applyFill="1" applyBorder="1" applyAlignment="1">
      <alignment horizontal="center"/>
    </xf>
    <xf numFmtId="173" fontId="7" fillId="0" borderId="4" xfId="10" applyNumberFormat="1" applyFont="1" applyFill="1" applyBorder="1" applyAlignment="1">
      <alignment horizontal="center"/>
    </xf>
    <xf numFmtId="173" fontId="7" fillId="0" borderId="4" xfId="10" applyNumberFormat="1" applyFont="1" applyFill="1" applyBorder="1" applyAlignment="1"/>
    <xf numFmtId="9" fontId="8" fillId="0" borderId="4" xfId="10" applyNumberFormat="1" applyFont="1" applyFill="1" applyBorder="1" applyAlignment="1"/>
    <xf numFmtId="172" fontId="7" fillId="0" borderId="4" xfId="10" applyNumberFormat="1" applyFont="1" applyFill="1" applyBorder="1" applyAlignment="1"/>
    <xf numFmtId="169" fontId="7" fillId="0" borderId="4" xfId="69" applyNumberFormat="1" applyFont="1" applyBorder="1" applyAlignment="1">
      <alignment vertical="center"/>
    </xf>
    <xf numFmtId="0" fontId="55" fillId="0" borderId="11" xfId="15" applyFont="1" applyBorder="1" applyAlignment="1">
      <alignment horizontal="center" vertical="center"/>
    </xf>
    <xf numFmtId="0" fontId="55" fillId="16" borderId="4" xfId="10" applyFont="1" applyFill="1" applyBorder="1" applyAlignment="1">
      <alignment horizontal="center" vertical="center" wrapText="1"/>
    </xf>
    <xf numFmtId="186" fontId="55" fillId="16" borderId="4" xfId="10" applyNumberFormat="1" applyFont="1" applyFill="1" applyBorder="1" applyAlignment="1">
      <alignment horizontal="center" vertical="center"/>
    </xf>
    <xf numFmtId="0" fontId="55" fillId="16" borderId="4" xfId="10" applyFont="1" applyFill="1" applyBorder="1" applyAlignment="1">
      <alignment horizontal="center" vertical="center"/>
    </xf>
    <xf numFmtId="43" fontId="69" fillId="0" borderId="4" xfId="86" applyFont="1" applyBorder="1" applyAlignment="1">
      <alignment horizontal="center" vertical="center" wrapText="1"/>
    </xf>
    <xf numFmtId="186" fontId="7" fillId="0" borderId="4" xfId="10" applyNumberFormat="1" applyFont="1" applyBorder="1" applyAlignment="1">
      <alignment horizontal="center" vertical="center"/>
    </xf>
    <xf numFmtId="164" fontId="70" fillId="17" borderId="4" xfId="25" applyFont="1" applyFill="1" applyBorder="1" applyAlignment="1">
      <alignment horizontal="center" vertical="center" wrapText="1"/>
    </xf>
    <xf numFmtId="0" fontId="7" fillId="14" borderId="4" xfId="10" applyFont="1" applyFill="1" applyBorder="1" applyAlignment="1">
      <alignment vertical="center"/>
    </xf>
    <xf numFmtId="0" fontId="56" fillId="0" borderId="0" xfId="10" applyFont="1" applyAlignment="1">
      <alignment vertical="center"/>
    </xf>
    <xf numFmtId="0" fontId="56" fillId="0" borderId="0" xfId="10" applyFont="1" applyAlignment="1">
      <alignment horizontal="left" vertical="center"/>
    </xf>
    <xf numFmtId="164" fontId="56" fillId="6" borderId="4" xfId="25" applyFont="1" applyFill="1" applyBorder="1" applyAlignment="1">
      <alignment horizontal="right" vertical="center" wrapText="1"/>
    </xf>
    <xf numFmtId="0" fontId="56" fillId="6" borderId="4" xfId="10" applyFont="1" applyFill="1" applyBorder="1"/>
    <xf numFmtId="43" fontId="56" fillId="6" borderId="4" xfId="10" applyNumberFormat="1" applyFont="1" applyFill="1" applyBorder="1"/>
    <xf numFmtId="164" fontId="56" fillId="0" borderId="4" xfId="25" applyFont="1" applyFill="1" applyBorder="1" applyAlignment="1">
      <alignment horizontal="right" vertical="center" wrapText="1"/>
    </xf>
    <xf numFmtId="0" fontId="56" fillId="0" borderId="10" xfId="10" applyFont="1" applyBorder="1" applyAlignment="1">
      <alignment horizontal="center" vertical="center"/>
    </xf>
    <xf numFmtId="0" fontId="55" fillId="5" borderId="10" xfId="10" applyFont="1" applyFill="1" applyBorder="1" applyAlignment="1">
      <alignment horizontal="left" vertical="center"/>
    </xf>
    <xf numFmtId="0" fontId="55" fillId="0" borderId="10" xfId="10" applyFont="1" applyBorder="1" applyAlignment="1">
      <alignment horizontal="center" vertical="center"/>
    </xf>
    <xf numFmtId="186" fontId="55" fillId="0" borderId="10" xfId="10" applyNumberFormat="1" applyFont="1" applyBorder="1" applyAlignment="1">
      <alignment horizontal="center" vertical="center"/>
    </xf>
    <xf numFmtId="186" fontId="55" fillId="0" borderId="10" xfId="10" applyNumberFormat="1" applyFont="1" applyBorder="1" applyAlignment="1">
      <alignment horizontal="center" vertical="center" wrapText="1"/>
    </xf>
    <xf numFmtId="0" fontId="55" fillId="0" borderId="10" xfId="10" applyFont="1" applyBorder="1" applyAlignment="1">
      <alignment horizontal="centerContinuous" vertical="center"/>
    </xf>
    <xf numFmtId="0" fontId="55" fillId="0" borderId="10" xfId="10" applyFont="1" applyBorder="1" applyAlignment="1">
      <alignment horizontal="centerContinuous" vertical="center" wrapText="1"/>
    </xf>
    <xf numFmtId="0" fontId="56" fillId="0" borderId="10" xfId="10" applyFont="1" applyBorder="1" applyAlignment="1">
      <alignment horizontal="centerContinuous" vertical="center"/>
    </xf>
    <xf numFmtId="0" fontId="55" fillId="6" borderId="14" xfId="10" applyFont="1" applyFill="1" applyBorder="1" applyAlignment="1">
      <alignment horizontal="center" vertical="center"/>
    </xf>
    <xf numFmtId="0" fontId="55" fillId="6" borderId="10" xfId="10" applyFont="1" applyFill="1" applyBorder="1" applyAlignment="1">
      <alignment horizontal="center" vertical="center"/>
    </xf>
    <xf numFmtId="0" fontId="55" fillId="16" borderId="4" xfId="10" applyFont="1" applyFill="1" applyBorder="1" applyAlignment="1">
      <alignment horizontal="left" vertical="center"/>
    </xf>
    <xf numFmtId="0" fontId="13" fillId="0" borderId="0" xfId="89" applyFont="1" applyAlignment="1"/>
    <xf numFmtId="186" fontId="56" fillId="17" borderId="4" xfId="10" applyNumberFormat="1" applyFont="1" applyFill="1" applyBorder="1" applyAlignment="1">
      <alignment horizontal="center" vertical="center" wrapText="1"/>
    </xf>
    <xf numFmtId="164" fontId="73" fillId="0" borderId="4" xfId="25" applyFont="1" applyFill="1" applyBorder="1" applyAlignment="1">
      <alignment vertical="center"/>
    </xf>
    <xf numFmtId="0" fontId="56" fillId="6" borderId="4" xfId="10" applyFont="1" applyFill="1" applyBorder="1" applyAlignment="1">
      <alignment vertical="center"/>
    </xf>
    <xf numFmtId="0" fontId="56" fillId="17" borderId="4" xfId="10" applyFont="1" applyFill="1" applyBorder="1" applyAlignment="1">
      <alignment vertical="center"/>
    </xf>
    <xf numFmtId="0" fontId="56" fillId="17" borderId="4" xfId="10" applyFont="1" applyFill="1" applyBorder="1" applyAlignment="1">
      <alignment horizontal="center" vertical="center"/>
    </xf>
    <xf numFmtId="0" fontId="56" fillId="17" borderId="4" xfId="10" applyFont="1" applyFill="1" applyBorder="1" applyAlignment="1">
      <alignment vertical="center" wrapText="1"/>
    </xf>
    <xf numFmtId="0" fontId="7" fillId="6" borderId="4" xfId="10" applyFont="1" applyFill="1" applyBorder="1" applyAlignment="1">
      <alignment vertical="center" wrapText="1"/>
    </xf>
    <xf numFmtId="186" fontId="71" fillId="17" borderId="4" xfId="10" applyNumberFormat="1" applyFont="1" applyFill="1" applyBorder="1" applyAlignment="1">
      <alignment horizontal="center" vertical="center" wrapText="1"/>
    </xf>
    <xf numFmtId="164" fontId="71" fillId="10" borderId="4" xfId="25" applyFont="1" applyFill="1" applyBorder="1" applyAlignment="1">
      <alignment vertical="center"/>
    </xf>
    <xf numFmtId="0" fontId="76" fillId="22" borderId="4" xfId="10" applyFont="1" applyFill="1" applyBorder="1" applyAlignment="1">
      <alignment vertical="center"/>
    </xf>
    <xf numFmtId="186" fontId="76" fillId="23" borderId="4" xfId="10" applyNumberFormat="1" applyFont="1" applyFill="1" applyBorder="1" applyAlignment="1">
      <alignment horizontal="center" vertical="center" wrapText="1"/>
    </xf>
    <xf numFmtId="0" fontId="76" fillId="23" borderId="4" xfId="10" applyFont="1" applyFill="1" applyBorder="1" applyAlignment="1">
      <alignment vertical="center"/>
    </xf>
    <xf numFmtId="0" fontId="76" fillId="23" borderId="4" xfId="10" applyFont="1" applyFill="1" applyBorder="1" applyAlignment="1">
      <alignment horizontal="center" vertical="center"/>
    </xf>
    <xf numFmtId="0" fontId="76" fillId="23" borderId="4" xfId="10" applyFont="1" applyFill="1" applyBorder="1" applyAlignment="1">
      <alignment vertical="center" wrapText="1"/>
    </xf>
    <xf numFmtId="0" fontId="75" fillId="24" borderId="4" xfId="10" applyFont="1" applyFill="1" applyBorder="1" applyAlignment="1">
      <alignment vertical="center" wrapText="1"/>
    </xf>
    <xf numFmtId="0" fontId="71" fillId="10" borderId="4" xfId="10" applyFont="1" applyFill="1" applyBorder="1" applyAlignment="1">
      <alignment vertical="center"/>
    </xf>
    <xf numFmtId="0" fontId="80" fillId="22" borderId="4" xfId="10" applyFont="1" applyFill="1" applyBorder="1" applyAlignment="1">
      <alignment vertical="center"/>
    </xf>
    <xf numFmtId="186" fontId="80" fillId="23" borderId="4" xfId="10" applyNumberFormat="1" applyFont="1" applyFill="1" applyBorder="1" applyAlignment="1">
      <alignment horizontal="center" vertical="center" wrapText="1"/>
    </xf>
    <xf numFmtId="0" fontId="80" fillId="23" borderId="4" xfId="10" applyFont="1" applyFill="1" applyBorder="1" applyAlignment="1">
      <alignment vertical="center"/>
    </xf>
    <xf numFmtId="0" fontId="80" fillId="23" borderId="4" xfId="10" applyFont="1" applyFill="1" applyBorder="1" applyAlignment="1">
      <alignment horizontal="center" vertical="center"/>
    </xf>
    <xf numFmtId="0" fontId="80" fillId="23" borderId="4" xfId="10" applyFont="1" applyFill="1" applyBorder="1" applyAlignment="1">
      <alignment vertical="center" wrapText="1"/>
    </xf>
    <xf numFmtId="0" fontId="7" fillId="25" borderId="4" xfId="10" applyFont="1" applyFill="1" applyBorder="1" applyAlignment="1">
      <alignment vertical="center" wrapText="1"/>
    </xf>
    <xf numFmtId="14" fontId="80" fillId="23" borderId="4" xfId="10" applyNumberFormat="1" applyFont="1" applyFill="1" applyBorder="1" applyAlignment="1">
      <alignment vertical="center" wrapText="1"/>
    </xf>
    <xf numFmtId="14" fontId="80" fillId="23" borderId="4" xfId="10" applyNumberFormat="1" applyFont="1" applyFill="1" applyBorder="1" applyAlignment="1">
      <alignment horizontal="left" vertical="center"/>
    </xf>
    <xf numFmtId="164" fontId="73" fillId="6" borderId="4" xfId="25" applyFont="1" applyFill="1" applyBorder="1" applyAlignment="1">
      <alignment vertical="center"/>
    </xf>
    <xf numFmtId="164" fontId="70" fillId="6" borderId="4" xfId="25" applyFont="1" applyFill="1" applyBorder="1" applyAlignment="1">
      <alignment horizontal="center" vertical="center" wrapText="1"/>
    </xf>
    <xf numFmtId="14" fontId="80" fillId="23" borderId="4" xfId="10" applyNumberFormat="1" applyFont="1" applyFill="1" applyBorder="1" applyAlignment="1">
      <alignment vertical="center"/>
    </xf>
    <xf numFmtId="0" fontId="80" fillId="25" borderId="4" xfId="10" applyFont="1" applyFill="1" applyBorder="1" applyAlignment="1">
      <alignment horizontal="center" vertical="center"/>
    </xf>
    <xf numFmtId="0" fontId="76" fillId="24" borderId="4" xfId="10" applyFont="1" applyFill="1" applyBorder="1" applyAlignment="1">
      <alignment vertical="center"/>
    </xf>
    <xf numFmtId="14" fontId="80" fillId="23" borderId="4" xfId="10" applyNumberFormat="1" applyFont="1" applyFill="1" applyBorder="1" applyAlignment="1">
      <alignment horizontal="center" vertical="center"/>
    </xf>
    <xf numFmtId="186" fontId="80" fillId="23" borderId="4" xfId="10" applyNumberFormat="1" applyFont="1" applyFill="1" applyBorder="1" applyAlignment="1">
      <alignment vertical="center" wrapText="1"/>
    </xf>
    <xf numFmtId="0" fontId="80" fillId="23" borderId="4" xfId="10" applyFont="1" applyFill="1" applyBorder="1" applyAlignment="1">
      <alignment horizontal="center" vertical="center" wrapText="1"/>
    </xf>
    <xf numFmtId="164" fontId="73" fillId="6" borderId="4" xfId="90" applyFont="1" applyFill="1" applyBorder="1" applyAlignment="1">
      <alignment vertical="center"/>
    </xf>
    <xf numFmtId="164" fontId="73" fillId="6" borderId="4" xfId="90" applyFont="1" applyFill="1" applyBorder="1" applyAlignment="1">
      <alignment vertical="center" wrapText="1"/>
    </xf>
    <xf numFmtId="164" fontId="73" fillId="6" borderId="4" xfId="25" applyFont="1" applyFill="1" applyBorder="1" applyAlignment="1">
      <alignment vertical="center" wrapText="1"/>
    </xf>
    <xf numFmtId="0" fontId="80" fillId="25" borderId="4" xfId="10" applyFont="1" applyFill="1" applyBorder="1" applyAlignment="1">
      <alignment vertical="center"/>
    </xf>
    <xf numFmtId="0" fontId="71" fillId="17" borderId="4" xfId="10" applyFont="1" applyFill="1" applyBorder="1" applyAlignment="1">
      <alignment vertical="center"/>
    </xf>
    <xf numFmtId="0" fontId="71" fillId="17" borderId="4" xfId="10" applyFont="1" applyFill="1" applyBorder="1" applyAlignment="1">
      <alignment horizontal="center" vertical="center"/>
    </xf>
    <xf numFmtId="0" fontId="71" fillId="17" borderId="4" xfId="10" applyFont="1" applyFill="1" applyBorder="1" applyAlignment="1">
      <alignment vertical="center" wrapText="1"/>
    </xf>
    <xf numFmtId="0" fontId="75" fillId="27" borderId="4" xfId="10" applyFont="1" applyFill="1" applyBorder="1" applyAlignment="1">
      <alignment vertical="center" wrapText="1"/>
    </xf>
    <xf numFmtId="14" fontId="56" fillId="17" borderId="4" xfId="10" applyNumberFormat="1" applyFont="1" applyFill="1" applyBorder="1" applyAlignment="1">
      <alignment vertical="center"/>
    </xf>
    <xf numFmtId="0" fontId="16" fillId="6" borderId="4" xfId="10" applyFont="1" applyFill="1" applyBorder="1" applyAlignment="1">
      <alignment vertical="center" wrapText="1"/>
    </xf>
    <xf numFmtId="0" fontId="57" fillId="24" borderId="4" xfId="10" applyFont="1" applyFill="1" applyBorder="1" applyAlignment="1">
      <alignment vertical="center" wrapText="1"/>
    </xf>
    <xf numFmtId="0" fontId="16" fillId="0" borderId="4" xfId="89" applyFont="1" applyBorder="1" applyAlignment="1">
      <alignment horizontal="left" vertical="center" indent="2"/>
    </xf>
    <xf numFmtId="188" fontId="16" fillId="28" borderId="7" xfId="89" applyNumberFormat="1" applyFont="1" applyFill="1" applyBorder="1" applyAlignment="1">
      <alignment horizontal="center" vertical="center"/>
    </xf>
    <xf numFmtId="0" fontId="56" fillId="14" borderId="4" xfId="10" applyFont="1" applyFill="1" applyBorder="1" applyAlignment="1">
      <alignment vertical="center"/>
    </xf>
    <xf numFmtId="0" fontId="16" fillId="0" borderId="4" xfId="10" applyFont="1" applyBorder="1" applyAlignment="1">
      <alignment horizontal="left" wrapText="1"/>
    </xf>
    <xf numFmtId="0" fontId="80" fillId="26" borderId="4" xfId="10" applyFont="1" applyFill="1" applyBorder="1" applyAlignment="1">
      <alignment vertical="center"/>
    </xf>
    <xf numFmtId="188" fontId="7" fillId="28" borderId="7" xfId="89" applyNumberFormat="1" applyFont="1" applyFill="1" applyBorder="1" applyAlignment="1"/>
    <xf numFmtId="0" fontId="80" fillId="25" borderId="4" xfId="10" applyFont="1" applyFill="1" applyBorder="1" applyAlignment="1">
      <alignment vertical="center" wrapText="1"/>
    </xf>
    <xf numFmtId="0" fontId="16" fillId="28" borderId="7" xfId="89" applyFont="1" applyFill="1" applyBorder="1" applyAlignment="1">
      <alignment horizontal="center" vertical="center"/>
    </xf>
    <xf numFmtId="0" fontId="16" fillId="0" borderId="4" xfId="89" applyFont="1" applyBorder="1" applyAlignment="1">
      <alignment horizontal="left" vertical="center" wrapText="1" indent="2"/>
    </xf>
    <xf numFmtId="0" fontId="16" fillId="0" borderId="4" xfId="89" applyFont="1" applyBorder="1" applyAlignment="1">
      <alignment horizontal="left" wrapText="1" indent="2"/>
    </xf>
    <xf numFmtId="164" fontId="73" fillId="0" borderId="4" xfId="25" applyFont="1" applyFill="1" applyBorder="1" applyAlignment="1">
      <alignment horizontal="center" vertical="center"/>
    </xf>
    <xf numFmtId="14" fontId="56" fillId="17" borderId="4" xfId="10" applyNumberFormat="1" applyFont="1" applyFill="1" applyBorder="1" applyAlignment="1">
      <alignment horizontal="left" vertical="center" wrapText="1"/>
    </xf>
    <xf numFmtId="0" fontId="56" fillId="0" borderId="0" xfId="10" applyFont="1"/>
    <xf numFmtId="186" fontId="56" fillId="6" borderId="4" xfId="10" applyNumberFormat="1" applyFont="1" applyFill="1" applyBorder="1" applyAlignment="1">
      <alignment horizontal="center" vertical="center" wrapText="1"/>
    </xf>
    <xf numFmtId="14" fontId="56" fillId="6" borderId="4" xfId="10" applyNumberFormat="1" applyFont="1" applyFill="1" applyBorder="1" applyAlignment="1">
      <alignment vertical="center"/>
    </xf>
    <xf numFmtId="0" fontId="56" fillId="6" borderId="4" xfId="10" applyFont="1" applyFill="1" applyBorder="1" applyAlignment="1">
      <alignment horizontal="center" vertical="center"/>
    </xf>
    <xf numFmtId="0" fontId="56" fillId="6" borderId="4" xfId="10" applyFont="1" applyFill="1" applyBorder="1" applyAlignment="1">
      <alignment vertical="center" wrapText="1"/>
    </xf>
    <xf numFmtId="188" fontId="16" fillId="0" borderId="7" xfId="89" applyNumberFormat="1" applyFont="1" applyFill="1" applyBorder="1" applyAlignment="1">
      <alignment horizontal="center" vertical="center"/>
    </xf>
    <xf numFmtId="0" fontId="56" fillId="6" borderId="4" xfId="10" applyFont="1" applyFill="1" applyBorder="1" applyAlignment="1">
      <alignment wrapText="1"/>
    </xf>
    <xf numFmtId="0" fontId="56" fillId="18" borderId="4" xfId="10" applyFont="1" applyFill="1" applyBorder="1" applyAlignment="1">
      <alignment vertical="center"/>
    </xf>
    <xf numFmtId="0" fontId="7" fillId="0" borderId="4" xfId="89" applyFont="1" applyBorder="1" applyAlignment="1">
      <alignment horizontal="left" vertical="center" indent="2"/>
    </xf>
    <xf numFmtId="0" fontId="7" fillId="28" borderId="7" xfId="89" applyFont="1" applyFill="1" applyBorder="1" applyAlignment="1">
      <alignment horizontal="center"/>
    </xf>
    <xf numFmtId="0" fontId="7" fillId="0" borderId="4" xfId="89" applyFont="1" applyBorder="1" applyAlignment="1">
      <alignment horizontal="left" vertical="center" wrapText="1" indent="2"/>
    </xf>
    <xf numFmtId="0" fontId="7" fillId="28" borderId="4" xfId="89" applyFont="1" applyFill="1" applyBorder="1" applyAlignment="1">
      <alignment horizontal="center"/>
    </xf>
    <xf numFmtId="188" fontId="7" fillId="28" borderId="7" xfId="89" applyNumberFormat="1" applyFont="1" applyFill="1" applyBorder="1" applyAlignment="1">
      <alignment horizontal="center"/>
    </xf>
    <xf numFmtId="186" fontId="56" fillId="17" borderId="4" xfId="10" applyNumberFormat="1" applyFont="1" applyFill="1" applyBorder="1" applyAlignment="1">
      <alignment horizontal="center" vertical="center"/>
    </xf>
    <xf numFmtId="0" fontId="80" fillId="29" borderId="4" xfId="10" applyFont="1" applyFill="1" applyBorder="1" applyAlignment="1">
      <alignment vertical="center"/>
    </xf>
    <xf numFmtId="0" fontId="80" fillId="29" borderId="4" xfId="10" applyFont="1" applyFill="1" applyBorder="1" applyAlignment="1">
      <alignment horizontal="center" vertical="center"/>
    </xf>
    <xf numFmtId="164" fontId="70" fillId="0" borderId="4" xfId="25" applyFont="1" applyFill="1" applyBorder="1" applyAlignment="1">
      <alignment horizontal="center" vertical="center" wrapText="1"/>
    </xf>
    <xf numFmtId="164" fontId="56" fillId="17" borderId="4" xfId="25" applyFont="1" applyFill="1" applyBorder="1" applyAlignment="1">
      <alignment horizontal="right" vertical="center" wrapText="1"/>
    </xf>
    <xf numFmtId="43" fontId="72" fillId="0" borderId="4" xfId="86" applyFont="1" applyBorder="1" applyAlignment="1">
      <alignment horizontal="left" vertical="center" wrapText="1"/>
    </xf>
    <xf numFmtId="164" fontId="56" fillId="0" borderId="4" xfId="25" applyFont="1" applyBorder="1" applyAlignment="1">
      <alignment horizontal="right" vertical="center" wrapText="1"/>
    </xf>
    <xf numFmtId="164" fontId="80" fillId="0" borderId="4" xfId="25" applyFont="1" applyFill="1" applyBorder="1" applyAlignment="1">
      <alignment horizontal="right" vertical="center" wrapText="1"/>
    </xf>
    <xf numFmtId="0" fontId="94" fillId="16" borderId="4" xfId="10" applyFont="1" applyFill="1" applyBorder="1" applyAlignment="1">
      <alignment horizontal="left" vertical="center"/>
    </xf>
    <xf numFmtId="164" fontId="93" fillId="16" borderId="4" xfId="25" applyFont="1" applyFill="1" applyBorder="1" applyAlignment="1">
      <alignment horizontal="center" vertical="center" wrapText="1"/>
    </xf>
    <xf numFmtId="0" fontId="95" fillId="14" borderId="4" xfId="10" applyFont="1" applyFill="1" applyBorder="1" applyAlignment="1">
      <alignment vertical="center"/>
    </xf>
    <xf numFmtId="186" fontId="95" fillId="16" borderId="4" xfId="10" applyNumberFormat="1" applyFont="1" applyFill="1" applyBorder="1" applyAlignment="1">
      <alignment horizontal="center" vertical="center" wrapText="1"/>
    </xf>
    <xf numFmtId="0" fontId="95" fillId="16" borderId="4" xfId="10" applyFont="1" applyFill="1" applyBorder="1" applyAlignment="1">
      <alignment horizontal="center" vertical="center"/>
    </xf>
    <xf numFmtId="0" fontId="95" fillId="16" borderId="4" xfId="10" applyFont="1" applyFill="1" applyBorder="1" applyAlignment="1">
      <alignment vertical="center"/>
    </xf>
    <xf numFmtId="0" fontId="96" fillId="29" borderId="4" xfId="10" applyFont="1" applyFill="1" applyBorder="1" applyAlignment="1">
      <alignment horizontal="center" vertical="center"/>
    </xf>
    <xf numFmtId="0" fontId="95" fillId="6" borderId="0" xfId="10" applyFont="1" applyFill="1" applyAlignment="1">
      <alignment vertical="center"/>
    </xf>
    <xf numFmtId="0" fontId="78" fillId="6" borderId="4" xfId="10" applyFont="1" applyFill="1" applyBorder="1" applyAlignment="1">
      <alignment horizontal="justify" vertical="center" wrapText="1"/>
    </xf>
    <xf numFmtId="0" fontId="78" fillId="6" borderId="4" xfId="10" applyFont="1" applyFill="1" applyBorder="1" applyAlignment="1">
      <alignment vertical="center" wrapText="1"/>
    </xf>
    <xf numFmtId="0" fontId="56" fillId="16" borderId="4" xfId="10" applyFont="1" applyFill="1" applyBorder="1" applyAlignment="1">
      <alignment horizontal="center" vertical="center"/>
    </xf>
    <xf numFmtId="0" fontId="56" fillId="16" borderId="4" xfId="10" applyFont="1" applyFill="1" applyBorder="1" applyAlignment="1">
      <alignment vertical="center"/>
    </xf>
    <xf numFmtId="186" fontId="56" fillId="16" borderId="4" xfId="10" applyNumberFormat="1" applyFont="1" applyFill="1" applyBorder="1" applyAlignment="1">
      <alignment horizontal="center" vertical="center"/>
    </xf>
    <xf numFmtId="186" fontId="56" fillId="16" borderId="4" xfId="10" applyNumberFormat="1" applyFont="1" applyFill="1" applyBorder="1" applyAlignment="1">
      <alignment horizontal="center" vertical="center" wrapText="1"/>
    </xf>
    <xf numFmtId="0" fontId="56" fillId="16" borderId="7" xfId="10" applyFont="1" applyFill="1" applyBorder="1" applyAlignment="1">
      <alignment vertical="center"/>
    </xf>
    <xf numFmtId="0" fontId="56" fillId="16" borderId="4" xfId="10" applyFont="1" applyFill="1" applyBorder="1" applyAlignment="1">
      <alignment vertical="center" wrapText="1"/>
    </xf>
    <xf numFmtId="0" fontId="7" fillId="17" borderId="7" xfId="10" applyFont="1" applyFill="1" applyBorder="1" applyAlignment="1">
      <alignment vertical="center"/>
    </xf>
    <xf numFmtId="0" fontId="75" fillId="10" borderId="4" xfId="10" applyFont="1" applyFill="1" applyBorder="1" applyAlignment="1">
      <alignment vertical="center" wrapText="1"/>
    </xf>
    <xf numFmtId="0" fontId="76" fillId="29" borderId="4" xfId="10" applyFont="1" applyFill="1" applyBorder="1" applyAlignment="1">
      <alignment vertical="center"/>
    </xf>
    <xf numFmtId="164" fontId="56" fillId="6" borderId="4" xfId="25" applyFont="1" applyFill="1" applyBorder="1" applyAlignment="1">
      <alignment horizontal="center" vertical="center" wrapText="1"/>
    </xf>
    <xf numFmtId="0" fontId="56" fillId="6" borderId="0" xfId="10" applyFont="1" applyFill="1" applyAlignment="1">
      <alignment vertical="center"/>
    </xf>
    <xf numFmtId="0" fontId="55" fillId="16" borderId="4" xfId="10" applyFont="1" applyFill="1" applyBorder="1" applyAlignment="1">
      <alignment vertical="center"/>
    </xf>
    <xf numFmtId="186" fontId="55" fillId="16" borderId="4" xfId="10" applyNumberFormat="1" applyFont="1" applyFill="1" applyBorder="1" applyAlignment="1">
      <alignment horizontal="center" vertical="center" wrapText="1"/>
    </xf>
    <xf numFmtId="0" fontId="55" fillId="16" borderId="4" xfId="10" applyFont="1" applyFill="1" applyBorder="1" applyAlignment="1">
      <alignment vertical="center" wrapText="1"/>
    </xf>
    <xf numFmtId="0" fontId="56" fillId="0" borderId="0" xfId="10" applyFont="1" applyAlignment="1">
      <alignment vertical="center" wrapText="1"/>
    </xf>
    <xf numFmtId="14" fontId="56" fillId="0" borderId="0" xfId="10" applyNumberFormat="1" applyFont="1" applyAlignment="1">
      <alignment horizontal="center" vertical="center" wrapText="1"/>
    </xf>
    <xf numFmtId="0" fontId="55" fillId="0" borderId="0" xfId="10" applyFont="1" applyAlignment="1">
      <alignment horizontal="center" vertical="center" wrapText="1"/>
    </xf>
    <xf numFmtId="43" fontId="55" fillId="6" borderId="4" xfId="10" applyNumberFormat="1" applyFont="1" applyFill="1" applyBorder="1" applyAlignment="1">
      <alignment vertical="center" wrapText="1"/>
    </xf>
    <xf numFmtId="0" fontId="55" fillId="6" borderId="4" xfId="10" applyFont="1" applyFill="1" applyBorder="1" applyAlignment="1">
      <alignment vertical="center" wrapText="1"/>
    </xf>
    <xf numFmtId="43" fontId="56" fillId="0" borderId="0" xfId="10" applyNumberFormat="1" applyFont="1" applyAlignment="1">
      <alignment vertical="center"/>
    </xf>
    <xf numFmtId="164" fontId="56" fillId="16" borderId="4" xfId="25" applyFont="1" applyFill="1" applyBorder="1" applyAlignment="1">
      <alignment horizontal="right" vertical="center" wrapText="1"/>
    </xf>
    <xf numFmtId="43" fontId="55" fillId="16" borderId="4" xfId="10" applyNumberFormat="1" applyFont="1" applyFill="1" applyBorder="1" applyAlignment="1">
      <alignment vertical="center" wrapText="1"/>
    </xf>
    <xf numFmtId="0" fontId="56" fillId="0" borderId="0" xfId="10" applyFont="1" applyAlignment="1">
      <alignment horizontal="center" vertical="center" wrapText="1"/>
    </xf>
    <xf numFmtId="43" fontId="45" fillId="0" borderId="0" xfId="14" applyNumberFormat="1" applyFont="1">
      <alignment vertical="center"/>
    </xf>
    <xf numFmtId="0" fontId="45" fillId="0" borderId="0" xfId="14" applyFont="1">
      <alignment vertical="center"/>
    </xf>
    <xf numFmtId="43" fontId="16" fillId="0" borderId="4" xfId="70" applyNumberFormat="1" applyFont="1" applyFill="1" applyBorder="1" applyAlignment="1">
      <alignment wrapText="1"/>
    </xf>
    <xf numFmtId="0" fontId="8" fillId="4" borderId="4" xfId="14" applyFont="1" applyFill="1" applyBorder="1" applyAlignment="1">
      <alignment horizontal="center" vertical="center" wrapText="1"/>
    </xf>
    <xf numFmtId="0" fontId="8" fillId="4" borderId="5" xfId="14" applyFont="1" applyFill="1" applyBorder="1" applyAlignment="1">
      <alignment horizontal="center" vertical="center" wrapText="1"/>
    </xf>
    <xf numFmtId="0" fontId="8" fillId="0" borderId="0" xfId="14" applyFont="1" applyAlignment="1">
      <alignment horizontal="center" vertical="center"/>
    </xf>
    <xf numFmtId="0" fontId="8" fillId="0" borderId="0" xfId="10" applyFont="1" applyAlignment="1">
      <alignment horizontal="center" vertical="center"/>
    </xf>
    <xf numFmtId="0" fontId="27" fillId="0" borderId="0" xfId="14" applyFont="1">
      <alignment vertical="center"/>
    </xf>
    <xf numFmtId="0" fontId="30" fillId="0" borderId="4" xfId="91" applyFont="1" applyBorder="1" applyAlignment="1">
      <alignment vertical="center"/>
    </xf>
    <xf numFmtId="0" fontId="30" fillId="0" borderId="4" xfId="91" applyFont="1" applyBorder="1" applyAlignment="1">
      <alignment horizontal="center" vertical="center"/>
    </xf>
    <xf numFmtId="0" fontId="29" fillId="0" borderId="4" xfId="91" applyFont="1" applyBorder="1" applyAlignment="1">
      <alignment vertical="center"/>
    </xf>
    <xf numFmtId="0" fontId="29" fillId="0" borderId="4" xfId="91" applyFont="1" applyBorder="1" applyAlignment="1">
      <alignment horizontal="center" vertical="center"/>
    </xf>
    <xf numFmtId="0" fontId="29" fillId="0" borderId="0" xfId="91" applyFont="1" applyAlignment="1">
      <alignment vertical="center"/>
    </xf>
    <xf numFmtId="0" fontId="29" fillId="0" borderId="0" xfId="91" applyFont="1" applyAlignment="1">
      <alignment horizontal="center" vertical="center"/>
    </xf>
    <xf numFmtId="0" fontId="7" fillId="0" borderId="0" xfId="15" applyFont="1">
      <alignment vertical="center"/>
    </xf>
    <xf numFmtId="0" fontId="7" fillId="0" borderId="0" xfId="14" applyFont="1" applyAlignment="1">
      <alignment vertical="center" wrapText="1"/>
    </xf>
    <xf numFmtId="164" fontId="9" fillId="0" borderId="4" xfId="92" applyNumberFormat="1" applyFont="1" applyFill="1" applyBorder="1" applyAlignment="1">
      <alignment vertical="center"/>
    </xf>
    <xf numFmtId="164" fontId="10" fillId="0" borderId="4" xfId="92" applyNumberFormat="1" applyFont="1" applyBorder="1" applyAlignment="1">
      <alignment vertical="center"/>
    </xf>
    <xf numFmtId="0" fontId="7" fillId="0" borderId="0" xfId="10" applyFont="1" applyAlignment="1">
      <alignment horizontal="center" vertical="center"/>
    </xf>
    <xf numFmtId="0" fontId="8" fillId="0" borderId="0" xfId="10" applyFont="1" applyAlignment="1">
      <alignment horizontal="left" vertical="center" wrapText="1"/>
    </xf>
    <xf numFmtId="43" fontId="8" fillId="0" borderId="0" xfId="10" applyNumberFormat="1" applyFont="1" applyAlignment="1">
      <alignment horizontal="left" vertical="center" wrapText="1"/>
    </xf>
    <xf numFmtId="0" fontId="8" fillId="0" borderId="0" xfId="10" applyFont="1" applyAlignment="1">
      <alignment horizontal="left" vertical="center"/>
    </xf>
    <xf numFmtId="43" fontId="8" fillId="0" borderId="0" xfId="10" applyNumberFormat="1" applyFont="1" applyAlignment="1">
      <alignment horizontal="left" vertical="center"/>
    </xf>
    <xf numFmtId="43" fontId="8" fillId="0" borderId="0" xfId="10" applyNumberFormat="1" applyFont="1" applyAlignment="1">
      <alignment vertical="center"/>
    </xf>
    <xf numFmtId="164" fontId="7" fillId="0" borderId="0" xfId="69" applyFont="1" applyBorder="1" applyAlignment="1">
      <alignment vertical="top"/>
    </xf>
    <xf numFmtId="164" fontId="8" fillId="0" borderId="0" xfId="69" applyFont="1" applyBorder="1" applyAlignment="1"/>
    <xf numFmtId="164" fontId="7" fillId="0" borderId="0" xfId="69" applyFont="1" applyFill="1" applyAlignment="1">
      <alignment vertical="center"/>
    </xf>
    <xf numFmtId="164" fontId="8" fillId="0" borderId="0" xfId="69" applyFont="1" applyAlignment="1">
      <alignment vertical="center"/>
    </xf>
    <xf numFmtId="164" fontId="45" fillId="0" borderId="0" xfId="69" applyFont="1" applyAlignment="1">
      <alignment vertical="center"/>
    </xf>
    <xf numFmtId="171" fontId="45" fillId="0" borderId="0" xfId="14" applyNumberFormat="1" applyFont="1">
      <alignment vertical="center"/>
    </xf>
    <xf numFmtId="164" fontId="45" fillId="0" borderId="0" xfId="14" applyNumberFormat="1" applyFont="1">
      <alignment vertical="center"/>
    </xf>
    <xf numFmtId="0" fontId="39" fillId="0" borderId="0" xfId="10" applyFont="1" applyBorder="1" applyAlignment="1"/>
    <xf numFmtId="169" fontId="7" fillId="0" borderId="0" xfId="69" applyNumberFormat="1" applyFont="1" applyAlignment="1">
      <alignment vertical="center"/>
    </xf>
    <xf numFmtId="0" fontId="55" fillId="14" borderId="4" xfId="10" applyFont="1" applyFill="1" applyBorder="1" applyAlignment="1">
      <alignment horizontal="center" vertical="center" wrapText="1"/>
    </xf>
    <xf numFmtId="164" fontId="56" fillId="0" borderId="0" xfId="69" applyFont="1" applyAlignment="1">
      <alignment vertical="center" wrapText="1"/>
    </xf>
    <xf numFmtId="164" fontId="55" fillId="0" borderId="0" xfId="69" applyFont="1" applyBorder="1" applyAlignment="1">
      <alignment horizontal="center" vertical="center"/>
    </xf>
    <xf numFmtId="0" fontId="55" fillId="5" borderId="0" xfId="10" applyFont="1" applyFill="1" applyAlignment="1">
      <alignment horizontal="left" vertical="center" wrapText="1"/>
    </xf>
    <xf numFmtId="164" fontId="55" fillId="5" borderId="0" xfId="69" applyFont="1" applyFill="1" applyBorder="1" applyAlignment="1">
      <alignment horizontal="left" vertical="center"/>
    </xf>
    <xf numFmtId="14" fontId="55" fillId="5" borderId="0" xfId="10" applyNumberFormat="1" applyFont="1" applyFill="1" applyAlignment="1">
      <alignment horizontal="center" vertical="center" wrapText="1"/>
    </xf>
    <xf numFmtId="164" fontId="55" fillId="5" borderId="0" xfId="69" applyFont="1" applyFill="1" applyBorder="1" applyAlignment="1">
      <alignment horizontal="left" vertical="center" wrapText="1"/>
    </xf>
    <xf numFmtId="164" fontId="56" fillId="0" borderId="0" xfId="69" applyFont="1" applyAlignment="1">
      <alignment horizontal="centerContinuous" vertical="center" wrapText="1"/>
    </xf>
    <xf numFmtId="164" fontId="55" fillId="0" borderId="0" xfId="69" applyFont="1" applyFill="1" applyBorder="1" applyAlignment="1">
      <alignment horizontal="center" vertical="center" wrapText="1"/>
    </xf>
    <xf numFmtId="164" fontId="55" fillId="14" borderId="4" xfId="69" applyFont="1" applyFill="1" applyBorder="1" applyAlignment="1">
      <alignment horizontal="center" vertical="center" wrapText="1"/>
    </xf>
    <xf numFmtId="0" fontId="55" fillId="0" borderId="4" xfId="10" applyFont="1" applyBorder="1" applyAlignment="1">
      <alignment vertical="center"/>
    </xf>
    <xf numFmtId="0" fontId="55" fillId="0" borderId="4" xfId="10" applyFont="1" applyBorder="1" applyAlignment="1">
      <alignment horizontal="center" vertical="center"/>
    </xf>
    <xf numFmtId="0" fontId="56" fillId="0" borderId="4" xfId="10" applyFont="1" applyBorder="1" applyAlignment="1">
      <alignment horizontal="center" vertical="center"/>
    </xf>
    <xf numFmtId="186" fontId="56" fillId="0" borderId="4" xfId="10" applyNumberFormat="1" applyFont="1" applyBorder="1" applyAlignment="1">
      <alignment horizontal="center" vertical="center" wrapText="1"/>
    </xf>
    <xf numFmtId="0" fontId="56" fillId="0" borderId="4" xfId="10" applyFont="1" applyBorder="1" applyAlignment="1">
      <alignment vertical="center"/>
    </xf>
    <xf numFmtId="0" fontId="73" fillId="0" borderId="4" xfId="0" applyFont="1" applyBorder="1" applyAlignment="1">
      <alignment horizontal="center" vertical="center" wrapText="1"/>
    </xf>
    <xf numFmtId="0" fontId="0" fillId="17" borderId="4" xfId="0" applyFill="1" applyBorder="1" applyAlignment="1">
      <alignment horizontal="left" vertical="center" wrapText="1"/>
    </xf>
    <xf numFmtId="0" fontId="71" fillId="10" borderId="4" xfId="0" applyFont="1" applyFill="1" applyBorder="1" applyAlignment="1">
      <alignment horizontal="center" vertical="center" wrapText="1"/>
    </xf>
    <xf numFmtId="186" fontId="71" fillId="10" borderId="4" xfId="0" applyNumberFormat="1" applyFont="1" applyFill="1" applyBorder="1" applyAlignment="1">
      <alignment horizontal="left" vertical="center" wrapText="1"/>
    </xf>
    <xf numFmtId="0" fontId="71" fillId="17" borderId="4" xfId="0" applyFont="1" applyFill="1" applyBorder="1" applyAlignment="1">
      <alignment horizontal="left" vertical="center" wrapText="1"/>
    </xf>
    <xf numFmtId="0" fontId="75" fillId="10" borderId="7" xfId="0" applyFont="1" applyFill="1" applyBorder="1" applyAlignment="1">
      <alignment horizontal="center" vertical="center"/>
    </xf>
    <xf numFmtId="0" fontId="79" fillId="6" borderId="4" xfId="0" applyFont="1" applyFill="1" applyBorder="1" applyAlignment="1">
      <alignment horizontal="left" vertical="center" wrapText="1" indent="2"/>
    </xf>
    <xf numFmtId="0" fontId="16" fillId="0" borderId="7" xfId="0" applyFont="1" applyBorder="1" applyAlignment="1">
      <alignment horizontal="center" vertical="center"/>
    </xf>
    <xf numFmtId="0" fontId="73" fillId="6" borderId="4" xfId="0" applyFont="1" applyFill="1" applyBorder="1" applyAlignment="1">
      <alignment horizontal="center" vertical="center" wrapText="1"/>
    </xf>
    <xf numFmtId="0" fontId="86" fillId="6" borderId="0" xfId="0" applyFont="1" applyFill="1" applyAlignment="1">
      <alignment horizontal="left" vertical="center" wrapText="1" indent="2"/>
    </xf>
    <xf numFmtId="0" fontId="87" fillId="6" borderId="4" xfId="0" applyFont="1" applyFill="1" applyBorder="1" applyAlignment="1">
      <alignment horizontal="left" vertical="top" wrapText="1" indent="2"/>
    </xf>
    <xf numFmtId="0" fontId="56" fillId="6" borderId="4" xfId="0" applyFont="1" applyFill="1" applyBorder="1" applyAlignment="1">
      <alignment horizontal="center" vertical="center" wrapText="1"/>
    </xf>
    <xf numFmtId="0" fontId="87" fillId="6" borderId="4" xfId="0" applyFont="1" applyFill="1" applyBorder="1" applyAlignment="1">
      <alignment horizontal="left" vertical="center" wrapText="1" indent="2"/>
    </xf>
    <xf numFmtId="0" fontId="0" fillId="6" borderId="4" xfId="0" applyFill="1" applyBorder="1" applyAlignment="1">
      <alignment horizontal="center" vertical="center" wrapText="1"/>
    </xf>
    <xf numFmtId="0" fontId="70" fillId="6" borderId="4" xfId="0" applyFont="1" applyFill="1" applyBorder="1" applyAlignment="1">
      <alignment horizontal="center" vertical="center" wrapText="1"/>
    </xf>
    <xf numFmtId="0" fontId="70" fillId="6" borderId="4" xfId="0" applyFont="1" applyFill="1" applyBorder="1" applyAlignment="1">
      <alignment vertical="center" wrapText="1"/>
    </xf>
    <xf numFmtId="0" fontId="70" fillId="17" borderId="4" xfId="0" applyFont="1" applyFill="1" applyBorder="1" applyAlignment="1">
      <alignment horizontal="center" vertical="center" wrapText="1"/>
    </xf>
    <xf numFmtId="186" fontId="70" fillId="17" borderId="4" xfId="0" applyNumberFormat="1" applyFont="1" applyFill="1" applyBorder="1" applyAlignment="1">
      <alignment horizontal="center" vertical="center" wrapText="1"/>
    </xf>
    <xf numFmtId="164" fontId="75" fillId="10" borderId="7" xfId="69" applyFont="1" applyFill="1" applyBorder="1" applyAlignment="1">
      <alignment horizontal="center" vertical="center"/>
    </xf>
    <xf numFmtId="0" fontId="73" fillId="6" borderId="4" xfId="0" applyFont="1" applyFill="1" applyBorder="1" applyAlignment="1">
      <alignment horizontal="left" vertical="center" wrapText="1" indent="4"/>
    </xf>
    <xf numFmtId="0" fontId="73" fillId="17" borderId="4" xfId="0" applyFont="1" applyFill="1" applyBorder="1" applyAlignment="1">
      <alignment horizontal="center" vertical="center" wrapText="1"/>
    </xf>
    <xf numFmtId="0" fontId="73" fillId="6" borderId="4" xfId="0" applyFont="1" applyFill="1" applyBorder="1" applyAlignment="1">
      <alignment horizontal="left" vertical="center" wrapText="1" indent="2"/>
    </xf>
    <xf numFmtId="0" fontId="79" fillId="0" borderId="7" xfId="0" applyFont="1" applyBorder="1" applyAlignment="1">
      <alignment horizontal="left" vertical="center" wrapText="1" indent="2"/>
    </xf>
    <xf numFmtId="186" fontId="0" fillId="17" borderId="4" xfId="0" applyNumberFormat="1" applyFill="1" applyBorder="1" applyAlignment="1">
      <alignment horizontal="center" vertical="center" wrapText="1"/>
    </xf>
    <xf numFmtId="0" fontId="79" fillId="0" borderId="4" xfId="0" applyFont="1" applyBorder="1" applyAlignment="1">
      <alignment horizontal="left" vertical="center" wrapText="1" indent="2"/>
    </xf>
    <xf numFmtId="0" fontId="56" fillId="0" borderId="4" xfId="0" applyFont="1" applyBorder="1" applyAlignment="1">
      <alignment horizontal="center" vertical="center" wrapText="1"/>
    </xf>
    <xf numFmtId="0" fontId="73" fillId="0" borderId="7" xfId="0" applyFont="1" applyBorder="1" applyAlignment="1">
      <alignment horizontal="center" vertical="center" wrapText="1"/>
    </xf>
    <xf numFmtId="0" fontId="89" fillId="0" borderId="7" xfId="0" applyFont="1" applyBorder="1" applyAlignment="1">
      <alignment horizontal="left" vertical="center" wrapText="1" indent="2"/>
    </xf>
    <xf numFmtId="0" fontId="73" fillId="0" borderId="6" xfId="0" applyFont="1" applyBorder="1" applyAlignment="1">
      <alignment horizontal="center" vertical="center" wrapText="1"/>
    </xf>
    <xf numFmtId="0" fontId="89" fillId="0" borderId="6" xfId="0" applyFont="1" applyBorder="1" applyAlignment="1">
      <alignment horizontal="left" vertical="center" wrapText="1" indent="2"/>
    </xf>
    <xf numFmtId="187" fontId="79" fillId="0" borderId="7" xfId="0" applyNumberFormat="1" applyFont="1" applyBorder="1" applyAlignment="1">
      <alignment horizontal="center" vertical="center"/>
    </xf>
    <xf numFmtId="0" fontId="79" fillId="6" borderId="7" xfId="0" applyFont="1" applyFill="1" applyBorder="1" applyAlignment="1">
      <alignment horizontal="left" vertical="center" wrapText="1" indent="2"/>
    </xf>
    <xf numFmtId="0" fontId="79" fillId="0" borderId="0" xfId="0" applyFont="1" applyAlignment="1">
      <alignment horizontal="left" wrapText="1" indent="2"/>
    </xf>
    <xf numFmtId="187" fontId="79" fillId="0" borderId="4" xfId="0" applyNumberFormat="1" applyFont="1" applyBorder="1" applyAlignment="1">
      <alignment horizontal="center" vertical="center"/>
    </xf>
    <xf numFmtId="0" fontId="16" fillId="0" borderId="4" xfId="0" applyFont="1" applyBorder="1" applyAlignment="1">
      <alignment horizontal="left" vertical="center" indent="2"/>
    </xf>
    <xf numFmtId="0" fontId="70" fillId="0" borderId="4" xfId="0" applyFont="1" applyBorder="1" applyAlignment="1">
      <alignment horizontal="center" vertical="center" wrapText="1"/>
    </xf>
    <xf numFmtId="0" fontId="70" fillId="0" borderId="4" xfId="0" applyFont="1" applyBorder="1" applyAlignment="1">
      <alignment vertical="center" wrapText="1"/>
    </xf>
    <xf numFmtId="186" fontId="70" fillId="0" borderId="4" xfId="0" applyNumberFormat="1" applyFont="1" applyBorder="1" applyAlignment="1">
      <alignment horizontal="center" vertical="center" wrapText="1"/>
    </xf>
    <xf numFmtId="164" fontId="56" fillId="0" borderId="0" xfId="69" applyFont="1" applyFill="1" applyAlignment="1">
      <alignment vertical="center"/>
    </xf>
    <xf numFmtId="0" fontId="56" fillId="0" borderId="4" xfId="0" applyFont="1" applyBorder="1" applyAlignment="1">
      <alignment horizontal="left" vertical="center" wrapText="1" indent="2"/>
    </xf>
    <xf numFmtId="189" fontId="56" fillId="6" borderId="4" xfId="0" applyNumberFormat="1" applyFont="1" applyFill="1" applyBorder="1" applyAlignment="1" applyProtection="1">
      <alignment horizontal="center" vertical="center" wrapText="1"/>
      <protection locked="0"/>
    </xf>
    <xf numFmtId="0" fontId="56" fillId="17" borderId="4" xfId="0" applyFont="1" applyFill="1" applyBorder="1" applyAlignment="1">
      <alignment horizontal="left" vertical="center" wrapText="1" indent="2"/>
    </xf>
    <xf numFmtId="0" fontId="69" fillId="0" borderId="4" xfId="74" applyFont="1" applyBorder="1" applyAlignment="1">
      <alignment horizontal="center" vertical="center" wrapText="1"/>
    </xf>
    <xf numFmtId="0" fontId="69" fillId="0" borderId="4" xfId="74" applyFont="1" applyBorder="1" applyAlignment="1">
      <alignment vertical="center" wrapText="1"/>
    </xf>
    <xf numFmtId="0" fontId="72" fillId="0" borderId="4" xfId="74" applyFont="1" applyBorder="1" applyAlignment="1">
      <alignment horizontal="center" vertical="center" wrapText="1"/>
    </xf>
    <xf numFmtId="0" fontId="54" fillId="0" borderId="4" xfId="74" applyFont="1" applyBorder="1" applyAlignment="1">
      <alignment horizontal="left" vertical="center" wrapText="1" indent="2"/>
    </xf>
    <xf numFmtId="0" fontId="54" fillId="0" borderId="4" xfId="74" applyFont="1" applyBorder="1" applyAlignment="1">
      <alignment horizontal="center" vertical="center" wrapText="1"/>
    </xf>
    <xf numFmtId="0" fontId="93" fillId="16" borderId="4" xfId="0" applyFont="1" applyFill="1" applyBorder="1" applyAlignment="1">
      <alignment horizontal="center" vertical="center" wrapText="1"/>
    </xf>
    <xf numFmtId="0" fontId="56" fillId="6" borderId="4" xfId="0" applyFont="1" applyFill="1" applyBorder="1" applyAlignment="1">
      <alignment horizontal="left" vertical="center" wrapText="1" indent="2"/>
    </xf>
    <xf numFmtId="0" fontId="73" fillId="16" borderId="4" xfId="0" applyFont="1" applyFill="1" applyBorder="1" applyAlignment="1">
      <alignment horizontal="center" vertical="center" wrapText="1"/>
    </xf>
    <xf numFmtId="0" fontId="56" fillId="16" borderId="4" xfId="0" applyFont="1" applyFill="1" applyBorder="1" applyAlignment="1">
      <alignment horizontal="left" vertical="center" wrapText="1" indent="2"/>
    </xf>
    <xf numFmtId="189" fontId="56" fillId="16" borderId="4" xfId="0" applyNumberFormat="1" applyFont="1" applyFill="1" applyBorder="1" applyAlignment="1" applyProtection="1">
      <alignment horizontal="center" vertical="center" wrapText="1"/>
      <protection locked="0"/>
    </xf>
    <xf numFmtId="164" fontId="55" fillId="16" borderId="19" xfId="69" applyFont="1" applyFill="1" applyBorder="1" applyAlignment="1">
      <alignment horizontal="center" vertical="center" wrapText="1"/>
    </xf>
    <xf numFmtId="164" fontId="56" fillId="0" borderId="0" xfId="69" applyFont="1" applyAlignment="1">
      <alignment horizontal="center" vertical="center" wrapText="1"/>
    </xf>
    <xf numFmtId="164" fontId="56" fillId="6" borderId="0" xfId="69" applyFont="1" applyFill="1" applyAlignment="1">
      <alignment horizontal="center" vertical="center" wrapText="1"/>
    </xf>
    <xf numFmtId="191" fontId="56" fillId="0" borderId="0" xfId="69" applyNumberFormat="1" applyFont="1" applyAlignment="1">
      <alignment horizontal="center" vertical="center" wrapText="1"/>
    </xf>
    <xf numFmtId="0" fontId="56" fillId="0" borderId="0" xfId="10" applyFont="1" applyAlignment="1">
      <alignment horizontal="center" vertical="center"/>
    </xf>
    <xf numFmtId="186" fontId="56" fillId="0" borderId="0" xfId="10" applyNumberFormat="1" applyFont="1" applyAlignment="1">
      <alignment horizontal="center" vertical="center"/>
    </xf>
    <xf numFmtId="186" fontId="56" fillId="0" borderId="0" xfId="10" applyNumberFormat="1" applyFont="1" applyAlignment="1">
      <alignment horizontal="center" vertical="center" wrapText="1"/>
    </xf>
    <xf numFmtId="164" fontId="56" fillId="0" borderId="0" xfId="69" applyFont="1" applyFill="1" applyBorder="1" applyAlignment="1">
      <alignment horizontal="center" vertical="center" wrapText="1"/>
    </xf>
    <xf numFmtId="164" fontId="56" fillId="0" borderId="0" xfId="69" applyFont="1" applyBorder="1" applyAlignment="1">
      <alignment horizontal="center" vertical="center"/>
    </xf>
    <xf numFmtId="9" fontId="56" fillId="0" borderId="0" xfId="70" applyFont="1" applyBorder="1" applyAlignment="1">
      <alignment horizontal="center" vertical="center"/>
    </xf>
    <xf numFmtId="164" fontId="56" fillId="0" borderId="0" xfId="69" applyFont="1" applyBorder="1" applyAlignment="1">
      <alignment horizontal="center" vertical="center" wrapText="1"/>
    </xf>
    <xf numFmtId="164" fontId="56" fillId="0" borderId="0" xfId="69" applyFont="1" applyBorder="1" applyAlignment="1">
      <alignment vertical="center"/>
    </xf>
    <xf numFmtId="0" fontId="55" fillId="0" borderId="0" xfId="10" applyFont="1" applyAlignment="1">
      <alignment horizontal="center" vertical="center"/>
    </xf>
    <xf numFmtId="0" fontId="55" fillId="5" borderId="0" xfId="10" applyFont="1" applyFill="1" applyAlignment="1">
      <alignment horizontal="center" vertical="center"/>
    </xf>
    <xf numFmtId="164" fontId="56" fillId="0" borderId="10" xfId="69" applyFont="1" applyFill="1" applyBorder="1" applyAlignment="1">
      <alignment horizontal="center" vertical="center" wrapText="1"/>
    </xf>
    <xf numFmtId="164" fontId="56" fillId="0" borderId="10" xfId="69" applyFont="1" applyBorder="1" applyAlignment="1">
      <alignment horizontal="center" vertical="center"/>
    </xf>
    <xf numFmtId="164" fontId="55" fillId="0" borderId="10" xfId="69" applyFont="1" applyFill="1" applyBorder="1" applyAlignment="1">
      <alignment horizontal="center" vertical="center"/>
    </xf>
    <xf numFmtId="9" fontId="56" fillId="0" borderId="10" xfId="70" applyFont="1" applyBorder="1" applyAlignment="1">
      <alignment horizontal="center" vertical="center"/>
    </xf>
    <xf numFmtId="9" fontId="56" fillId="0" borderId="12" xfId="70" applyFont="1" applyBorder="1" applyAlignment="1">
      <alignment horizontal="center" vertical="center"/>
    </xf>
    <xf numFmtId="164" fontId="55" fillId="0" borderId="0" xfId="69" applyFont="1" applyFill="1" applyBorder="1" applyAlignment="1">
      <alignment horizontal="center" vertical="center"/>
    </xf>
    <xf numFmtId="164" fontId="56" fillId="0" borderId="0" xfId="69" applyFont="1" applyBorder="1" applyAlignment="1">
      <alignment horizontal="centerContinuous" vertical="center"/>
    </xf>
    <xf numFmtId="164" fontId="55" fillId="6" borderId="0" xfId="69" applyFont="1" applyFill="1" applyBorder="1" applyAlignment="1">
      <alignment horizontal="center" vertical="center"/>
    </xf>
    <xf numFmtId="164" fontId="55" fillId="5" borderId="10" xfId="69" applyFont="1" applyFill="1" applyBorder="1" applyAlignment="1" applyProtection="1">
      <alignment horizontal="left" vertical="center"/>
    </xf>
    <xf numFmtId="9" fontId="55" fillId="4" borderId="4" xfId="70" applyFont="1" applyFill="1" applyBorder="1" applyAlignment="1">
      <alignment horizontal="center" vertical="center" wrapText="1"/>
    </xf>
    <xf numFmtId="164" fontId="55" fillId="14" borderId="7" xfId="69" applyFont="1" applyFill="1" applyBorder="1" applyAlignment="1">
      <alignment horizontal="center" vertical="center" wrapText="1"/>
    </xf>
    <xf numFmtId="0" fontId="74" fillId="0" borderId="0" xfId="10" applyFont="1" applyAlignment="1">
      <alignment vertical="center"/>
    </xf>
    <xf numFmtId="0" fontId="62" fillId="0" borderId="0" xfId="0" applyFont="1" applyAlignment="1">
      <alignment horizontal="center" vertical="center" wrapText="1"/>
    </xf>
    <xf numFmtId="186" fontId="56" fillId="0" borderId="4" xfId="10" applyNumberFormat="1" applyFont="1" applyBorder="1" applyAlignment="1">
      <alignment horizontal="center" vertical="center"/>
    </xf>
    <xf numFmtId="0" fontId="56" fillId="0" borderId="4" xfId="10" applyFont="1" applyBorder="1" applyAlignment="1">
      <alignment vertical="center" wrapText="1"/>
    </xf>
    <xf numFmtId="164" fontId="56" fillId="6" borderId="4" xfId="69" applyFont="1" applyFill="1" applyBorder="1" applyAlignment="1">
      <alignment horizontal="center" vertical="center" wrapText="1"/>
    </xf>
    <xf numFmtId="164" fontId="56" fillId="6" borderId="4" xfId="69" applyFont="1" applyFill="1" applyBorder="1" applyAlignment="1">
      <alignment horizontal="center" vertical="center"/>
    </xf>
    <xf numFmtId="9" fontId="56" fillId="0" borderId="4" xfId="70" applyFont="1" applyFill="1" applyBorder="1" applyAlignment="1">
      <alignment horizontal="center" vertical="center"/>
    </xf>
    <xf numFmtId="164" fontId="56" fillId="6" borderId="4" xfId="69" applyFont="1" applyFill="1" applyBorder="1" applyAlignment="1">
      <alignment horizontal="center" vertical="top"/>
    </xf>
    <xf numFmtId="164" fontId="56" fillId="6" borderId="4" xfId="69" applyFont="1" applyFill="1" applyBorder="1" applyAlignment="1">
      <alignment vertical="center"/>
    </xf>
    <xf numFmtId="164" fontId="56" fillId="14" borderId="4" xfId="69" applyFont="1" applyFill="1" applyBorder="1" applyAlignment="1">
      <alignment vertical="center"/>
    </xf>
    <xf numFmtId="0" fontId="73" fillId="17" borderId="4" xfId="0" applyFont="1" applyFill="1" applyBorder="1" applyAlignment="1">
      <alignment horizontal="center" vertical="center"/>
    </xf>
    <xf numFmtId="186" fontId="73" fillId="17" borderId="4" xfId="0" applyNumberFormat="1" applyFont="1" applyFill="1" applyBorder="1" applyAlignment="1">
      <alignment horizontal="center" vertical="center" wrapText="1"/>
    </xf>
    <xf numFmtId="9" fontId="56" fillId="6" borderId="4" xfId="70" applyFont="1" applyFill="1" applyBorder="1" applyAlignment="1">
      <alignment horizontal="center" vertical="center"/>
    </xf>
    <xf numFmtId="0" fontId="73" fillId="6" borderId="4" xfId="0" applyFont="1" applyFill="1" applyBorder="1" applyAlignment="1" applyProtection="1">
      <alignment horizontal="center" vertical="center" wrapText="1"/>
      <protection locked="0"/>
    </xf>
    <xf numFmtId="0" fontId="71" fillId="17" borderId="4" xfId="0" applyFont="1" applyFill="1" applyBorder="1" applyAlignment="1">
      <alignment horizontal="center" vertical="center"/>
    </xf>
    <xf numFmtId="186" fontId="71" fillId="17" borderId="4" xfId="0" applyNumberFormat="1" applyFont="1" applyFill="1" applyBorder="1" applyAlignment="1">
      <alignment horizontal="center" vertical="center" wrapText="1"/>
    </xf>
    <xf numFmtId="164" fontId="71" fillId="6" borderId="4" xfId="69" applyFont="1" applyFill="1" applyBorder="1" applyAlignment="1">
      <alignment horizontal="center" vertical="center" wrapText="1"/>
    </xf>
    <xf numFmtId="9" fontId="71" fillId="10" borderId="4" xfId="70" applyFont="1" applyFill="1" applyBorder="1" applyAlignment="1">
      <alignment horizontal="center" vertical="center"/>
    </xf>
    <xf numFmtId="164" fontId="71" fillId="6" borderId="4" xfId="69" applyFont="1" applyFill="1" applyBorder="1" applyAlignment="1">
      <alignment vertical="center"/>
    </xf>
    <xf numFmtId="0" fontId="71" fillId="10" borderId="4" xfId="0" applyFont="1" applyFill="1" applyBorder="1" applyAlignment="1" applyProtection="1">
      <alignment horizontal="center" vertical="center" wrapText="1"/>
      <protection locked="0"/>
    </xf>
    <xf numFmtId="186" fontId="77" fillId="10" borderId="4" xfId="0" applyNumberFormat="1" applyFont="1" applyFill="1" applyBorder="1" applyAlignment="1">
      <alignment horizontal="left" vertical="center" wrapText="1"/>
    </xf>
    <xf numFmtId="0" fontId="78" fillId="0" borderId="0" xfId="10" applyFont="1" applyAlignment="1">
      <alignment vertical="center"/>
    </xf>
    <xf numFmtId="9" fontId="56" fillId="0" borderId="4" xfId="70" applyFont="1" applyBorder="1" applyAlignment="1">
      <alignment horizontal="center" vertical="center"/>
    </xf>
    <xf numFmtId="164" fontId="80" fillId="25" borderId="4" xfId="69" applyFont="1" applyFill="1" applyBorder="1" applyAlignment="1">
      <alignment horizontal="center" vertical="center"/>
    </xf>
    <xf numFmtId="164" fontId="80" fillId="26" borderId="4" xfId="69" applyFont="1" applyFill="1" applyBorder="1" applyAlignment="1">
      <alignment vertical="center"/>
    </xf>
    <xf numFmtId="164" fontId="80" fillId="25" borderId="4" xfId="69" applyFont="1" applyFill="1" applyBorder="1" applyAlignment="1">
      <alignment vertical="center"/>
    </xf>
    <xf numFmtId="0" fontId="81" fillId="25" borderId="4" xfId="0" applyFont="1" applyFill="1" applyBorder="1" applyAlignment="1">
      <alignment horizontal="left" vertical="center"/>
    </xf>
    <xf numFmtId="0" fontId="82" fillId="25" borderId="4" xfId="0" applyFont="1" applyFill="1" applyBorder="1" applyAlignment="1" applyProtection="1">
      <alignment horizontal="center" vertical="center" wrapText="1"/>
      <protection locked="0"/>
    </xf>
    <xf numFmtId="0" fontId="15" fillId="6" borderId="4" xfId="0" applyFont="1" applyFill="1" applyBorder="1" applyAlignment="1">
      <alignment horizontal="left" vertical="center" wrapText="1"/>
    </xf>
    <xf numFmtId="0" fontId="16" fillId="25" borderId="4" xfId="0" applyFont="1" applyFill="1" applyBorder="1" applyAlignment="1">
      <alignment horizontal="justify" vertical="center"/>
    </xf>
    <xf numFmtId="164" fontId="56" fillId="18" borderId="4" xfId="69" applyFont="1" applyFill="1" applyBorder="1" applyAlignment="1">
      <alignment horizontal="center" vertical="center"/>
    </xf>
    <xf numFmtId="0" fontId="81" fillId="25" borderId="4" xfId="0" applyFont="1" applyFill="1" applyBorder="1" applyAlignment="1">
      <alignment horizontal="left" vertical="center" wrapText="1"/>
    </xf>
    <xf numFmtId="0" fontId="82" fillId="25" borderId="4" xfId="0" applyFont="1" applyFill="1" applyBorder="1" applyAlignment="1">
      <alignment horizontal="center" vertical="center" wrapText="1"/>
    </xf>
    <xf numFmtId="164" fontId="70" fillId="6" borderId="4" xfId="69" applyFont="1" applyFill="1" applyBorder="1" applyAlignment="1">
      <alignment horizontal="center" vertical="center" wrapText="1"/>
    </xf>
    <xf numFmtId="164" fontId="70" fillId="18" borderId="4" xfId="69" applyFont="1" applyFill="1" applyBorder="1" applyAlignment="1">
      <alignment horizontal="center" vertical="center" wrapText="1"/>
    </xf>
    <xf numFmtId="164" fontId="83" fillId="26" borderId="4" xfId="69" applyFont="1" applyFill="1" applyBorder="1" applyAlignment="1">
      <alignment horizontal="center" vertical="center" wrapText="1"/>
    </xf>
    <xf numFmtId="164" fontId="83" fillId="25" borderId="4" xfId="69" applyFont="1" applyFill="1" applyBorder="1" applyAlignment="1">
      <alignment horizontal="center" vertical="center" wrapText="1"/>
    </xf>
    <xf numFmtId="164" fontId="73" fillId="6" borderId="4" xfId="69" applyFont="1" applyFill="1" applyBorder="1" applyAlignment="1">
      <alignment horizontal="center" vertical="center" wrapText="1"/>
    </xf>
    <xf numFmtId="187" fontId="17" fillId="6" borderId="4" xfId="0" applyNumberFormat="1" applyFont="1" applyFill="1" applyBorder="1" applyAlignment="1">
      <alignment horizontal="left" vertical="center"/>
    </xf>
    <xf numFmtId="164" fontId="71" fillId="10" borderId="4" xfId="69" applyFont="1" applyFill="1" applyBorder="1" applyAlignment="1">
      <alignment horizontal="center" vertical="center" wrapText="1"/>
    </xf>
    <xf numFmtId="164" fontId="76" fillId="24" borderId="4" xfId="69" applyFont="1" applyFill="1" applyBorder="1" applyAlignment="1">
      <alignment horizontal="center" vertical="center" wrapText="1"/>
    </xf>
    <xf numFmtId="164" fontId="76" fillId="24" borderId="4" xfId="69" applyFont="1" applyFill="1" applyBorder="1" applyAlignment="1">
      <alignment vertical="center"/>
    </xf>
    <xf numFmtId="0" fontId="76" fillId="24" borderId="4" xfId="0" applyFont="1" applyFill="1" applyBorder="1" applyAlignment="1" applyProtection="1">
      <alignment horizontal="center" vertical="center" wrapText="1"/>
      <protection locked="0"/>
    </xf>
    <xf numFmtId="0" fontId="79" fillId="6" borderId="4" xfId="0" applyFont="1" applyFill="1" applyBorder="1" applyAlignment="1">
      <alignment horizontal="left" vertical="center" wrapText="1"/>
    </xf>
    <xf numFmtId="164" fontId="84" fillId="6" borderId="4" xfId="69" applyFont="1" applyFill="1" applyBorder="1" applyAlignment="1">
      <alignment vertical="center" wrapText="1"/>
    </xf>
    <xf numFmtId="164" fontId="84" fillId="18" borderId="4" xfId="69" applyFont="1" applyFill="1" applyBorder="1" applyAlignment="1">
      <alignment vertical="center" wrapText="1"/>
    </xf>
    <xf numFmtId="164" fontId="85" fillId="25" borderId="4" xfId="69" applyFont="1" applyFill="1" applyBorder="1" applyAlignment="1">
      <alignment vertical="center" wrapText="1"/>
    </xf>
    <xf numFmtId="164" fontId="71" fillId="18" borderId="4" xfId="69" applyFont="1" applyFill="1" applyBorder="1" applyAlignment="1">
      <alignment horizontal="center" vertical="center" wrapText="1"/>
    </xf>
    <xf numFmtId="164" fontId="76" fillId="26" borderId="4" xfId="69" applyFont="1" applyFill="1" applyBorder="1" applyAlignment="1">
      <alignment horizontal="center" vertical="center" wrapText="1"/>
    </xf>
    <xf numFmtId="164" fontId="76" fillId="26" borderId="4" xfId="69" applyFont="1" applyFill="1" applyBorder="1" applyAlignment="1">
      <alignment vertical="center"/>
    </xf>
    <xf numFmtId="164" fontId="65" fillId="18" borderId="4" xfId="69" applyFont="1" applyFill="1" applyBorder="1" applyAlignment="1">
      <alignment horizontal="center" vertical="center"/>
    </xf>
    <xf numFmtId="164" fontId="80" fillId="26" borderId="4" xfId="69" applyFont="1" applyFill="1" applyBorder="1" applyAlignment="1">
      <alignment horizontal="center" vertical="top"/>
    </xf>
    <xf numFmtId="0" fontId="72" fillId="6" borderId="4" xfId="0" applyFont="1" applyFill="1" applyBorder="1" applyAlignment="1">
      <alignment horizontal="left" vertical="center" wrapText="1"/>
    </xf>
    <xf numFmtId="164" fontId="80" fillId="25" borderId="4" xfId="69" applyFont="1" applyFill="1" applyBorder="1" applyAlignment="1">
      <alignment horizontal="center" vertical="top"/>
    </xf>
    <xf numFmtId="164" fontId="88" fillId="6" borderId="4" xfId="69" applyFont="1" applyFill="1" applyBorder="1" applyAlignment="1">
      <alignment horizontal="center" vertical="center" wrapText="1"/>
    </xf>
    <xf numFmtId="0" fontId="81" fillId="25" borderId="7" xfId="0" applyFont="1" applyFill="1" applyBorder="1" applyAlignment="1">
      <alignment vertical="center" wrapText="1"/>
    </xf>
    <xf numFmtId="164" fontId="80" fillId="26" borderId="4" xfId="69" applyFont="1" applyFill="1" applyBorder="1" applyAlignment="1">
      <alignment horizontal="center" vertical="center"/>
    </xf>
    <xf numFmtId="0" fontId="79" fillId="0" borderId="4" xfId="0" applyFont="1" applyBorder="1" applyAlignment="1">
      <alignment horizontal="left" vertical="center"/>
    </xf>
    <xf numFmtId="0" fontId="81" fillId="25" borderId="4" xfId="0" applyFont="1" applyFill="1" applyBorder="1" applyAlignment="1">
      <alignment vertical="center" wrapText="1"/>
    </xf>
    <xf numFmtId="0" fontId="15" fillId="25" borderId="4" xfId="0" applyFont="1" applyFill="1" applyBorder="1" applyAlignment="1">
      <alignment vertical="center" wrapText="1"/>
    </xf>
    <xf numFmtId="4" fontId="56" fillId="0" borderId="0" xfId="10" applyNumberFormat="1" applyFont="1" applyAlignment="1">
      <alignment vertical="center"/>
    </xf>
    <xf numFmtId="186" fontId="70" fillId="17" borderId="4" xfId="0" applyNumberFormat="1" applyFont="1" applyFill="1" applyBorder="1" applyAlignment="1">
      <alignment horizontal="center" vertical="center"/>
    </xf>
    <xf numFmtId="164" fontId="56" fillId="0" borderId="4" xfId="69" applyFont="1" applyFill="1" applyBorder="1" applyAlignment="1">
      <alignment horizontal="center" vertical="top"/>
    </xf>
    <xf numFmtId="164" fontId="56" fillId="5" borderId="4" xfId="69" applyFont="1" applyFill="1" applyBorder="1" applyAlignment="1" applyProtection="1">
      <alignment horizontal="left" vertical="center"/>
    </xf>
    <xf numFmtId="164" fontId="56" fillId="0" borderId="4" xfId="69" applyFont="1" applyFill="1" applyBorder="1" applyAlignment="1">
      <alignment vertical="center"/>
    </xf>
    <xf numFmtId="164" fontId="56" fillId="0" borderId="4" xfId="69" applyFont="1" applyFill="1" applyBorder="1" applyAlignment="1">
      <alignment vertical="top"/>
    </xf>
    <xf numFmtId="164" fontId="56" fillId="18" borderId="4" xfId="69" applyFont="1" applyFill="1" applyBorder="1" applyAlignment="1">
      <alignment vertical="center"/>
    </xf>
    <xf numFmtId="164" fontId="80" fillId="26" borderId="4" xfId="69" applyFont="1" applyFill="1" applyBorder="1" applyAlignment="1">
      <alignment horizontal="center" vertical="center" wrapText="1"/>
    </xf>
    <xf numFmtId="164" fontId="32" fillId="0" borderId="4" xfId="69" applyFont="1" applyFill="1" applyBorder="1"/>
    <xf numFmtId="164" fontId="32" fillId="0" borderId="4" xfId="0" applyNumberFormat="1" applyFont="1" applyBorder="1"/>
    <xf numFmtId="0" fontId="56" fillId="17" borderId="4" xfId="0" applyFont="1" applyFill="1" applyBorder="1" applyAlignment="1">
      <alignment horizontal="center" vertical="center" wrapText="1"/>
    </xf>
    <xf numFmtId="164" fontId="56" fillId="18" borderId="4" xfId="69" applyFont="1" applyFill="1" applyBorder="1" applyAlignment="1">
      <alignment horizontal="center" vertical="center" wrapText="1"/>
    </xf>
    <xf numFmtId="0" fontId="0" fillId="0" borderId="4" xfId="0" applyBorder="1" applyAlignment="1">
      <alignment horizontal="left"/>
    </xf>
    <xf numFmtId="0" fontId="56" fillId="17" borderId="0" xfId="10" applyFont="1" applyFill="1" applyAlignment="1">
      <alignment vertical="center" wrapText="1"/>
    </xf>
    <xf numFmtId="164" fontId="56" fillId="18" borderId="4" xfId="69" applyFont="1" applyFill="1" applyBorder="1" applyAlignment="1">
      <alignment horizontal="center" vertical="top"/>
    </xf>
    <xf numFmtId="164" fontId="56" fillId="6" borderId="4" xfId="69" applyFont="1" applyFill="1" applyBorder="1" applyAlignment="1">
      <alignment vertical="center" wrapText="1"/>
    </xf>
    <xf numFmtId="0" fontId="79" fillId="6" borderId="4" xfId="0" applyFont="1" applyFill="1" applyBorder="1" applyAlignment="1">
      <alignment horizontal="left" vertical="center"/>
    </xf>
    <xf numFmtId="0" fontId="25" fillId="5" borderId="4" xfId="0" applyFont="1" applyFill="1" applyBorder="1" applyAlignment="1" applyProtection="1">
      <alignment horizontal="left" vertical="top" wrapText="1"/>
      <protection locked="0"/>
    </xf>
    <xf numFmtId="0" fontId="16" fillId="5" borderId="4" xfId="0" applyFont="1" applyFill="1" applyBorder="1" applyAlignment="1" applyProtection="1">
      <alignment horizontal="left" vertical="top" wrapText="1"/>
      <protection locked="0"/>
    </xf>
    <xf numFmtId="0" fontId="82" fillId="22" borderId="4" xfId="0" applyFont="1" applyFill="1" applyBorder="1" applyAlignment="1" applyProtection="1">
      <alignment horizontal="center" vertical="center" wrapText="1"/>
      <protection locked="0"/>
    </xf>
    <xf numFmtId="0" fontId="0" fillId="6" borderId="4" xfId="0" applyFill="1" applyBorder="1" applyAlignment="1">
      <alignment horizontal="left" vertical="center" wrapText="1"/>
    </xf>
    <xf numFmtId="186" fontId="73" fillId="6" borderId="4" xfId="0" applyNumberFormat="1" applyFont="1" applyFill="1" applyBorder="1" applyAlignment="1">
      <alignment horizontal="center" vertical="center" wrapText="1"/>
    </xf>
    <xf numFmtId="187" fontId="79" fillId="6" borderId="7" xfId="0" applyNumberFormat="1" applyFont="1" applyFill="1" applyBorder="1" applyAlignment="1">
      <alignment horizontal="center" vertical="center"/>
    </xf>
    <xf numFmtId="0" fontId="16" fillId="6" borderId="4" xfId="0" applyFont="1" applyFill="1" applyBorder="1" applyAlignment="1" applyProtection="1">
      <alignment horizontal="left" vertical="top" wrapText="1"/>
      <protection locked="0"/>
    </xf>
    <xf numFmtId="0" fontId="73" fillId="14" borderId="4" xfId="0" applyFont="1" applyFill="1" applyBorder="1" applyAlignment="1" applyProtection="1">
      <alignment horizontal="center" vertical="center" wrapText="1"/>
      <protection locked="0"/>
    </xf>
    <xf numFmtId="0" fontId="79" fillId="14" borderId="4" xfId="0" applyFont="1" applyFill="1" applyBorder="1" applyAlignment="1">
      <alignment horizontal="left" vertical="center"/>
    </xf>
    <xf numFmtId="0" fontId="90" fillId="0" borderId="4" xfId="0" applyFont="1" applyBorder="1" applyAlignment="1">
      <alignment horizontal="left" vertical="center" wrapText="1"/>
    </xf>
    <xf numFmtId="164" fontId="55" fillId="6" borderId="4" xfId="69" applyFont="1" applyFill="1" applyBorder="1" applyAlignment="1">
      <alignment horizontal="center" vertical="center"/>
    </xf>
    <xf numFmtId="0" fontId="91" fillId="0" borderId="4" xfId="0" applyFont="1" applyBorder="1" applyAlignment="1">
      <alignment horizontal="left" vertical="center" wrapText="1"/>
    </xf>
    <xf numFmtId="0" fontId="25" fillId="5" borderId="4" xfId="0" applyFont="1" applyFill="1" applyBorder="1" applyAlignment="1" applyProtection="1">
      <alignment horizontal="left" vertical="center" wrapText="1"/>
      <protection locked="0"/>
    </xf>
    <xf numFmtId="164" fontId="7" fillId="28" borderId="4" xfId="69" applyFont="1" applyFill="1" applyBorder="1" applyAlignment="1">
      <alignment horizontal="center"/>
    </xf>
    <xf numFmtId="164" fontId="80" fillId="29" borderId="4" xfId="69" applyFont="1" applyFill="1" applyBorder="1" applyAlignment="1">
      <alignment horizontal="center" vertical="center"/>
    </xf>
    <xf numFmtId="164" fontId="80" fillId="29" borderId="4" xfId="69" applyFont="1" applyFill="1" applyBorder="1" applyAlignment="1">
      <alignment vertical="center"/>
    </xf>
    <xf numFmtId="186" fontId="70" fillId="0" borderId="4" xfId="0" applyNumberFormat="1" applyFont="1" applyBorder="1" applyAlignment="1">
      <alignment horizontal="center" vertical="center"/>
    </xf>
    <xf numFmtId="164" fontId="70" fillId="17" borderId="4" xfId="69" applyFont="1" applyFill="1" applyBorder="1" applyAlignment="1">
      <alignment horizontal="center" vertical="center" wrapText="1"/>
    </xf>
    <xf numFmtId="9" fontId="56" fillId="17" borderId="4" xfId="70" applyFont="1" applyFill="1" applyBorder="1" applyAlignment="1">
      <alignment horizontal="center" vertical="center"/>
    </xf>
    <xf numFmtId="164" fontId="56" fillId="17" borderId="4" xfId="69" applyFont="1" applyFill="1" applyBorder="1" applyAlignment="1">
      <alignment horizontal="center" vertical="top"/>
    </xf>
    <xf numFmtId="164" fontId="83" fillId="23" borderId="4" xfId="69" applyFont="1" applyFill="1" applyBorder="1" applyAlignment="1">
      <alignment horizontal="center" vertical="center" wrapText="1"/>
    </xf>
    <xf numFmtId="0" fontId="83" fillId="23" borderId="4" xfId="0" applyFont="1" applyFill="1" applyBorder="1" applyAlignment="1">
      <alignment vertical="center" wrapText="1"/>
    </xf>
    <xf numFmtId="0" fontId="73" fillId="0" borderId="4" xfId="0" applyFont="1" applyBorder="1" applyAlignment="1">
      <alignment horizontal="center" vertical="center"/>
    </xf>
    <xf numFmtId="189" fontId="56" fillId="0" borderId="4" xfId="0" applyNumberFormat="1" applyFont="1" applyBorder="1" applyAlignment="1" applyProtection="1">
      <alignment horizontal="center" vertical="center" wrapText="1"/>
      <protection locked="0"/>
    </xf>
    <xf numFmtId="0" fontId="56" fillId="14" borderId="4" xfId="0" applyFont="1" applyFill="1" applyBorder="1" applyAlignment="1">
      <alignment horizontal="left" vertical="center" wrapText="1" indent="2"/>
    </xf>
    <xf numFmtId="189" fontId="56" fillId="17" borderId="4" xfId="0" applyNumberFormat="1" applyFont="1" applyFill="1" applyBorder="1" applyAlignment="1" applyProtection="1">
      <alignment horizontal="center" vertical="center" wrapText="1"/>
      <protection locked="0"/>
    </xf>
    <xf numFmtId="164" fontId="56" fillId="17" borderId="4" xfId="69" applyFont="1" applyFill="1" applyBorder="1" applyAlignment="1">
      <alignment horizontal="center" vertical="center" wrapText="1"/>
    </xf>
    <xf numFmtId="164" fontId="56" fillId="17" borderId="4" xfId="69" applyFont="1" applyFill="1" applyBorder="1" applyAlignment="1">
      <alignment horizontal="center" vertical="center"/>
    </xf>
    <xf numFmtId="164" fontId="56" fillId="17" borderId="4" xfId="69" applyFont="1" applyFill="1" applyBorder="1" applyAlignment="1">
      <alignment vertical="center"/>
    </xf>
    <xf numFmtId="164" fontId="80" fillId="23" borderId="4" xfId="69" applyFont="1" applyFill="1" applyBorder="1" applyAlignment="1">
      <alignment vertical="center"/>
    </xf>
    <xf numFmtId="0" fontId="82" fillId="23" borderId="4" xfId="0" applyFont="1" applyFill="1" applyBorder="1" applyAlignment="1" applyProtection="1">
      <alignment horizontal="center" vertical="center" wrapText="1"/>
      <protection locked="0"/>
    </xf>
    <xf numFmtId="186" fontId="69" fillId="0" borderId="4" xfId="74" applyNumberFormat="1" applyFont="1" applyBorder="1" applyAlignment="1">
      <alignment horizontal="center" vertical="center" wrapText="1"/>
    </xf>
    <xf numFmtId="186" fontId="7" fillId="0" borderId="4" xfId="10" applyNumberFormat="1" applyFont="1" applyBorder="1" applyAlignment="1">
      <alignment vertical="center" wrapText="1"/>
    </xf>
    <xf numFmtId="164" fontId="7" fillId="17" borderId="4" xfId="72" applyFont="1" applyFill="1" applyBorder="1" applyAlignment="1">
      <alignment vertical="center"/>
    </xf>
    <xf numFmtId="164" fontId="7" fillId="0" borderId="4" xfId="72" applyFont="1" applyFill="1" applyBorder="1" applyAlignment="1">
      <alignment vertical="center"/>
    </xf>
    <xf numFmtId="9" fontId="7" fillId="17" borderId="4" xfId="75" applyFont="1" applyFill="1" applyBorder="1" applyAlignment="1">
      <alignment vertical="center"/>
    </xf>
    <xf numFmtId="9" fontId="7" fillId="0" borderId="4" xfId="75" applyFont="1" applyFill="1" applyBorder="1" applyAlignment="1">
      <alignment vertical="center"/>
    </xf>
    <xf numFmtId="164" fontId="80" fillId="23" borderId="4" xfId="69" applyFont="1" applyFill="1" applyBorder="1" applyAlignment="1">
      <alignment horizontal="center" vertical="top"/>
    </xf>
    <xf numFmtId="0" fontId="81" fillId="0" borderId="4" xfId="74" applyFont="1" applyBorder="1" applyAlignment="1" applyProtection="1">
      <alignment horizontal="center" vertical="center" wrapText="1"/>
      <protection locked="0"/>
    </xf>
    <xf numFmtId="164" fontId="56" fillId="0" borderId="0" xfId="72" applyFont="1" applyFill="1" applyBorder="1" applyAlignment="1">
      <alignment vertical="center"/>
    </xf>
    <xf numFmtId="186" fontId="54" fillId="0" borderId="4" xfId="74" applyNumberFormat="1" applyFont="1" applyBorder="1" applyAlignment="1">
      <alignment horizontal="center" vertical="center" wrapText="1"/>
    </xf>
    <xf numFmtId="164" fontId="92" fillId="29" borderId="4" xfId="69" applyFont="1" applyFill="1" applyBorder="1" applyAlignment="1">
      <alignment horizontal="center" vertical="center" wrapText="1"/>
    </xf>
    <xf numFmtId="164" fontId="7" fillId="23" borderId="4" xfId="72" applyFont="1" applyFill="1" applyBorder="1" applyAlignment="1">
      <alignment vertical="center"/>
    </xf>
    <xf numFmtId="0" fontId="82" fillId="23" borderId="4" xfId="0" applyFont="1" applyFill="1" applyBorder="1" applyAlignment="1">
      <alignment horizontal="center" vertical="center" wrapText="1"/>
    </xf>
    <xf numFmtId="186" fontId="93" fillId="16" borderId="4" xfId="0" applyNumberFormat="1" applyFont="1" applyFill="1" applyBorder="1" applyAlignment="1">
      <alignment horizontal="center" vertical="center"/>
    </xf>
    <xf numFmtId="186" fontId="93" fillId="16" borderId="4" xfId="0" applyNumberFormat="1" applyFont="1" applyFill="1" applyBorder="1" applyAlignment="1">
      <alignment horizontal="center" vertical="center" wrapText="1"/>
    </xf>
    <xf numFmtId="164" fontId="93" fillId="16" borderId="4" xfId="69" applyFont="1" applyFill="1" applyBorder="1" applyAlignment="1">
      <alignment horizontal="center" vertical="center" wrapText="1"/>
    </xf>
    <xf numFmtId="0" fontId="92" fillId="29" borderId="4" xfId="0" applyFont="1" applyFill="1" applyBorder="1" applyAlignment="1">
      <alignment vertical="center" wrapText="1"/>
    </xf>
    <xf numFmtId="0" fontId="73" fillId="14" borderId="4" xfId="0" applyFont="1" applyFill="1" applyBorder="1" applyAlignment="1">
      <alignment horizontal="center" vertical="center" wrapText="1"/>
    </xf>
    <xf numFmtId="9" fontId="7" fillId="23" borderId="4" xfId="75" applyFont="1" applyFill="1" applyBorder="1" applyAlignment="1">
      <alignment vertical="center"/>
    </xf>
    <xf numFmtId="0" fontId="101" fillId="6" borderId="4" xfId="10" applyFont="1" applyFill="1" applyBorder="1" applyAlignment="1">
      <alignment vertical="center" wrapText="1"/>
    </xf>
    <xf numFmtId="0" fontId="102" fillId="0" borderId="4" xfId="0" applyFont="1" applyBorder="1" applyAlignment="1">
      <alignment horizontal="center" vertical="center" wrapText="1"/>
    </xf>
    <xf numFmtId="0" fontId="101" fillId="0" borderId="4" xfId="0" applyFont="1" applyBorder="1" applyAlignment="1">
      <alignment horizontal="left" vertical="center" wrapText="1" indent="2"/>
    </xf>
    <xf numFmtId="0" fontId="102" fillId="17" borderId="4" xfId="0" applyFont="1" applyFill="1" applyBorder="1" applyAlignment="1">
      <alignment horizontal="center" vertical="center"/>
    </xf>
    <xf numFmtId="186" fontId="102" fillId="17" borderId="4" xfId="0" applyNumberFormat="1" applyFont="1" applyFill="1" applyBorder="1" applyAlignment="1">
      <alignment horizontal="center" vertical="center" wrapText="1"/>
    </xf>
    <xf numFmtId="186" fontId="101" fillId="17" borderId="4" xfId="10" applyNumberFormat="1" applyFont="1" applyFill="1" applyBorder="1" applyAlignment="1">
      <alignment horizontal="center" vertical="center" wrapText="1"/>
    </xf>
    <xf numFmtId="164" fontId="101" fillId="0" borderId="4" xfId="25" applyFont="1" applyBorder="1" applyAlignment="1">
      <alignment horizontal="right" vertical="center" wrapText="1"/>
    </xf>
    <xf numFmtId="0" fontId="103" fillId="17" borderId="4" xfId="10" applyFont="1" applyFill="1" applyBorder="1" applyAlignment="1">
      <alignment vertical="center"/>
    </xf>
    <xf numFmtId="0" fontId="103" fillId="14" borderId="4" xfId="10" applyFont="1" applyFill="1" applyBorder="1" applyAlignment="1">
      <alignment vertical="center"/>
    </xf>
    <xf numFmtId="186" fontId="101" fillId="17" borderId="4" xfId="10" applyNumberFormat="1" applyFont="1" applyFill="1" applyBorder="1" applyAlignment="1">
      <alignment horizontal="center" vertical="center"/>
    </xf>
    <xf numFmtId="0" fontId="101" fillId="17" borderId="4" xfId="10" applyFont="1" applyFill="1" applyBorder="1" applyAlignment="1">
      <alignment vertical="center"/>
    </xf>
    <xf numFmtId="0" fontId="101" fillId="17" borderId="4" xfId="10" applyFont="1" applyFill="1" applyBorder="1" applyAlignment="1">
      <alignment vertical="center" wrapText="1"/>
    </xf>
    <xf numFmtId="0" fontId="73" fillId="6" borderId="4" xfId="0" applyFont="1" applyFill="1" applyBorder="1" applyAlignment="1">
      <alignment horizontal="left" vertical="center" wrapText="1"/>
    </xf>
    <xf numFmtId="164" fontId="103" fillId="17" borderId="4" xfId="72" applyFont="1" applyFill="1" applyBorder="1" applyAlignment="1">
      <alignment vertical="center"/>
    </xf>
    <xf numFmtId="0" fontId="102" fillId="17" borderId="4" xfId="0" applyFont="1" applyFill="1" applyBorder="1" applyAlignment="1">
      <alignment horizontal="center" vertical="center" wrapText="1"/>
    </xf>
    <xf numFmtId="9" fontId="101" fillId="6" borderId="4" xfId="70" applyFont="1" applyFill="1" applyBorder="1" applyAlignment="1">
      <alignment horizontal="center" vertical="center"/>
    </xf>
    <xf numFmtId="0" fontId="104" fillId="23" borderId="4" xfId="0" applyFont="1" applyFill="1" applyBorder="1" applyAlignment="1">
      <alignment horizontal="center" vertical="center" wrapText="1"/>
    </xf>
    <xf numFmtId="0" fontId="105" fillId="25" borderId="4" xfId="10" applyFont="1" applyFill="1" applyBorder="1" applyAlignment="1">
      <alignment vertical="center"/>
    </xf>
    <xf numFmtId="0" fontId="104" fillId="25" borderId="4" xfId="0" applyFont="1" applyFill="1" applyBorder="1" applyAlignment="1" applyProtection="1">
      <alignment horizontal="center" vertical="center" wrapText="1"/>
      <protection locked="0"/>
    </xf>
    <xf numFmtId="0" fontId="101" fillId="0" borderId="0" xfId="10" applyFont="1" applyAlignment="1">
      <alignment vertical="center"/>
    </xf>
    <xf numFmtId="164" fontId="56" fillId="16" borderId="4" xfId="69" applyFont="1" applyFill="1" applyBorder="1" applyAlignment="1">
      <alignment horizontal="center" vertical="center" wrapText="1"/>
    </xf>
    <xf numFmtId="164" fontId="56" fillId="16" borderId="4" xfId="69" applyFont="1" applyFill="1" applyBorder="1" applyAlignment="1">
      <alignment horizontal="center" vertical="center"/>
    </xf>
    <xf numFmtId="9" fontId="56" fillId="16" borderId="4" xfId="70" applyFont="1" applyFill="1" applyBorder="1" applyAlignment="1">
      <alignment horizontal="center" vertical="center"/>
    </xf>
    <xf numFmtId="164" fontId="56" fillId="16" borderId="4" xfId="69" applyFont="1" applyFill="1" applyBorder="1" applyAlignment="1">
      <alignment vertical="center"/>
    </xf>
    <xf numFmtId="164" fontId="7" fillId="6" borderId="4" xfId="72" applyFont="1" applyFill="1" applyBorder="1" applyAlignment="1">
      <alignment vertical="center"/>
    </xf>
    <xf numFmtId="164" fontId="71" fillId="16" borderId="4" xfId="69" applyFont="1" applyFill="1" applyBorder="1" applyAlignment="1">
      <alignment horizontal="center" vertical="center" wrapText="1"/>
    </xf>
    <xf numFmtId="164" fontId="76" fillId="29" borderId="4" xfId="69" applyFont="1" applyFill="1" applyBorder="1" applyAlignment="1">
      <alignment horizontal="center" vertical="center" wrapText="1"/>
    </xf>
    <xf numFmtId="164" fontId="76" fillId="29" borderId="4" xfId="69" applyFont="1" applyFill="1" applyBorder="1" applyAlignment="1">
      <alignment vertical="center"/>
    </xf>
    <xf numFmtId="0" fontId="76" fillId="29" borderId="4" xfId="0" applyFont="1" applyFill="1" applyBorder="1" applyAlignment="1" applyProtection="1">
      <alignment horizontal="center" vertical="center" wrapText="1"/>
      <protection locked="0"/>
    </xf>
    <xf numFmtId="164" fontId="55" fillId="5" borderId="4" xfId="69" applyFont="1" applyFill="1" applyBorder="1" applyAlignment="1" applyProtection="1">
      <alignment horizontal="left" vertical="center"/>
    </xf>
    <xf numFmtId="9" fontId="56" fillId="18" borderId="4" xfId="70" applyFont="1" applyFill="1" applyBorder="1" applyAlignment="1">
      <alignment horizontal="center" vertical="center"/>
    </xf>
    <xf numFmtId="0" fontId="32" fillId="22" borderId="4" xfId="0" applyFont="1" applyFill="1" applyBorder="1" applyAlignment="1">
      <alignment vertical="center"/>
    </xf>
    <xf numFmtId="0" fontId="0" fillId="14" borderId="4" xfId="0" applyFill="1" applyBorder="1" applyAlignment="1">
      <alignment vertical="center"/>
    </xf>
    <xf numFmtId="0" fontId="32" fillId="25" borderId="4" xfId="0" applyFont="1" applyFill="1" applyBorder="1" applyAlignment="1">
      <alignment vertical="center"/>
    </xf>
    <xf numFmtId="0" fontId="0" fillId="6" borderId="4" xfId="0" applyFill="1" applyBorder="1" applyAlignment="1">
      <alignment vertical="center"/>
    </xf>
    <xf numFmtId="0" fontId="0" fillId="0" borderId="0" xfId="0" applyAlignment="1">
      <alignment vertical="center"/>
    </xf>
    <xf numFmtId="190" fontId="80" fillId="25" borderId="4" xfId="69" applyNumberFormat="1" applyFont="1" applyFill="1" applyBorder="1" applyAlignment="1">
      <alignment horizontal="center" vertical="center"/>
    </xf>
    <xf numFmtId="164" fontId="56" fillId="14" borderId="4" xfId="69" applyFont="1" applyFill="1" applyBorder="1" applyAlignment="1" applyProtection="1">
      <alignment horizontal="left" vertical="center"/>
    </xf>
    <xf numFmtId="190" fontId="56" fillId="6" borderId="4" xfId="69" applyNumberFormat="1" applyFont="1" applyFill="1" applyBorder="1" applyAlignment="1">
      <alignment horizontal="center" vertical="center"/>
    </xf>
    <xf numFmtId="0" fontId="32" fillId="30" borderId="4" xfId="0" applyFont="1" applyFill="1" applyBorder="1" applyAlignment="1">
      <alignment vertical="center"/>
    </xf>
    <xf numFmtId="0" fontId="0" fillId="31" borderId="4" xfId="0" applyFill="1" applyBorder="1" applyAlignment="1">
      <alignment vertical="center"/>
    </xf>
    <xf numFmtId="0" fontId="32" fillId="32" borderId="4" xfId="0" applyFont="1" applyFill="1" applyBorder="1" applyAlignment="1">
      <alignment vertical="center"/>
    </xf>
    <xf numFmtId="0" fontId="0" fillId="11" borderId="4" xfId="0" applyFill="1" applyBorder="1" applyAlignment="1">
      <alignment vertical="center"/>
    </xf>
    <xf numFmtId="0" fontId="32" fillId="33" borderId="4" xfId="0" applyFont="1" applyFill="1" applyBorder="1" applyAlignment="1">
      <alignment vertical="center"/>
    </xf>
    <xf numFmtId="164" fontId="56" fillId="0" borderId="4" xfId="69" applyFont="1" applyFill="1" applyBorder="1" applyAlignment="1" applyProtection="1">
      <alignment horizontal="left" vertical="center"/>
    </xf>
    <xf numFmtId="0" fontId="0" fillId="34" borderId="4" xfId="0" applyFill="1" applyBorder="1" applyAlignment="1">
      <alignment vertical="center"/>
    </xf>
    <xf numFmtId="0" fontId="32" fillId="35" borderId="4" xfId="0" applyFont="1" applyFill="1" applyBorder="1" applyAlignment="1">
      <alignment vertical="center"/>
    </xf>
    <xf numFmtId="0" fontId="0" fillId="36" borderId="4" xfId="0" applyFill="1" applyBorder="1" applyAlignment="1">
      <alignment vertical="center"/>
    </xf>
    <xf numFmtId="0" fontId="56" fillId="6" borderId="4" xfId="0" applyFont="1" applyFill="1" applyBorder="1" applyAlignment="1">
      <alignment horizontal="right" vertical="center" wrapText="1" indent="2"/>
    </xf>
    <xf numFmtId="164" fontId="55" fillId="16" borderId="4" xfId="69" applyFont="1" applyFill="1" applyBorder="1" applyAlignment="1">
      <alignment horizontal="center" vertical="center"/>
    </xf>
    <xf numFmtId="164" fontId="55" fillId="16" borderId="4" xfId="69" applyFont="1" applyFill="1" applyBorder="1" applyAlignment="1">
      <alignment vertical="center"/>
    </xf>
    <xf numFmtId="164" fontId="55" fillId="0" borderId="0" xfId="69" applyFont="1" applyBorder="1" applyAlignment="1">
      <alignment vertical="center"/>
    </xf>
    <xf numFmtId="175" fontId="56" fillId="0" borderId="0" xfId="69" applyNumberFormat="1" applyFont="1" applyBorder="1" applyAlignment="1">
      <alignment horizontal="center" vertical="center"/>
    </xf>
    <xf numFmtId="164" fontId="56" fillId="0" borderId="0" xfId="69" applyFont="1" applyBorder="1"/>
    <xf numFmtId="186" fontId="56" fillId="0" borderId="0" xfId="69" applyNumberFormat="1" applyFont="1" applyBorder="1"/>
    <xf numFmtId="186" fontId="56" fillId="0" borderId="0" xfId="10" applyNumberFormat="1" applyFont="1"/>
    <xf numFmtId="164" fontId="55" fillId="5" borderId="0" xfId="69" applyFont="1" applyFill="1" applyBorder="1" applyAlignment="1">
      <alignment horizontal="left"/>
    </xf>
    <xf numFmtId="0" fontId="56" fillId="0" borderId="0" xfId="10" applyFont="1" applyAlignment="1">
      <alignment horizontal="centerContinuous"/>
    </xf>
    <xf numFmtId="186" fontId="56" fillId="0" borderId="0" xfId="10" applyNumberFormat="1" applyFont="1" applyAlignment="1">
      <alignment horizontal="center"/>
    </xf>
    <xf numFmtId="164" fontId="55" fillId="0" borderId="0" xfId="69" applyFont="1" applyFill="1" applyBorder="1" applyAlignment="1">
      <alignment horizontal="center"/>
    </xf>
    <xf numFmtId="175" fontId="55" fillId="16" borderId="4" xfId="69" applyNumberFormat="1" applyFont="1" applyFill="1" applyBorder="1" applyAlignment="1">
      <alignment horizontal="center" vertical="center" wrapText="1"/>
    </xf>
    <xf numFmtId="164" fontId="55" fillId="16" borderId="4" xfId="69" applyFont="1" applyFill="1" applyBorder="1" applyAlignment="1">
      <alignment horizontal="center" vertical="center" wrapText="1"/>
    </xf>
    <xf numFmtId="186" fontId="55" fillId="16" borderId="4" xfId="69" applyNumberFormat="1" applyFont="1" applyFill="1" applyBorder="1" applyAlignment="1">
      <alignment horizontal="center" vertical="center" wrapText="1"/>
    </xf>
    <xf numFmtId="0" fontId="72" fillId="0" borderId="4" xfId="74" applyFont="1" applyBorder="1" applyAlignment="1" applyProtection="1">
      <alignment horizontal="center" vertical="center" wrapText="1"/>
      <protection locked="0"/>
    </xf>
    <xf numFmtId="186" fontId="73" fillId="0" borderId="4" xfId="0" applyNumberFormat="1" applyFont="1" applyBorder="1" applyAlignment="1">
      <alignment horizontal="center" vertical="center" wrapText="1"/>
    </xf>
    <xf numFmtId="0" fontId="13" fillId="0" borderId="0" xfId="14" applyFont="1" applyAlignment="1">
      <alignment horizontal="center" vertical="center"/>
    </xf>
    <xf numFmtId="0" fontId="42" fillId="0" borderId="0" xfId="10" applyFont="1" applyAlignment="1">
      <alignment horizontal="center" vertical="center"/>
    </xf>
    <xf numFmtId="0" fontId="13" fillId="15" borderId="0" xfId="14" applyFont="1" applyFill="1" applyAlignment="1">
      <alignment horizontal="center" vertical="center"/>
    </xf>
    <xf numFmtId="0" fontId="42" fillId="15" borderId="0" xfId="10" applyFont="1" applyFill="1" applyAlignment="1">
      <alignment horizontal="center" vertical="center"/>
    </xf>
    <xf numFmtId="0" fontId="12" fillId="4" borderId="7" xfId="14" applyFont="1" applyFill="1" applyBorder="1" applyAlignment="1">
      <alignment horizontal="center" vertical="center"/>
    </xf>
    <xf numFmtId="0" fontId="12" fillId="4" borderId="10" xfId="14" applyFont="1" applyFill="1" applyBorder="1" applyAlignment="1">
      <alignment horizontal="center" vertical="center"/>
    </xf>
    <xf numFmtId="0" fontId="15" fillId="0" borderId="6" xfId="10" applyFont="1" applyBorder="1" applyAlignment="1">
      <alignment horizontal="center" vertical="center"/>
    </xf>
    <xf numFmtId="0" fontId="12" fillId="4" borderId="4" xfId="14" applyFont="1" applyFill="1" applyBorder="1" applyAlignment="1">
      <alignment horizontal="center" vertical="center"/>
    </xf>
    <xf numFmtId="0" fontId="15" fillId="0" borderId="4" xfId="10" applyFont="1" applyBorder="1" applyAlignment="1">
      <alignment horizontal="center" vertical="center"/>
    </xf>
    <xf numFmtId="0" fontId="51" fillId="12" borderId="4" xfId="0" applyFont="1" applyFill="1" applyBorder="1" applyAlignment="1">
      <alignment horizontal="center"/>
    </xf>
    <xf numFmtId="0" fontId="8" fillId="4" borderId="4" xfId="14" applyFont="1" applyFill="1" applyBorder="1" applyAlignment="1">
      <alignment horizontal="center" vertical="center" wrapText="1"/>
    </xf>
    <xf numFmtId="0" fontId="7" fillId="0" borderId="4" xfId="10" applyFont="1" applyBorder="1" applyAlignment="1">
      <alignment horizontal="center" vertical="center" wrapText="1"/>
    </xf>
    <xf numFmtId="0" fontId="8" fillId="4" borderId="5" xfId="14" applyFont="1" applyFill="1" applyBorder="1" applyAlignment="1">
      <alignment horizontal="center" vertical="center" wrapText="1"/>
    </xf>
    <xf numFmtId="0" fontId="8" fillId="4" borderId="3" xfId="14" applyFont="1" applyFill="1" applyBorder="1" applyAlignment="1">
      <alignment horizontal="center" vertical="center" wrapText="1"/>
    </xf>
    <xf numFmtId="0" fontId="8" fillId="4" borderId="8" xfId="14" applyFont="1" applyFill="1" applyBorder="1" applyAlignment="1">
      <alignment horizontal="center" vertical="center" wrapText="1"/>
    </xf>
    <xf numFmtId="0" fontId="12" fillId="4" borderId="4" xfId="14" applyFont="1" applyFill="1" applyBorder="1" applyAlignment="1">
      <alignment horizontal="center" vertical="center" wrapText="1"/>
    </xf>
    <xf numFmtId="0" fontId="8" fillId="0" borderId="0" xfId="14" applyFont="1" applyAlignment="1">
      <alignment horizontal="center" vertical="center"/>
    </xf>
    <xf numFmtId="0" fontId="8" fillId="0" borderId="0" xfId="10" applyFont="1" applyBorder="1" applyAlignment="1">
      <alignment horizontal="center" vertical="center"/>
    </xf>
    <xf numFmtId="0" fontId="8" fillId="4" borderId="7" xfId="14" applyFont="1" applyFill="1" applyBorder="1" applyAlignment="1">
      <alignment horizontal="center" vertical="center" wrapText="1"/>
    </xf>
    <xf numFmtId="0" fontId="8" fillId="4" borderId="10" xfId="14" applyFont="1" applyFill="1" applyBorder="1" applyAlignment="1">
      <alignment horizontal="center" vertical="center" wrapText="1"/>
    </xf>
    <xf numFmtId="0" fontId="17" fillId="0" borderId="6" xfId="10" applyBorder="1" applyAlignment="1">
      <alignment horizontal="center" vertical="center" wrapText="1"/>
    </xf>
    <xf numFmtId="0" fontId="8" fillId="4" borderId="4" xfId="14" applyFont="1" applyFill="1" applyBorder="1" applyAlignment="1">
      <alignment horizontal="center" vertical="center"/>
    </xf>
    <xf numFmtId="0" fontId="17" fillId="0" borderId="4" xfId="10" applyBorder="1" applyAlignment="1">
      <alignment horizontal="center" vertical="center"/>
    </xf>
    <xf numFmtId="0" fontId="33" fillId="6" borderId="12" xfId="10" applyFont="1" applyFill="1" applyBorder="1" applyAlignment="1">
      <alignment horizontal="left" vertical="center" wrapText="1"/>
    </xf>
    <xf numFmtId="0" fontId="33" fillId="6" borderId="0" xfId="10" applyFont="1" applyFill="1" applyBorder="1" applyAlignment="1">
      <alignment horizontal="left" vertical="center" wrapText="1"/>
    </xf>
    <xf numFmtId="0" fontId="8" fillId="7" borderId="4" xfId="14" applyFont="1" applyFill="1" applyBorder="1" applyAlignment="1">
      <alignment horizontal="center" vertical="center" wrapText="1"/>
    </xf>
    <xf numFmtId="0" fontId="7" fillId="7" borderId="4" xfId="10" applyFont="1" applyFill="1" applyBorder="1" applyAlignment="1">
      <alignment horizontal="center" vertical="center" wrapText="1"/>
    </xf>
    <xf numFmtId="0" fontId="29" fillId="7" borderId="7" xfId="10" applyFont="1" applyFill="1" applyBorder="1" applyAlignment="1">
      <alignment horizontal="center" vertical="center"/>
    </xf>
    <xf numFmtId="0" fontId="29" fillId="7" borderId="6" xfId="10" applyFont="1" applyFill="1" applyBorder="1" applyAlignment="1">
      <alignment horizontal="center" vertical="center"/>
    </xf>
    <xf numFmtId="0" fontId="33" fillId="6" borderId="9" xfId="10" applyFont="1" applyFill="1" applyBorder="1" applyAlignment="1">
      <alignment horizontal="left" vertical="center"/>
    </xf>
    <xf numFmtId="0" fontId="33" fillId="6" borderId="11" xfId="10" applyFont="1" applyFill="1" applyBorder="1" applyAlignment="1">
      <alignment horizontal="left" vertical="center"/>
    </xf>
    <xf numFmtId="0" fontId="29" fillId="7" borderId="7" xfId="10" applyFont="1" applyFill="1" applyBorder="1" applyAlignment="1">
      <alignment horizontal="center" vertical="center" wrapText="1"/>
    </xf>
    <xf numFmtId="0" fontId="29" fillId="7" borderId="6" xfId="10" applyFont="1" applyFill="1" applyBorder="1" applyAlignment="1">
      <alignment horizontal="center" vertical="center" wrapText="1"/>
    </xf>
    <xf numFmtId="0" fontId="29" fillId="7" borderId="5" xfId="10" applyFont="1" applyFill="1" applyBorder="1" applyAlignment="1">
      <alignment horizontal="center" vertical="center"/>
    </xf>
    <xf numFmtId="0" fontId="29" fillId="7" borderId="3" xfId="10" applyFont="1" applyFill="1" applyBorder="1" applyAlignment="1">
      <alignment horizontal="center" vertical="center"/>
    </xf>
    <xf numFmtId="0" fontId="29" fillId="7" borderId="8" xfId="10" applyFont="1" applyFill="1" applyBorder="1" applyAlignment="1">
      <alignment horizontal="center" vertical="center"/>
    </xf>
    <xf numFmtId="0" fontId="67" fillId="6" borderId="12" xfId="10" applyFont="1" applyFill="1" applyBorder="1" applyAlignment="1">
      <alignment horizontal="left" vertical="center"/>
    </xf>
    <xf numFmtId="0" fontId="67" fillId="6" borderId="0" xfId="10" applyFont="1" applyFill="1" applyAlignment="1">
      <alignment horizontal="left" vertical="center"/>
    </xf>
    <xf numFmtId="0" fontId="33" fillId="6" borderId="0" xfId="10" applyFont="1" applyFill="1" applyAlignment="1">
      <alignment horizontal="left" vertical="center" wrapText="1"/>
    </xf>
    <xf numFmtId="0" fontId="30" fillId="6" borderId="0" xfId="10" applyFont="1" applyFill="1" applyAlignment="1">
      <alignment vertical="center"/>
    </xf>
    <xf numFmtId="0" fontId="8" fillId="6" borderId="0" xfId="14" applyFont="1" applyFill="1" applyBorder="1" applyAlignment="1">
      <alignment horizontal="center" vertical="center"/>
    </xf>
    <xf numFmtId="0" fontId="8" fillId="6" borderId="0" xfId="10" applyFont="1" applyFill="1" applyBorder="1" applyAlignment="1">
      <alignment horizontal="center" vertical="center"/>
    </xf>
    <xf numFmtId="0" fontId="47" fillId="0" borderId="0" xfId="10" applyFont="1" applyAlignment="1">
      <alignment horizontal="center" vertical="center"/>
    </xf>
    <xf numFmtId="0" fontId="8" fillId="4" borderId="4" xfId="14" quotePrefix="1" applyFont="1" applyFill="1" applyBorder="1" applyAlignment="1">
      <alignment horizontal="center" vertical="center" wrapText="1"/>
    </xf>
    <xf numFmtId="0" fontId="8" fillId="4" borderId="4" xfId="10" applyFont="1" applyFill="1" applyBorder="1" applyAlignment="1">
      <alignment horizontal="center" vertical="center" wrapText="1"/>
    </xf>
    <xf numFmtId="0" fontId="17" fillId="0" borderId="4" xfId="10" applyBorder="1" applyAlignment="1">
      <alignment horizontal="center" vertical="center" wrapText="1"/>
    </xf>
    <xf numFmtId="0" fontId="8" fillId="4" borderId="4" xfId="10" applyFont="1" applyFill="1" applyBorder="1" applyAlignment="1">
      <alignment horizontal="center" vertical="center"/>
    </xf>
    <xf numFmtId="0" fontId="8" fillId="4" borderId="6" xfId="14" applyFont="1" applyFill="1" applyBorder="1" applyAlignment="1">
      <alignment horizontal="center" vertical="center" wrapText="1"/>
    </xf>
    <xf numFmtId="0" fontId="8" fillId="4" borderId="7" xfId="10" applyFont="1" applyFill="1" applyBorder="1" applyAlignment="1">
      <alignment horizontal="center" vertical="center" wrapText="1"/>
    </xf>
    <xf numFmtId="0" fontId="8" fillId="4" borderId="6" xfId="10" applyFont="1" applyFill="1" applyBorder="1" applyAlignment="1">
      <alignment horizontal="center" vertical="center" wrapText="1"/>
    </xf>
    <xf numFmtId="0" fontId="8" fillId="4" borderId="7" xfId="10" applyFont="1" applyFill="1" applyBorder="1" applyAlignment="1">
      <alignment horizontal="center" vertical="center"/>
    </xf>
    <xf numFmtId="0" fontId="8" fillId="4" borderId="6" xfId="10" applyFont="1" applyFill="1" applyBorder="1" applyAlignment="1">
      <alignment horizontal="center" vertical="center"/>
    </xf>
    <xf numFmtId="0" fontId="8" fillId="4" borderId="7" xfId="14" applyFont="1" applyFill="1" applyBorder="1" applyAlignment="1">
      <alignment horizontal="left" vertical="center" wrapText="1"/>
    </xf>
    <xf numFmtId="0" fontId="8" fillId="4" borderId="6" xfId="14" applyFont="1" applyFill="1" applyBorder="1" applyAlignment="1">
      <alignment horizontal="left" vertical="center" wrapText="1"/>
    </xf>
    <xf numFmtId="0" fontId="17" fillId="0" borderId="0" xfId="10" applyAlignment="1">
      <alignment horizontal="center" vertical="center"/>
    </xf>
    <xf numFmtId="0" fontId="7" fillId="0" borderId="9" xfId="14" quotePrefix="1" applyFont="1" applyFill="1" applyBorder="1" applyAlignment="1">
      <alignment horizontal="center" vertical="center" wrapText="1"/>
    </xf>
    <xf numFmtId="0" fontId="7" fillId="0" borderId="11" xfId="14" quotePrefix="1" applyFont="1" applyFill="1" applyBorder="1" applyAlignment="1">
      <alignment horizontal="center" vertical="center" wrapText="1"/>
    </xf>
    <xf numFmtId="0" fontId="7" fillId="0" borderId="12" xfId="14" quotePrefix="1" applyFont="1" applyFill="1" applyBorder="1" applyAlignment="1">
      <alignment horizontal="center" vertical="center" wrapText="1"/>
    </xf>
    <xf numFmtId="0" fontId="7" fillId="0" borderId="0" xfId="14" quotePrefix="1" applyFont="1" applyFill="1" applyBorder="1" applyAlignment="1">
      <alignment horizontal="center" vertical="center" wrapText="1"/>
    </xf>
    <xf numFmtId="0" fontId="7" fillId="0" borderId="15" xfId="14" quotePrefix="1" applyFont="1" applyFill="1" applyBorder="1" applyAlignment="1">
      <alignment horizontal="center" vertical="center" wrapText="1"/>
    </xf>
    <xf numFmtId="0" fontId="7" fillId="0" borderId="16" xfId="14" quotePrefix="1" applyFont="1" applyFill="1" applyBorder="1" applyAlignment="1">
      <alignment horizontal="center" vertical="center" wrapText="1"/>
    </xf>
    <xf numFmtId="0" fontId="7" fillId="0" borderId="13" xfId="14" quotePrefix="1" applyFont="1" applyFill="1" applyBorder="1" applyAlignment="1">
      <alignment horizontal="center" vertical="center" wrapText="1"/>
    </xf>
    <xf numFmtId="0" fontId="7" fillId="0" borderId="14" xfId="14" quotePrefix="1" applyFont="1" applyFill="1" applyBorder="1" applyAlignment="1">
      <alignment horizontal="center" vertical="center" wrapText="1"/>
    </xf>
    <xf numFmtId="0" fontId="7" fillId="0" borderId="17" xfId="14" quotePrefix="1" applyFont="1" applyFill="1" applyBorder="1" applyAlignment="1">
      <alignment horizontal="center" vertical="center" wrapText="1"/>
    </xf>
    <xf numFmtId="0" fontId="8" fillId="0" borderId="9" xfId="10" quotePrefix="1" applyFont="1" applyFill="1" applyBorder="1" applyAlignment="1">
      <alignment horizontal="center" vertical="center"/>
    </xf>
    <xf numFmtId="0" fontId="8" fillId="0" borderId="11" xfId="10" quotePrefix="1" applyFont="1" applyFill="1" applyBorder="1" applyAlignment="1">
      <alignment horizontal="center" vertical="center"/>
    </xf>
    <xf numFmtId="0" fontId="8" fillId="0" borderId="12" xfId="10" quotePrefix="1" applyFont="1" applyFill="1" applyBorder="1" applyAlignment="1">
      <alignment horizontal="center" vertical="center"/>
    </xf>
    <xf numFmtId="0" fontId="8" fillId="0" borderId="0" xfId="10" quotePrefix="1" applyFont="1" applyFill="1" applyBorder="1" applyAlignment="1">
      <alignment horizontal="center" vertical="center"/>
    </xf>
    <xf numFmtId="0" fontId="8" fillId="0" borderId="15" xfId="10" quotePrefix="1" applyFont="1" applyFill="1" applyBorder="1" applyAlignment="1">
      <alignment horizontal="center" vertical="center"/>
    </xf>
    <xf numFmtId="0" fontId="8" fillId="0" borderId="16" xfId="10" quotePrefix="1" applyFont="1" applyFill="1" applyBorder="1" applyAlignment="1">
      <alignment horizontal="center" vertical="center"/>
    </xf>
    <xf numFmtId="0" fontId="8" fillId="0" borderId="11" xfId="10" applyFont="1" applyFill="1" applyBorder="1" applyAlignment="1">
      <alignment horizontal="center" vertical="center"/>
    </xf>
    <xf numFmtId="0" fontId="8" fillId="0" borderId="13" xfId="10" applyFont="1" applyFill="1" applyBorder="1" applyAlignment="1">
      <alignment horizontal="center" vertical="center"/>
    </xf>
    <xf numFmtId="0" fontId="8" fillId="0" borderId="0" xfId="10" applyFont="1" applyFill="1" applyBorder="1" applyAlignment="1">
      <alignment horizontal="center" vertical="center"/>
    </xf>
    <xf numFmtId="0" fontId="8" fillId="0" borderId="14" xfId="10" applyFont="1" applyFill="1" applyBorder="1" applyAlignment="1">
      <alignment horizontal="center" vertical="center"/>
    </xf>
    <xf numFmtId="0" fontId="8" fillId="0" borderId="16" xfId="10" applyFont="1" applyFill="1" applyBorder="1" applyAlignment="1">
      <alignment horizontal="center" vertical="center"/>
    </xf>
    <xf numFmtId="0" fontId="8" fillId="0" borderId="17" xfId="10" applyFont="1" applyFill="1" applyBorder="1" applyAlignment="1">
      <alignment horizontal="center" vertical="center"/>
    </xf>
    <xf numFmtId="0" fontId="8" fillId="5" borderId="9" xfId="14" quotePrefix="1" applyFont="1" applyFill="1" applyBorder="1" applyAlignment="1">
      <alignment horizontal="center" vertical="center"/>
    </xf>
    <xf numFmtId="0" fontId="8" fillId="5" borderId="11" xfId="14" applyFont="1" applyFill="1" applyBorder="1" applyAlignment="1">
      <alignment horizontal="center" vertical="center"/>
    </xf>
    <xf numFmtId="0" fontId="8" fillId="5" borderId="13" xfId="14" applyFont="1" applyFill="1" applyBorder="1" applyAlignment="1">
      <alignment horizontal="center" vertical="center"/>
    </xf>
    <xf numFmtId="0" fontId="8" fillId="5" borderId="12" xfId="14" applyFont="1" applyFill="1" applyBorder="1" applyAlignment="1">
      <alignment horizontal="center" vertical="center"/>
    </xf>
    <xf numFmtId="0" fontId="8" fillId="5" borderId="0" xfId="14" applyFont="1" applyFill="1" applyBorder="1" applyAlignment="1">
      <alignment horizontal="center" vertical="center"/>
    </xf>
    <xf numFmtId="0" fontId="8" fillId="5" borderId="14" xfId="14" applyFont="1" applyFill="1" applyBorder="1" applyAlignment="1">
      <alignment horizontal="center" vertical="center"/>
    </xf>
    <xf numFmtId="0" fontId="8" fillId="5" borderId="15" xfId="14" applyFont="1" applyFill="1" applyBorder="1" applyAlignment="1">
      <alignment horizontal="center" vertical="center"/>
    </xf>
    <xf numFmtId="0" fontId="8" fillId="5" borderId="16" xfId="14" applyFont="1" applyFill="1" applyBorder="1" applyAlignment="1">
      <alignment horizontal="center" vertical="center"/>
    </xf>
    <xf numFmtId="0" fontId="8" fillId="5" borderId="17" xfId="14" applyFont="1" applyFill="1" applyBorder="1" applyAlignment="1">
      <alignment horizontal="center" vertical="center"/>
    </xf>
    <xf numFmtId="0" fontId="8" fillId="0" borderId="9" xfId="14" quotePrefix="1" applyFont="1" applyFill="1" applyBorder="1" applyAlignment="1">
      <alignment horizontal="center" vertical="center" wrapText="1"/>
    </xf>
    <xf numFmtId="0" fontId="8" fillId="0" borderId="11" xfId="14" applyFont="1" applyFill="1" applyBorder="1" applyAlignment="1">
      <alignment horizontal="center" vertical="center" wrapText="1"/>
    </xf>
    <xf numFmtId="0" fontId="8" fillId="0" borderId="13" xfId="14" applyFont="1" applyFill="1" applyBorder="1" applyAlignment="1">
      <alignment horizontal="center" vertical="center" wrapText="1"/>
    </xf>
    <xf numFmtId="0" fontId="8" fillId="0" borderId="12" xfId="14" applyFont="1" applyFill="1" applyBorder="1" applyAlignment="1">
      <alignment horizontal="center" vertical="center" wrapText="1"/>
    </xf>
    <xf numFmtId="0" fontId="8" fillId="0" borderId="0" xfId="14" applyFont="1" applyFill="1" applyBorder="1" applyAlignment="1">
      <alignment horizontal="center" vertical="center" wrapText="1"/>
    </xf>
    <xf numFmtId="0" fontId="8" fillId="0" borderId="14" xfId="14" applyFont="1" applyFill="1" applyBorder="1" applyAlignment="1">
      <alignment horizontal="center" vertical="center" wrapText="1"/>
    </xf>
    <xf numFmtId="0" fontId="8" fillId="0" borderId="15" xfId="14" applyFont="1" applyFill="1" applyBorder="1" applyAlignment="1">
      <alignment horizontal="center" vertical="center" wrapText="1"/>
    </xf>
    <xf numFmtId="0" fontId="8" fillId="0" borderId="16" xfId="14" applyFont="1" applyFill="1" applyBorder="1" applyAlignment="1">
      <alignment horizontal="center" vertical="center" wrapText="1"/>
    </xf>
    <xf numFmtId="0" fontId="8" fillId="0" borderId="17" xfId="14" applyFont="1" applyFill="1" applyBorder="1" applyAlignment="1">
      <alignment horizontal="center" vertical="center" wrapText="1"/>
    </xf>
    <xf numFmtId="0" fontId="8" fillId="0" borderId="9" xfId="10" applyFont="1" applyFill="1" applyBorder="1" applyAlignment="1">
      <alignment horizontal="center" vertical="center" wrapText="1"/>
    </xf>
    <xf numFmtId="0" fontId="8" fillId="0" borderId="11" xfId="10" applyFont="1" applyFill="1" applyBorder="1" applyAlignment="1">
      <alignment horizontal="center" vertical="center" wrapText="1"/>
    </xf>
    <xf numFmtId="0" fontId="8" fillId="0" borderId="13" xfId="10" applyFont="1" applyFill="1" applyBorder="1" applyAlignment="1">
      <alignment horizontal="center" vertical="center" wrapText="1"/>
    </xf>
    <xf numFmtId="0" fontId="8" fillId="0" borderId="12" xfId="10" applyFont="1" applyFill="1" applyBorder="1" applyAlignment="1">
      <alignment horizontal="center" vertical="center" wrapText="1"/>
    </xf>
    <xf numFmtId="0" fontId="8" fillId="0" borderId="0" xfId="10" applyFont="1" applyFill="1" applyBorder="1" applyAlignment="1">
      <alignment horizontal="center" vertical="center" wrapText="1"/>
    </xf>
    <xf numFmtId="0" fontId="8" fillId="0" borderId="14" xfId="10" applyFont="1" applyFill="1" applyBorder="1" applyAlignment="1">
      <alignment horizontal="center" vertical="center" wrapText="1"/>
    </xf>
    <xf numFmtId="0" fontId="8" fillId="0" borderId="15" xfId="10" applyFont="1" applyFill="1" applyBorder="1" applyAlignment="1">
      <alignment horizontal="center" vertical="center" wrapText="1"/>
    </xf>
    <xf numFmtId="0" fontId="8" fillId="0" borderId="16" xfId="10" applyFont="1" applyFill="1" applyBorder="1" applyAlignment="1">
      <alignment horizontal="center" vertical="center" wrapText="1"/>
    </xf>
    <xf numFmtId="0" fontId="8" fillId="0" borderId="17" xfId="10" applyFont="1" applyFill="1" applyBorder="1" applyAlignment="1">
      <alignment horizontal="center" vertical="center" wrapText="1"/>
    </xf>
    <xf numFmtId="0" fontId="8" fillId="4" borderId="5" xfId="10" applyFont="1" applyFill="1" applyBorder="1" applyAlignment="1">
      <alignment horizontal="center" vertical="center"/>
    </xf>
    <xf numFmtId="0" fontId="8" fillId="4" borderId="8" xfId="10" applyFont="1" applyFill="1" applyBorder="1" applyAlignment="1">
      <alignment horizontal="center" vertical="center"/>
    </xf>
    <xf numFmtId="0" fontId="7" fillId="0" borderId="4" xfId="0" applyFont="1" applyFill="1" applyBorder="1" applyAlignment="1">
      <alignment horizontal="center" vertical="top"/>
    </xf>
    <xf numFmtId="164" fontId="7" fillId="0" borderId="4" xfId="29" applyFont="1" applyFill="1" applyBorder="1" applyAlignment="1">
      <alignment horizontal="center" vertical="center"/>
    </xf>
    <xf numFmtId="164" fontId="7" fillId="0" borderId="7" xfId="29" applyFont="1" applyFill="1" applyBorder="1" applyAlignment="1">
      <alignment horizontal="center" vertical="center"/>
    </xf>
    <xf numFmtId="164" fontId="7" fillId="0" borderId="10" xfId="29" applyFont="1" applyFill="1" applyBorder="1" applyAlignment="1">
      <alignment horizontal="center" vertical="center"/>
    </xf>
    <xf numFmtId="164" fontId="7" fillId="0" borderId="6" xfId="29" applyFont="1" applyFill="1" applyBorder="1" applyAlignment="1">
      <alignment horizontal="center" vertical="center"/>
    </xf>
    <xf numFmtId="164" fontId="25" fillId="0" borderId="7" xfId="29" applyFont="1" applyFill="1" applyBorder="1" applyAlignment="1">
      <alignment horizontal="center" vertical="center"/>
    </xf>
    <xf numFmtId="164" fontId="25" fillId="0" borderId="10" xfId="29" applyFont="1" applyFill="1" applyBorder="1" applyAlignment="1">
      <alignment horizontal="center" vertical="center"/>
    </xf>
    <xf numFmtId="164" fontId="25" fillId="0" borderId="6" xfId="29" applyFont="1" applyFill="1" applyBorder="1" applyAlignment="1">
      <alignment horizontal="center" vertical="center"/>
    </xf>
    <xf numFmtId="0" fontId="8" fillId="7" borderId="4" xfId="10" applyFont="1" applyFill="1" applyBorder="1" applyAlignment="1">
      <alignment horizontal="center" vertical="center" wrapText="1"/>
    </xf>
    <xf numFmtId="0" fontId="8" fillId="7" borderId="4" xfId="10" applyFont="1" applyFill="1" applyBorder="1" applyAlignment="1">
      <alignment horizontal="center" vertical="center"/>
    </xf>
    <xf numFmtId="0" fontId="8" fillId="7" borderId="4" xfId="10" applyFont="1" applyFill="1" applyBorder="1" applyAlignment="1">
      <alignment horizontal="center" wrapText="1"/>
    </xf>
    <xf numFmtId="0" fontId="8" fillId="7" borderId="5" xfId="10" applyFont="1" applyFill="1" applyBorder="1" applyAlignment="1">
      <alignment horizontal="center" vertical="center" wrapText="1"/>
    </xf>
    <xf numFmtId="0" fontId="8" fillId="7" borderId="3" xfId="10" applyFont="1" applyFill="1" applyBorder="1" applyAlignment="1">
      <alignment horizontal="center" vertical="center" wrapText="1"/>
    </xf>
    <xf numFmtId="0" fontId="8" fillId="7" borderId="8" xfId="10" applyFont="1" applyFill="1" applyBorder="1" applyAlignment="1">
      <alignment horizontal="center" vertical="center" wrapText="1"/>
    </xf>
    <xf numFmtId="0" fontId="12" fillId="0" borderId="0" xfId="14" applyFont="1" applyFill="1" applyBorder="1" applyAlignment="1">
      <alignment horizontal="center" vertical="center" wrapText="1"/>
    </xf>
    <xf numFmtId="0" fontId="8" fillId="7" borderId="5" xfId="14" applyFont="1" applyFill="1" applyBorder="1" applyAlignment="1">
      <alignment horizontal="center" vertical="center" wrapText="1"/>
    </xf>
    <xf numFmtId="0" fontId="8" fillId="7" borderId="3" xfId="14" applyFont="1" applyFill="1" applyBorder="1" applyAlignment="1">
      <alignment horizontal="center" vertical="center" wrapText="1"/>
    </xf>
    <xf numFmtId="0" fontId="8" fillId="7" borderId="8" xfId="14" applyFont="1" applyFill="1" applyBorder="1" applyAlignment="1">
      <alignment horizontal="center" vertical="center" wrapText="1"/>
    </xf>
    <xf numFmtId="0" fontId="7" fillId="0" borderId="0" xfId="10" applyFont="1" applyFill="1" applyBorder="1" applyAlignment="1">
      <alignment horizontal="center" vertical="center" wrapText="1"/>
    </xf>
    <xf numFmtId="164" fontId="8" fillId="0" borderId="4" xfId="29" applyFont="1" applyFill="1" applyBorder="1" applyAlignment="1" applyProtection="1">
      <alignment horizontal="center" vertical="center"/>
    </xf>
    <xf numFmtId="4" fontId="7" fillId="0" borderId="7" xfId="10" applyNumberFormat="1" applyFont="1" applyFill="1" applyBorder="1" applyAlignment="1" applyProtection="1">
      <alignment horizontal="center" vertical="center"/>
    </xf>
    <xf numFmtId="4" fontId="7" fillId="0" borderId="10" xfId="10" applyNumberFormat="1" applyFont="1" applyFill="1" applyBorder="1" applyAlignment="1" applyProtection="1">
      <alignment horizontal="center" vertical="center"/>
    </xf>
    <xf numFmtId="4" fontId="7" fillId="0" borderId="6" xfId="10" applyNumberFormat="1" applyFont="1" applyFill="1" applyBorder="1" applyAlignment="1" applyProtection="1">
      <alignment horizontal="center" vertical="center"/>
    </xf>
    <xf numFmtId="0" fontId="8" fillId="7" borderId="5" xfId="10" applyFont="1" applyFill="1" applyBorder="1" applyAlignment="1">
      <alignment horizontal="center" vertical="center"/>
    </xf>
    <xf numFmtId="0" fontId="8" fillId="7" borderId="8" xfId="10" applyFont="1" applyFill="1" applyBorder="1" applyAlignment="1">
      <alignment horizontal="center" vertical="center"/>
    </xf>
    <xf numFmtId="164" fontId="7" fillId="0" borderId="7" xfId="29" applyFont="1" applyFill="1" applyBorder="1" applyAlignment="1" applyProtection="1">
      <alignment horizontal="center" vertical="center"/>
    </xf>
    <xf numFmtId="164" fontId="7" fillId="0" borderId="10" xfId="29" applyFont="1" applyFill="1" applyBorder="1" applyAlignment="1" applyProtection="1">
      <alignment horizontal="center" vertical="center"/>
    </xf>
    <xf numFmtId="164" fontId="7" fillId="0" borderId="6" xfId="29" applyFont="1" applyFill="1" applyBorder="1" applyAlignment="1" applyProtection="1">
      <alignment horizontal="center" vertical="center"/>
    </xf>
    <xf numFmtId="4" fontId="8" fillId="0" borderId="4" xfId="10" applyNumberFormat="1" applyFont="1" applyFill="1" applyBorder="1" applyAlignment="1" applyProtection="1">
      <alignment horizontal="center" vertical="center"/>
    </xf>
    <xf numFmtId="0" fontId="8" fillId="0" borderId="0" xfId="10" applyFont="1" applyFill="1" applyAlignment="1">
      <alignment horizontal="left"/>
    </xf>
    <xf numFmtId="0" fontId="8" fillId="7" borderId="7" xfId="14" applyFont="1" applyFill="1" applyBorder="1" applyAlignment="1">
      <alignment horizontal="center" vertical="center" wrapText="1"/>
    </xf>
    <xf numFmtId="0" fontId="8" fillId="7" borderId="10" xfId="14" applyFont="1" applyFill="1" applyBorder="1" applyAlignment="1">
      <alignment horizontal="center" vertical="center" wrapText="1"/>
    </xf>
    <xf numFmtId="0" fontId="8" fillId="7" borderId="6" xfId="14" applyFont="1" applyFill="1" applyBorder="1" applyAlignment="1">
      <alignment horizontal="center" vertical="center" wrapText="1"/>
    </xf>
    <xf numFmtId="2" fontId="7" fillId="0" borderId="7" xfId="10" applyNumberFormat="1" applyFont="1" applyFill="1" applyBorder="1" applyAlignment="1" applyProtection="1">
      <alignment horizontal="center" vertical="center"/>
    </xf>
    <xf numFmtId="2" fontId="7" fillId="0" borderId="10" xfId="10" applyNumberFormat="1" applyFont="1" applyFill="1" applyBorder="1" applyAlignment="1" applyProtection="1">
      <alignment horizontal="center" vertical="center"/>
    </xf>
    <xf numFmtId="2" fontId="7" fillId="0" borderId="6" xfId="10" applyNumberFormat="1" applyFont="1" applyFill="1" applyBorder="1" applyAlignment="1" applyProtection="1">
      <alignment horizontal="center" vertical="center"/>
    </xf>
    <xf numFmtId="0" fontId="8" fillId="0" borderId="0" xfId="10" applyFont="1" applyAlignment="1">
      <alignment horizontal="left"/>
    </xf>
    <xf numFmtId="0" fontId="7" fillId="7" borderId="5" xfId="10" applyFont="1" applyFill="1" applyBorder="1" applyAlignment="1">
      <alignment horizontal="center" vertical="center" wrapText="1"/>
    </xf>
    <xf numFmtId="0" fontId="8" fillId="0" borderId="0" xfId="14" applyFont="1" applyFill="1" applyBorder="1" applyAlignment="1">
      <alignment horizontal="center" vertical="center"/>
    </xf>
    <xf numFmtId="0" fontId="17" fillId="0" borderId="4" xfId="10" applyBorder="1" applyAlignment="1">
      <alignment vertical="center"/>
    </xf>
    <xf numFmtId="0" fontId="55" fillId="14" borderId="4" xfId="10" applyFont="1" applyFill="1" applyBorder="1" applyAlignment="1">
      <alignment horizontal="center" vertical="center" wrapText="1"/>
    </xf>
    <xf numFmtId="0" fontId="68" fillId="14" borderId="4" xfId="10" applyFont="1" applyFill="1" applyBorder="1" applyAlignment="1">
      <alignment horizontal="center" vertical="center" wrapText="1"/>
    </xf>
    <xf numFmtId="186" fontId="55" fillId="4" borderId="5" xfId="10" applyNumberFormat="1" applyFont="1" applyFill="1" applyBorder="1" applyAlignment="1">
      <alignment horizontal="center" vertical="center" wrapText="1"/>
    </xf>
    <xf numFmtId="186" fontId="55" fillId="4" borderId="3" xfId="10" applyNumberFormat="1" applyFont="1" applyFill="1" applyBorder="1" applyAlignment="1">
      <alignment horizontal="center" vertical="center" wrapText="1"/>
    </xf>
    <xf numFmtId="186" fontId="55" fillId="4" borderId="8" xfId="10" applyNumberFormat="1" applyFont="1" applyFill="1" applyBorder="1" applyAlignment="1">
      <alignment horizontal="center" vertical="center" wrapText="1"/>
    </xf>
    <xf numFmtId="0" fontId="55" fillId="4" borderId="4" xfId="10" applyFont="1" applyFill="1" applyBorder="1" applyAlignment="1">
      <alignment horizontal="center" vertical="center" wrapText="1"/>
    </xf>
    <xf numFmtId="186" fontId="55" fillId="4" borderId="7" xfId="10" applyNumberFormat="1" applyFont="1" applyFill="1" applyBorder="1" applyAlignment="1">
      <alignment horizontal="center" vertical="center"/>
    </xf>
    <xf numFmtId="186" fontId="55" fillId="4" borderId="6" xfId="10" applyNumberFormat="1" applyFont="1" applyFill="1" applyBorder="1" applyAlignment="1">
      <alignment horizontal="center" vertical="center"/>
    </xf>
    <xf numFmtId="0" fontId="55" fillId="4" borderId="4" xfId="10" applyFont="1" applyFill="1" applyBorder="1" applyAlignment="1">
      <alignment horizontal="center" vertical="center"/>
    </xf>
    <xf numFmtId="175" fontId="55" fillId="4" borderId="4" xfId="69" applyNumberFormat="1" applyFont="1" applyFill="1" applyBorder="1" applyAlignment="1">
      <alignment horizontal="center" vertical="center" wrapText="1"/>
    </xf>
    <xf numFmtId="164" fontId="55" fillId="4" borderId="4" xfId="69" applyFont="1" applyFill="1" applyBorder="1" applyAlignment="1">
      <alignment horizontal="center" vertical="center" wrapText="1"/>
    </xf>
    <xf numFmtId="186" fontId="55" fillId="4" borderId="4" xfId="69" applyNumberFormat="1" applyFont="1" applyFill="1" applyBorder="1" applyAlignment="1">
      <alignment horizontal="center" vertical="center" wrapText="1"/>
    </xf>
    <xf numFmtId="0" fontId="56" fillId="6" borderId="7" xfId="10" applyFont="1" applyFill="1" applyBorder="1" applyAlignment="1">
      <alignment horizontal="justify" vertical="center" wrapText="1"/>
    </xf>
    <xf numFmtId="0" fontId="56" fillId="6" borderId="10" xfId="10" applyFont="1" applyFill="1" applyBorder="1" applyAlignment="1">
      <alignment horizontal="justify" vertical="center" wrapText="1"/>
    </xf>
    <xf numFmtId="0" fontId="56" fillId="6" borderId="6" xfId="10" applyFont="1" applyFill="1" applyBorder="1" applyAlignment="1">
      <alignment horizontal="justify" vertical="center" wrapText="1"/>
    </xf>
    <xf numFmtId="0" fontId="56" fillId="6" borderId="7" xfId="10" applyFont="1" applyFill="1" applyBorder="1" applyAlignment="1">
      <alignment horizontal="left" vertical="center" wrapText="1"/>
    </xf>
    <xf numFmtId="0" fontId="56" fillId="6" borderId="10" xfId="10" applyFont="1" applyFill="1" applyBorder="1" applyAlignment="1">
      <alignment horizontal="left" vertical="center" wrapText="1"/>
    </xf>
    <xf numFmtId="0" fontId="56" fillId="6" borderId="6" xfId="10" applyFont="1" applyFill="1" applyBorder="1" applyAlignment="1">
      <alignment horizontal="left" vertical="center" wrapText="1"/>
    </xf>
    <xf numFmtId="186" fontId="55" fillId="4" borderId="4" xfId="10" applyNumberFormat="1" applyFont="1" applyFill="1" applyBorder="1" applyAlignment="1">
      <alignment horizontal="center" vertical="center" wrapText="1"/>
    </xf>
    <xf numFmtId="0" fontId="55" fillId="4" borderId="7" xfId="10" applyFont="1" applyFill="1" applyBorder="1" applyAlignment="1">
      <alignment horizontal="center" vertical="center" wrapText="1"/>
    </xf>
    <xf numFmtId="0" fontId="55" fillId="4" borderId="10" xfId="10" applyFont="1" applyFill="1" applyBorder="1" applyAlignment="1">
      <alignment horizontal="center" vertical="center" wrapText="1"/>
    </xf>
    <xf numFmtId="0" fontId="55" fillId="4" borderId="6" xfId="10" applyFont="1" applyFill="1" applyBorder="1" applyAlignment="1">
      <alignment horizontal="center" vertical="center" wrapText="1"/>
    </xf>
    <xf numFmtId="164" fontId="55" fillId="14" borderId="4" xfId="69" applyFont="1" applyFill="1" applyBorder="1" applyAlignment="1">
      <alignment horizontal="center" vertical="center" wrapText="1"/>
    </xf>
    <xf numFmtId="9" fontId="55" fillId="4" borderId="4" xfId="70" applyFont="1" applyFill="1" applyBorder="1" applyAlignment="1">
      <alignment horizontal="center" vertical="center" wrapText="1"/>
    </xf>
    <xf numFmtId="164" fontId="55" fillId="14" borderId="7" xfId="69" applyFont="1" applyFill="1" applyBorder="1" applyAlignment="1">
      <alignment horizontal="center" vertical="center" wrapText="1"/>
    </xf>
    <xf numFmtId="164" fontId="55" fillId="14" borderId="10" xfId="69" applyFont="1" applyFill="1" applyBorder="1" applyAlignment="1">
      <alignment horizontal="center" vertical="center" wrapText="1"/>
    </xf>
    <xf numFmtId="164" fontId="55" fillId="14" borderId="6" xfId="69" applyFont="1" applyFill="1" applyBorder="1" applyAlignment="1">
      <alignment horizontal="center" vertical="center" wrapText="1"/>
    </xf>
    <xf numFmtId="14" fontId="55" fillId="4" borderId="4" xfId="10" applyNumberFormat="1" applyFont="1" applyFill="1" applyBorder="1" applyAlignment="1">
      <alignment horizontal="center" vertical="center" wrapText="1"/>
    </xf>
    <xf numFmtId="0" fontId="8" fillId="4" borderId="4" xfId="31" applyFont="1" applyFill="1" applyBorder="1" applyAlignment="1">
      <alignment horizontal="center" vertical="center" wrapText="1"/>
    </xf>
    <xf numFmtId="0" fontId="8" fillId="4" borderId="5" xfId="31" applyFont="1" applyFill="1" applyBorder="1" applyAlignment="1">
      <alignment horizontal="center" wrapText="1"/>
    </xf>
    <xf numFmtId="0" fontId="8" fillId="4" borderId="3" xfId="31" applyFont="1" applyFill="1" applyBorder="1" applyAlignment="1">
      <alignment horizontal="center" wrapText="1"/>
    </xf>
    <xf numFmtId="0" fontId="8" fillId="4" borderId="8" xfId="31" applyFont="1" applyFill="1" applyBorder="1" applyAlignment="1">
      <alignment horizontal="center" wrapText="1"/>
    </xf>
    <xf numFmtId="0" fontId="8" fillId="4" borderId="4" xfId="31" applyFont="1" applyFill="1" applyBorder="1" applyAlignment="1">
      <alignment horizontal="center" wrapText="1"/>
    </xf>
    <xf numFmtId="0" fontId="17" fillId="0" borderId="4" xfId="31" applyBorder="1" applyAlignment="1">
      <alignment horizontal="center" wrapText="1"/>
    </xf>
    <xf numFmtId="0" fontId="8" fillId="4" borderId="5" xfId="31" applyFont="1" applyFill="1" applyBorder="1" applyAlignment="1">
      <alignment horizontal="center" vertical="center" wrapText="1"/>
    </xf>
    <xf numFmtId="0" fontId="8" fillId="4" borderId="3" xfId="31" applyFont="1" applyFill="1" applyBorder="1" applyAlignment="1">
      <alignment horizontal="center" vertical="center" wrapText="1"/>
    </xf>
    <xf numFmtId="0" fontId="8" fillId="4" borderId="8" xfId="31" applyFont="1" applyFill="1" applyBorder="1" applyAlignment="1">
      <alignment horizontal="center" vertical="center" wrapText="1"/>
    </xf>
    <xf numFmtId="0" fontId="8" fillId="4" borderId="4" xfId="10" applyFont="1" applyFill="1" applyBorder="1" applyAlignment="1">
      <alignment horizontal="center" wrapText="1"/>
    </xf>
    <xf numFmtId="0" fontId="25" fillId="0" borderId="4" xfId="10" applyFont="1" applyBorder="1" applyAlignment="1">
      <alignment horizontal="center" wrapText="1"/>
    </xf>
    <xf numFmtId="0" fontId="7" fillId="6" borderId="0" xfId="68" applyFont="1" applyFill="1" applyAlignment="1">
      <alignment horizontal="left" vertical="center"/>
    </xf>
    <xf numFmtId="0" fontId="8" fillId="4" borderId="5" xfId="10" applyFont="1" applyFill="1" applyBorder="1" applyAlignment="1">
      <alignment horizontal="center" vertical="center" wrapText="1"/>
    </xf>
    <xf numFmtId="0" fontId="8" fillId="4" borderId="3" xfId="10" applyFont="1" applyFill="1" applyBorder="1" applyAlignment="1">
      <alignment horizontal="center" vertical="center" wrapText="1"/>
    </xf>
    <xf numFmtId="0" fontId="8" fillId="4" borderId="8" xfId="10" applyFont="1" applyFill="1" applyBorder="1" applyAlignment="1">
      <alignment horizontal="center" vertical="center" wrapText="1"/>
    </xf>
    <xf numFmtId="176" fontId="7" fillId="5" borderId="0" xfId="69" applyNumberFormat="1" applyFont="1" applyFill="1" applyBorder="1" applyAlignment="1">
      <alignment horizontal="left" vertical="top" wrapText="1"/>
    </xf>
    <xf numFmtId="0" fontId="8" fillId="4" borderId="4" xfId="14" applyNumberFormat="1" applyFont="1" applyFill="1" applyBorder="1" applyAlignment="1">
      <alignment horizontal="center" vertical="center" wrapText="1"/>
    </xf>
    <xf numFmtId="176" fontId="8" fillId="4" borderId="7" xfId="69" applyNumberFormat="1" applyFont="1" applyFill="1" applyBorder="1" applyAlignment="1">
      <alignment horizontal="center" vertical="center" wrapText="1"/>
    </xf>
    <xf numFmtId="176" fontId="8" fillId="4" borderId="10" xfId="69" applyNumberFormat="1" applyFont="1" applyFill="1" applyBorder="1" applyAlignment="1">
      <alignment horizontal="center" vertical="center" wrapText="1"/>
    </xf>
    <xf numFmtId="176" fontId="8" fillId="4" borderId="6" xfId="69" applyNumberFormat="1" applyFont="1" applyFill="1" applyBorder="1" applyAlignment="1">
      <alignment horizontal="center" vertical="center" wrapText="1"/>
    </xf>
    <xf numFmtId="0" fontId="8" fillId="4" borderId="7" xfId="14" applyNumberFormat="1" applyFont="1" applyFill="1" applyBorder="1" applyAlignment="1">
      <alignment horizontal="center" vertical="center" wrapText="1"/>
    </xf>
    <xf numFmtId="0" fontId="8" fillId="4" borderId="10" xfId="14" applyNumberFormat="1" applyFont="1" applyFill="1" applyBorder="1" applyAlignment="1">
      <alignment horizontal="center" vertical="center" wrapText="1"/>
    </xf>
    <xf numFmtId="0" fontId="8" fillId="4" borderId="6" xfId="14" applyNumberFormat="1" applyFont="1" applyFill="1" applyBorder="1" applyAlignment="1">
      <alignment horizontal="center" vertical="center" wrapText="1"/>
    </xf>
    <xf numFmtId="176" fontId="8" fillId="4" borderId="4" xfId="69" applyNumberFormat="1" applyFont="1" applyFill="1" applyBorder="1" applyAlignment="1">
      <alignment horizontal="center" vertical="center" wrapText="1"/>
    </xf>
    <xf numFmtId="0" fontId="7" fillId="0" borderId="0" xfId="14" applyFont="1" applyAlignment="1">
      <alignment horizontal="left" vertical="center" wrapText="1"/>
    </xf>
    <xf numFmtId="0" fontId="12" fillId="0" borderId="0" xfId="14" applyFont="1" applyAlignment="1">
      <alignment horizontal="center" vertical="center" wrapText="1"/>
    </xf>
    <xf numFmtId="0" fontId="8" fillId="4" borderId="7" xfId="14" applyFont="1" applyFill="1" applyBorder="1" applyAlignment="1">
      <alignment horizontal="center" vertical="center"/>
    </xf>
    <xf numFmtId="0" fontId="8" fillId="4" borderId="6" xfId="14" applyFont="1" applyFill="1" applyBorder="1" applyAlignment="1">
      <alignment horizontal="center" vertical="center"/>
    </xf>
    <xf numFmtId="0" fontId="17" fillId="0" borderId="0" xfId="10" applyFill="1" applyAlignment="1">
      <alignment horizontal="center" vertical="center"/>
    </xf>
    <xf numFmtId="0" fontId="8" fillId="4" borderId="4" xfId="10" applyFont="1" applyFill="1" applyBorder="1" applyAlignment="1">
      <alignment horizontal="center"/>
    </xf>
    <xf numFmtId="0" fontId="10" fillId="4" borderId="4" xfId="14" applyFont="1" applyFill="1" applyBorder="1" applyAlignment="1">
      <alignment horizontal="center" vertical="center"/>
    </xf>
    <xf numFmtId="0" fontId="8" fillId="4" borderId="4" xfId="10" applyFont="1" applyFill="1" applyBorder="1" applyAlignment="1">
      <alignment horizontal="center" vertical="top" wrapText="1"/>
    </xf>
    <xf numFmtId="0" fontId="17" fillId="0" borderId="4" xfId="10" applyBorder="1"/>
    <xf numFmtId="0" fontId="8" fillId="0" borderId="0" xfId="10" applyFont="1" applyBorder="1" applyAlignment="1">
      <alignment horizontal="center" vertical="top"/>
    </xf>
    <xf numFmtId="0" fontId="9" fillId="0" borderId="0" xfId="10" applyFont="1" applyAlignment="1">
      <alignment horizontal="center" vertical="center"/>
    </xf>
    <xf numFmtId="0" fontId="9" fillId="6" borderId="0" xfId="10" applyFont="1" applyFill="1" applyAlignment="1">
      <alignment horizontal="center" vertical="center"/>
    </xf>
    <xf numFmtId="0" fontId="9" fillId="7" borderId="4" xfId="10" applyFont="1" applyFill="1" applyBorder="1" applyAlignment="1">
      <alignment horizontal="center" vertical="center" wrapText="1"/>
    </xf>
    <xf numFmtId="0" fontId="8" fillId="0" borderId="0" xfId="10" applyFont="1" applyAlignment="1">
      <alignment horizontal="center" vertical="center" wrapText="1"/>
    </xf>
    <xf numFmtId="0" fontId="99" fillId="0" borderId="0" xfId="14" applyFont="1" applyAlignment="1">
      <alignment horizontal="left" vertical="center" wrapText="1"/>
    </xf>
    <xf numFmtId="0" fontId="8" fillId="0" borderId="0" xfId="10" applyFont="1" applyBorder="1" applyAlignment="1">
      <alignment horizontal="center" vertical="center" wrapText="1"/>
    </xf>
    <xf numFmtId="0" fontId="8" fillId="4" borderId="7" xfId="35" applyFont="1" applyFill="1" applyBorder="1" applyAlignment="1">
      <alignment horizontal="left" vertical="center" wrapText="1"/>
    </xf>
    <xf numFmtId="0" fontId="8" fillId="4" borderId="10" xfId="35" applyFont="1" applyFill="1" applyBorder="1" applyAlignment="1">
      <alignment horizontal="left" vertical="center" wrapText="1"/>
    </xf>
    <xf numFmtId="0" fontId="7" fillId="0" borderId="10" xfId="71" applyFont="1" applyBorder="1" applyAlignment="1">
      <alignment horizontal="left" vertical="center" wrapText="1"/>
    </xf>
    <xf numFmtId="0" fontId="7" fillId="0" borderId="6" xfId="71" applyFont="1" applyBorder="1" applyAlignment="1">
      <alignment horizontal="left" vertical="center" wrapText="1"/>
    </xf>
    <xf numFmtId="0" fontId="8" fillId="4" borderId="6" xfId="35" applyFont="1" applyFill="1" applyBorder="1" applyAlignment="1">
      <alignment horizontal="left" vertical="center" wrapText="1"/>
    </xf>
    <xf numFmtId="0" fontId="8" fillId="4" borderId="5" xfId="35" applyFont="1" applyFill="1" applyBorder="1" applyAlignment="1">
      <alignment horizontal="center" vertical="center"/>
    </xf>
    <xf numFmtId="0" fontId="8" fillId="4" borderId="3" xfId="35" applyFont="1" applyFill="1" applyBorder="1" applyAlignment="1">
      <alignment horizontal="center" vertical="center"/>
    </xf>
    <xf numFmtId="0" fontId="8" fillId="4" borderId="8" xfId="35" applyFont="1" applyFill="1" applyBorder="1" applyAlignment="1">
      <alignment horizontal="center" vertical="center"/>
    </xf>
    <xf numFmtId="2" fontId="8" fillId="4" borderId="7" xfId="35" applyNumberFormat="1" applyFont="1" applyFill="1" applyBorder="1" applyAlignment="1">
      <alignment horizontal="center" vertical="top"/>
    </xf>
    <xf numFmtId="2" fontId="8" fillId="4" borderId="10" xfId="35" applyNumberFormat="1" applyFont="1" applyFill="1" applyBorder="1" applyAlignment="1">
      <alignment horizontal="center" vertical="top"/>
    </xf>
    <xf numFmtId="2" fontId="8" fillId="4" borderId="6" xfId="35" applyNumberFormat="1" applyFont="1" applyFill="1" applyBorder="1" applyAlignment="1">
      <alignment horizontal="center" vertical="top"/>
    </xf>
    <xf numFmtId="0" fontId="8" fillId="4" borderId="7" xfId="35" applyFont="1" applyFill="1" applyBorder="1" applyAlignment="1">
      <alignment horizontal="center" vertical="top" wrapText="1"/>
    </xf>
    <xf numFmtId="0" fontId="8" fillId="4" borderId="10" xfId="35" applyFont="1" applyFill="1" applyBorder="1" applyAlignment="1">
      <alignment horizontal="center" vertical="top" wrapText="1"/>
    </xf>
    <xf numFmtId="0" fontId="8" fillId="4" borderId="6" xfId="35" applyFont="1" applyFill="1" applyBorder="1" applyAlignment="1">
      <alignment horizontal="center" vertical="top" wrapText="1"/>
    </xf>
    <xf numFmtId="0" fontId="8" fillId="4" borderId="4" xfId="35" applyFont="1" applyFill="1" applyBorder="1" applyAlignment="1">
      <alignment horizontal="center" vertical="center" wrapText="1"/>
    </xf>
    <xf numFmtId="0" fontId="8" fillId="4" borderId="5" xfId="10" applyFont="1" applyFill="1" applyBorder="1" applyAlignment="1">
      <alignment horizontal="center" vertical="top" wrapText="1"/>
    </xf>
    <xf numFmtId="0" fontId="8" fillId="4" borderId="3" xfId="10" applyFont="1" applyFill="1" applyBorder="1" applyAlignment="1">
      <alignment horizontal="center" vertical="top" wrapText="1"/>
    </xf>
    <xf numFmtId="0" fontId="8" fillId="4" borderId="8" xfId="10" applyFont="1" applyFill="1" applyBorder="1" applyAlignment="1">
      <alignment horizontal="center" vertical="top" wrapText="1"/>
    </xf>
    <xf numFmtId="0" fontId="7" fillId="0" borderId="0" xfId="10" applyFont="1" applyAlignment="1">
      <alignment horizontal="left" wrapText="1"/>
    </xf>
    <xf numFmtId="0" fontId="8" fillId="0" borderId="0" xfId="10" applyFont="1" applyAlignment="1">
      <alignment horizontal="center" vertical="center"/>
    </xf>
    <xf numFmtId="0" fontId="8" fillId="0" borderId="0" xfId="71" applyFont="1" applyAlignment="1">
      <alignment horizontal="center" vertical="center"/>
    </xf>
    <xf numFmtId="0" fontId="8" fillId="4" borderId="5" xfId="35" applyFont="1" applyFill="1" applyBorder="1" applyAlignment="1">
      <alignment horizontal="center" vertical="top" wrapText="1"/>
    </xf>
    <xf numFmtId="0" fontId="8" fillId="4" borderId="8" xfId="35" applyFont="1" applyFill="1" applyBorder="1" applyAlignment="1">
      <alignment horizontal="center" vertical="top" wrapText="1"/>
    </xf>
    <xf numFmtId="0" fontId="8" fillId="7" borderId="7" xfId="71" applyFont="1" applyFill="1" applyBorder="1" applyAlignment="1">
      <alignment horizontal="center" vertical="top" wrapText="1"/>
    </xf>
    <xf numFmtId="0" fontId="8" fillId="7" borderId="10" xfId="71" applyFont="1" applyFill="1" applyBorder="1" applyAlignment="1">
      <alignment horizontal="center" vertical="top" wrapText="1"/>
    </xf>
    <xf numFmtId="0" fontId="8" fillId="7" borderId="6" xfId="71" applyFont="1" applyFill="1" applyBorder="1" applyAlignment="1">
      <alignment horizontal="center" vertical="top" wrapText="1"/>
    </xf>
    <xf numFmtId="0" fontId="8" fillId="7" borderId="4" xfId="71" applyFont="1" applyFill="1" applyBorder="1" applyAlignment="1">
      <alignment horizontal="center"/>
    </xf>
    <xf numFmtId="0" fontId="8" fillId="6" borderId="0" xfId="10" applyFont="1" applyFill="1" applyAlignment="1">
      <alignment horizontal="center" vertical="center"/>
    </xf>
    <xf numFmtId="0" fontId="38" fillId="12" borderId="7" xfId="76" applyFont="1" applyFill="1" applyBorder="1" applyAlignment="1">
      <alignment horizontal="center" vertical="center"/>
    </xf>
    <xf numFmtId="0" fontId="38" fillId="12" borderId="6" xfId="76" applyFont="1" applyFill="1" applyBorder="1" applyAlignment="1">
      <alignment horizontal="center" vertical="center"/>
    </xf>
    <xf numFmtId="0" fontId="38" fillId="12" borderId="7" xfId="76" applyFont="1" applyFill="1" applyBorder="1" applyAlignment="1">
      <alignment horizontal="center" vertical="center" wrapText="1"/>
    </xf>
    <xf numFmtId="0" fontId="38" fillId="12" borderId="6" xfId="76" applyFont="1" applyFill="1" applyBorder="1" applyAlignment="1">
      <alignment horizontal="center" vertical="center" wrapText="1"/>
    </xf>
    <xf numFmtId="0" fontId="40" fillId="12" borderId="5" xfId="76" applyFont="1" applyFill="1" applyBorder="1" applyAlignment="1">
      <alignment horizontal="center"/>
    </xf>
    <xf numFmtId="0" fontId="40" fillId="12" borderId="3" xfId="76" applyFont="1" applyFill="1" applyBorder="1" applyAlignment="1">
      <alignment horizontal="center"/>
    </xf>
    <xf numFmtId="0" fontId="40" fillId="12" borderId="8" xfId="76" applyFont="1" applyFill="1" applyBorder="1" applyAlignment="1">
      <alignment horizontal="center"/>
    </xf>
    <xf numFmtId="0" fontId="39" fillId="0" borderId="0" xfId="14" applyFont="1" applyAlignment="1">
      <alignment horizontal="left" vertical="center"/>
    </xf>
    <xf numFmtId="0" fontId="7" fillId="0" borderId="7" xfId="14" applyFont="1" applyBorder="1" applyAlignment="1">
      <alignment horizontal="center" vertical="center"/>
    </xf>
    <xf numFmtId="0" fontId="7" fillId="0" borderId="10" xfId="14" applyFont="1" applyBorder="1" applyAlignment="1">
      <alignment horizontal="center" vertical="center"/>
    </xf>
    <xf numFmtId="0" fontId="7" fillId="0" borderId="6" xfId="14" applyFont="1" applyBorder="1" applyAlignment="1">
      <alignment horizontal="center" vertical="center"/>
    </xf>
    <xf numFmtId="0" fontId="30" fillId="0" borderId="7" xfId="19" applyFont="1" applyBorder="1" applyAlignment="1">
      <alignment horizontal="center" vertical="center"/>
    </xf>
    <xf numFmtId="0" fontId="30" fillId="0" borderId="10" xfId="19" applyFont="1" applyBorder="1" applyAlignment="1">
      <alignment horizontal="center" vertical="center"/>
    </xf>
    <xf numFmtId="0" fontId="30" fillId="0" borderId="6" xfId="19" applyFont="1" applyBorder="1" applyAlignment="1">
      <alignment horizontal="center" vertical="center"/>
    </xf>
    <xf numFmtId="0" fontId="29" fillId="0" borderId="9" xfId="19" applyFont="1" applyFill="1" applyBorder="1" applyAlignment="1">
      <alignment horizontal="center" vertical="center"/>
    </xf>
    <xf numFmtId="0" fontId="29" fillId="0" borderId="11" xfId="19" applyFont="1" applyFill="1" applyBorder="1" applyAlignment="1">
      <alignment horizontal="center" vertical="center"/>
    </xf>
    <xf numFmtId="0" fontId="29" fillId="0" borderId="13" xfId="19" applyFont="1" applyFill="1" applyBorder="1" applyAlignment="1">
      <alignment horizontal="center" vertical="center"/>
    </xf>
    <xf numFmtId="0" fontId="29" fillId="0" borderId="12" xfId="19" applyFont="1" applyFill="1" applyBorder="1" applyAlignment="1">
      <alignment horizontal="center" vertical="center"/>
    </xf>
    <xf numFmtId="0" fontId="29" fillId="0" borderId="0" xfId="19" applyFont="1" applyFill="1" applyBorder="1" applyAlignment="1">
      <alignment horizontal="center" vertical="center"/>
    </xf>
    <xf numFmtId="0" fontId="29" fillId="0" borderId="14" xfId="19" applyFont="1" applyFill="1" applyBorder="1" applyAlignment="1">
      <alignment horizontal="center" vertical="center"/>
    </xf>
    <xf numFmtId="0" fontId="29" fillId="0" borderId="15" xfId="19" applyFont="1" applyFill="1" applyBorder="1" applyAlignment="1">
      <alignment horizontal="center" vertical="center"/>
    </xf>
    <xf numFmtId="0" fontId="29" fillId="0" borderId="16" xfId="19" applyFont="1" applyFill="1" applyBorder="1" applyAlignment="1">
      <alignment horizontal="center" vertical="center"/>
    </xf>
    <xf numFmtId="0" fontId="29" fillId="0" borderId="17" xfId="19" applyFont="1" applyFill="1" applyBorder="1" applyAlignment="1">
      <alignment horizontal="center" vertical="center"/>
    </xf>
    <xf numFmtId="0" fontId="30" fillId="0" borderId="9" xfId="19" applyFont="1" applyFill="1" applyBorder="1" applyAlignment="1">
      <alignment horizontal="center" vertical="center"/>
    </xf>
    <xf numFmtId="0" fontId="30" fillId="0" borderId="11" xfId="19" applyFont="1" applyFill="1" applyBorder="1" applyAlignment="1">
      <alignment horizontal="center" vertical="center"/>
    </xf>
    <xf numFmtId="0" fontId="30" fillId="0" borderId="13" xfId="19" applyFont="1" applyFill="1" applyBorder="1" applyAlignment="1">
      <alignment horizontal="center" vertical="center"/>
    </xf>
    <xf numFmtId="0" fontId="30" fillId="0" borderId="12" xfId="19" applyFont="1" applyFill="1" applyBorder="1" applyAlignment="1">
      <alignment horizontal="center" vertical="center"/>
    </xf>
    <xf numFmtId="0" fontId="30" fillId="0" borderId="0" xfId="19" applyFont="1" applyFill="1" applyBorder="1" applyAlignment="1">
      <alignment horizontal="center" vertical="center"/>
    </xf>
    <xf numFmtId="0" fontId="30" fillId="0" borderId="14" xfId="19" applyFont="1" applyFill="1" applyBorder="1" applyAlignment="1">
      <alignment horizontal="center" vertical="center"/>
    </xf>
    <xf numFmtId="0" fontId="30" fillId="0" borderId="15" xfId="19" applyFont="1" applyFill="1" applyBorder="1" applyAlignment="1">
      <alignment horizontal="center" vertical="center"/>
    </xf>
    <xf numFmtId="0" fontId="30" fillId="0" borderId="16" xfId="19" applyFont="1" applyFill="1" applyBorder="1" applyAlignment="1">
      <alignment horizontal="center" vertical="center"/>
    </xf>
    <xf numFmtId="0" fontId="30" fillId="0" borderId="17" xfId="19" applyFont="1" applyFill="1" applyBorder="1" applyAlignment="1">
      <alignment horizontal="center" vertical="center"/>
    </xf>
    <xf numFmtId="0" fontId="8" fillId="7" borderId="7" xfId="68" applyFont="1" applyFill="1" applyBorder="1" applyAlignment="1">
      <alignment horizontal="center" vertical="center"/>
    </xf>
    <xf numFmtId="0" fontId="8" fillId="7" borderId="6" xfId="68" applyFont="1" applyFill="1" applyBorder="1" applyAlignment="1">
      <alignment horizontal="center" vertical="center"/>
    </xf>
    <xf numFmtId="0" fontId="8" fillId="7" borderId="5" xfId="31" applyFont="1" applyFill="1" applyBorder="1" applyAlignment="1">
      <alignment horizontal="center" vertical="center" wrapText="1"/>
    </xf>
    <xf numFmtId="0" fontId="8" fillId="7" borderId="3" xfId="31" applyFont="1" applyFill="1" applyBorder="1" applyAlignment="1">
      <alignment horizontal="center" vertical="center" wrapText="1"/>
    </xf>
    <xf numFmtId="0" fontId="8" fillId="7" borderId="8" xfId="31" applyFont="1" applyFill="1" applyBorder="1" applyAlignment="1">
      <alignment horizontal="center" vertical="center" wrapText="1"/>
    </xf>
    <xf numFmtId="0" fontId="8" fillId="7" borderId="4" xfId="31" applyFont="1" applyFill="1" applyBorder="1" applyAlignment="1">
      <alignment horizontal="center" vertical="center" wrapText="1"/>
    </xf>
    <xf numFmtId="0" fontId="0" fillId="0" borderId="0" xfId="10" applyFont="1" applyAlignment="1">
      <alignment horizontal="center" vertical="center"/>
    </xf>
    <xf numFmtId="0" fontId="0" fillId="0" borderId="4" xfId="10" applyFont="1" applyBorder="1" applyAlignment="1">
      <alignment horizontal="center" vertical="center" wrapText="1"/>
    </xf>
    <xf numFmtId="0" fontId="8" fillId="4" borderId="10" xfId="10" applyFont="1" applyFill="1" applyBorder="1" applyAlignment="1">
      <alignment horizontal="center" vertical="center" wrapText="1"/>
    </xf>
    <xf numFmtId="0" fontId="0" fillId="0" borderId="4" xfId="10" applyFont="1" applyBorder="1" applyAlignment="1">
      <alignment horizontal="center" vertical="center"/>
    </xf>
    <xf numFmtId="0" fontId="8" fillId="4" borderId="10" xfId="10" applyFont="1" applyFill="1" applyBorder="1" applyAlignment="1">
      <alignment horizontal="center" vertical="center"/>
    </xf>
  </cellXfs>
  <cellStyles count="93">
    <cellStyle name="Body" xfId="1" xr:uid="{00000000-0005-0000-0000-000000000000}"/>
    <cellStyle name="Comma" xfId="69" builtinId="3"/>
    <cellStyle name="Comma  - Style1" xfId="2" xr:uid="{00000000-0005-0000-0000-000002000000}"/>
    <cellStyle name="Comma 10" xfId="73" xr:uid="{00000000-0005-0000-0000-000003000000}"/>
    <cellStyle name="Comma 10 2" xfId="90" xr:uid="{00000000-0005-0000-0000-000004000000}"/>
    <cellStyle name="Comma 11" xfId="84" xr:uid="{00000000-0005-0000-0000-000005000000}"/>
    <cellStyle name="Comma 11 2" xfId="20" xr:uid="{00000000-0005-0000-0000-000006000000}"/>
    <cellStyle name="Comma 11 2 2" xfId="92" xr:uid="{00000000-0005-0000-0000-000007000000}"/>
    <cellStyle name="Comma 2" xfId="25" xr:uid="{00000000-0005-0000-0000-000008000000}"/>
    <cellStyle name="Comma 2 2" xfId="26" xr:uid="{00000000-0005-0000-0000-000009000000}"/>
    <cellStyle name="Comma 2 2 2" xfId="64" xr:uid="{00000000-0005-0000-0000-00000A000000}"/>
    <cellStyle name="Comma 2 3" xfId="27" xr:uid="{00000000-0005-0000-0000-00000B000000}"/>
    <cellStyle name="Comma 2 4" xfId="57" xr:uid="{00000000-0005-0000-0000-00000C000000}"/>
    <cellStyle name="Comma 2 5" xfId="86" xr:uid="{00000000-0005-0000-0000-00000D000000}"/>
    <cellStyle name="Comma 3" xfId="28" xr:uid="{00000000-0005-0000-0000-00000E000000}"/>
    <cellStyle name="Comma 3 2" xfId="63" xr:uid="{00000000-0005-0000-0000-00000F000000}"/>
    <cellStyle name="Comma 3 2 3" xfId="77" xr:uid="{00000000-0005-0000-0000-000010000000}"/>
    <cellStyle name="Comma 4" xfId="29" xr:uid="{00000000-0005-0000-0000-000011000000}"/>
    <cellStyle name="Comma 4 2" xfId="65" xr:uid="{00000000-0005-0000-0000-000012000000}"/>
    <cellStyle name="Comma 4 2 3" xfId="78" xr:uid="{00000000-0005-0000-0000-000013000000}"/>
    <cellStyle name="Comma 5" xfId="30" xr:uid="{00000000-0005-0000-0000-000014000000}"/>
    <cellStyle name="Comma 6" xfId="49" xr:uid="{00000000-0005-0000-0000-000015000000}"/>
    <cellStyle name="Comma 6 2" xfId="50" xr:uid="{00000000-0005-0000-0000-000016000000}"/>
    <cellStyle name="Comma 6 3" xfId="51" xr:uid="{00000000-0005-0000-0000-000017000000}"/>
    <cellStyle name="Comma 6 4" xfId="52" xr:uid="{00000000-0005-0000-0000-000018000000}"/>
    <cellStyle name="Comma 6 5" xfId="81" xr:uid="{00000000-0005-0000-0000-000019000000}"/>
    <cellStyle name="Comma 7" xfId="22" xr:uid="{00000000-0005-0000-0000-00001A000000}"/>
    <cellStyle name="Comma 8" xfId="66" xr:uid="{00000000-0005-0000-0000-00001B000000}"/>
    <cellStyle name="Comma 8 3" xfId="79" xr:uid="{00000000-0005-0000-0000-00001C000000}"/>
    <cellStyle name="Comma 9" xfId="72" xr:uid="{00000000-0005-0000-0000-00001D000000}"/>
    <cellStyle name="Comma 9 2" xfId="87" xr:uid="{00000000-0005-0000-0000-00001E000000}"/>
    <cellStyle name="Curren - Style2" xfId="3" xr:uid="{00000000-0005-0000-0000-00001F000000}"/>
    <cellStyle name="Explanatory Text 2" xfId="89" xr:uid="{00000000-0005-0000-0000-000020000000}"/>
    <cellStyle name="Grey" xfId="4" xr:uid="{00000000-0005-0000-0000-000021000000}"/>
    <cellStyle name="Header1" xfId="5" xr:uid="{00000000-0005-0000-0000-000022000000}"/>
    <cellStyle name="Header2" xfId="6" xr:uid="{00000000-0005-0000-0000-000023000000}"/>
    <cellStyle name="Input [yellow]" xfId="7" xr:uid="{00000000-0005-0000-0000-000024000000}"/>
    <cellStyle name="no dec" xfId="8" xr:uid="{00000000-0005-0000-0000-000025000000}"/>
    <cellStyle name="Normal" xfId="0" builtinId="0"/>
    <cellStyle name="Normal - Style1" xfId="9" xr:uid="{00000000-0005-0000-0000-000027000000}"/>
    <cellStyle name="Normal 10" xfId="74" xr:uid="{00000000-0005-0000-0000-000028000000}"/>
    <cellStyle name="Normal 10 2" xfId="85" xr:uid="{00000000-0005-0000-0000-000029000000}"/>
    <cellStyle name="Normal 142" xfId="71" xr:uid="{00000000-0005-0000-0000-00002A000000}"/>
    <cellStyle name="Normal 15" xfId="19" xr:uid="{00000000-0005-0000-0000-00002B000000}"/>
    <cellStyle name="Normal 15 2" xfId="91" xr:uid="{00000000-0005-0000-0000-00002C000000}"/>
    <cellStyle name="Normal 18" xfId="62" xr:uid="{00000000-0005-0000-0000-00002D000000}"/>
    <cellStyle name="Normal 18 3" xfId="76" xr:uid="{00000000-0005-0000-0000-00002E000000}"/>
    <cellStyle name="Normal 2" xfId="10" xr:uid="{00000000-0005-0000-0000-00002F000000}"/>
    <cellStyle name="Normal 2 2" xfId="11" xr:uid="{00000000-0005-0000-0000-000030000000}"/>
    <cellStyle name="Normal 2 2 2" xfId="31" xr:uid="{00000000-0005-0000-0000-000031000000}"/>
    <cellStyle name="Normal 2 2 2 2" xfId="58" xr:uid="{00000000-0005-0000-0000-000032000000}"/>
    <cellStyle name="Normal 2 2_Working APR 2007-08 Mahagenco_Bhushan_1.3" xfId="32" xr:uid="{00000000-0005-0000-0000-000033000000}"/>
    <cellStyle name="Normal 2 3" xfId="12" xr:uid="{00000000-0005-0000-0000-000034000000}"/>
    <cellStyle name="Normal 2 4" xfId="53" xr:uid="{00000000-0005-0000-0000-000035000000}"/>
    <cellStyle name="Normal 2_ARR FINAL" xfId="33" xr:uid="{00000000-0005-0000-0000-000036000000}"/>
    <cellStyle name="Normal 3" xfId="13" xr:uid="{00000000-0005-0000-0000-000037000000}"/>
    <cellStyle name="Normal 3 2" xfId="34" xr:uid="{00000000-0005-0000-0000-000038000000}"/>
    <cellStyle name="Normal 3 2 2" xfId="59" xr:uid="{00000000-0005-0000-0000-000039000000}"/>
    <cellStyle name="Normal 39" xfId="23" xr:uid="{00000000-0005-0000-0000-00003A000000}"/>
    <cellStyle name="Normal 4" xfId="35" xr:uid="{00000000-0005-0000-0000-00003B000000}"/>
    <cellStyle name="Normal 4 2" xfId="60" xr:uid="{00000000-0005-0000-0000-00003C000000}"/>
    <cellStyle name="Normal 5" xfId="36" xr:uid="{00000000-0005-0000-0000-00003D000000}"/>
    <cellStyle name="Normal 5 2" xfId="37" xr:uid="{00000000-0005-0000-0000-00003E000000}"/>
    <cellStyle name="Normal 6" xfId="38" xr:uid="{00000000-0005-0000-0000-00003F000000}"/>
    <cellStyle name="Normal 7" xfId="39" xr:uid="{00000000-0005-0000-0000-000040000000}"/>
    <cellStyle name="Normal 8" xfId="54" xr:uid="{00000000-0005-0000-0000-000041000000}"/>
    <cellStyle name="Normal 9" xfId="55" xr:uid="{00000000-0005-0000-0000-000042000000}"/>
    <cellStyle name="Normal_FORMATS 5 YEAR ALOKE 2" xfId="14" xr:uid="{00000000-0005-0000-0000-000043000000}"/>
    <cellStyle name="Normal_FORMATS 5 YEAR ALOKE 2 2" xfId="68" xr:uid="{00000000-0005-0000-0000-000044000000}"/>
    <cellStyle name="Normal_FORMATS 5 YEAR ALOKE 3 2" xfId="15" xr:uid="{00000000-0005-0000-0000-000045000000}"/>
    <cellStyle name="Normal_FORMATS 5 YEAR ALOKE 4" xfId="82" xr:uid="{00000000-0005-0000-0000-000046000000}"/>
    <cellStyle name="Normal_Sheet1" xfId="80" xr:uid="{00000000-0005-0000-0000-000047000000}"/>
    <cellStyle name="Percent" xfId="70" builtinId="5"/>
    <cellStyle name="Percent [0]_#6 Temps &amp; Contractors" xfId="16" xr:uid="{00000000-0005-0000-0000-000049000000}"/>
    <cellStyle name="Percent [2]" xfId="17" xr:uid="{00000000-0005-0000-0000-00004A000000}"/>
    <cellStyle name="Percent 12 10" xfId="83" xr:uid="{00000000-0005-0000-0000-00004B000000}"/>
    <cellStyle name="Percent 2" xfId="40" xr:uid="{00000000-0005-0000-0000-00004C000000}"/>
    <cellStyle name="Percent 2 2" xfId="41" xr:uid="{00000000-0005-0000-0000-00004D000000}"/>
    <cellStyle name="Percent 2 3" xfId="61" xr:uid="{00000000-0005-0000-0000-00004E000000}"/>
    <cellStyle name="Percent 3" xfId="42" xr:uid="{00000000-0005-0000-0000-00004F000000}"/>
    <cellStyle name="Percent 3 2" xfId="43" xr:uid="{00000000-0005-0000-0000-000050000000}"/>
    <cellStyle name="Percent 4" xfId="24" xr:uid="{00000000-0005-0000-0000-000051000000}"/>
    <cellStyle name="Percent 41" xfId="21" xr:uid="{00000000-0005-0000-0000-000052000000}"/>
    <cellStyle name="Percent 5" xfId="44" xr:uid="{00000000-0005-0000-0000-000053000000}"/>
    <cellStyle name="Percent 5 2" xfId="45" xr:uid="{00000000-0005-0000-0000-000054000000}"/>
    <cellStyle name="Percent 5 3" xfId="46" xr:uid="{00000000-0005-0000-0000-000055000000}"/>
    <cellStyle name="Percent 6" xfId="47" xr:uid="{00000000-0005-0000-0000-000056000000}"/>
    <cellStyle name="Percent 6 2" xfId="48" xr:uid="{00000000-0005-0000-0000-000057000000}"/>
    <cellStyle name="Percent 7" xfId="67" xr:uid="{00000000-0005-0000-0000-000058000000}"/>
    <cellStyle name="Percent 8" xfId="75" xr:uid="{00000000-0005-0000-0000-000059000000}"/>
    <cellStyle name="Percent 8 2" xfId="88" xr:uid="{00000000-0005-0000-0000-00005A000000}"/>
    <cellStyle name="Style 1" xfId="18" xr:uid="{00000000-0005-0000-0000-00005B000000}"/>
    <cellStyle name="Style 2" xfId="56" xr:uid="{00000000-0005-0000-0000-00005C000000}"/>
  </cellStyles>
  <dxfs count="511">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B0F0"/>
      </font>
    </dxf>
    <dxf>
      <font>
        <color rgb="FF9C6500"/>
      </font>
      <fill>
        <patternFill patternType="solid">
          <bgColor rgb="FFFFEB9C"/>
        </patternFill>
      </fill>
    </dxf>
    <dxf>
      <font>
        <color rgb="FF00B050"/>
      </font>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tint="-0.34998626667073579"/>
        </patternFill>
      </fill>
    </dxf>
    <dxf>
      <font>
        <b val="0"/>
        <i/>
        <color rgb="FFFF0000"/>
      </font>
      <fill>
        <patternFill patternType="none"/>
      </fill>
    </dxf>
    <dxf>
      <font>
        <color rgb="FF00B0F0"/>
      </font>
    </dxf>
    <dxf>
      <font>
        <color rgb="FF9C6500"/>
      </font>
      <fill>
        <patternFill patternType="solid">
          <bgColor rgb="FFFFEB9C"/>
        </patternFill>
      </fill>
    </dxf>
    <dxf>
      <font>
        <color rgb="FF00B050"/>
      </font>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tint="-0.34998626667073579"/>
        </patternFill>
      </fill>
    </dxf>
    <dxf>
      <font>
        <b val="0"/>
        <i/>
        <color rgb="FFFF0000"/>
      </font>
      <fill>
        <patternFill patternType="none"/>
      </fill>
    </dxf>
    <dxf>
      <font>
        <color rgb="FF00B0F0"/>
      </font>
    </dxf>
    <dxf>
      <font>
        <color rgb="FF9C6500"/>
      </font>
      <fill>
        <patternFill patternType="solid">
          <bgColor rgb="FFFFEB9C"/>
        </patternFill>
      </fill>
    </dxf>
    <dxf>
      <font>
        <color rgb="FF00B050"/>
      </font>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tint="-0.34998626667073579"/>
        </patternFill>
      </fill>
    </dxf>
    <dxf>
      <font>
        <b val="0"/>
        <i/>
        <color rgb="FFFF0000"/>
      </font>
      <fill>
        <patternFill patternType="none"/>
      </fill>
    </dxf>
    <dxf>
      <font>
        <color rgb="FF00B0F0"/>
      </font>
    </dxf>
    <dxf>
      <font>
        <color rgb="FF9C6500"/>
      </font>
      <fill>
        <patternFill patternType="solid">
          <bgColor rgb="FFFFEB9C"/>
        </patternFill>
      </fill>
    </dxf>
    <dxf>
      <font>
        <color rgb="FF00B050"/>
      </font>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A6A6A6"/>
        </patternFill>
      </fill>
    </dxf>
    <dxf>
      <font>
        <b val="0"/>
        <i/>
        <color rgb="FFFF0000"/>
      </font>
      <fill>
        <patternFill patternType="none"/>
      </fill>
    </dxf>
    <dxf>
      <font>
        <color rgb="FF00B0F0"/>
      </font>
    </dxf>
    <dxf>
      <font>
        <color rgb="FF9C6500"/>
      </font>
      <fill>
        <patternFill patternType="solid">
          <bgColor rgb="FFFFEB9C"/>
        </patternFill>
      </fill>
    </dxf>
    <dxf>
      <font>
        <color rgb="FF00B050"/>
      </font>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A6A6A6"/>
        </patternFill>
      </fill>
    </dxf>
    <dxf>
      <font>
        <b val="0"/>
        <i/>
        <color rgb="FFFF0000"/>
      </font>
      <fill>
        <patternFill patternType="none"/>
      </fill>
    </dxf>
    <dxf>
      <font>
        <color rgb="FF00B0F0"/>
      </font>
    </dxf>
    <dxf>
      <font>
        <color rgb="FF9C6500"/>
      </font>
      <fill>
        <patternFill patternType="solid">
          <bgColor rgb="FFFFEB9C"/>
        </patternFill>
      </fill>
    </dxf>
    <dxf>
      <font>
        <color rgb="FF00B050"/>
      </font>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tint="-0.34998626667073579"/>
        </patternFill>
      </fill>
    </dxf>
    <dxf>
      <font>
        <b val="0"/>
        <i/>
        <color rgb="FFFF0000"/>
      </font>
      <fill>
        <patternFill patternType="none"/>
      </fill>
    </dxf>
    <dxf>
      <font>
        <color rgb="FF9C6500"/>
      </font>
      <fill>
        <patternFill>
          <bgColor rgb="FFFFEB9C"/>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B0F0"/>
      </font>
    </dxf>
    <dxf>
      <font>
        <color rgb="FF9C6500"/>
      </font>
      <fill>
        <patternFill patternType="solid">
          <bgColor rgb="FFFFEB9C"/>
        </patternFill>
      </fill>
    </dxf>
    <dxf>
      <font>
        <color rgb="FF00B050"/>
      </font>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tint="-0.34998626667073579"/>
        </patternFill>
      </fill>
    </dxf>
    <dxf>
      <font>
        <b val="0"/>
        <i/>
        <color rgb="FFFF0000"/>
      </font>
      <fill>
        <patternFill patternType="none"/>
      </fill>
    </dxf>
    <dxf>
      <font>
        <color rgb="FF00B0F0"/>
      </font>
    </dxf>
    <dxf>
      <font>
        <color rgb="FF9C6500"/>
      </font>
      <fill>
        <patternFill patternType="solid">
          <bgColor rgb="FFFFEB9C"/>
        </patternFill>
      </fill>
    </dxf>
    <dxf>
      <font>
        <color rgb="FF00B050"/>
      </font>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tint="-0.34998626667073579"/>
        </patternFill>
      </fill>
    </dxf>
    <dxf>
      <font>
        <b val="0"/>
        <i/>
        <color rgb="FFFF0000"/>
      </font>
      <fill>
        <patternFill patternType="none"/>
      </fill>
    </dxf>
    <dxf>
      <font>
        <color rgb="FF00B0F0"/>
      </font>
    </dxf>
    <dxf>
      <font>
        <color rgb="FF9C6500"/>
      </font>
      <fill>
        <patternFill patternType="solid">
          <bgColor rgb="FFFFEB9C"/>
        </patternFill>
      </fill>
    </dxf>
    <dxf>
      <font>
        <color rgb="FF00B050"/>
      </font>
    </dxf>
    <dxf>
      <font>
        <color rgb="FF006100"/>
      </font>
      <fill>
        <patternFill patternType="solid">
          <bgColor rgb="FFC6EF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tint="-0.34998626667073579"/>
        </patternFill>
      </fill>
    </dxf>
    <dxf>
      <font>
        <b val="0"/>
        <i/>
        <color rgb="FFFF0000"/>
      </font>
      <fill>
        <patternFill patternType="none"/>
      </fill>
    </dxf>
    <dxf>
      <font>
        <color rgb="FF9C0006"/>
      </font>
      <fill>
        <patternFill patternType="solid">
          <bgColor rgb="FFFFC7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
      <font>
        <color rgb="FF006100"/>
      </font>
      <fill>
        <patternFill patternType="solid">
          <bgColor rgb="FFC6EFCE"/>
        </patternFill>
      </fill>
    </dxf>
    <dxf>
      <font>
        <color rgb="FF9C0006"/>
      </font>
      <fill>
        <patternFill patternType="solid">
          <bgColor rgb="FFFFC7CE"/>
        </patternFill>
      </fill>
    </dxf>
  </dxfs>
  <tableStyles count="0" defaultTableStyle="TableStyleMedium9" defaultPivotStyle="PivotStyleLight16"/>
  <colors>
    <mruColors>
      <color rgb="FFFBCB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1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201-04REL-F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tabank\1-Projects%20In%20Hand\DFID\ARR%202003-04\Arr%20Petition%202003-04\For%20Submission\ARR%20Forms%20For%20Submis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er21\shared%20doc\ARR%202.6%20REV\Performance\PERFORMANCE\ocm\Yearly_perf\OCMJAN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anurag\My%20Documents\petitions\Petition%20for%20trans%20ARR.doc\Databank\1-Projects%20In%20Hand\DFID\ARR%202003-04\Arr%20Petition%202003-04\For%20Submission\ARR%20Forms%20For%20Submiss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Sameer's%20folder\MSEB\Tariff%20Filing%202003-04\Outputs\Models\Working%20Models\old\Dispatch%20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Performance\PERFORMANCE\ocm\Yearly_perf\OCMJAN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ch1\EMAIL\Performance\PERFORMANCE\ocm\Yearly_perf\OCMJAN20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p10\c\WINDOWS\Desktop\Latest%20revised%20Cost%20Estimates%20for%20Subst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ID%20Energy\Work\MSPGCL%20True%20Up%20Fy%202010-11\Earlier%20Orders\EXCEL%20MODELS%20FINAL\PwC_MSPGCL_20.12.2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server\btps%20temp%20data\EFFY\Effy-Cost%20DD\Yearly%20dat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server\Users\skedia\Documents\MSPGCL%20FY12%20ARR%20Petition%20and%20Model%2031Mar11\ARR%20formats%20SM%2029Mar1940_ol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uresh\Power\MSEB\MSEB%2001-02\Data\Dispatch%20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26\perf\Performance\PERFORMANCE\CE_FILE\Erai_dam\Water%20_balance_Dec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server\Users\skedia\Desktop\MSPGCL%20Main%20Folder\Revised%20True-up%20&amp;%20APR\Workings\Annexure%202_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REL"/>
      <sheetName val="03-04|71"/>
      <sheetName val="03-04|72"/>
      <sheetName val="03-04|74"/>
      <sheetName val="03-04|75"/>
      <sheetName val="03-04|76"/>
      <sheetName val="03-04|77"/>
      <sheetName val="03-04|79"/>
      <sheetName val="03-04|83"/>
      <sheetName val="03-04|Master"/>
      <sheetName val="A 3.7"/>
      <sheetName val="CE"/>
      <sheetName val="201-04REL-Final"/>
      <sheetName val="A_3_7"/>
      <sheetName val="Metro consind updation sheet"/>
      <sheetName val="Dom"/>
      <sheetName val="BD-Cons-FY 2017-18"/>
      <sheetName val="Cons- FY 2018-19"/>
      <sheetName val="DVVNL"/>
      <sheetName val="MVVNL"/>
      <sheetName val="PVVNL"/>
      <sheetName val="PuVVNL"/>
      <sheetName val="KESCo"/>
      <sheetName val="Cons-Existing-re comp"/>
      <sheetName val="Re-computation of sales-19- (2)"/>
      <sheetName val="Sheet4"/>
      <sheetName val="LMV-10 working"/>
      <sheetName val="FY 2017-18 Revenue"/>
      <sheetName val="Discom wise Reveneue FY 2017-18"/>
      <sheetName val="DVVNL_Prop"/>
      <sheetName val="MVVNL_Prop"/>
      <sheetName val="PVVNL_prop"/>
      <sheetName val="PuVVNL_Prop"/>
      <sheetName val="KESCo_Prop"/>
      <sheetName val="Re-computation of sales-19-20"/>
      <sheetName val="????(?????)"/>
      <sheetName val="po-log - curr. rate"/>
      <sheetName val="teo model"/>
      <sheetName val="Master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3.7"/>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dpc cost"/>
      <sheetName val="SUMMERY"/>
      <sheetName val="A 3_7"/>
      <sheetName val="form_x0000__x0000__x0000__x0000__x0000__x0000__x0000__x0000__x0000__x0000__x0000__x0000__x0000_"/>
      <sheetName val=""/>
      <sheetName val="form?????????????"/>
      <sheetName val="form_x0000_"/>
      <sheetName val="04REL"/>
      <sheetName val="Sept "/>
      <sheetName val="7"/>
      <sheetName val="Salient1"/>
      <sheetName val="Labour charges"/>
      <sheetName val="RAJ"/>
      <sheetName val="Feb-06"/>
      <sheetName val="Inputs"/>
      <sheetName val="form"/>
      <sheetName val="form_____________"/>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form_x0000__x0000__x0000__x0000"/>
      <sheetName val="Assumptions"/>
      <sheetName val="form_x005f_x0000__x005f_x0000__x005f_x0000__x0000"/>
      <sheetName val="form_x005f_x0000_"/>
      <sheetName val="form?"/>
      <sheetName val="Ag LF"/>
      <sheetName val="Executive Summary -Thermal"/>
      <sheetName val="Stationwise Thermal &amp; Hydel Gen"/>
      <sheetName val="TWELVE"/>
      <sheetName val="form_"/>
      <sheetName val="all"/>
      <sheetName val="overall"/>
      <sheetName val="Data base"/>
      <sheetName val="form_x005f_x005f_x005f_x0000__x005f_x005f_x005f_x0000__"/>
      <sheetName val="form_x005f_x005f_x005f_x0000_"/>
      <sheetName val="form_x005f_x005f_x005f_x005f_x005f_x005f_x005f_x0000__x"/>
      <sheetName val="form_x005f_x005f_x005f_x005f_x005f_x005f_x005f_x0000_"/>
      <sheetName val="Key_Assume_Common"/>
      <sheetName val="Discom Details"/>
      <sheetName val="data"/>
      <sheetName val="First information "/>
      <sheetName val="annexture-g1"/>
      <sheetName val="PART C"/>
      <sheetName val="Sheet1"/>
      <sheetName val="Part A General"/>
      <sheetName val="feasibility require"/>
      <sheetName val="MOD - Corrected -As per SLDC "/>
      <sheetName val="Interest 30-11-01 not PA 7%"/>
      <sheetName val="x-rate"/>
    </sheetNames>
    <sheetDataSet>
      <sheetData sheetId="0" refreshError="1">
        <row r="35">
          <cell r="G35">
            <v>64254.226096970044</v>
          </cell>
          <cell r="H35">
            <v>59093.238057586968</v>
          </cell>
          <cell r="I35">
            <v>63490.540060935658</v>
          </cell>
        </row>
        <row r="44">
          <cell r="G44">
            <v>24259.407938726315</v>
          </cell>
          <cell r="H44">
            <v>16526.511773419461</v>
          </cell>
          <cell r="I44">
            <v>17654.636270525258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Assumptions"/>
      <sheetName val="A 3.7"/>
      <sheetName val="water_bal"/>
      <sheetName val="Daily_input"/>
      <sheetName val="Daily_report"/>
      <sheetName val="A_3_7"/>
      <sheetName val="Clause 9"/>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sheetData sheetId="20"/>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3.7"/>
      <sheetName val="A-1.1 "/>
      <sheetName val="A 2.1 PY"/>
      <sheetName val="A 2.1 CY"/>
      <sheetName val="A 2.1 EY"/>
      <sheetName val="A 2.2"/>
      <sheetName val="A 2.3"/>
      <sheetName val="Power Pur 3.1 (PY)"/>
      <sheetName val="Power Pur 3.1 (CY)"/>
      <sheetName val="Power Pur 3.1 (EY)"/>
      <sheetName val="A 3.2"/>
      <sheetName val="A 3.3 PY"/>
      <sheetName val="A 3.3 CY"/>
      <sheetName val="A 3.3 EY"/>
      <sheetName val="A 3.4"/>
      <sheetName val="A 3.5"/>
      <sheetName val="A 3.6 (PY)"/>
      <sheetName val="A 3.6 (CY)"/>
      <sheetName val="A 3.6 (EY)"/>
      <sheetName val="A 3.8"/>
      <sheetName val="A 3.9"/>
      <sheetName val="A 3.10 "/>
      <sheetName val="A-5.1(PY)"/>
      <sheetName val="A-5.1(CY) "/>
      <sheetName val="A-5.1(EY)"/>
      <sheetName val="A-5.2(PY)"/>
      <sheetName val="A-5.2(CY)"/>
      <sheetName val="A-5.2(EY)"/>
      <sheetName val="A -5.3"/>
      <sheetName val="form 6.1 (PY) Gen"/>
      <sheetName val="form 6.1(PY)T&amp;D "/>
      <sheetName val="form 6.1 (CY) Gen"/>
      <sheetName val="form 6.1(CY) T&amp;D"/>
      <sheetName val="form 6.1 (EY) Gen "/>
      <sheetName val="form 6.1(EY) T&amp;D"/>
      <sheetName val="A 7.1"/>
      <sheetName val="A 7.2"/>
      <sheetName val="A 7.3"/>
      <sheetName val="A 7.4"/>
      <sheetName val="A 8.1"/>
      <sheetName val="A 8.2"/>
      <sheetName val="A 8.3"/>
      <sheetName val="A 8.4"/>
      <sheetName val="A 8.5"/>
      <sheetName val="A 8.6"/>
      <sheetName val="A 8.7"/>
      <sheetName val="A 8.8"/>
      <sheetName val="A 8.9"/>
      <sheetName val="A 8.10"/>
      <sheetName val="8.11 PY"/>
      <sheetName val="8.11 CY"/>
      <sheetName val="8.11 EY"/>
      <sheetName val="A-10.1"/>
      <sheetName val="A 10.2 (A)"/>
      <sheetName val="A 10.2 B"/>
      <sheetName val="A 10.2 C"/>
      <sheetName val="A 10.2 D"/>
      <sheetName val="A 10.3"/>
      <sheetName val="A 10.4"/>
      <sheetName val="Rev Calculation"/>
      <sheetName val="A 9.1"/>
      <sheetName val="A 3_7"/>
      <sheetName val="A-1_1_"/>
      <sheetName val="A_2_1_PY"/>
      <sheetName val="A_2_1_CY"/>
      <sheetName val="A_2_1_EY"/>
      <sheetName val="A_2_2"/>
      <sheetName val="A_2_3"/>
      <sheetName val="Power_Pur_3_1_(PY)"/>
      <sheetName val="Power_Pur_3_1_(CY)"/>
      <sheetName val="Power_Pur_3_1_(EY)"/>
      <sheetName val="A_3_2"/>
      <sheetName val="A_3_3_PY"/>
      <sheetName val="A_3_3_CY"/>
      <sheetName val="A_3_3_EY"/>
      <sheetName val="A_3_4"/>
      <sheetName val="A_3_5"/>
      <sheetName val="A_3_6_(PY)"/>
      <sheetName val="A_3_6_(CY)"/>
      <sheetName val="A_3_6_(EY)"/>
      <sheetName val="A_3_7"/>
      <sheetName val="A_3_8"/>
      <sheetName val="A_3_9"/>
      <sheetName val="A_3_10_"/>
      <sheetName val="A-5_1(PY)"/>
      <sheetName val="A-5_1(CY)_"/>
      <sheetName val="A-5_1(EY)"/>
      <sheetName val="A-5_2(PY)"/>
      <sheetName val="A-5_2(CY)"/>
      <sheetName val="A-5_2(EY)"/>
      <sheetName val="A_-5_3"/>
      <sheetName val="form_6_1_(PY)_Gen"/>
      <sheetName val="form_6_1(PY)T&amp;D_"/>
      <sheetName val="form_6_1_(CY)_Gen"/>
      <sheetName val="form_6_1(CY)_T&amp;D"/>
      <sheetName val="form_6_1_(EY)_Gen_"/>
      <sheetName val="form_6_1(EY)_T&amp;D"/>
      <sheetName val="A_7_1"/>
      <sheetName val="A_7_2"/>
      <sheetName val="A_7_3"/>
      <sheetName val="A_7_4"/>
      <sheetName val="A_8_1"/>
      <sheetName val="A_8_2"/>
      <sheetName val="A_8_3"/>
      <sheetName val="A_8_4"/>
      <sheetName val="A_8_5"/>
      <sheetName val="A_8_6"/>
      <sheetName val="A_8_7"/>
      <sheetName val="A_8_8"/>
      <sheetName val="A_8_9"/>
      <sheetName val="A_8_10"/>
      <sheetName val="8_11_PY"/>
      <sheetName val="8_11_CY"/>
      <sheetName val="8_11_EY"/>
      <sheetName val="A-10_1"/>
      <sheetName val="A_10_2_(A)"/>
      <sheetName val="A_10_2_B"/>
      <sheetName val="A_10_2_C"/>
      <sheetName val="A_10_2_D"/>
      <sheetName val="A_10_3"/>
      <sheetName val="A_10_4"/>
      <sheetName val="Rev_Calculation"/>
      <sheetName val="A_9_1"/>
      <sheetName val="Loan Position"/>
      <sheetName val=""/>
      <sheetName val="D-3 Detail"/>
    </sheetNames>
    <sheetDataSet>
      <sheetData sheetId="0">
        <row r="35">
          <cell r="I35">
            <v>63490.540060935658</v>
          </cell>
        </row>
        <row r="44">
          <cell r="I44">
            <v>17654.636270525258</v>
          </cell>
        </row>
      </sheetData>
      <sheetData sheetId="1">
        <row r="35">
          <cell r="I35">
            <v>63490.540060935658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ERY"/>
      <sheetName val="HLY -99-00"/>
      <sheetName val="Hydro Data"/>
      <sheetName val="HLY0001"/>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A 3.7"/>
      <sheetName val="HLY_-99-00"/>
      <sheetName val="Hydro_Data"/>
      <sheetName val="dpc_cost"/>
      <sheetName val="Plant_Availability"/>
      <sheetName val="FIX DATA"/>
      <sheetName val="Inputs"/>
      <sheetName val="Feb-06"/>
      <sheetName val="04REL"/>
      <sheetName val="RAJ"/>
      <sheetName val="all"/>
      <sheetName val="Data"/>
      <sheetName val="17(B) govt"/>
      <sheetName val="DLC"/>
      <sheetName val="1.1 Trs. Fai."/>
      <sheetName val="feasibility require"/>
      <sheetName val="Sheet1"/>
      <sheetName val="STN WISE EMR"/>
      <sheetName val="Dom"/>
      <sheetName val="MO EY"/>
      <sheetName val="MO CY"/>
      <sheetName val="Lead"/>
    </sheetNames>
    <sheetDataSet>
      <sheetData sheetId="0" refreshError="1">
        <row r="1">
          <cell r="P1">
            <v>0.72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04REL"/>
      <sheetName val="Daily_input"/>
      <sheetName val="Daily_report"/>
      <sheetName val="Instruction Sheet"/>
      <sheetName val="SUMMERY"/>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sheetData sheetId="17"/>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input"/>
      <sheetName val="Daily report"/>
      <sheetName val="OCM2"/>
      <sheetName val="OCM4"/>
      <sheetName val="OCM1"/>
      <sheetName val="OCM3"/>
      <sheetName val="OCM5"/>
      <sheetName val="OCM7"/>
      <sheetName val="INDEX"/>
      <sheetName val="OCM6"/>
      <sheetName val="highlight"/>
      <sheetName val="water"/>
      <sheetName val="AWARD"/>
      <sheetName val="CE"/>
      <sheetName val="hrawd"/>
      <sheetName val="2000-01"/>
      <sheetName val="04REL"/>
      <sheetName val="Inputs &amp; Assumptions"/>
      <sheetName val="Daily_input"/>
      <sheetName val="Daily_report"/>
      <sheetName val="Title"/>
      <sheetName val="CAPI_01-02"/>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Rate"/>
      <sheetName val="160MVA+2FB"/>
      <sheetName val="160MVA+1FB"/>
      <sheetName val="160MVA Addl"/>
      <sheetName val="220KV FB"/>
      <sheetName val="315MVA Addl"/>
      <sheetName val="40MVA+2FB"/>
      <sheetName val="20MVA+2FB"/>
      <sheetName val="40MVA+1FB"/>
      <sheetName val="132FB"/>
      <sheetName val="40to63"/>
      <sheetName val="20to40"/>
      <sheetName val="Addl.40"/>
      <sheetName val="Addl.20"/>
      <sheetName val="SS-Cost"/>
      <sheetName val="Addl.63 (2)"/>
      <sheetName val="Addl_40"/>
      <sheetName val="Unit_Rate"/>
      <sheetName val="160MVA_Addl"/>
      <sheetName val="220KV_FB"/>
      <sheetName val="315MVA_Addl"/>
      <sheetName val="Addl_401"/>
      <sheetName val="Addl_20"/>
      <sheetName val="Addl_63_(2)"/>
      <sheetName val="A 3_7"/>
      <sheetName val="04REL"/>
      <sheetName val="data"/>
      <sheetName val="Data base Feb 09"/>
      <sheetName val="grid"/>
      <sheetName val="132kv DCDS"/>
      <sheetName val=""/>
      <sheetName val="Salient1"/>
      <sheetName val="Cat_Ser_load"/>
      <sheetName val="Sheet1"/>
      <sheetName val="PACK (B)"/>
      <sheetName val="Unit_Rate1"/>
      <sheetName val="160MVA_Addl1"/>
      <sheetName val="220KV_FB1"/>
      <sheetName val="315MVA_Addl1"/>
      <sheetName val="Addl_402"/>
      <sheetName val="Addl_201"/>
      <sheetName val="Addl_63_(2)1"/>
      <sheetName val="A_3_7"/>
      <sheetName val="Data_base_Feb_09"/>
      <sheetName val="132kv_DCDS"/>
      <sheetName val="PACK_(B)"/>
      <sheetName val="STN WISE EMR"/>
      <sheetName val="Inputs"/>
      <sheetName val="A"/>
      <sheetName val="Dom"/>
      <sheetName val="ATP"/>
      <sheetName val="R_Hrs_ Since Comm"/>
      <sheetName val="Calculations 1"/>
      <sheetName val="Consolidated"/>
      <sheetName val="Input"/>
      <sheetName val="Phasing 1"/>
      <sheetName val="Results"/>
      <sheetName val="Coal-Cal"/>
      <sheetName val="Introduction"/>
      <sheetName val="Calculations 2"/>
      <sheetName val="Calculations 3"/>
      <sheetName val="Calculations 4"/>
      <sheetName val="Calculations 5"/>
      <sheetName val="Phasing 3"/>
      <sheetName val="Input sheet"/>
      <sheetName val="BST"/>
      <sheetName val="BPlan_Energy Balance_Table"/>
      <sheetName val="Approved Energy Balance"/>
      <sheetName val="Energy Requirement"/>
      <sheetName val="CE PPA_Installed "/>
      <sheetName val="Table for Business Plan"/>
      <sheetName val="UPERC approved "/>
      <sheetName val="Monthwise_PLF"/>
      <sheetName val="Apr19"/>
      <sheetName val="May19 "/>
      <sheetName val="June-19"/>
      <sheetName val="July-19 "/>
      <sheetName val="Aug-19"/>
      <sheetName val="Sep-19 "/>
      <sheetName val="PP FY 2019-20 (Monthly)"/>
      <sheetName val="PLF Computation"/>
      <sheetName val="RANK"/>
      <sheetName val="FY 19_20"/>
      <sheetName val="FY 20_21"/>
      <sheetName val="FY 21_22"/>
      <sheetName val="FY 22_23"/>
      <sheetName val="FY 23_24"/>
      <sheetName val="FY 24_25"/>
      <sheetName val="Table for Petition"/>
      <sheetName val="F13_17_18"/>
      <sheetName val="F13_18_19"/>
      <sheetName val="F13_19_20"/>
      <sheetName val="F13_20_21"/>
      <sheetName val="F13_21_22"/>
      <sheetName val="F13_22_23"/>
      <sheetName val="F13_23_24"/>
      <sheetName val="F13_24_25"/>
      <sheetName val="F13A"/>
      <sheetName val="F13B_17_18"/>
      <sheetName val="F13B_18_19"/>
      <sheetName val="F13B_19_20"/>
      <sheetName val="F13B_20_21"/>
      <sheetName val="F13B_21_22"/>
      <sheetName val="F13B_22_23"/>
      <sheetName val="F13B_23_24"/>
      <sheetName val="F13B_24_25"/>
      <sheetName val="F13C"/>
      <sheetName val="F13D"/>
      <sheetName val="F13E"/>
      <sheetName val="F13F"/>
      <sheetName val="F13G"/>
      <sheetName val="F13H"/>
      <sheetName val="F13I"/>
      <sheetName val="F13J"/>
      <sheetName val="F13K"/>
      <sheetName val="F13L"/>
      <sheetName val="Instruction Sheet"/>
      <sheetName val="CE"/>
      <sheetName val="Adj.TB"/>
      <sheetName val="Sheet2"/>
      <sheetName val="Citrix"/>
      <sheetName val="UK"/>
      <sheetName val="Scheme Area Details_Block__ C2"/>
      <sheetName val="New33KVSS_E3"/>
      <sheetName val="Prop aug of Ex 33KVSS_E3a"/>
      <sheetName val="Coalmine"/>
      <sheetName val="SUMMERY"/>
      <sheetName val="Work_sheet"/>
      <sheetName val="dpc cost"/>
      <sheetName val="Survey Status_2"/>
      <sheetName val="TRP"/>
      <sheetName val="Basis"/>
      <sheetName val="Scheme_Area_Details_Block___C2"/>
      <sheetName val="Prop_aug_of_Ex_33KVSS_E3a"/>
      <sheetName val="Unit_Rate2"/>
      <sheetName val="160MVA_Addl2"/>
      <sheetName val="220KV_FB2"/>
      <sheetName val="315MVA_Addl2"/>
      <sheetName val="Addl_403"/>
      <sheetName val="Addl_202"/>
      <sheetName val="Addl_63_(2)2"/>
      <sheetName val="132kv_DCDS1"/>
      <sheetName val="A_3_71"/>
      <sheetName val="Data_base_Feb_091"/>
      <sheetName val="R_Hrs__Since_Comm"/>
      <sheetName val="Scheme_Area_Details_Block___C21"/>
      <sheetName val="Prop_aug_of_Ex_33KVSS_E3a1"/>
      <sheetName val="STN_WISE_EMR"/>
      <sheetName val="Report"/>
      <sheetName val="Latest revised Cost Estimates f"/>
      <sheetName val="Form 6"/>
      <sheetName val="220Kv (2)"/>
      <sheetName val="220Kv"/>
      <sheetName val="Unit_Rate3"/>
      <sheetName val="160MVA_Addl3"/>
      <sheetName val="220KV_FB3"/>
      <sheetName val="315MVA_Addl3"/>
      <sheetName val="Addl_404"/>
      <sheetName val="Addl_203"/>
      <sheetName val="Addl_63_(2)3"/>
      <sheetName val="132kv_DCDS2"/>
      <sheetName val="A_3_72"/>
      <sheetName val="Data_base_Feb_092"/>
      <sheetName val="% of Elect"/>
      <sheetName val="cap all"/>
      <sheetName val="Lead Statement"/>
      <sheetName val="Detailed Estimate"/>
      <sheetName val="Labour charges"/>
      <sheetName val="Sheet3"/>
      <sheetName val="A2-02-03"/>
      <sheetName val="all"/>
      <sheetName val="Form-C4"/>
      <sheetName val="RevenueInput"/>
      <sheetName val="cover1"/>
      <sheetName val="QOSWS "/>
      <sheetName val="QFC"/>
      <sheetName val="DE"/>
      <sheetName val="J"/>
      <sheetName val="BOQ"/>
      <sheetName val="BSPL"/>
      <sheetName val="BREAKUP OF OIL"/>
      <sheetName val="Unit_Rate4"/>
      <sheetName val="160MVA_Addl4"/>
      <sheetName val="220KV_FB4"/>
      <sheetName val="315MVA_Addl4"/>
      <sheetName val="Addl_405"/>
      <sheetName val="Addl_204"/>
      <sheetName val="Addl_63_(2)4"/>
      <sheetName val="A_3_73"/>
      <sheetName val="Data_base_Feb_093"/>
      <sheetName val="132kv_DCDS3"/>
      <sheetName val="PACK_(B)1"/>
      <sheetName val="STN_WISE_EMR1"/>
      <sheetName val="Calculations_1"/>
      <sheetName val="Phasing_1"/>
      <sheetName val="Calculations_2"/>
      <sheetName val="Calculations_3"/>
      <sheetName val="Calculations_4"/>
      <sheetName val="Calculations_5"/>
      <sheetName val="Phasing_3"/>
      <sheetName val="R_Hrs__Since_Comm1"/>
      <sheetName val="Scheme_Area_Details_Block___C22"/>
      <sheetName val="Prop_aug_of_Ex_33KVSS_E3a2"/>
      <sheetName val="Adj_TB"/>
      <sheetName val="Input_sheet"/>
      <sheetName val="BPlan_Energy_Balance_Table"/>
      <sheetName val="Approved_Energy_Balance"/>
      <sheetName val="Energy_Requirement"/>
      <sheetName val="CE_PPA_Installed_"/>
      <sheetName val="Table_for_Business_Plan"/>
      <sheetName val="UPERC_approved_"/>
      <sheetName val="May19_"/>
      <sheetName val="July-19_"/>
      <sheetName val="Sep-19_"/>
      <sheetName val="PP_FY_2019-20_(Monthly)"/>
      <sheetName val="PLF_Computation"/>
      <sheetName val="FY_19_20"/>
      <sheetName val="FY_20_21"/>
      <sheetName val="FY_21_22"/>
      <sheetName val="FY_22_23"/>
      <sheetName val="FY_23_24"/>
      <sheetName val="FY_24_25"/>
      <sheetName val="Table_for_Petition"/>
      <sheetName val="Instruction_Sheet"/>
      <sheetName val="dpc_cost"/>
      <sheetName val="Survey_Status_2"/>
      <sheetName val="Latest_revised_Cost_Estimates_f"/>
      <sheetName val="Form_6"/>
      <sheetName val="220Kv_(2)"/>
      <sheetName val="QOSWS_"/>
      <sheetName val="%_of_Elect"/>
      <sheetName val="cap_all"/>
      <sheetName val="Lead_Statement"/>
      <sheetName val="Detailed_Estimate"/>
      <sheetName val="Labour_charges"/>
    </sheetNames>
    <sheetDataSet>
      <sheetData sheetId="0">
        <row r="38">
          <cell r="A38" t="str">
            <v xml:space="preserve">ESTIMATE FOR INSTALLATION OF ADDITIONAL 1X40MVA 132/33KV TRANSFORMER AT EXISTING EHV SUBSTATION </v>
          </cell>
        </row>
      </sheetData>
      <sheetData sheetId="1">
        <row r="38">
          <cell r="A38" t="str">
            <v xml:space="preserve">ESTIMATE FOR INSTALLATION OF ADDITIONAL 1X40MVA 132/33KV TRANSFORMER AT EXISTING EHV SUBSTATION </v>
          </cell>
        </row>
      </sheetData>
      <sheetData sheetId="2">
        <row r="38">
          <cell r="A38" t="str">
            <v xml:space="preserve">ESTIMATE FOR INSTALLATION OF ADDITIONAL 1X40MVA 132/33KV TRANSFORMER AT EXISTING EHV SUBSTATION </v>
          </cell>
        </row>
      </sheetData>
      <sheetData sheetId="3">
        <row r="38">
          <cell r="A38" t="str">
            <v xml:space="preserve">ESTIMATE FOR INSTALLATION OF ADDITIONAL 1X40MVA 132/33KV TRANSFORMER AT EXISTING EHV SUBSTATION </v>
          </cell>
        </row>
      </sheetData>
      <sheetData sheetId="4">
        <row r="38">
          <cell r="A38" t="str">
            <v xml:space="preserve">ESTIMATE FOR INSTALLATION OF ADDITIONAL 1X40MVA 132/33KV TRANSFORMER AT EXISTING EHV SUBSTATION </v>
          </cell>
        </row>
      </sheetData>
      <sheetData sheetId="5"/>
      <sheetData sheetId="6"/>
      <sheetData sheetId="7"/>
      <sheetData sheetId="8"/>
      <sheetData sheetId="9"/>
      <sheetData sheetId="10"/>
      <sheetData sheetId="11"/>
      <sheetData sheetId="12" refreshError="1">
        <row r="38">
          <cell r="A38" t="str">
            <v xml:space="preserve">ESTIMATE FOR INSTALLATION OF ADDITIONAL 1X40MVA 132/33KV TRANSFORMER AT EXISTING EHV SUBSTATION </v>
          </cell>
        </row>
        <row r="39">
          <cell r="A39" t="str">
            <v>ESTIMATE FOR INSTALLATION OF ADDITIONAL 1X40MVA 132/33KV TRANSFORMER AT EXISTING EHV SUBSTATION</v>
          </cell>
        </row>
        <row r="40">
          <cell r="A40" t="str">
            <v>SCHEDULE</v>
          </cell>
        </row>
        <row r="41">
          <cell r="A41" t="str">
            <v>SCHEDULE</v>
          </cell>
        </row>
        <row r="42">
          <cell r="A42" t="str">
            <v>TOTAL NO. OF LOCATIONS</v>
          </cell>
          <cell r="B42">
            <v>0</v>
          </cell>
          <cell r="C42">
            <v>1</v>
          </cell>
        </row>
        <row r="43">
          <cell r="C43">
            <v>1</v>
          </cell>
        </row>
        <row r="44">
          <cell r="A44" t="str">
            <v>SNO</v>
          </cell>
          <cell r="B44" t="str">
            <v>PARTICULARS</v>
          </cell>
          <cell r="C44" t="str">
            <v>Quantity</v>
          </cell>
          <cell r="D44" t="str">
            <v>EX-W Rate</v>
          </cell>
          <cell r="E44" t="str">
            <v>EX-W Amount</v>
          </cell>
          <cell r="F44" t="str">
            <v>Other Rate</v>
          </cell>
          <cell r="G44" t="str">
            <v>Other Amount</v>
          </cell>
          <cell r="H44" t="str">
            <v>Total Rate</v>
          </cell>
          <cell r="I44" t="str">
            <v>Total Amount</v>
          </cell>
        </row>
        <row r="45">
          <cell r="A45" t="str">
            <v>SNO</v>
          </cell>
          <cell r="B45" t="str">
            <v>PARTICULARS</v>
          </cell>
          <cell r="C45" t="str">
            <v>Quantity</v>
          </cell>
          <cell r="D45" t="str">
            <v>EX-W Rate</v>
          </cell>
          <cell r="E45" t="str">
            <v>EX-W Amount</v>
          </cell>
          <cell r="F45" t="str">
            <v>Other Rate</v>
          </cell>
          <cell r="G45" t="str">
            <v>Other Amount</v>
          </cell>
          <cell r="H45" t="str">
            <v>Total Rate</v>
          </cell>
          <cell r="I45" t="str">
            <v>Total Amount</v>
          </cell>
        </row>
        <row r="46">
          <cell r="A46" t="str">
            <v>(A)</v>
          </cell>
          <cell r="B46" t="str">
            <v>220KV EQUIPMENTS</v>
          </cell>
        </row>
        <row r="47">
          <cell r="A47" t="str">
            <v>(A)</v>
          </cell>
          <cell r="B47" t="str">
            <v>220KV EQUIPMENTS</v>
          </cell>
        </row>
        <row r="48">
          <cell r="A48">
            <v>1</v>
          </cell>
          <cell r="B48" t="str">
            <v>Circuit Breaker</v>
          </cell>
          <cell r="C48">
            <v>0</v>
          </cell>
          <cell r="D48">
            <v>13.429399999999999</v>
          </cell>
          <cell r="E48">
            <v>0</v>
          </cell>
          <cell r="F48">
            <v>1.0102</v>
          </cell>
          <cell r="G48">
            <v>0</v>
          </cell>
          <cell r="H48">
            <v>14.439599999999999</v>
          </cell>
          <cell r="I48">
            <v>0</v>
          </cell>
        </row>
        <row r="49">
          <cell r="A49">
            <v>2</v>
          </cell>
          <cell r="B49" t="str">
            <v>Current Transformer</v>
          </cell>
          <cell r="C49">
            <v>0</v>
          </cell>
          <cell r="D49">
            <v>1.3</v>
          </cell>
          <cell r="E49">
            <v>0</v>
          </cell>
          <cell r="F49">
            <v>9.1999999999999998E-2</v>
          </cell>
          <cell r="G49">
            <v>0</v>
          </cell>
          <cell r="H49">
            <v>1.3920000000000001</v>
          </cell>
          <cell r="I49">
            <v>0</v>
          </cell>
        </row>
        <row r="50">
          <cell r="A50">
            <v>3</v>
          </cell>
          <cell r="B50" t="str">
            <v>Isolator (with E/S)</v>
          </cell>
          <cell r="C50">
            <v>0</v>
          </cell>
          <cell r="D50">
            <v>0.50570000000000004</v>
          </cell>
          <cell r="E50">
            <v>0</v>
          </cell>
          <cell r="F50">
            <v>3.2899999999999999E-2</v>
          </cell>
          <cell r="G50">
            <v>0</v>
          </cell>
          <cell r="H50">
            <v>0.53860000000000008</v>
          </cell>
          <cell r="I50">
            <v>0</v>
          </cell>
        </row>
        <row r="51">
          <cell r="A51">
            <v>4</v>
          </cell>
          <cell r="B51" t="str">
            <v>Isolator (without E/S)</v>
          </cell>
          <cell r="C51">
            <v>0</v>
          </cell>
          <cell r="D51">
            <v>0.50570000000000004</v>
          </cell>
          <cell r="E51">
            <v>0</v>
          </cell>
          <cell r="F51">
            <v>3.2899999999999999E-2</v>
          </cell>
          <cell r="G51">
            <v>0</v>
          </cell>
          <cell r="H51">
            <v>0.53860000000000008</v>
          </cell>
          <cell r="I51">
            <v>0</v>
          </cell>
        </row>
        <row r="52">
          <cell r="A52">
            <v>5</v>
          </cell>
          <cell r="B52" t="str">
            <v>LA</v>
          </cell>
          <cell r="C52">
            <v>0</v>
          </cell>
          <cell r="D52">
            <v>0.4234</v>
          </cell>
          <cell r="E52">
            <v>0</v>
          </cell>
          <cell r="F52">
            <v>2.6100000000000002E-2</v>
          </cell>
          <cell r="G52">
            <v>0</v>
          </cell>
          <cell r="H52">
            <v>0.44950000000000001</v>
          </cell>
          <cell r="I52">
            <v>0</v>
          </cell>
        </row>
        <row r="53">
          <cell r="A53">
            <v>6</v>
          </cell>
          <cell r="B53" t="str">
            <v>PI / Solid Core Insulators</v>
          </cell>
          <cell r="C53">
            <v>0</v>
          </cell>
          <cell r="D53">
            <v>0.14399999999999999</v>
          </cell>
          <cell r="E53">
            <v>0</v>
          </cell>
          <cell r="F53">
            <v>9.7999999999999997E-3</v>
          </cell>
          <cell r="G53">
            <v>0</v>
          </cell>
          <cell r="H53">
            <v>0.15379999999999999</v>
          </cell>
          <cell r="I53">
            <v>0</v>
          </cell>
        </row>
        <row r="54">
          <cell r="A54">
            <v>7</v>
          </cell>
          <cell r="B54" t="str">
            <v>C&amp;R Panel(For feeder)</v>
          </cell>
          <cell r="C54">
            <v>0</v>
          </cell>
          <cell r="D54">
            <v>4.5674999999999999</v>
          </cell>
          <cell r="E54">
            <v>0</v>
          </cell>
          <cell r="F54">
            <v>9.1399999999999995E-2</v>
          </cell>
          <cell r="G54">
            <v>0</v>
          </cell>
          <cell r="H54">
            <v>4.6589</v>
          </cell>
          <cell r="I54">
            <v>0</v>
          </cell>
        </row>
        <row r="55">
          <cell r="A55">
            <v>8</v>
          </cell>
          <cell r="B55" t="str">
            <v>C&amp;R Panel (for transformer)</v>
          </cell>
          <cell r="C55">
            <v>0</v>
          </cell>
          <cell r="D55">
            <v>4.5674999999999999</v>
          </cell>
          <cell r="E55">
            <v>0</v>
          </cell>
          <cell r="F55">
            <v>9.1399999999999995E-2</v>
          </cell>
          <cell r="G55">
            <v>0</v>
          </cell>
          <cell r="H55">
            <v>4.6589</v>
          </cell>
          <cell r="I55">
            <v>0</v>
          </cell>
        </row>
        <row r="56">
          <cell r="A56">
            <v>9</v>
          </cell>
          <cell r="B56" t="str">
            <v>C&amp;R Panel (Bus coup./Bus tie)</v>
          </cell>
          <cell r="C56">
            <v>0</v>
          </cell>
          <cell r="D56">
            <v>4.5674999999999999</v>
          </cell>
          <cell r="E56">
            <v>0</v>
          </cell>
          <cell r="F56">
            <v>9.1399999999999995E-2</v>
          </cell>
          <cell r="G56">
            <v>0</v>
          </cell>
          <cell r="H56">
            <v>4.6589</v>
          </cell>
          <cell r="I56">
            <v>0</v>
          </cell>
        </row>
        <row r="57">
          <cell r="A57">
            <v>10</v>
          </cell>
          <cell r="B57" t="str">
            <v>Synchroscope</v>
          </cell>
          <cell r="C57">
            <v>0</v>
          </cell>
          <cell r="D57">
            <v>0</v>
          </cell>
          <cell r="E57">
            <v>0</v>
          </cell>
          <cell r="F57">
            <v>1.5</v>
          </cell>
          <cell r="G57">
            <v>0</v>
          </cell>
          <cell r="H57">
            <v>1.5</v>
          </cell>
          <cell r="I57">
            <v>0</v>
          </cell>
        </row>
        <row r="58">
          <cell r="A58">
            <v>11</v>
          </cell>
          <cell r="B58" t="str">
            <v>PT</v>
          </cell>
          <cell r="C58">
            <v>0</v>
          </cell>
          <cell r="D58">
            <v>1.5</v>
          </cell>
          <cell r="E58">
            <v>0</v>
          </cell>
          <cell r="F58">
            <v>0.1</v>
          </cell>
          <cell r="G58">
            <v>0</v>
          </cell>
          <cell r="H58">
            <v>1.6</v>
          </cell>
          <cell r="I58">
            <v>0</v>
          </cell>
        </row>
        <row r="59">
          <cell r="A59">
            <v>12</v>
          </cell>
          <cell r="B59" t="str">
            <v>Suspension/Tension String with H/W</v>
          </cell>
          <cell r="C59">
            <v>0</v>
          </cell>
          <cell r="D59">
            <v>6.0785000000000006E-2</v>
          </cell>
          <cell r="E59">
            <v>0</v>
          </cell>
          <cell r="F59">
            <v>6.0000000000000001E-3</v>
          </cell>
          <cell r="G59">
            <v>0</v>
          </cell>
          <cell r="H59">
            <v>6.6785000000000011E-2</v>
          </cell>
          <cell r="I59">
            <v>0</v>
          </cell>
        </row>
        <row r="60">
          <cell r="A60">
            <v>13</v>
          </cell>
          <cell r="B60" t="str">
            <v>Double Tension String with H/W</v>
          </cell>
          <cell r="C60">
            <v>0</v>
          </cell>
          <cell r="D60">
            <v>0.11468500000000001</v>
          </cell>
          <cell r="E60">
            <v>0</v>
          </cell>
          <cell r="F60">
            <v>1.1599999999999999E-2</v>
          </cell>
          <cell r="G60">
            <v>0</v>
          </cell>
          <cell r="H60">
            <v>0.12628500000000001</v>
          </cell>
          <cell r="I60">
            <v>0</v>
          </cell>
        </row>
        <row r="61">
          <cell r="A61">
            <v>13</v>
          </cell>
          <cell r="B61" t="str">
            <v>Double Tension String with H/W</v>
          </cell>
          <cell r="C61">
            <v>0</v>
          </cell>
          <cell r="D61">
            <v>0.114685</v>
          </cell>
          <cell r="E61">
            <v>0</v>
          </cell>
          <cell r="F61">
            <v>1.1599999999999999E-2</v>
          </cell>
          <cell r="G61">
            <v>0</v>
          </cell>
          <cell r="H61">
            <v>0.12628500000000001</v>
          </cell>
          <cell r="I61">
            <v>0</v>
          </cell>
        </row>
        <row r="62">
          <cell r="B62" t="str">
            <v>SUB TOTAL (A)</v>
          </cell>
          <cell r="C62">
            <v>0</v>
          </cell>
          <cell r="D62">
            <v>0</v>
          </cell>
          <cell r="E62">
            <v>0</v>
          </cell>
          <cell r="F62">
            <v>0</v>
          </cell>
          <cell r="G62">
            <v>0</v>
          </cell>
          <cell r="H62">
            <v>0</v>
          </cell>
          <cell r="I62">
            <v>0</v>
          </cell>
        </row>
        <row r="63">
          <cell r="I63">
            <v>0</v>
          </cell>
        </row>
        <row r="64">
          <cell r="A64" t="str">
            <v>(B)</v>
          </cell>
          <cell r="B64" t="str">
            <v>132KV EQUIPMENTS</v>
          </cell>
        </row>
        <row r="65">
          <cell r="A65" t="str">
            <v>(B)</v>
          </cell>
          <cell r="B65" t="str">
            <v>132KV EQUIPMENTS</v>
          </cell>
        </row>
        <row r="66">
          <cell r="A66">
            <v>1</v>
          </cell>
          <cell r="B66" t="str">
            <v>Circuit Breaker</v>
          </cell>
          <cell r="C66">
            <v>1</v>
          </cell>
          <cell r="D66">
            <v>6.4887000000000015</v>
          </cell>
          <cell r="E66">
            <v>6.4887000000000015</v>
          </cell>
          <cell r="F66">
            <v>0.57534999999999992</v>
          </cell>
          <cell r="G66">
            <v>0.57534999999999992</v>
          </cell>
          <cell r="H66">
            <v>7.0640500000000017</v>
          </cell>
          <cell r="I66">
            <v>7.0640500000000017</v>
          </cell>
        </row>
        <row r="67">
          <cell r="A67">
            <v>2</v>
          </cell>
          <cell r="B67" t="str">
            <v>CT</v>
          </cell>
          <cell r="C67">
            <v>3</v>
          </cell>
          <cell r="D67">
            <v>0.6766871508379888</v>
          </cell>
          <cell r="E67">
            <v>2.0300614525139666</v>
          </cell>
          <cell r="F67">
            <v>4.9566480446927373E-2</v>
          </cell>
          <cell r="G67">
            <v>0.14869944134078211</v>
          </cell>
          <cell r="H67">
            <v>0.72625363128491616</v>
          </cell>
          <cell r="I67">
            <v>2.1787608938547489</v>
          </cell>
        </row>
        <row r="68">
          <cell r="A68">
            <v>3</v>
          </cell>
          <cell r="B68" t="str">
            <v xml:space="preserve">Isolator  with E/S </v>
          </cell>
          <cell r="C68">
            <v>0</v>
          </cell>
          <cell r="D68">
            <v>0.32090000000000002</v>
          </cell>
          <cell r="E68">
            <v>0</v>
          </cell>
          <cell r="F68">
            <v>2.4400000000000002E-2</v>
          </cell>
          <cell r="G68">
            <v>0</v>
          </cell>
          <cell r="H68">
            <v>0.3453</v>
          </cell>
          <cell r="I68">
            <v>0</v>
          </cell>
        </row>
        <row r="69">
          <cell r="A69">
            <v>4</v>
          </cell>
          <cell r="B69" t="str">
            <v>Isolator without E/S</v>
          </cell>
          <cell r="C69">
            <v>3</v>
          </cell>
          <cell r="D69">
            <v>0.32090000000000002</v>
          </cell>
          <cell r="E69">
            <v>0.96270000000000011</v>
          </cell>
          <cell r="F69">
            <v>2.4400000000000002E-2</v>
          </cell>
          <cell r="G69">
            <v>7.3200000000000001E-2</v>
          </cell>
          <cell r="H69">
            <v>0.3453</v>
          </cell>
          <cell r="I69">
            <v>1.0359</v>
          </cell>
        </row>
        <row r="70">
          <cell r="A70">
            <v>5</v>
          </cell>
          <cell r="B70" t="str">
            <v>PT</v>
          </cell>
          <cell r="C70">
            <v>0</v>
          </cell>
          <cell r="D70">
            <v>0.65</v>
          </cell>
          <cell r="E70">
            <v>0</v>
          </cell>
          <cell r="F70">
            <v>5.6000000000000001E-2</v>
          </cell>
          <cell r="G70">
            <v>0</v>
          </cell>
          <cell r="H70">
            <v>0.70600000000000007</v>
          </cell>
          <cell r="I70">
            <v>0</v>
          </cell>
        </row>
        <row r="71">
          <cell r="A71">
            <v>6</v>
          </cell>
          <cell r="B71" t="str">
            <v>LA</v>
          </cell>
          <cell r="C71">
            <v>3</v>
          </cell>
          <cell r="D71">
            <v>0.2258</v>
          </cell>
          <cell r="E71">
            <v>0.6774</v>
          </cell>
          <cell r="F71">
            <v>1.4200000000000001E-2</v>
          </cell>
          <cell r="G71">
            <v>4.2599999999999999E-2</v>
          </cell>
          <cell r="H71">
            <v>0.24</v>
          </cell>
          <cell r="I71">
            <v>0.72</v>
          </cell>
        </row>
        <row r="72">
          <cell r="A72">
            <v>7</v>
          </cell>
          <cell r="B72" t="str">
            <v>C&amp;R Panel (for 220/132KV Xmer)</v>
          </cell>
          <cell r="C72">
            <v>0</v>
          </cell>
          <cell r="D72">
            <v>4.9398999999999997</v>
          </cell>
          <cell r="E72">
            <v>0</v>
          </cell>
          <cell r="F72">
            <v>0.32175000000000004</v>
          </cell>
          <cell r="G72">
            <v>0</v>
          </cell>
          <cell r="H72">
            <v>5.2616499999999995</v>
          </cell>
          <cell r="I72">
            <v>0</v>
          </cell>
        </row>
        <row r="73">
          <cell r="A73">
            <v>8</v>
          </cell>
          <cell r="B73" t="str">
            <v>C&amp;R Panel (for 132/33KV Xmer)</v>
          </cell>
          <cell r="C73">
            <v>1</v>
          </cell>
          <cell r="D73">
            <v>4.9398999999999997</v>
          </cell>
          <cell r="E73">
            <v>4.9398999999999997</v>
          </cell>
          <cell r="F73">
            <v>0.32175000000000004</v>
          </cell>
          <cell r="G73">
            <v>0.32175000000000004</v>
          </cell>
          <cell r="H73">
            <v>5.2616499999999995</v>
          </cell>
          <cell r="I73">
            <v>5.2616499999999995</v>
          </cell>
        </row>
        <row r="74">
          <cell r="A74">
            <v>9</v>
          </cell>
          <cell r="B74" t="str">
            <v>C&amp;R Panel (for Feeder)</v>
          </cell>
          <cell r="C74">
            <v>0</v>
          </cell>
          <cell r="D74">
            <v>4.9398999999999997</v>
          </cell>
          <cell r="E74">
            <v>0</v>
          </cell>
          <cell r="F74">
            <v>0.32175000000000004</v>
          </cell>
          <cell r="G74">
            <v>0</v>
          </cell>
          <cell r="H74">
            <v>5.2616499999999995</v>
          </cell>
          <cell r="I74">
            <v>0</v>
          </cell>
        </row>
        <row r="75">
          <cell r="A75">
            <v>10</v>
          </cell>
          <cell r="B75" t="str">
            <v>C&amp;R Panel (for Bus coupler)</v>
          </cell>
          <cell r="C75">
            <v>0</v>
          </cell>
          <cell r="D75">
            <v>4.9398999999999997</v>
          </cell>
          <cell r="E75">
            <v>0</v>
          </cell>
          <cell r="F75">
            <v>0.32175000000000004</v>
          </cell>
          <cell r="G75">
            <v>0</v>
          </cell>
          <cell r="H75">
            <v>5.2616499999999995</v>
          </cell>
          <cell r="I75">
            <v>0</v>
          </cell>
        </row>
        <row r="76">
          <cell r="A76">
            <v>11</v>
          </cell>
          <cell r="B76" t="str">
            <v>PI/Solid Core Insulators</v>
          </cell>
          <cell r="C76">
            <v>36</v>
          </cell>
          <cell r="D76">
            <v>7.2499999999999995E-2</v>
          </cell>
          <cell r="E76">
            <v>2.61</v>
          </cell>
          <cell r="F76">
            <v>1.4E-2</v>
          </cell>
          <cell r="G76">
            <v>0.504</v>
          </cell>
          <cell r="H76">
            <v>8.6499999999999994E-2</v>
          </cell>
          <cell r="I76">
            <v>3.1139999999999999</v>
          </cell>
        </row>
        <row r="77">
          <cell r="A77">
            <v>12</v>
          </cell>
          <cell r="B77" t="str">
            <v>Suspension &amp; Tension String with H/W</v>
          </cell>
          <cell r="C77">
            <v>20</v>
          </cell>
          <cell r="D77">
            <v>3.6319999999999998E-2</v>
          </cell>
          <cell r="E77">
            <v>0.72639999999999993</v>
          </cell>
          <cell r="F77">
            <v>3.9924999999999995E-3</v>
          </cell>
          <cell r="G77">
            <v>7.984999999999999E-2</v>
          </cell>
          <cell r="H77">
            <v>4.0312500000000001E-2</v>
          </cell>
          <cell r="I77">
            <v>0.80624999999999991</v>
          </cell>
        </row>
        <row r="78">
          <cell r="A78">
            <v>13</v>
          </cell>
          <cell r="B78" t="str">
            <v>Double Tension String with H/W</v>
          </cell>
          <cell r="C78">
            <v>8</v>
          </cell>
          <cell r="D78">
            <v>5.9319999999999998E-2</v>
          </cell>
          <cell r="E78">
            <v>0.47455999999999998</v>
          </cell>
          <cell r="F78">
            <v>6.9924999999999987E-3</v>
          </cell>
          <cell r="G78">
            <v>5.593999999999999E-2</v>
          </cell>
          <cell r="H78">
            <v>6.6312499999999996E-2</v>
          </cell>
          <cell r="I78">
            <v>0.53049999999999997</v>
          </cell>
        </row>
        <row r="79">
          <cell r="A79">
            <v>13</v>
          </cell>
          <cell r="B79" t="str">
            <v>Double Tension String with H/W</v>
          </cell>
          <cell r="C79">
            <v>8</v>
          </cell>
          <cell r="D79">
            <v>5.9319999999999998E-2</v>
          </cell>
          <cell r="E79">
            <v>0.47455999999999998</v>
          </cell>
          <cell r="F79">
            <v>6.992E-3</v>
          </cell>
          <cell r="G79">
            <v>5.5939999999999997E-2</v>
          </cell>
          <cell r="H79">
            <v>6.6311999999999996E-2</v>
          </cell>
          <cell r="I79">
            <v>0.53049999999999997</v>
          </cell>
        </row>
        <row r="80">
          <cell r="B80" t="str">
            <v>SUB TOTAL (B)</v>
          </cell>
          <cell r="C80">
            <v>0</v>
          </cell>
          <cell r="D80">
            <v>0</v>
          </cell>
          <cell r="E80">
            <v>18.909721452513967</v>
          </cell>
          <cell r="F80">
            <v>0</v>
          </cell>
          <cell r="G80">
            <v>1.801389441340782</v>
          </cell>
          <cell r="H80">
            <v>0</v>
          </cell>
          <cell r="I80">
            <v>20.711110893854752</v>
          </cell>
        </row>
        <row r="81">
          <cell r="I81">
            <v>20.711110999999999</v>
          </cell>
        </row>
        <row r="82">
          <cell r="A82" t="str">
            <v>(C)</v>
          </cell>
          <cell r="B82" t="str">
            <v>33KV EQUIPMENTS</v>
          </cell>
        </row>
        <row r="83">
          <cell r="A83" t="str">
            <v>(C)</v>
          </cell>
          <cell r="B83" t="str">
            <v>33KV EQUIPMENTS</v>
          </cell>
        </row>
        <row r="84">
          <cell r="A84">
            <v>1</v>
          </cell>
          <cell r="B84" t="str">
            <v>Circuit Breaker</v>
          </cell>
          <cell r="C84">
            <v>1</v>
          </cell>
          <cell r="D84">
            <v>2.3801000000000001</v>
          </cell>
          <cell r="E84">
            <v>2.3801000000000001</v>
          </cell>
          <cell r="F84">
            <v>0.1452</v>
          </cell>
          <cell r="G84">
            <v>0.1452</v>
          </cell>
          <cell r="H84">
            <v>2.5253000000000001</v>
          </cell>
          <cell r="I84">
            <v>2.5253000000000001</v>
          </cell>
        </row>
        <row r="85">
          <cell r="A85">
            <v>2</v>
          </cell>
          <cell r="B85" t="str">
            <v>CT</v>
          </cell>
          <cell r="C85">
            <v>3</v>
          </cell>
          <cell r="D85">
            <v>0.1192</v>
          </cell>
          <cell r="E85">
            <v>0.35760000000000003</v>
          </cell>
          <cell r="F85">
            <v>1.23E-2</v>
          </cell>
          <cell r="G85">
            <v>3.6900000000000002E-2</v>
          </cell>
          <cell r="H85">
            <v>0.13150000000000001</v>
          </cell>
          <cell r="I85">
            <v>0.39450000000000002</v>
          </cell>
        </row>
        <row r="86">
          <cell r="A86">
            <v>3</v>
          </cell>
          <cell r="B86" t="str">
            <v>LA</v>
          </cell>
          <cell r="C86">
            <v>3</v>
          </cell>
          <cell r="D86">
            <v>3.6799999999999999E-2</v>
          </cell>
          <cell r="E86">
            <v>0.1104</v>
          </cell>
          <cell r="F86">
            <v>2.3E-3</v>
          </cell>
          <cell r="G86">
            <v>6.8999999999999999E-3</v>
          </cell>
          <cell r="H86">
            <v>3.9099999999999996E-2</v>
          </cell>
          <cell r="I86">
            <v>0.1173</v>
          </cell>
        </row>
        <row r="87">
          <cell r="A87">
            <v>4</v>
          </cell>
          <cell r="B87" t="str">
            <v>Potential transformer</v>
          </cell>
          <cell r="C87">
            <v>0</v>
          </cell>
          <cell r="D87">
            <v>1.2500000000000001E-2</v>
          </cell>
          <cell r="E87">
            <v>0</v>
          </cell>
          <cell r="F87">
            <v>2E-3</v>
          </cell>
          <cell r="G87">
            <v>0</v>
          </cell>
          <cell r="H87">
            <v>1.4500000000000001E-2</v>
          </cell>
          <cell r="I87">
            <v>0</v>
          </cell>
        </row>
        <row r="88">
          <cell r="A88">
            <v>5</v>
          </cell>
          <cell r="B88" t="str">
            <v>Isolator (with E/S) with insulator</v>
          </cell>
          <cell r="C88">
            <v>0</v>
          </cell>
          <cell r="D88">
            <v>0.10929999999999999</v>
          </cell>
          <cell r="E88">
            <v>0</v>
          </cell>
          <cell r="F88">
            <v>7.4999999999999997E-3</v>
          </cell>
          <cell r="G88">
            <v>0</v>
          </cell>
          <cell r="H88">
            <v>0.11679999999999999</v>
          </cell>
          <cell r="I88">
            <v>0</v>
          </cell>
        </row>
        <row r="89">
          <cell r="A89">
            <v>6</v>
          </cell>
          <cell r="B89" t="str">
            <v>Isolator (without E/S) with insulator</v>
          </cell>
          <cell r="C89">
            <v>2</v>
          </cell>
          <cell r="D89">
            <v>0.10929999999999999</v>
          </cell>
          <cell r="E89">
            <v>0.21859999999999999</v>
          </cell>
          <cell r="F89">
            <v>7.4999999999999997E-3</v>
          </cell>
          <cell r="G89">
            <v>1.4999999999999999E-2</v>
          </cell>
          <cell r="H89">
            <v>0.11679999999999999</v>
          </cell>
          <cell r="I89">
            <v>0.23359999999999997</v>
          </cell>
        </row>
        <row r="90">
          <cell r="A90">
            <v>7</v>
          </cell>
          <cell r="B90" t="str">
            <v>C&amp;R Panel(for transformer)</v>
          </cell>
          <cell r="C90">
            <v>1</v>
          </cell>
          <cell r="D90">
            <v>1.8125</v>
          </cell>
          <cell r="E90">
            <v>1.8125</v>
          </cell>
          <cell r="F90">
            <v>9.4200000000000006E-2</v>
          </cell>
          <cell r="G90">
            <v>9.4200000000000006E-2</v>
          </cell>
          <cell r="H90">
            <v>1.9067000000000001</v>
          </cell>
          <cell r="I90">
            <v>1.9067000000000001</v>
          </cell>
        </row>
        <row r="91">
          <cell r="A91">
            <v>8</v>
          </cell>
          <cell r="B91" t="str">
            <v>C&amp;R Panel (for two feeder circuit)</v>
          </cell>
          <cell r="C91">
            <v>0</v>
          </cell>
          <cell r="D91">
            <v>1.8125</v>
          </cell>
          <cell r="E91">
            <v>0</v>
          </cell>
          <cell r="F91">
            <v>9.4200000000000006E-2</v>
          </cell>
          <cell r="G91">
            <v>0</v>
          </cell>
          <cell r="H91">
            <v>1.9067000000000001</v>
          </cell>
          <cell r="I91">
            <v>0</v>
          </cell>
        </row>
        <row r="92">
          <cell r="A92">
            <v>9</v>
          </cell>
          <cell r="B92" t="str">
            <v>Solid Core Insulators</v>
          </cell>
          <cell r="C92">
            <v>3</v>
          </cell>
          <cell r="D92">
            <v>1.2500000000000001E-2</v>
          </cell>
          <cell r="E92">
            <v>3.7500000000000006E-2</v>
          </cell>
          <cell r="F92">
            <v>2E-3</v>
          </cell>
          <cell r="G92">
            <v>6.0000000000000001E-3</v>
          </cell>
          <cell r="H92">
            <v>1.4500000000000001E-2</v>
          </cell>
          <cell r="I92">
            <v>4.3500000000000004E-2</v>
          </cell>
        </row>
        <row r="93">
          <cell r="A93">
            <v>10</v>
          </cell>
          <cell r="B93" t="str">
            <v>Suspension/Tension String with H/W</v>
          </cell>
          <cell r="C93">
            <v>12</v>
          </cell>
          <cell r="D93">
            <v>5.1900000000000002E-3</v>
          </cell>
          <cell r="E93">
            <v>4.1520000000000001E-2</v>
          </cell>
          <cell r="F93">
            <v>2.4000000000000002E-3</v>
          </cell>
          <cell r="G93">
            <v>1.9200000000000002E-2</v>
          </cell>
          <cell r="H93">
            <v>7.5900000000000004E-3</v>
          </cell>
          <cell r="I93">
            <v>6.0720000000000003E-2</v>
          </cell>
        </row>
        <row r="94">
          <cell r="A94">
            <v>11</v>
          </cell>
          <cell r="B94" t="str">
            <v>Double Tension String with H/W</v>
          </cell>
          <cell r="C94">
            <v>8</v>
          </cell>
          <cell r="D94">
            <v>1.038E-2</v>
          </cell>
          <cell r="E94">
            <v>0.12456</v>
          </cell>
          <cell r="F94">
            <v>4.5999999999999999E-3</v>
          </cell>
          <cell r="G94">
            <v>5.5199999999999999E-2</v>
          </cell>
          <cell r="H94">
            <v>1.498E-2</v>
          </cell>
          <cell r="I94">
            <v>0.17976</v>
          </cell>
        </row>
        <row r="95">
          <cell r="A95">
            <v>11</v>
          </cell>
          <cell r="B95" t="str">
            <v>Double Tension String with H/W</v>
          </cell>
          <cell r="C95">
            <v>8</v>
          </cell>
          <cell r="D95">
            <v>1.038E-2</v>
          </cell>
          <cell r="E95">
            <v>0.12456</v>
          </cell>
          <cell r="F95">
            <v>4.5999999999999999E-3</v>
          </cell>
          <cell r="G95">
            <v>5.5199999999999999E-2</v>
          </cell>
          <cell r="H95">
            <v>1.498E-2</v>
          </cell>
          <cell r="I95">
            <v>0.17976</v>
          </cell>
        </row>
        <row r="96">
          <cell r="B96" t="str">
            <v>SUB TOTAL (C)</v>
          </cell>
          <cell r="C96">
            <v>0</v>
          </cell>
          <cell r="D96">
            <v>0</v>
          </cell>
          <cell r="E96">
            <v>5.0827799999999996</v>
          </cell>
          <cell r="F96">
            <v>0</v>
          </cell>
          <cell r="G96">
            <v>0.37859999999999994</v>
          </cell>
          <cell r="H96">
            <v>0</v>
          </cell>
          <cell r="I96">
            <v>5.4613800000000001</v>
          </cell>
        </row>
        <row r="97">
          <cell r="I97">
            <v>5.4613800000000001</v>
          </cell>
        </row>
        <row r="98">
          <cell r="A98" t="str">
            <v>(D)</v>
          </cell>
          <cell r="B98" t="str">
            <v>TRANSFORMER &amp; ASSOCIATED EQUIP.</v>
          </cell>
        </row>
        <row r="99">
          <cell r="A99" t="str">
            <v>(D)</v>
          </cell>
          <cell r="B99" t="str">
            <v>TRANSFORMER &amp; ASSOCIATED EQUIP.</v>
          </cell>
        </row>
        <row r="100">
          <cell r="A100">
            <v>1</v>
          </cell>
          <cell r="B100" t="str">
            <v>160MVA 220/132KV Xmer(with oil and associated eqip.)</v>
          </cell>
          <cell r="C100">
            <v>0</v>
          </cell>
          <cell r="D100">
            <v>307.5</v>
          </cell>
          <cell r="E100">
            <v>0</v>
          </cell>
          <cell r="F100">
            <v>12.34</v>
          </cell>
          <cell r="G100">
            <v>0</v>
          </cell>
          <cell r="H100">
            <v>319.83999999999997</v>
          </cell>
          <cell r="I100">
            <v>0</v>
          </cell>
        </row>
        <row r="101">
          <cell r="A101">
            <v>2</v>
          </cell>
          <cell r="B101" t="str">
            <v>40MVA 132/33KV Xmer (with oil and associated equip.)</v>
          </cell>
          <cell r="C101">
            <v>1</v>
          </cell>
          <cell r="D101">
            <v>124.35869344262296</v>
          </cell>
          <cell r="E101">
            <v>124.35869344262296</v>
          </cell>
          <cell r="F101">
            <v>8.5145573770491794</v>
          </cell>
          <cell r="G101">
            <v>8.5145573770491794</v>
          </cell>
          <cell r="H101">
            <v>132.87325081967214</v>
          </cell>
          <cell r="I101">
            <v>132.87325081967214</v>
          </cell>
        </row>
        <row r="102">
          <cell r="A102">
            <v>3</v>
          </cell>
          <cell r="B102" t="str">
            <v>Oil filteration Machine(500 Gl.per Hr.)</v>
          </cell>
          <cell r="C102">
            <v>1</v>
          </cell>
          <cell r="D102">
            <v>2.2738</v>
          </cell>
          <cell r="E102">
            <v>2.2738</v>
          </cell>
          <cell r="F102">
            <v>0.30199999999999999</v>
          </cell>
          <cell r="G102">
            <v>0.30199999999999999</v>
          </cell>
          <cell r="H102">
            <v>2.5758000000000001</v>
          </cell>
          <cell r="I102">
            <v>2.5758000000000001</v>
          </cell>
        </row>
        <row r="103">
          <cell r="A103">
            <v>4</v>
          </cell>
          <cell r="B103" t="str">
            <v>Oil Storage Tank (15/20 KL)</v>
          </cell>
          <cell r="C103">
            <v>0</v>
          </cell>
          <cell r="D103">
            <v>0</v>
          </cell>
          <cell r="E103">
            <v>0</v>
          </cell>
          <cell r="F103">
            <v>2</v>
          </cell>
          <cell r="G103">
            <v>0</v>
          </cell>
          <cell r="H103">
            <v>2</v>
          </cell>
          <cell r="I103">
            <v>0</v>
          </cell>
        </row>
        <row r="104">
          <cell r="A104">
            <v>4</v>
          </cell>
          <cell r="B104" t="str">
            <v>Oil Storage Tank (15/20 KL)</v>
          </cell>
          <cell r="C104">
            <v>0</v>
          </cell>
          <cell r="D104">
            <v>0</v>
          </cell>
          <cell r="E104">
            <v>0</v>
          </cell>
          <cell r="F104">
            <v>2</v>
          </cell>
          <cell r="G104">
            <v>0</v>
          </cell>
          <cell r="H104">
            <v>2</v>
          </cell>
          <cell r="I104">
            <v>0</v>
          </cell>
        </row>
        <row r="105">
          <cell r="B105" t="str">
            <v>SUB TOTAL (D)</v>
          </cell>
          <cell r="C105">
            <v>0</v>
          </cell>
          <cell r="D105">
            <v>0</v>
          </cell>
          <cell r="E105">
            <v>126.63249344262296</v>
          </cell>
          <cell r="F105">
            <v>0</v>
          </cell>
          <cell r="G105">
            <v>8.816557377049179</v>
          </cell>
          <cell r="H105">
            <v>0</v>
          </cell>
          <cell r="I105">
            <v>135.44905081967212</v>
          </cell>
        </row>
        <row r="106">
          <cell r="I106">
            <v>135.449051</v>
          </cell>
        </row>
        <row r="107">
          <cell r="A107" t="str">
            <v>(E)</v>
          </cell>
          <cell r="B107" t="str">
            <v xml:space="preserve">220KV &amp;132KV Carrier Comm.Equip.including provision for </v>
          </cell>
        </row>
        <row r="108">
          <cell r="B108" t="str">
            <v>telemetering etc.&amp; sending s/ss reqmnt</v>
          </cell>
        </row>
        <row r="109">
          <cell r="B109" t="str">
            <v>telemetering etc.&amp; sending s/ss reqmnt</v>
          </cell>
        </row>
        <row r="110">
          <cell r="A110">
            <v>1</v>
          </cell>
          <cell r="B110" t="str">
            <v>Carrier cabinet</v>
          </cell>
          <cell r="C110">
            <v>0</v>
          </cell>
          <cell r="D110">
            <v>3.5</v>
          </cell>
          <cell r="E110">
            <v>0</v>
          </cell>
          <cell r="F110">
            <v>3.5709999999999999E-2</v>
          </cell>
          <cell r="G110">
            <v>0</v>
          </cell>
          <cell r="H110">
            <v>3.5357099999999999</v>
          </cell>
          <cell r="I110">
            <v>0</v>
          </cell>
        </row>
        <row r="111">
          <cell r="A111">
            <v>2</v>
          </cell>
          <cell r="B111" t="str">
            <v>Coupling Devices (LMU)</v>
          </cell>
          <cell r="C111">
            <v>0</v>
          </cell>
          <cell r="D111">
            <v>0.8</v>
          </cell>
          <cell r="E111">
            <v>0</v>
          </cell>
          <cell r="F111">
            <v>0</v>
          </cell>
          <cell r="G111">
            <v>0</v>
          </cell>
          <cell r="H111">
            <v>0.8</v>
          </cell>
          <cell r="I111">
            <v>0</v>
          </cell>
        </row>
        <row r="112">
          <cell r="A112">
            <v>3</v>
          </cell>
          <cell r="B112" t="str">
            <v>Protection coupler</v>
          </cell>
          <cell r="C112">
            <v>0</v>
          </cell>
          <cell r="D112">
            <v>1.7</v>
          </cell>
          <cell r="E112">
            <v>0</v>
          </cell>
          <cell r="F112">
            <v>0</v>
          </cell>
          <cell r="G112">
            <v>0</v>
          </cell>
          <cell r="H112">
            <v>1.7</v>
          </cell>
          <cell r="I112">
            <v>0</v>
          </cell>
        </row>
        <row r="113">
          <cell r="A113">
            <v>4</v>
          </cell>
          <cell r="B113" t="str">
            <v>EPAX</v>
          </cell>
          <cell r="C113">
            <v>0</v>
          </cell>
          <cell r="D113">
            <v>2.5</v>
          </cell>
          <cell r="E113">
            <v>0</v>
          </cell>
          <cell r="F113">
            <v>0</v>
          </cell>
          <cell r="G113">
            <v>0</v>
          </cell>
          <cell r="H113">
            <v>2.5</v>
          </cell>
          <cell r="I113">
            <v>0</v>
          </cell>
        </row>
        <row r="114">
          <cell r="A114">
            <v>5</v>
          </cell>
          <cell r="B114" t="str">
            <v>Telephone Sets</v>
          </cell>
          <cell r="C114">
            <v>0</v>
          </cell>
          <cell r="D114">
            <v>0.01</v>
          </cell>
          <cell r="E114">
            <v>0</v>
          </cell>
          <cell r="F114">
            <v>0</v>
          </cell>
          <cell r="G114">
            <v>0</v>
          </cell>
          <cell r="H114">
            <v>0.01</v>
          </cell>
          <cell r="I114">
            <v>0</v>
          </cell>
        </row>
        <row r="115">
          <cell r="A115">
            <v>6</v>
          </cell>
          <cell r="B115" t="str">
            <v>Coxial Cable (KM)</v>
          </cell>
          <cell r="C115">
            <v>0</v>
          </cell>
          <cell r="D115">
            <v>0.8</v>
          </cell>
          <cell r="E115">
            <v>0</v>
          </cell>
          <cell r="F115">
            <v>0</v>
          </cell>
          <cell r="G115">
            <v>0</v>
          </cell>
          <cell r="H115">
            <v>0.8</v>
          </cell>
          <cell r="I115">
            <v>0</v>
          </cell>
        </row>
        <row r="116">
          <cell r="A116">
            <v>7</v>
          </cell>
          <cell r="B116" t="str">
            <v>Telephone Cable</v>
          </cell>
          <cell r="C116">
            <v>0</v>
          </cell>
          <cell r="D116">
            <v>0.25</v>
          </cell>
          <cell r="E116">
            <v>0</v>
          </cell>
          <cell r="F116">
            <v>0</v>
          </cell>
          <cell r="G116">
            <v>0</v>
          </cell>
          <cell r="H116">
            <v>0.25</v>
          </cell>
          <cell r="I116">
            <v>0</v>
          </cell>
        </row>
        <row r="117">
          <cell r="A117">
            <v>8</v>
          </cell>
          <cell r="B117" t="str">
            <v>220kV Wave Trap</v>
          </cell>
          <cell r="C117">
            <v>0</v>
          </cell>
          <cell r="D117">
            <v>1.5</v>
          </cell>
          <cell r="E117">
            <v>0</v>
          </cell>
          <cell r="F117">
            <v>0</v>
          </cell>
          <cell r="G117">
            <v>0</v>
          </cell>
          <cell r="H117">
            <v>1.5</v>
          </cell>
          <cell r="I117">
            <v>0</v>
          </cell>
        </row>
        <row r="118">
          <cell r="A118">
            <v>9</v>
          </cell>
          <cell r="B118" t="str">
            <v>132kV Wave Trap</v>
          </cell>
          <cell r="C118">
            <v>0</v>
          </cell>
          <cell r="D118">
            <v>1</v>
          </cell>
          <cell r="E118">
            <v>0</v>
          </cell>
          <cell r="F118">
            <v>0</v>
          </cell>
          <cell r="G118">
            <v>0</v>
          </cell>
          <cell r="H118">
            <v>1</v>
          </cell>
          <cell r="I118">
            <v>0</v>
          </cell>
        </row>
        <row r="119">
          <cell r="A119">
            <v>10</v>
          </cell>
          <cell r="B119" t="str">
            <v>220kV CVT</v>
          </cell>
          <cell r="C119">
            <v>0</v>
          </cell>
          <cell r="D119">
            <v>2.5</v>
          </cell>
          <cell r="E119">
            <v>0</v>
          </cell>
          <cell r="F119">
            <v>0</v>
          </cell>
          <cell r="G119">
            <v>0</v>
          </cell>
          <cell r="H119">
            <v>2.5</v>
          </cell>
          <cell r="I119">
            <v>0</v>
          </cell>
        </row>
        <row r="120">
          <cell r="A120">
            <v>11</v>
          </cell>
          <cell r="B120" t="str">
            <v>132kV Coupling Capacitors</v>
          </cell>
          <cell r="C120">
            <v>0</v>
          </cell>
          <cell r="D120">
            <v>1</v>
          </cell>
          <cell r="E120">
            <v>0</v>
          </cell>
          <cell r="F120">
            <v>0</v>
          </cell>
          <cell r="G120">
            <v>0</v>
          </cell>
          <cell r="H120">
            <v>1</v>
          </cell>
          <cell r="I120">
            <v>0</v>
          </cell>
        </row>
        <row r="121">
          <cell r="A121">
            <v>11</v>
          </cell>
          <cell r="B121" t="str">
            <v>132kV Coupling Capacitors</v>
          </cell>
          <cell r="C121">
            <v>0</v>
          </cell>
          <cell r="D121">
            <v>1</v>
          </cell>
          <cell r="E121">
            <v>0</v>
          </cell>
          <cell r="F121">
            <v>0</v>
          </cell>
          <cell r="G121">
            <v>0</v>
          </cell>
          <cell r="H121">
            <v>1</v>
          </cell>
          <cell r="I121">
            <v>0</v>
          </cell>
        </row>
        <row r="122">
          <cell r="B122" t="str">
            <v>SUB TOTAL (E)</v>
          </cell>
          <cell r="C122">
            <v>0</v>
          </cell>
          <cell r="D122">
            <v>0</v>
          </cell>
          <cell r="E122">
            <v>0</v>
          </cell>
          <cell r="F122">
            <v>0</v>
          </cell>
          <cell r="G122">
            <v>0</v>
          </cell>
          <cell r="H122">
            <v>0</v>
          </cell>
          <cell r="I122">
            <v>0</v>
          </cell>
        </row>
        <row r="123">
          <cell r="I123">
            <v>0</v>
          </cell>
        </row>
        <row r="124">
          <cell r="A124" t="str">
            <v>(F-I)</v>
          </cell>
          <cell r="B124" t="str">
            <v>220KV Structures</v>
          </cell>
          <cell r="C124" t="str">
            <v>Weight of Steel in MT</v>
          </cell>
        </row>
        <row r="125">
          <cell r="A125" t="str">
            <v>(F-I)</v>
          </cell>
          <cell r="B125" t="str">
            <v>220KV Structures</v>
          </cell>
          <cell r="C125" t="str">
            <v>Weight of Steel in MT</v>
          </cell>
        </row>
        <row r="126">
          <cell r="A126">
            <v>1</v>
          </cell>
          <cell r="B126" t="str">
            <v>Gantry Column(AGT)</v>
          </cell>
          <cell r="C126">
            <v>0</v>
          </cell>
          <cell r="D126">
            <v>3.6</v>
          </cell>
          <cell r="E126">
            <v>0</v>
          </cell>
        </row>
        <row r="127">
          <cell r="A127">
            <v>2</v>
          </cell>
          <cell r="B127" t="str">
            <v>Gantry Column(AAGT)</v>
          </cell>
          <cell r="C127">
            <v>0</v>
          </cell>
          <cell r="D127">
            <v>5.31</v>
          </cell>
          <cell r="E127">
            <v>0</v>
          </cell>
        </row>
        <row r="128">
          <cell r="A128">
            <v>3</v>
          </cell>
          <cell r="B128" t="str">
            <v>Gantry Beam(AGB)</v>
          </cell>
          <cell r="C128">
            <v>0</v>
          </cell>
          <cell r="D128">
            <v>1.23</v>
          </cell>
          <cell r="E128">
            <v>0</v>
          </cell>
        </row>
        <row r="129">
          <cell r="A129">
            <v>4</v>
          </cell>
          <cell r="B129" t="str">
            <v>Main Busbar Structure(ABM)</v>
          </cell>
          <cell r="C129">
            <v>0</v>
          </cell>
          <cell r="D129">
            <v>2.411</v>
          </cell>
          <cell r="E129">
            <v>0</v>
          </cell>
        </row>
        <row r="130">
          <cell r="A130">
            <v>5</v>
          </cell>
          <cell r="B130" t="str">
            <v>Auxiliary Busbar structure(ABA)</v>
          </cell>
          <cell r="C130">
            <v>0</v>
          </cell>
          <cell r="D130">
            <v>2.327</v>
          </cell>
          <cell r="E130">
            <v>0</v>
          </cell>
        </row>
        <row r="131">
          <cell r="A131">
            <v>6</v>
          </cell>
          <cell r="B131" t="str">
            <v>CT structure</v>
          </cell>
          <cell r="C131">
            <v>0</v>
          </cell>
          <cell r="D131">
            <v>0.27</v>
          </cell>
          <cell r="E131">
            <v>0</v>
          </cell>
        </row>
        <row r="132">
          <cell r="A132">
            <v>7</v>
          </cell>
          <cell r="B132" t="str">
            <v>LA structure</v>
          </cell>
          <cell r="C132">
            <v>0</v>
          </cell>
          <cell r="D132">
            <v>0.13</v>
          </cell>
          <cell r="E132">
            <v>0</v>
          </cell>
        </row>
        <row r="133">
          <cell r="A133">
            <v>8</v>
          </cell>
          <cell r="B133" t="str">
            <v>Post/Solid Core structure</v>
          </cell>
          <cell r="C133">
            <v>0</v>
          </cell>
          <cell r="D133">
            <v>0.21</v>
          </cell>
          <cell r="E133">
            <v>0</v>
          </cell>
        </row>
        <row r="134">
          <cell r="A134">
            <v>9</v>
          </cell>
          <cell r="B134" t="str">
            <v>Isolator structure</v>
          </cell>
          <cell r="C134">
            <v>0</v>
          </cell>
          <cell r="D134">
            <v>2.056</v>
          </cell>
          <cell r="E134">
            <v>0</v>
          </cell>
        </row>
        <row r="135">
          <cell r="A135">
            <v>10</v>
          </cell>
          <cell r="B135" t="str">
            <v>PT/CVT structure</v>
          </cell>
          <cell r="C135">
            <v>0</v>
          </cell>
          <cell r="D135">
            <v>0.27</v>
          </cell>
          <cell r="E135">
            <v>0</v>
          </cell>
        </row>
        <row r="136">
          <cell r="A136">
            <v>10</v>
          </cell>
          <cell r="B136" t="str">
            <v>PT/CVT structure</v>
          </cell>
          <cell r="C136">
            <v>0</v>
          </cell>
          <cell r="D136">
            <v>0.27</v>
          </cell>
          <cell r="E136">
            <v>0</v>
          </cell>
        </row>
        <row r="137">
          <cell r="B137" t="str">
            <v>SUB TOTAL (F-I)</v>
          </cell>
          <cell r="C137">
            <v>0</v>
          </cell>
          <cell r="D137">
            <v>0</v>
          </cell>
          <cell r="E137">
            <v>0</v>
          </cell>
        </row>
        <row r="138">
          <cell r="E138">
            <v>0</v>
          </cell>
        </row>
        <row r="139">
          <cell r="A139" t="str">
            <v>(F-II)</v>
          </cell>
          <cell r="B139" t="str">
            <v>132KV STRUCTURE</v>
          </cell>
        </row>
        <row r="140">
          <cell r="A140" t="str">
            <v>(F-II)</v>
          </cell>
          <cell r="B140" t="str">
            <v>132KV STRUCTURE</v>
          </cell>
        </row>
        <row r="141">
          <cell r="A141">
            <v>1</v>
          </cell>
          <cell r="B141" t="str">
            <v>Gantry Column</v>
          </cell>
          <cell r="C141">
            <v>4</v>
          </cell>
          <cell r="D141">
            <v>1.9770000000000001</v>
          </cell>
          <cell r="E141">
            <v>7.9080000000000004</v>
          </cell>
        </row>
        <row r="142">
          <cell r="A142">
            <v>2</v>
          </cell>
          <cell r="B142" t="str">
            <v xml:space="preserve">Gantry Beam    </v>
          </cell>
          <cell r="C142">
            <v>3</v>
          </cell>
          <cell r="D142">
            <v>1.0649999999999999</v>
          </cell>
          <cell r="E142">
            <v>3.1949999999999998</v>
          </cell>
        </row>
        <row r="143">
          <cell r="A143">
            <v>3</v>
          </cell>
          <cell r="B143" t="str">
            <v xml:space="preserve">Main busbar structure    </v>
          </cell>
          <cell r="C143">
            <v>1</v>
          </cell>
          <cell r="D143">
            <v>1.5429999999999999</v>
          </cell>
          <cell r="E143">
            <v>1.5429999999999999</v>
          </cell>
        </row>
        <row r="144">
          <cell r="A144">
            <v>4</v>
          </cell>
          <cell r="B144" t="str">
            <v>Aux. Busbar Structure</v>
          </cell>
          <cell r="C144">
            <v>0</v>
          </cell>
          <cell r="D144">
            <v>0.90500000000000003</v>
          </cell>
          <cell r="E144">
            <v>0</v>
          </cell>
        </row>
        <row r="145">
          <cell r="A145">
            <v>5</v>
          </cell>
          <cell r="B145" t="str">
            <v>CT structure</v>
          </cell>
          <cell r="C145">
            <v>3</v>
          </cell>
          <cell r="D145">
            <v>0.23499999999999999</v>
          </cell>
          <cell r="E145">
            <v>0.70499999999999996</v>
          </cell>
        </row>
        <row r="146">
          <cell r="A146">
            <v>6</v>
          </cell>
          <cell r="B146" t="str">
            <v>LA structure</v>
          </cell>
          <cell r="C146">
            <v>3</v>
          </cell>
          <cell r="D146">
            <v>0.17100000000000001</v>
          </cell>
          <cell r="E146">
            <v>0.51300000000000001</v>
          </cell>
        </row>
        <row r="147">
          <cell r="A147">
            <v>7</v>
          </cell>
          <cell r="B147" t="str">
            <v>Post /Solid Core structure</v>
          </cell>
          <cell r="C147">
            <v>3</v>
          </cell>
          <cell r="D147">
            <v>0.20300000000000001</v>
          </cell>
          <cell r="E147">
            <v>0.60899999999999999</v>
          </cell>
        </row>
        <row r="148">
          <cell r="A148">
            <v>8</v>
          </cell>
          <cell r="B148" t="str">
            <v>Isolator structure</v>
          </cell>
          <cell r="C148">
            <v>3</v>
          </cell>
          <cell r="D148">
            <v>1.4419999999999999</v>
          </cell>
          <cell r="E148">
            <v>4.3259999999999996</v>
          </cell>
        </row>
        <row r="149">
          <cell r="A149">
            <v>9</v>
          </cell>
          <cell r="B149" t="str">
            <v>Coupling capacitor</v>
          </cell>
          <cell r="C149">
            <v>0</v>
          </cell>
          <cell r="D149">
            <v>0.17499999999999999</v>
          </cell>
          <cell r="E149">
            <v>0</v>
          </cell>
        </row>
        <row r="150">
          <cell r="A150">
            <v>10</v>
          </cell>
          <cell r="B150" t="str">
            <v>PT structure</v>
          </cell>
          <cell r="C150">
            <v>0</v>
          </cell>
          <cell r="D150">
            <v>0.22700000000000001</v>
          </cell>
          <cell r="E150">
            <v>0</v>
          </cell>
        </row>
        <row r="151">
          <cell r="A151">
            <v>10</v>
          </cell>
          <cell r="B151" t="str">
            <v>PT structure</v>
          </cell>
          <cell r="C151">
            <v>0</v>
          </cell>
          <cell r="D151">
            <v>0.22700000000000001</v>
          </cell>
          <cell r="E151">
            <v>0</v>
          </cell>
        </row>
        <row r="152">
          <cell r="B152" t="str">
            <v>SUB TOTAL (F-II)</v>
          </cell>
          <cell r="C152">
            <v>0</v>
          </cell>
          <cell r="D152">
            <v>0</v>
          </cell>
          <cell r="E152">
            <v>18.798999999999999</v>
          </cell>
        </row>
        <row r="153">
          <cell r="E153">
            <v>18.798999999999999</v>
          </cell>
        </row>
        <row r="154">
          <cell r="A154" t="str">
            <v>(F-III)</v>
          </cell>
          <cell r="B154" t="str">
            <v>33KV STRUCTURE</v>
          </cell>
        </row>
        <row r="155">
          <cell r="A155" t="str">
            <v>(F-III)</v>
          </cell>
          <cell r="B155" t="str">
            <v>33KV STRUCTURE</v>
          </cell>
        </row>
        <row r="156">
          <cell r="A156">
            <v>1</v>
          </cell>
          <cell r="B156" t="str">
            <v>Gantry Column</v>
          </cell>
          <cell r="C156">
            <v>2</v>
          </cell>
          <cell r="D156">
            <v>0.502</v>
          </cell>
          <cell r="E156">
            <v>1.004</v>
          </cell>
        </row>
        <row r="157">
          <cell r="A157">
            <v>2</v>
          </cell>
          <cell r="B157" t="str">
            <v>Gantry Beam</v>
          </cell>
          <cell r="C157">
            <v>2</v>
          </cell>
          <cell r="D157">
            <v>0.28999999999999998</v>
          </cell>
          <cell r="E157">
            <v>0.57999999999999996</v>
          </cell>
        </row>
        <row r="158">
          <cell r="A158">
            <v>3</v>
          </cell>
          <cell r="B158" t="str">
            <v>Main Busbar Structure</v>
          </cell>
          <cell r="C158">
            <v>1</v>
          </cell>
          <cell r="D158">
            <v>0.86899999999999999</v>
          </cell>
          <cell r="E158">
            <v>0.86899999999999999</v>
          </cell>
        </row>
        <row r="159">
          <cell r="A159">
            <v>4</v>
          </cell>
          <cell r="B159" t="str">
            <v>Aux.Busbar Structure</v>
          </cell>
          <cell r="C159">
            <v>0</v>
          </cell>
          <cell r="D159">
            <v>0.71199999999999997</v>
          </cell>
          <cell r="E159">
            <v>0</v>
          </cell>
        </row>
        <row r="160">
          <cell r="A160">
            <v>5</v>
          </cell>
          <cell r="B160" t="str">
            <v>CT Structure</v>
          </cell>
          <cell r="C160">
            <v>3</v>
          </cell>
          <cell r="D160">
            <v>0.1</v>
          </cell>
          <cell r="E160">
            <v>0.30000000000000004</v>
          </cell>
        </row>
        <row r="161">
          <cell r="A161">
            <v>6</v>
          </cell>
          <cell r="B161" t="str">
            <v>LA structure</v>
          </cell>
          <cell r="C161">
            <v>3</v>
          </cell>
          <cell r="D161">
            <v>0.1</v>
          </cell>
          <cell r="E161">
            <v>0.30000000000000004</v>
          </cell>
        </row>
        <row r="162">
          <cell r="A162">
            <v>7</v>
          </cell>
          <cell r="B162" t="str">
            <v>Isolator structure</v>
          </cell>
          <cell r="C162">
            <v>2</v>
          </cell>
          <cell r="D162">
            <v>0.35799999999999998</v>
          </cell>
          <cell r="E162">
            <v>0.71599999999999997</v>
          </cell>
        </row>
        <row r="163">
          <cell r="A163">
            <v>8</v>
          </cell>
          <cell r="B163" t="str">
            <v>PT structure</v>
          </cell>
          <cell r="C163">
            <v>0</v>
          </cell>
          <cell r="D163">
            <v>0.1</v>
          </cell>
          <cell r="E163">
            <v>0</v>
          </cell>
        </row>
        <row r="164">
          <cell r="A164">
            <v>9</v>
          </cell>
          <cell r="B164" t="str">
            <v>Post Insulator structure</v>
          </cell>
          <cell r="C164">
            <v>0</v>
          </cell>
          <cell r="D164">
            <v>0.1</v>
          </cell>
          <cell r="E164">
            <v>0</v>
          </cell>
        </row>
        <row r="165">
          <cell r="A165">
            <v>9</v>
          </cell>
          <cell r="B165" t="str">
            <v>Post Insulator structure</v>
          </cell>
          <cell r="C165">
            <v>0</v>
          </cell>
          <cell r="D165">
            <v>0.1</v>
          </cell>
          <cell r="E165">
            <v>0</v>
          </cell>
        </row>
        <row r="166">
          <cell r="B166" t="str">
            <v>SUB TOTAL (F-III)</v>
          </cell>
          <cell r="C166">
            <v>0</v>
          </cell>
          <cell r="D166">
            <v>0</v>
          </cell>
          <cell r="E166">
            <v>3.7690000000000001</v>
          </cell>
        </row>
        <row r="167">
          <cell r="G167" t="str">
            <v>LS</v>
          </cell>
        </row>
        <row r="168">
          <cell r="B168" t="str">
            <v>SUB TOTAL F(I)+F(II)+F(III)</v>
          </cell>
          <cell r="C168">
            <v>0</v>
          </cell>
          <cell r="D168">
            <v>0</v>
          </cell>
          <cell r="E168">
            <v>22.567999999999998</v>
          </cell>
        </row>
        <row r="169">
          <cell r="E169">
            <v>22.568000000000001</v>
          </cell>
        </row>
        <row r="170">
          <cell r="B170" t="str">
            <v>TOTAL  COST OF STEEL (F)</v>
          </cell>
          <cell r="C170">
            <v>22.567999999999998</v>
          </cell>
          <cell r="D170">
            <v>0.26096326530612241</v>
          </cell>
          <cell r="E170">
            <v>5.8894189714285696</v>
          </cell>
          <cell r="F170">
            <v>9.0938775510204083E-3</v>
          </cell>
          <cell r="G170">
            <v>0.20523062857142857</v>
          </cell>
          <cell r="H170">
            <v>0.27005714285714283</v>
          </cell>
          <cell r="I170">
            <v>6.0946495999999986</v>
          </cell>
        </row>
        <row r="171">
          <cell r="B171" t="str">
            <v>TOTAL  COST OF STEEL (F)</v>
          </cell>
          <cell r="C171">
            <v>22.568000000000001</v>
          </cell>
          <cell r="D171">
            <v>0.260963</v>
          </cell>
          <cell r="E171">
            <v>5.8894190000000002</v>
          </cell>
          <cell r="F171">
            <v>9.0939999999999997E-3</v>
          </cell>
          <cell r="G171">
            <v>0.205231</v>
          </cell>
          <cell r="H171">
            <v>0.27005699999999999</v>
          </cell>
          <cell r="I171">
            <v>6.0946499999999997</v>
          </cell>
        </row>
        <row r="172">
          <cell r="A172" t="str">
            <v>G</v>
          </cell>
          <cell r="B172" t="str">
            <v>BUSBAR, EARTHING MATERIAL</v>
          </cell>
          <cell r="C172">
            <v>0</v>
          </cell>
          <cell r="D172">
            <v>0</v>
          </cell>
          <cell r="E172">
            <v>0</v>
          </cell>
          <cell r="F172">
            <v>0</v>
          </cell>
          <cell r="G172">
            <v>0</v>
          </cell>
          <cell r="H172">
            <v>0</v>
          </cell>
          <cell r="I172">
            <v>0</v>
          </cell>
        </row>
        <row r="173">
          <cell r="I173">
            <v>0</v>
          </cell>
        </row>
        <row r="174">
          <cell r="A174">
            <v>1</v>
          </cell>
          <cell r="B174" t="str">
            <v>Zebra conductor  (in Kms)</v>
          </cell>
          <cell r="C174">
            <v>1</v>
          </cell>
          <cell r="D174">
            <v>1.0555000000000001</v>
          </cell>
          <cell r="E174">
            <v>1.0555000000000001</v>
          </cell>
          <cell r="F174">
            <v>5.5100000000000003E-2</v>
          </cell>
          <cell r="G174">
            <v>5.5100000000000003E-2</v>
          </cell>
          <cell r="H174">
            <v>1.1106</v>
          </cell>
          <cell r="I174">
            <v>1.1106</v>
          </cell>
        </row>
        <row r="175">
          <cell r="A175">
            <v>2</v>
          </cell>
          <cell r="B175" t="str">
            <v>M.S.Flat for earthing/earthing rods (in MT)</v>
          </cell>
          <cell r="C175">
            <v>2</v>
          </cell>
          <cell r="D175">
            <v>0.21840000000000001</v>
          </cell>
          <cell r="E175">
            <v>0.43680000000000002</v>
          </cell>
          <cell r="F175">
            <v>8.2000000000000007E-3</v>
          </cell>
          <cell r="G175">
            <v>1.6400000000000001E-2</v>
          </cell>
          <cell r="H175">
            <v>0.22660000000000002</v>
          </cell>
          <cell r="I175">
            <v>0.45320000000000005</v>
          </cell>
        </row>
        <row r="176">
          <cell r="A176">
            <v>3</v>
          </cell>
          <cell r="B176" t="str">
            <v>Clamps &amp; Connectors</v>
          </cell>
          <cell r="C176">
            <v>40</v>
          </cell>
          <cell r="D176">
            <v>6.3E-3</v>
          </cell>
          <cell r="E176">
            <v>0.252</v>
          </cell>
          <cell r="F176">
            <v>1.6000000000000001E-3</v>
          </cell>
          <cell r="G176">
            <v>6.4000000000000001E-2</v>
          </cell>
          <cell r="H176">
            <v>7.9000000000000008E-3</v>
          </cell>
          <cell r="I176">
            <v>0.316</v>
          </cell>
        </row>
        <row r="177">
          <cell r="A177">
            <v>4</v>
          </cell>
          <cell r="B177" t="str">
            <v>Power &amp; Control Cable</v>
          </cell>
          <cell r="C177">
            <v>2.5</v>
          </cell>
          <cell r="D177">
            <v>0.38729999999999998</v>
          </cell>
          <cell r="E177">
            <v>0.96824999999999994</v>
          </cell>
          <cell r="F177">
            <v>1.0800000000000001E-2</v>
          </cell>
          <cell r="G177">
            <v>2.7000000000000003E-2</v>
          </cell>
          <cell r="H177">
            <v>0.39809999999999995</v>
          </cell>
          <cell r="I177">
            <v>0.99524999999999997</v>
          </cell>
        </row>
        <row r="178">
          <cell r="A178">
            <v>5</v>
          </cell>
          <cell r="B178" t="str">
            <v>Screening conductor</v>
          </cell>
          <cell r="C178" t="str">
            <v>LS</v>
          </cell>
          <cell r="D178">
            <v>0.2</v>
          </cell>
          <cell r="E178">
            <v>0.2</v>
          </cell>
          <cell r="F178">
            <v>0</v>
          </cell>
          <cell r="G178">
            <v>0</v>
          </cell>
          <cell r="H178" t="str">
            <v>LS</v>
          </cell>
          <cell r="I178">
            <v>0.2</v>
          </cell>
        </row>
        <row r="179">
          <cell r="A179">
            <v>6</v>
          </cell>
          <cell r="B179" t="str">
            <v>Junction Box etc. &amp; Misc.expendtirues</v>
          </cell>
          <cell r="C179" t="str">
            <v>LS</v>
          </cell>
          <cell r="D179">
            <v>0.5</v>
          </cell>
          <cell r="E179">
            <v>0.5</v>
          </cell>
          <cell r="F179">
            <v>0</v>
          </cell>
          <cell r="G179">
            <v>0</v>
          </cell>
          <cell r="H179" t="str">
            <v>LS</v>
          </cell>
          <cell r="I179">
            <v>0.5</v>
          </cell>
        </row>
        <row r="180">
          <cell r="A180">
            <v>7</v>
          </cell>
          <cell r="B180" t="str">
            <v>Fire fighting equipments</v>
          </cell>
          <cell r="C180" t="str">
            <v>LS</v>
          </cell>
          <cell r="D180">
            <v>0</v>
          </cell>
          <cell r="E180">
            <v>0</v>
          </cell>
          <cell r="F180">
            <v>0</v>
          </cell>
          <cell r="G180">
            <v>0</v>
          </cell>
          <cell r="H180" t="str">
            <v>LS</v>
          </cell>
          <cell r="I180">
            <v>0</v>
          </cell>
        </row>
        <row r="181">
          <cell r="A181">
            <v>8</v>
          </cell>
          <cell r="B181" t="str">
            <v>Aluminium/Red Oxide Paint and Nut,Bolt,Washers &amp; other misc. material</v>
          </cell>
          <cell r="C181" t="str">
            <v>LS</v>
          </cell>
          <cell r="D181">
            <v>0</v>
          </cell>
          <cell r="E181">
            <v>0</v>
          </cell>
          <cell r="F181">
            <v>0.1</v>
          </cell>
          <cell r="G181">
            <v>0.1</v>
          </cell>
          <cell r="H181" t="str">
            <v>LS</v>
          </cell>
          <cell r="I181">
            <v>0.1</v>
          </cell>
        </row>
        <row r="182">
          <cell r="E182">
            <v>0</v>
          </cell>
          <cell r="F182">
            <v>0.1</v>
          </cell>
          <cell r="G182">
            <v>0.1</v>
          </cell>
          <cell r="H182" t="str">
            <v>LS</v>
          </cell>
          <cell r="I182">
            <v>0.1</v>
          </cell>
        </row>
        <row r="183">
          <cell r="B183" t="str">
            <v>SUB TOTAL (G)</v>
          </cell>
          <cell r="C183">
            <v>0</v>
          </cell>
          <cell r="D183">
            <v>0</v>
          </cell>
          <cell r="E183">
            <v>3.4125500000000004</v>
          </cell>
          <cell r="F183">
            <v>0</v>
          </cell>
          <cell r="G183">
            <v>0.26250000000000001</v>
          </cell>
          <cell r="H183">
            <v>0</v>
          </cell>
          <cell r="I183">
            <v>3.6750500000000001</v>
          </cell>
        </row>
        <row r="184">
          <cell r="I184">
            <v>3.6750500000000001</v>
          </cell>
        </row>
        <row r="185">
          <cell r="A185" t="str">
            <v>H</v>
          </cell>
          <cell r="B185" t="str">
            <v>AC/DC SUPPLY</v>
          </cell>
          <cell r="C185">
            <v>0</v>
          </cell>
          <cell r="D185">
            <v>0</v>
          </cell>
          <cell r="E185">
            <v>0</v>
          </cell>
          <cell r="F185">
            <v>0</v>
          </cell>
          <cell r="G185">
            <v>0</v>
          </cell>
          <cell r="H185">
            <v>0</v>
          </cell>
          <cell r="I185">
            <v>0</v>
          </cell>
        </row>
        <row r="186">
          <cell r="I186">
            <v>0</v>
          </cell>
        </row>
        <row r="187">
          <cell r="A187">
            <v>1</v>
          </cell>
          <cell r="B187" t="str">
            <v>Station Transformer,200KVA,33/0.4KV</v>
          </cell>
          <cell r="C187">
            <v>0</v>
          </cell>
          <cell r="D187">
            <v>2.2999999999999998</v>
          </cell>
          <cell r="E187">
            <v>0</v>
          </cell>
          <cell r="F187">
            <v>0.50600000000000001</v>
          </cell>
          <cell r="G187">
            <v>0</v>
          </cell>
          <cell r="H187">
            <v>2.806</v>
          </cell>
          <cell r="I187">
            <v>0</v>
          </cell>
        </row>
        <row r="188">
          <cell r="A188">
            <v>2</v>
          </cell>
          <cell r="B188" t="str">
            <v>110Volt 300Ah battery</v>
          </cell>
          <cell r="C188">
            <v>0</v>
          </cell>
          <cell r="D188">
            <v>0.65</v>
          </cell>
          <cell r="E188">
            <v>0</v>
          </cell>
          <cell r="F188">
            <v>0.14299999999999999</v>
          </cell>
          <cell r="G188">
            <v>0</v>
          </cell>
          <cell r="H188">
            <v>0.79300000000000004</v>
          </cell>
          <cell r="I188">
            <v>0</v>
          </cell>
        </row>
        <row r="189">
          <cell r="A189">
            <v>3</v>
          </cell>
          <cell r="B189" t="str">
            <v>110Volt 300Ah Battery charger</v>
          </cell>
          <cell r="C189">
            <v>0</v>
          </cell>
          <cell r="D189">
            <v>1.2</v>
          </cell>
          <cell r="E189">
            <v>0</v>
          </cell>
          <cell r="F189">
            <v>0.26400000000000001</v>
          </cell>
          <cell r="G189">
            <v>0</v>
          </cell>
          <cell r="H189">
            <v>1.464</v>
          </cell>
          <cell r="I189">
            <v>0</v>
          </cell>
        </row>
        <row r="190">
          <cell r="A190">
            <v>4</v>
          </cell>
          <cell r="B190" t="str">
            <v>48Volt 300Ah Battery</v>
          </cell>
          <cell r="C190">
            <v>0</v>
          </cell>
          <cell r="D190">
            <v>0.65</v>
          </cell>
          <cell r="E190">
            <v>0</v>
          </cell>
          <cell r="F190">
            <v>0.14299999999999999</v>
          </cell>
          <cell r="G190">
            <v>0</v>
          </cell>
          <cell r="H190">
            <v>0.79300000000000004</v>
          </cell>
          <cell r="I190">
            <v>0</v>
          </cell>
        </row>
        <row r="191">
          <cell r="A191">
            <v>5</v>
          </cell>
          <cell r="B191" t="str">
            <v>48Volt 300Ah Battery charger</v>
          </cell>
          <cell r="C191">
            <v>0</v>
          </cell>
          <cell r="D191">
            <v>1.2</v>
          </cell>
          <cell r="E191">
            <v>0</v>
          </cell>
          <cell r="F191">
            <v>0.26400000000000001</v>
          </cell>
          <cell r="G191">
            <v>0</v>
          </cell>
          <cell r="H191">
            <v>1.464</v>
          </cell>
          <cell r="I191">
            <v>0</v>
          </cell>
        </row>
        <row r="192">
          <cell r="A192">
            <v>6</v>
          </cell>
          <cell r="B192" t="str">
            <v>AC/DC Distribution Boxes 415Volt</v>
          </cell>
          <cell r="C192">
            <v>0</v>
          </cell>
          <cell r="D192">
            <v>0</v>
          </cell>
          <cell r="E192">
            <v>0</v>
          </cell>
          <cell r="F192">
            <v>1.25</v>
          </cell>
          <cell r="G192">
            <v>0</v>
          </cell>
          <cell r="H192">
            <v>1.25</v>
          </cell>
          <cell r="I192">
            <v>0</v>
          </cell>
        </row>
        <row r="193">
          <cell r="A193">
            <v>7</v>
          </cell>
          <cell r="B193" t="str">
            <v>Arrangement of Lighting in S/s</v>
          </cell>
          <cell r="C193" t="str">
            <v>LS</v>
          </cell>
          <cell r="D193">
            <v>0</v>
          </cell>
          <cell r="E193">
            <v>0</v>
          </cell>
          <cell r="F193">
            <v>0</v>
          </cell>
          <cell r="G193">
            <v>0</v>
          </cell>
          <cell r="H193" t="str">
            <v>LS</v>
          </cell>
          <cell r="I193">
            <v>0</v>
          </cell>
        </row>
        <row r="194">
          <cell r="E194">
            <v>0</v>
          </cell>
          <cell r="F194">
            <v>0</v>
          </cell>
          <cell r="G194">
            <v>0</v>
          </cell>
          <cell r="H194" t="str">
            <v>LS</v>
          </cell>
          <cell r="I194">
            <v>0</v>
          </cell>
        </row>
        <row r="195">
          <cell r="B195" t="str">
            <v>SUB TOTAL (H)</v>
          </cell>
          <cell r="C195">
            <v>0</v>
          </cell>
          <cell r="D195">
            <v>0</v>
          </cell>
          <cell r="E195">
            <v>0</v>
          </cell>
          <cell r="F195">
            <v>0</v>
          </cell>
          <cell r="G195">
            <v>0</v>
          </cell>
          <cell r="H195">
            <v>0</v>
          </cell>
          <cell r="I195">
            <v>0</v>
          </cell>
        </row>
        <row r="196">
          <cell r="I196">
            <v>0</v>
          </cell>
        </row>
        <row r="197">
          <cell r="A197" t="str">
            <v>I</v>
          </cell>
          <cell r="B197" t="str">
            <v>CIVIL WORKS</v>
          </cell>
          <cell r="C197">
            <v>0</v>
          </cell>
          <cell r="D197">
            <v>0</v>
          </cell>
          <cell r="E197">
            <v>0</v>
          </cell>
          <cell r="F197">
            <v>0</v>
          </cell>
          <cell r="G197">
            <v>0</v>
          </cell>
          <cell r="H197">
            <v>0</v>
          </cell>
          <cell r="I197">
            <v>0</v>
          </cell>
        </row>
        <row r="198">
          <cell r="A198">
            <v>0</v>
          </cell>
          <cell r="B198" t="str">
            <v xml:space="preserve">Foundation work of </v>
          </cell>
          <cell r="C198">
            <v>0</v>
          </cell>
          <cell r="D198">
            <v>0</v>
          </cell>
          <cell r="E198">
            <v>0</v>
          </cell>
          <cell r="F198">
            <v>0</v>
          </cell>
          <cell r="G198">
            <v>0</v>
          </cell>
          <cell r="H198">
            <v>0</v>
          </cell>
          <cell r="I198">
            <v>0</v>
          </cell>
        </row>
        <row r="199">
          <cell r="I199">
            <v>0</v>
          </cell>
        </row>
        <row r="200">
          <cell r="A200">
            <v>1</v>
          </cell>
          <cell r="B200" t="str">
            <v>Gantry Column(AGT)</v>
          </cell>
          <cell r="C200">
            <v>0</v>
          </cell>
          <cell r="D200">
            <v>0</v>
          </cell>
          <cell r="E200">
            <v>0</v>
          </cell>
          <cell r="F200">
            <v>0.28000000000000003</v>
          </cell>
          <cell r="G200">
            <v>0</v>
          </cell>
          <cell r="H200">
            <v>0.28000000000000003</v>
          </cell>
          <cell r="I200">
            <v>0</v>
          </cell>
        </row>
        <row r="201">
          <cell r="A201">
            <v>2</v>
          </cell>
          <cell r="B201" t="str">
            <v>Gantry Column(AAGT)</v>
          </cell>
          <cell r="C201">
            <v>0</v>
          </cell>
          <cell r="D201">
            <v>0</v>
          </cell>
          <cell r="E201">
            <v>0</v>
          </cell>
          <cell r="F201">
            <v>0.28000000000000003</v>
          </cell>
          <cell r="G201">
            <v>0</v>
          </cell>
          <cell r="H201">
            <v>0.28000000000000003</v>
          </cell>
          <cell r="I201">
            <v>0</v>
          </cell>
        </row>
        <row r="202">
          <cell r="A202">
            <v>3</v>
          </cell>
          <cell r="B202" t="str">
            <v>220KV Main Busbar</v>
          </cell>
          <cell r="C202">
            <v>0</v>
          </cell>
          <cell r="D202">
            <v>0</v>
          </cell>
          <cell r="E202">
            <v>0</v>
          </cell>
          <cell r="F202">
            <v>0.191</v>
          </cell>
          <cell r="G202">
            <v>0</v>
          </cell>
          <cell r="H202">
            <v>0.191</v>
          </cell>
          <cell r="I202">
            <v>0</v>
          </cell>
        </row>
        <row r="203">
          <cell r="A203">
            <v>4</v>
          </cell>
          <cell r="B203" t="str">
            <v xml:space="preserve">220KV Aux.Busbar </v>
          </cell>
          <cell r="C203">
            <v>0</v>
          </cell>
          <cell r="D203">
            <v>0</v>
          </cell>
          <cell r="E203">
            <v>0</v>
          </cell>
          <cell r="F203">
            <v>0.21</v>
          </cell>
          <cell r="G203">
            <v>0</v>
          </cell>
          <cell r="H203">
            <v>0.21</v>
          </cell>
          <cell r="I203">
            <v>0</v>
          </cell>
        </row>
        <row r="204">
          <cell r="A204">
            <v>5</v>
          </cell>
          <cell r="B204" t="str">
            <v>220KV Isolator</v>
          </cell>
          <cell r="C204">
            <v>0</v>
          </cell>
          <cell r="D204">
            <v>0</v>
          </cell>
          <cell r="E204">
            <v>0</v>
          </cell>
          <cell r="F204">
            <v>0.16500000000000001</v>
          </cell>
          <cell r="G204">
            <v>0</v>
          </cell>
          <cell r="H204">
            <v>0.16500000000000001</v>
          </cell>
          <cell r="I204">
            <v>0</v>
          </cell>
        </row>
        <row r="205">
          <cell r="A205">
            <v>6</v>
          </cell>
          <cell r="B205" t="str">
            <v>220KV CB</v>
          </cell>
          <cell r="C205">
            <v>0</v>
          </cell>
          <cell r="D205">
            <v>0</v>
          </cell>
          <cell r="E205">
            <v>0</v>
          </cell>
          <cell r="F205">
            <v>0.311</v>
          </cell>
          <cell r="G205">
            <v>0</v>
          </cell>
          <cell r="H205">
            <v>0.311</v>
          </cell>
          <cell r="I205">
            <v>0</v>
          </cell>
        </row>
        <row r="206">
          <cell r="A206">
            <v>7</v>
          </cell>
          <cell r="B206" t="str">
            <v>220KV CT</v>
          </cell>
          <cell r="C206">
            <v>0</v>
          </cell>
          <cell r="D206">
            <v>0</v>
          </cell>
          <cell r="E206">
            <v>0</v>
          </cell>
          <cell r="F206">
            <v>0.05</v>
          </cell>
          <cell r="G206">
            <v>0</v>
          </cell>
          <cell r="H206">
            <v>0.05</v>
          </cell>
          <cell r="I206">
            <v>0</v>
          </cell>
        </row>
        <row r="207">
          <cell r="A207">
            <v>8</v>
          </cell>
          <cell r="B207" t="str">
            <v>220KV CVT/PT</v>
          </cell>
          <cell r="C207">
            <v>0</v>
          </cell>
          <cell r="D207">
            <v>0</v>
          </cell>
          <cell r="E207">
            <v>0</v>
          </cell>
          <cell r="F207">
            <v>0.05</v>
          </cell>
          <cell r="G207">
            <v>0</v>
          </cell>
          <cell r="H207">
            <v>0.05</v>
          </cell>
          <cell r="I207">
            <v>0</v>
          </cell>
        </row>
        <row r="208">
          <cell r="A208">
            <v>9</v>
          </cell>
          <cell r="B208" t="str">
            <v>220KV LA</v>
          </cell>
          <cell r="C208">
            <v>0</v>
          </cell>
          <cell r="D208">
            <v>0</v>
          </cell>
          <cell r="E208">
            <v>0</v>
          </cell>
          <cell r="F208">
            <v>2.5000000000000001E-2</v>
          </cell>
          <cell r="G208">
            <v>0</v>
          </cell>
          <cell r="H208">
            <v>2.5000000000000001E-2</v>
          </cell>
          <cell r="I208">
            <v>0</v>
          </cell>
        </row>
        <row r="209">
          <cell r="A209">
            <v>10</v>
          </cell>
          <cell r="B209" t="str">
            <v>220KV Post/Solid Core Insulators</v>
          </cell>
          <cell r="C209">
            <v>0</v>
          </cell>
          <cell r="D209">
            <v>0</v>
          </cell>
          <cell r="E209">
            <v>0</v>
          </cell>
          <cell r="F209">
            <v>0.06</v>
          </cell>
          <cell r="G209">
            <v>0</v>
          </cell>
          <cell r="H209">
            <v>0.06</v>
          </cell>
          <cell r="I209">
            <v>0</v>
          </cell>
        </row>
        <row r="210">
          <cell r="A210">
            <v>11</v>
          </cell>
          <cell r="B210" t="str">
            <v>160MVA transformer</v>
          </cell>
          <cell r="C210">
            <v>0</v>
          </cell>
          <cell r="D210">
            <v>0</v>
          </cell>
          <cell r="E210">
            <v>0</v>
          </cell>
          <cell r="F210">
            <v>0.54</v>
          </cell>
          <cell r="G210">
            <v>0</v>
          </cell>
          <cell r="H210">
            <v>0.54</v>
          </cell>
          <cell r="I210">
            <v>0</v>
          </cell>
        </row>
        <row r="211">
          <cell r="A211">
            <v>12</v>
          </cell>
          <cell r="B211" t="str">
            <v>40MVA transformer</v>
          </cell>
          <cell r="C211">
            <v>1</v>
          </cell>
          <cell r="D211">
            <v>0</v>
          </cell>
          <cell r="E211">
            <v>0</v>
          </cell>
          <cell r="F211">
            <v>0.53</v>
          </cell>
          <cell r="G211">
            <v>0.53</v>
          </cell>
          <cell r="H211">
            <v>0.53</v>
          </cell>
          <cell r="I211">
            <v>0.53</v>
          </cell>
        </row>
        <row r="212">
          <cell r="A212">
            <v>13</v>
          </cell>
          <cell r="B212" t="str">
            <v>132KV Gantry</v>
          </cell>
          <cell r="C212">
            <v>4</v>
          </cell>
          <cell r="D212">
            <v>0</v>
          </cell>
          <cell r="E212">
            <v>0</v>
          </cell>
          <cell r="F212">
            <v>0.3</v>
          </cell>
          <cell r="G212">
            <v>1.2</v>
          </cell>
          <cell r="H212">
            <v>0.3</v>
          </cell>
          <cell r="I212">
            <v>1.2</v>
          </cell>
        </row>
        <row r="213">
          <cell r="A213">
            <v>14</v>
          </cell>
          <cell r="B213" t="str">
            <v xml:space="preserve">132KV main busbar foundation </v>
          </cell>
          <cell r="C213">
            <v>1</v>
          </cell>
          <cell r="D213">
            <v>0</v>
          </cell>
          <cell r="E213">
            <v>0</v>
          </cell>
          <cell r="F213">
            <v>0.16500000000000001</v>
          </cell>
          <cell r="G213">
            <v>0.16500000000000001</v>
          </cell>
          <cell r="H213">
            <v>0.16500000000000001</v>
          </cell>
          <cell r="I213">
            <v>0.16500000000000001</v>
          </cell>
        </row>
        <row r="214">
          <cell r="A214">
            <v>15</v>
          </cell>
          <cell r="B214" t="str">
            <v>132KV aux.busbar foundation</v>
          </cell>
          <cell r="C214">
            <v>0</v>
          </cell>
          <cell r="D214">
            <v>0</v>
          </cell>
          <cell r="E214">
            <v>0</v>
          </cell>
          <cell r="F214">
            <v>0.121</v>
          </cell>
          <cell r="G214">
            <v>0</v>
          </cell>
          <cell r="H214">
            <v>0.121</v>
          </cell>
          <cell r="I214">
            <v>0</v>
          </cell>
        </row>
        <row r="215">
          <cell r="A215">
            <v>16</v>
          </cell>
          <cell r="B215" t="str">
            <v>132KV Isolator</v>
          </cell>
          <cell r="C215">
            <v>3</v>
          </cell>
          <cell r="D215">
            <v>0</v>
          </cell>
          <cell r="E215">
            <v>0</v>
          </cell>
          <cell r="F215">
            <v>6.7000000000000004E-2</v>
          </cell>
          <cell r="G215">
            <v>0.20100000000000001</v>
          </cell>
          <cell r="H215">
            <v>6.7000000000000004E-2</v>
          </cell>
          <cell r="I215">
            <v>0.20100000000000001</v>
          </cell>
        </row>
        <row r="216">
          <cell r="A216">
            <v>17</v>
          </cell>
          <cell r="B216" t="str">
            <v>132kv Solid Core Insulator</v>
          </cell>
          <cell r="C216">
            <v>3</v>
          </cell>
          <cell r="D216">
            <v>0</v>
          </cell>
          <cell r="E216">
            <v>0</v>
          </cell>
          <cell r="F216">
            <v>1.0999999999999999E-2</v>
          </cell>
          <cell r="G216">
            <v>3.3000000000000002E-2</v>
          </cell>
          <cell r="H216">
            <v>1.0999999999999999E-2</v>
          </cell>
          <cell r="I216">
            <v>3.3000000000000002E-2</v>
          </cell>
        </row>
        <row r="217">
          <cell r="A217">
            <v>18</v>
          </cell>
          <cell r="B217" t="str">
            <v>132KV CB</v>
          </cell>
          <cell r="C217">
            <v>1</v>
          </cell>
          <cell r="D217">
            <v>0</v>
          </cell>
          <cell r="E217">
            <v>0</v>
          </cell>
          <cell r="F217">
            <v>0.30499999999999999</v>
          </cell>
          <cell r="G217">
            <v>0.30499999999999999</v>
          </cell>
          <cell r="H217">
            <v>0.30499999999999999</v>
          </cell>
          <cell r="I217">
            <v>0.30499999999999999</v>
          </cell>
        </row>
        <row r="218">
          <cell r="A218">
            <v>19</v>
          </cell>
          <cell r="B218" t="str">
            <v>132KV CT</v>
          </cell>
          <cell r="C218">
            <v>3</v>
          </cell>
          <cell r="D218">
            <v>0</v>
          </cell>
          <cell r="E218">
            <v>0</v>
          </cell>
          <cell r="F218">
            <v>1.0999999999999999E-2</v>
          </cell>
          <cell r="G218">
            <v>3.3000000000000002E-2</v>
          </cell>
          <cell r="H218">
            <v>1.0999999999999999E-2</v>
          </cell>
          <cell r="I218">
            <v>3.3000000000000002E-2</v>
          </cell>
        </row>
        <row r="219">
          <cell r="A219">
            <v>20</v>
          </cell>
          <cell r="B219" t="str">
            <v>132KV LA</v>
          </cell>
          <cell r="C219">
            <v>3</v>
          </cell>
          <cell r="D219">
            <v>0</v>
          </cell>
          <cell r="E219">
            <v>0</v>
          </cell>
          <cell r="F219">
            <v>2.1000000000000001E-2</v>
          </cell>
          <cell r="G219">
            <v>6.3E-2</v>
          </cell>
          <cell r="H219">
            <v>2.1000000000000001E-2</v>
          </cell>
          <cell r="I219">
            <v>6.3E-2</v>
          </cell>
        </row>
        <row r="220">
          <cell r="A220">
            <v>21</v>
          </cell>
          <cell r="B220" t="str">
            <v>132KV PT</v>
          </cell>
          <cell r="C220">
            <v>0</v>
          </cell>
          <cell r="D220">
            <v>0</v>
          </cell>
          <cell r="E220">
            <v>0</v>
          </cell>
          <cell r="F220">
            <v>0.03</v>
          </cell>
          <cell r="G220">
            <v>0</v>
          </cell>
          <cell r="H220">
            <v>0.03</v>
          </cell>
          <cell r="I220">
            <v>0</v>
          </cell>
        </row>
        <row r="221">
          <cell r="A221">
            <v>22</v>
          </cell>
          <cell r="B221" t="str">
            <v>132KV CC</v>
          </cell>
          <cell r="C221">
            <v>0</v>
          </cell>
          <cell r="D221">
            <v>0</v>
          </cell>
          <cell r="E221">
            <v>0</v>
          </cell>
          <cell r="F221">
            <v>2.1000000000000001E-2</v>
          </cell>
          <cell r="G221">
            <v>0</v>
          </cell>
          <cell r="H221">
            <v>2.1000000000000001E-2</v>
          </cell>
          <cell r="I221">
            <v>0</v>
          </cell>
        </row>
        <row r="222">
          <cell r="A222">
            <v>23</v>
          </cell>
          <cell r="B222" t="str">
            <v xml:space="preserve">33KV Gantry </v>
          </cell>
          <cell r="C222">
            <v>2</v>
          </cell>
          <cell r="D222">
            <v>0</v>
          </cell>
          <cell r="E222">
            <v>0</v>
          </cell>
          <cell r="F222">
            <v>0.12</v>
          </cell>
          <cell r="G222">
            <v>0.24</v>
          </cell>
          <cell r="H222">
            <v>0.12</v>
          </cell>
          <cell r="I222">
            <v>0.24</v>
          </cell>
        </row>
        <row r="223">
          <cell r="A223">
            <v>24</v>
          </cell>
          <cell r="B223" t="str">
            <v>33KV main/aux. Busbar</v>
          </cell>
          <cell r="C223">
            <v>1</v>
          </cell>
          <cell r="D223">
            <v>0</v>
          </cell>
          <cell r="E223">
            <v>0</v>
          </cell>
          <cell r="F223">
            <v>0.34</v>
          </cell>
          <cell r="G223">
            <v>0.34</v>
          </cell>
          <cell r="H223">
            <v>0.34</v>
          </cell>
          <cell r="I223">
            <v>0.34</v>
          </cell>
        </row>
        <row r="224">
          <cell r="A224">
            <v>25</v>
          </cell>
          <cell r="B224" t="str">
            <v>33KV CB</v>
          </cell>
          <cell r="C224">
            <v>1</v>
          </cell>
          <cell r="D224">
            <v>0</v>
          </cell>
          <cell r="E224">
            <v>0</v>
          </cell>
          <cell r="F224">
            <v>5.5E-2</v>
          </cell>
          <cell r="G224">
            <v>5.5E-2</v>
          </cell>
          <cell r="H224">
            <v>5.5E-2</v>
          </cell>
          <cell r="I224">
            <v>5.5E-2</v>
          </cell>
        </row>
        <row r="225">
          <cell r="A225">
            <v>26</v>
          </cell>
          <cell r="B225" t="str">
            <v>33KV CT/PT/LA/PI</v>
          </cell>
          <cell r="C225">
            <v>6</v>
          </cell>
          <cell r="D225">
            <v>0</v>
          </cell>
          <cell r="E225">
            <v>0</v>
          </cell>
          <cell r="F225">
            <v>1.4999999999999999E-2</v>
          </cell>
          <cell r="G225">
            <v>0.09</v>
          </cell>
          <cell r="H225">
            <v>1.4999999999999999E-2</v>
          </cell>
          <cell r="I225">
            <v>0.09</v>
          </cell>
        </row>
        <row r="226">
          <cell r="A226">
            <v>27</v>
          </cell>
          <cell r="B226" t="str">
            <v>33KV Isolator</v>
          </cell>
          <cell r="C226">
            <v>2</v>
          </cell>
          <cell r="D226">
            <v>0</v>
          </cell>
          <cell r="E226">
            <v>0</v>
          </cell>
          <cell r="F226">
            <v>5.0999999999999997E-2</v>
          </cell>
          <cell r="G226">
            <v>0.10199999999999999</v>
          </cell>
          <cell r="H226">
            <v>5.0999999999999997E-2</v>
          </cell>
          <cell r="I226">
            <v>0.10199999999999999</v>
          </cell>
        </row>
        <row r="227">
          <cell r="A227">
            <v>28</v>
          </cell>
          <cell r="B227" t="str">
            <v>Control room type-V</v>
          </cell>
          <cell r="C227">
            <v>0</v>
          </cell>
          <cell r="D227">
            <v>0</v>
          </cell>
          <cell r="E227">
            <v>0</v>
          </cell>
          <cell r="F227">
            <v>15</v>
          </cell>
          <cell r="G227">
            <v>0</v>
          </cell>
          <cell r="H227">
            <v>15</v>
          </cell>
          <cell r="I227">
            <v>0</v>
          </cell>
        </row>
        <row r="228">
          <cell r="A228">
            <v>29</v>
          </cell>
          <cell r="B228" t="str">
            <v>Yard levelling,metalling &amp; misc. civil work</v>
          </cell>
          <cell r="C228" t="str">
            <v>LS</v>
          </cell>
          <cell r="D228">
            <v>0</v>
          </cell>
          <cell r="E228">
            <v>0</v>
          </cell>
          <cell r="F228">
            <v>0.5</v>
          </cell>
          <cell r="G228">
            <v>0.5</v>
          </cell>
          <cell r="H228" t="str">
            <v>LS</v>
          </cell>
          <cell r="I228">
            <v>0.5</v>
          </cell>
        </row>
        <row r="229">
          <cell r="A229">
            <v>30</v>
          </cell>
          <cell r="B229" t="str">
            <v>Water supply arrangement including overhead tank etc.</v>
          </cell>
          <cell r="C229" t="str">
            <v>LS</v>
          </cell>
          <cell r="D229">
            <v>0</v>
          </cell>
          <cell r="E229">
            <v>0</v>
          </cell>
          <cell r="F229">
            <v>0</v>
          </cell>
          <cell r="G229">
            <v>0</v>
          </cell>
          <cell r="H229" t="str">
            <v>LS</v>
          </cell>
          <cell r="I229">
            <v>0</v>
          </cell>
        </row>
        <row r="230">
          <cell r="A230">
            <v>31</v>
          </cell>
          <cell r="B230" t="str">
            <v>Earth pits</v>
          </cell>
          <cell r="C230" t="str">
            <v>LS</v>
          </cell>
          <cell r="D230">
            <v>0</v>
          </cell>
          <cell r="E230">
            <v>0</v>
          </cell>
          <cell r="F230">
            <v>0.2</v>
          </cell>
          <cell r="G230">
            <v>0.2</v>
          </cell>
          <cell r="H230" t="str">
            <v>LS</v>
          </cell>
          <cell r="I230">
            <v>0.2</v>
          </cell>
        </row>
        <row r="231">
          <cell r="A231">
            <v>32</v>
          </cell>
          <cell r="B231" t="str">
            <v>Four bay constn.shed</v>
          </cell>
          <cell r="C231">
            <v>0</v>
          </cell>
          <cell r="D231">
            <v>0</v>
          </cell>
          <cell r="E231">
            <v>0</v>
          </cell>
          <cell r="F231">
            <v>4.37</v>
          </cell>
          <cell r="G231">
            <v>0</v>
          </cell>
          <cell r="H231">
            <v>4.37</v>
          </cell>
          <cell r="I231">
            <v>0</v>
          </cell>
        </row>
        <row r="232">
          <cell r="A232">
            <v>33</v>
          </cell>
          <cell r="B232" t="str">
            <v>Cable Trenches</v>
          </cell>
          <cell r="C232" t="str">
            <v>LS</v>
          </cell>
          <cell r="D232">
            <v>0</v>
          </cell>
          <cell r="E232">
            <v>0</v>
          </cell>
          <cell r="F232">
            <v>1.5</v>
          </cell>
          <cell r="G232">
            <v>1.5</v>
          </cell>
          <cell r="H232" t="str">
            <v>LS</v>
          </cell>
          <cell r="I232">
            <v>1.5</v>
          </cell>
        </row>
        <row r="233">
          <cell r="A233">
            <v>34</v>
          </cell>
          <cell r="B233" t="str">
            <v>Internal Colony Road</v>
          </cell>
          <cell r="C233" t="str">
            <v>LS</v>
          </cell>
          <cell r="D233">
            <v>0</v>
          </cell>
          <cell r="E233">
            <v>0</v>
          </cell>
          <cell r="F233">
            <v>0</v>
          </cell>
          <cell r="G233">
            <v>0</v>
          </cell>
          <cell r="H233" t="str">
            <v>LS</v>
          </cell>
          <cell r="I233">
            <v>0</v>
          </cell>
        </row>
        <row r="234">
          <cell r="A234">
            <v>35</v>
          </cell>
          <cell r="B234" t="str">
            <v>Yard &amp; area fencing</v>
          </cell>
          <cell r="C234" t="str">
            <v>LS</v>
          </cell>
          <cell r="D234">
            <v>0</v>
          </cell>
          <cell r="E234">
            <v>0</v>
          </cell>
          <cell r="F234">
            <v>0</v>
          </cell>
          <cell r="G234">
            <v>0</v>
          </cell>
          <cell r="H234" t="str">
            <v>LS</v>
          </cell>
          <cell r="I234">
            <v>0</v>
          </cell>
        </row>
        <row r="235">
          <cell r="A235">
            <v>36</v>
          </cell>
          <cell r="B235" t="str">
            <v>Staff quarter</v>
          </cell>
          <cell r="C235" t="str">
            <v>LS</v>
          </cell>
          <cell r="D235">
            <v>0</v>
          </cell>
          <cell r="E235">
            <v>0</v>
          </cell>
          <cell r="F235">
            <v>0</v>
          </cell>
          <cell r="G235">
            <v>0</v>
          </cell>
          <cell r="H235" t="str">
            <v>LS</v>
          </cell>
          <cell r="I235">
            <v>0</v>
          </cell>
        </row>
        <row r="236">
          <cell r="A236">
            <v>37</v>
          </cell>
          <cell r="B236" t="str">
            <v>Rail Track</v>
          </cell>
          <cell r="C236" t="str">
            <v>LS</v>
          </cell>
          <cell r="D236">
            <v>0</v>
          </cell>
          <cell r="E236">
            <v>0</v>
          </cell>
          <cell r="F236">
            <v>1</v>
          </cell>
          <cell r="G236">
            <v>1</v>
          </cell>
          <cell r="H236" t="str">
            <v>LS</v>
          </cell>
          <cell r="I236">
            <v>1</v>
          </cell>
        </row>
        <row r="237">
          <cell r="A237">
            <v>38</v>
          </cell>
          <cell r="B237" t="str">
            <v>Station transformer foundation</v>
          </cell>
          <cell r="C237">
            <v>0</v>
          </cell>
          <cell r="D237">
            <v>0</v>
          </cell>
          <cell r="E237">
            <v>0</v>
          </cell>
          <cell r="F237">
            <v>0.30099999999999999</v>
          </cell>
          <cell r="G237">
            <v>0</v>
          </cell>
          <cell r="H237">
            <v>0.30099999999999999</v>
          </cell>
          <cell r="I237">
            <v>0</v>
          </cell>
        </row>
        <row r="238">
          <cell r="A238">
            <v>39</v>
          </cell>
          <cell r="B238" t="str">
            <v>Flag stone flooring &amp; Misc. civil works</v>
          </cell>
          <cell r="C238" t="str">
            <v>LS</v>
          </cell>
          <cell r="D238">
            <v>0</v>
          </cell>
          <cell r="E238">
            <v>0</v>
          </cell>
          <cell r="F238">
            <v>0.5</v>
          </cell>
          <cell r="G238">
            <v>0.5</v>
          </cell>
          <cell r="H238" t="str">
            <v>LS</v>
          </cell>
          <cell r="I238">
            <v>0.5</v>
          </cell>
        </row>
        <row r="239">
          <cell r="E239">
            <v>0</v>
          </cell>
          <cell r="F239">
            <v>0.5</v>
          </cell>
          <cell r="G239">
            <v>0.5</v>
          </cell>
          <cell r="H239" t="str">
            <v>LS</v>
          </cell>
          <cell r="I239">
            <v>0.5</v>
          </cell>
        </row>
        <row r="240">
          <cell r="A240">
            <v>0</v>
          </cell>
          <cell r="B240" t="str">
            <v>SUB TOTAL (I)</v>
          </cell>
          <cell r="C240">
            <v>0</v>
          </cell>
          <cell r="D240">
            <v>0</v>
          </cell>
          <cell r="E240">
            <v>0</v>
          </cell>
          <cell r="F240">
            <v>0</v>
          </cell>
          <cell r="G240">
            <v>7.0570000000000004</v>
          </cell>
          <cell r="H240">
            <v>0</v>
          </cell>
          <cell r="I240">
            <v>7.0570000000000004</v>
          </cell>
        </row>
        <row r="241">
          <cell r="I241">
            <v>7.0570000000000004</v>
          </cell>
        </row>
        <row r="242">
          <cell r="A242" t="str">
            <v>J</v>
          </cell>
          <cell r="B242" t="str">
            <v>ERECTION,TESTING &amp; COMMISSIONING ETC.</v>
          </cell>
        </row>
        <row r="243">
          <cell r="A243" t="str">
            <v>J</v>
          </cell>
          <cell r="B243" t="str">
            <v>ERECTION,TESTING &amp; COMMISSIONING ETC.</v>
          </cell>
        </row>
        <row r="244">
          <cell r="A244">
            <v>1</v>
          </cell>
          <cell r="B244" t="str">
            <v>160MVA Transformer</v>
          </cell>
          <cell r="C244">
            <v>0</v>
          </cell>
          <cell r="D244">
            <v>0</v>
          </cell>
          <cell r="E244">
            <v>0</v>
          </cell>
          <cell r="F244">
            <v>1.24</v>
          </cell>
          <cell r="G244">
            <v>0</v>
          </cell>
          <cell r="H244">
            <v>1.24</v>
          </cell>
          <cell r="I244">
            <v>0</v>
          </cell>
        </row>
        <row r="245">
          <cell r="A245">
            <v>2</v>
          </cell>
          <cell r="B245" t="str">
            <v>40MVA transformer</v>
          </cell>
          <cell r="C245">
            <v>1</v>
          </cell>
          <cell r="D245">
            <v>0</v>
          </cell>
          <cell r="E245">
            <v>0</v>
          </cell>
          <cell r="F245">
            <v>0.97</v>
          </cell>
          <cell r="G245">
            <v>0.97</v>
          </cell>
          <cell r="H245">
            <v>0.97</v>
          </cell>
          <cell r="I245">
            <v>0.97</v>
          </cell>
        </row>
        <row r="246">
          <cell r="A246">
            <v>3</v>
          </cell>
          <cell r="B246" t="str">
            <v>220KV CB</v>
          </cell>
          <cell r="C246">
            <v>0</v>
          </cell>
          <cell r="D246">
            <v>0</v>
          </cell>
          <cell r="E246">
            <v>0</v>
          </cell>
          <cell r="F246">
            <v>0.2</v>
          </cell>
          <cell r="G246">
            <v>0</v>
          </cell>
          <cell r="H246">
            <v>0.2</v>
          </cell>
          <cell r="I246">
            <v>0</v>
          </cell>
        </row>
        <row r="247">
          <cell r="A247">
            <v>4</v>
          </cell>
          <cell r="B247" t="str">
            <v>220KV CT</v>
          </cell>
          <cell r="C247">
            <v>0</v>
          </cell>
          <cell r="D247">
            <v>0</v>
          </cell>
          <cell r="E247">
            <v>0</v>
          </cell>
          <cell r="F247">
            <v>4.1000000000000002E-2</v>
          </cell>
          <cell r="G247">
            <v>0</v>
          </cell>
          <cell r="H247">
            <v>4.1000000000000002E-2</v>
          </cell>
          <cell r="I247">
            <v>0</v>
          </cell>
        </row>
        <row r="248">
          <cell r="A248">
            <v>5</v>
          </cell>
          <cell r="B248" t="str">
            <v>220KV Isolator</v>
          </cell>
          <cell r="C248">
            <v>0</v>
          </cell>
          <cell r="D248">
            <v>0</v>
          </cell>
          <cell r="E248">
            <v>0</v>
          </cell>
          <cell r="F248">
            <v>0.09</v>
          </cell>
          <cell r="G248">
            <v>0</v>
          </cell>
          <cell r="H248">
            <v>0.09</v>
          </cell>
          <cell r="I248">
            <v>0</v>
          </cell>
        </row>
        <row r="249">
          <cell r="A249">
            <v>6</v>
          </cell>
          <cell r="B249" t="str">
            <v>220KV LA</v>
          </cell>
          <cell r="C249">
            <v>0</v>
          </cell>
          <cell r="D249">
            <v>0</v>
          </cell>
          <cell r="E249">
            <v>0</v>
          </cell>
          <cell r="F249">
            <v>2.5000000000000001E-2</v>
          </cell>
          <cell r="G249">
            <v>0</v>
          </cell>
          <cell r="H249">
            <v>2.5000000000000001E-2</v>
          </cell>
          <cell r="I249">
            <v>0</v>
          </cell>
        </row>
        <row r="250">
          <cell r="A250">
            <v>7</v>
          </cell>
          <cell r="B250" t="str">
            <v>220KV PT/CVT</v>
          </cell>
          <cell r="C250">
            <v>0</v>
          </cell>
          <cell r="D250">
            <v>0</v>
          </cell>
          <cell r="E250">
            <v>0</v>
          </cell>
          <cell r="F250">
            <v>0.04</v>
          </cell>
          <cell r="G250">
            <v>0</v>
          </cell>
          <cell r="H250">
            <v>0.04</v>
          </cell>
          <cell r="I250">
            <v>0</v>
          </cell>
        </row>
        <row r="251">
          <cell r="A251">
            <v>8</v>
          </cell>
          <cell r="B251" t="str">
            <v>220KV C&amp;R Panel</v>
          </cell>
          <cell r="C251">
            <v>0</v>
          </cell>
          <cell r="D251">
            <v>0</v>
          </cell>
          <cell r="E251">
            <v>0</v>
          </cell>
          <cell r="F251">
            <v>0.18</v>
          </cell>
          <cell r="G251">
            <v>0</v>
          </cell>
          <cell r="H251">
            <v>0.18</v>
          </cell>
          <cell r="I251">
            <v>0</v>
          </cell>
        </row>
        <row r="252">
          <cell r="A252">
            <v>9</v>
          </cell>
          <cell r="B252" t="str">
            <v>220/132/33KV Gantries,Busbar equip.structure erection(in MT)</v>
          </cell>
          <cell r="C252">
            <v>22.567999999999998</v>
          </cell>
          <cell r="D252">
            <v>0</v>
          </cell>
          <cell r="E252">
            <v>0</v>
          </cell>
          <cell r="F252">
            <v>2.5000000000000001E-2</v>
          </cell>
          <cell r="G252">
            <v>0.56419999999999992</v>
          </cell>
          <cell r="H252">
            <v>2.5000000000000001E-2</v>
          </cell>
          <cell r="I252">
            <v>0.56419999999999992</v>
          </cell>
        </row>
        <row r="253">
          <cell r="A253">
            <v>10</v>
          </cell>
          <cell r="B253" t="str">
            <v>PLCC equipments</v>
          </cell>
          <cell r="C253" t="str">
            <v>LS</v>
          </cell>
          <cell r="D253">
            <v>0</v>
          </cell>
          <cell r="E253">
            <v>0</v>
          </cell>
          <cell r="F253">
            <v>0</v>
          </cell>
          <cell r="G253">
            <v>0</v>
          </cell>
          <cell r="H253" t="str">
            <v>LS</v>
          </cell>
          <cell r="I253">
            <v>0</v>
          </cell>
        </row>
        <row r="254">
          <cell r="A254">
            <v>11</v>
          </cell>
          <cell r="B254" t="str">
            <v>220KV PI/Solid Core Insulators</v>
          </cell>
          <cell r="C254">
            <v>0</v>
          </cell>
          <cell r="D254">
            <v>0</v>
          </cell>
          <cell r="E254">
            <v>0</v>
          </cell>
          <cell r="F254">
            <v>7.0000000000000001E-3</v>
          </cell>
          <cell r="G254">
            <v>0</v>
          </cell>
          <cell r="H254">
            <v>7.0000000000000001E-3</v>
          </cell>
          <cell r="I254">
            <v>0</v>
          </cell>
        </row>
        <row r="255">
          <cell r="A255">
            <v>12</v>
          </cell>
          <cell r="B255" t="str">
            <v>220KV wave trap</v>
          </cell>
          <cell r="C255">
            <v>0</v>
          </cell>
          <cell r="D255">
            <v>0</v>
          </cell>
          <cell r="E255">
            <v>0</v>
          </cell>
          <cell r="F255">
            <v>0.04</v>
          </cell>
          <cell r="G255">
            <v>0</v>
          </cell>
          <cell r="H255">
            <v>0.04</v>
          </cell>
          <cell r="I255">
            <v>0</v>
          </cell>
        </row>
        <row r="256">
          <cell r="A256">
            <v>13</v>
          </cell>
          <cell r="B256" t="str">
            <v>132KV CC</v>
          </cell>
          <cell r="C256">
            <v>0</v>
          </cell>
          <cell r="D256">
            <v>0</v>
          </cell>
          <cell r="E256">
            <v>0</v>
          </cell>
          <cell r="F256">
            <v>3.4000000000000002E-2</v>
          </cell>
          <cell r="G256">
            <v>0</v>
          </cell>
          <cell r="H256">
            <v>3.4000000000000002E-2</v>
          </cell>
          <cell r="I256">
            <v>0</v>
          </cell>
        </row>
        <row r="257">
          <cell r="A257">
            <v>14</v>
          </cell>
          <cell r="B257" t="str">
            <v>132KV CB</v>
          </cell>
          <cell r="C257">
            <v>1</v>
          </cell>
          <cell r="D257">
            <v>0</v>
          </cell>
          <cell r="E257">
            <v>0</v>
          </cell>
          <cell r="F257">
            <v>0.16</v>
          </cell>
          <cell r="G257">
            <v>0.16</v>
          </cell>
          <cell r="H257">
            <v>0.16</v>
          </cell>
          <cell r="I257">
            <v>0.16</v>
          </cell>
        </row>
        <row r="258">
          <cell r="A258">
            <v>15</v>
          </cell>
          <cell r="B258" t="str">
            <v>132KV CT</v>
          </cell>
          <cell r="C258">
            <v>3</v>
          </cell>
          <cell r="D258">
            <v>0</v>
          </cell>
          <cell r="E258">
            <v>0</v>
          </cell>
          <cell r="F258">
            <v>3.9E-2</v>
          </cell>
          <cell r="G258">
            <v>0.11699999999999999</v>
          </cell>
          <cell r="H258">
            <v>3.9E-2</v>
          </cell>
          <cell r="I258">
            <v>0.11699999999999999</v>
          </cell>
        </row>
        <row r="259">
          <cell r="A259">
            <v>16</v>
          </cell>
          <cell r="B259" t="str">
            <v>132KV Isolators</v>
          </cell>
          <cell r="C259">
            <v>3</v>
          </cell>
          <cell r="D259">
            <v>0</v>
          </cell>
          <cell r="E259">
            <v>0</v>
          </cell>
          <cell r="F259">
            <v>7.0000000000000007E-2</v>
          </cell>
          <cell r="G259">
            <v>0.21000000000000002</v>
          </cell>
          <cell r="H259">
            <v>7.0000000000000007E-2</v>
          </cell>
          <cell r="I259">
            <v>0.21000000000000002</v>
          </cell>
        </row>
        <row r="260">
          <cell r="A260">
            <v>17</v>
          </cell>
          <cell r="B260" t="str">
            <v>132KV LA</v>
          </cell>
          <cell r="C260">
            <v>3</v>
          </cell>
          <cell r="D260">
            <v>0</v>
          </cell>
          <cell r="E260">
            <v>0</v>
          </cell>
          <cell r="F260">
            <v>1.7000000000000001E-2</v>
          </cell>
          <cell r="G260">
            <v>5.1000000000000004E-2</v>
          </cell>
          <cell r="H260">
            <v>1.7000000000000001E-2</v>
          </cell>
          <cell r="I260">
            <v>5.1000000000000004E-2</v>
          </cell>
        </row>
        <row r="261">
          <cell r="A261">
            <v>18</v>
          </cell>
          <cell r="B261" t="str">
            <v>132KV C&amp;R Panel</v>
          </cell>
          <cell r="C261">
            <v>1</v>
          </cell>
          <cell r="D261">
            <v>0</v>
          </cell>
          <cell r="E261">
            <v>0</v>
          </cell>
          <cell r="F261">
            <v>0.14000000000000001</v>
          </cell>
          <cell r="G261">
            <v>0.14000000000000001</v>
          </cell>
          <cell r="H261">
            <v>0.14000000000000001</v>
          </cell>
          <cell r="I261">
            <v>0.14000000000000001</v>
          </cell>
        </row>
        <row r="262">
          <cell r="A262">
            <v>19</v>
          </cell>
          <cell r="B262" t="str">
            <v>132KV PI/Solid Core Insulator</v>
          </cell>
          <cell r="C262">
            <v>6</v>
          </cell>
          <cell r="D262">
            <v>0</v>
          </cell>
          <cell r="E262">
            <v>0</v>
          </cell>
          <cell r="F262">
            <v>5.0000000000000001E-3</v>
          </cell>
          <cell r="G262">
            <v>0.03</v>
          </cell>
          <cell r="H262">
            <v>5.0000000000000001E-3</v>
          </cell>
          <cell r="I262">
            <v>0.03</v>
          </cell>
        </row>
        <row r="263">
          <cell r="A263">
            <v>20</v>
          </cell>
          <cell r="B263" t="str">
            <v>132KV PT</v>
          </cell>
          <cell r="C263">
            <v>0</v>
          </cell>
          <cell r="D263">
            <v>0</v>
          </cell>
          <cell r="E263">
            <v>0</v>
          </cell>
          <cell r="F263">
            <v>3.4000000000000002E-2</v>
          </cell>
          <cell r="G263">
            <v>0</v>
          </cell>
          <cell r="H263">
            <v>3.4000000000000002E-2</v>
          </cell>
          <cell r="I263">
            <v>0</v>
          </cell>
        </row>
        <row r="264">
          <cell r="A264">
            <v>21</v>
          </cell>
          <cell r="B264" t="str">
            <v>33KV CB</v>
          </cell>
          <cell r="C264">
            <v>1</v>
          </cell>
          <cell r="D264">
            <v>0</v>
          </cell>
          <cell r="E264">
            <v>0</v>
          </cell>
          <cell r="F264">
            <v>8.2000000000000003E-2</v>
          </cell>
          <cell r="G264">
            <v>8.2000000000000003E-2</v>
          </cell>
          <cell r="H264">
            <v>8.2000000000000003E-2</v>
          </cell>
          <cell r="I264">
            <v>8.2000000000000003E-2</v>
          </cell>
        </row>
        <row r="265">
          <cell r="A265">
            <v>22</v>
          </cell>
          <cell r="B265" t="str">
            <v>33KV CT</v>
          </cell>
          <cell r="C265">
            <v>3</v>
          </cell>
          <cell r="D265">
            <v>0</v>
          </cell>
          <cell r="E265">
            <v>0</v>
          </cell>
          <cell r="F265">
            <v>0.03</v>
          </cell>
          <cell r="G265">
            <v>0.09</v>
          </cell>
          <cell r="H265">
            <v>0.03</v>
          </cell>
          <cell r="I265">
            <v>0.09</v>
          </cell>
        </row>
        <row r="266">
          <cell r="A266">
            <v>23</v>
          </cell>
          <cell r="B266" t="str">
            <v>33KV PT</v>
          </cell>
          <cell r="C266">
            <v>0</v>
          </cell>
          <cell r="D266">
            <v>0</v>
          </cell>
          <cell r="E266">
            <v>0</v>
          </cell>
          <cell r="F266">
            <v>0.03</v>
          </cell>
          <cell r="G266">
            <v>0</v>
          </cell>
          <cell r="H266">
            <v>0.03</v>
          </cell>
          <cell r="I266">
            <v>0</v>
          </cell>
        </row>
        <row r="267">
          <cell r="A267">
            <v>24</v>
          </cell>
          <cell r="B267" t="str">
            <v>33KV Isolator</v>
          </cell>
          <cell r="C267">
            <v>2</v>
          </cell>
          <cell r="D267">
            <v>0</v>
          </cell>
          <cell r="E267">
            <v>0</v>
          </cell>
          <cell r="F267">
            <v>4.7E-2</v>
          </cell>
          <cell r="G267">
            <v>9.4E-2</v>
          </cell>
          <cell r="H267">
            <v>4.7E-2</v>
          </cell>
          <cell r="I267">
            <v>9.4E-2</v>
          </cell>
        </row>
        <row r="268">
          <cell r="A268">
            <v>25</v>
          </cell>
          <cell r="B268" t="str">
            <v>33KV LA</v>
          </cell>
          <cell r="C268">
            <v>3</v>
          </cell>
          <cell r="D268">
            <v>0</v>
          </cell>
          <cell r="E268">
            <v>0</v>
          </cell>
          <cell r="F268">
            <v>1.0999999999999999E-2</v>
          </cell>
          <cell r="G268">
            <v>3.3000000000000002E-2</v>
          </cell>
          <cell r="H268">
            <v>1.0999999999999999E-2</v>
          </cell>
          <cell r="I268">
            <v>3.3000000000000002E-2</v>
          </cell>
        </row>
        <row r="269">
          <cell r="A269">
            <v>26</v>
          </cell>
          <cell r="B269" t="str">
            <v>33KV C&amp;R Panel</v>
          </cell>
          <cell r="C269">
            <v>1</v>
          </cell>
          <cell r="D269">
            <v>0</v>
          </cell>
          <cell r="E269">
            <v>0</v>
          </cell>
          <cell r="F269">
            <v>0.13</v>
          </cell>
          <cell r="G269">
            <v>0.13</v>
          </cell>
          <cell r="H269">
            <v>0.13</v>
          </cell>
          <cell r="I269">
            <v>0.13</v>
          </cell>
        </row>
        <row r="270">
          <cell r="A270">
            <v>27</v>
          </cell>
          <cell r="B270" t="str">
            <v>33KV PI/Solid Core Insulators</v>
          </cell>
          <cell r="C270">
            <v>0</v>
          </cell>
          <cell r="D270">
            <v>0</v>
          </cell>
          <cell r="E270">
            <v>0</v>
          </cell>
          <cell r="F270">
            <v>3.0000000000000001E-3</v>
          </cell>
          <cell r="G270">
            <v>0</v>
          </cell>
          <cell r="H270">
            <v>3.0000000000000001E-3</v>
          </cell>
          <cell r="I270">
            <v>0</v>
          </cell>
        </row>
        <row r="271">
          <cell r="A271">
            <v>28</v>
          </cell>
          <cell r="B271" t="str">
            <v>Station Transformer,</v>
          </cell>
          <cell r="C271">
            <v>0</v>
          </cell>
          <cell r="D271">
            <v>0</v>
          </cell>
          <cell r="E271">
            <v>0</v>
          </cell>
          <cell r="F271">
            <v>7.0000000000000007E-2</v>
          </cell>
          <cell r="G271">
            <v>0</v>
          </cell>
          <cell r="H271">
            <v>7.0000000000000007E-2</v>
          </cell>
          <cell r="I271">
            <v>0</v>
          </cell>
        </row>
        <row r="272">
          <cell r="A272">
            <v>29</v>
          </cell>
          <cell r="B272" t="str">
            <v>Cable laying &amp; associated works</v>
          </cell>
          <cell r="C272" t="str">
            <v>LS</v>
          </cell>
          <cell r="D272">
            <v>0</v>
          </cell>
          <cell r="E272">
            <v>0</v>
          </cell>
          <cell r="F272">
            <v>0.2</v>
          </cell>
          <cell r="G272">
            <v>0.2</v>
          </cell>
          <cell r="H272" t="str">
            <v>LS</v>
          </cell>
          <cell r="I272">
            <v>0.2</v>
          </cell>
        </row>
        <row r="273">
          <cell r="A273">
            <v>30</v>
          </cell>
          <cell r="B273" t="str">
            <v>Earthing works</v>
          </cell>
          <cell r="C273" t="str">
            <v>LS</v>
          </cell>
          <cell r="D273">
            <v>0</v>
          </cell>
          <cell r="E273">
            <v>0</v>
          </cell>
          <cell r="F273">
            <v>0.2</v>
          </cell>
          <cell r="G273">
            <v>0.2</v>
          </cell>
          <cell r="H273" t="str">
            <v>LS</v>
          </cell>
          <cell r="I273">
            <v>0.2</v>
          </cell>
        </row>
        <row r="274">
          <cell r="A274">
            <v>31</v>
          </cell>
          <cell r="B274" t="str">
            <v>AC/DC Board</v>
          </cell>
          <cell r="C274">
            <v>0</v>
          </cell>
          <cell r="D274">
            <v>0</v>
          </cell>
          <cell r="E274">
            <v>0</v>
          </cell>
          <cell r="F274">
            <v>0.13100000000000001</v>
          </cell>
          <cell r="G274">
            <v>0</v>
          </cell>
          <cell r="H274">
            <v>0.13100000000000001</v>
          </cell>
          <cell r="I274">
            <v>0</v>
          </cell>
        </row>
        <row r="275">
          <cell r="A275">
            <v>32</v>
          </cell>
          <cell r="B275" t="str">
            <v>Fitting of lighting fixtures</v>
          </cell>
          <cell r="C275" t="str">
            <v>LS</v>
          </cell>
          <cell r="D275">
            <v>0</v>
          </cell>
          <cell r="E275">
            <v>0</v>
          </cell>
          <cell r="F275">
            <v>0.1</v>
          </cell>
          <cell r="G275">
            <v>0.1</v>
          </cell>
          <cell r="H275" t="str">
            <v>LS</v>
          </cell>
          <cell r="I275">
            <v>0.1</v>
          </cell>
        </row>
        <row r="276">
          <cell r="A276">
            <v>33</v>
          </cell>
          <cell r="B276" t="str">
            <v>110V 300Ah battery</v>
          </cell>
          <cell r="C276">
            <v>0</v>
          </cell>
          <cell r="D276">
            <v>0</v>
          </cell>
          <cell r="E276">
            <v>0</v>
          </cell>
          <cell r="F276">
            <v>0.14000000000000001</v>
          </cell>
          <cell r="G276">
            <v>0</v>
          </cell>
          <cell r="H276">
            <v>0.14000000000000001</v>
          </cell>
          <cell r="I276">
            <v>0</v>
          </cell>
        </row>
        <row r="277">
          <cell r="A277">
            <v>34</v>
          </cell>
          <cell r="B277" t="str">
            <v>110V 300Ah battery charger</v>
          </cell>
          <cell r="C277">
            <v>0</v>
          </cell>
          <cell r="D277">
            <v>0</v>
          </cell>
          <cell r="E277">
            <v>0</v>
          </cell>
          <cell r="F277">
            <v>9.5000000000000001E-2</v>
          </cell>
          <cell r="G277">
            <v>0</v>
          </cell>
          <cell r="H277">
            <v>9.5000000000000001E-2</v>
          </cell>
          <cell r="I277">
            <v>0</v>
          </cell>
        </row>
        <row r="278">
          <cell r="A278">
            <v>35</v>
          </cell>
          <cell r="B278" t="str">
            <v>48V 200Ah battery</v>
          </cell>
          <cell r="C278">
            <v>0</v>
          </cell>
          <cell r="D278">
            <v>0</v>
          </cell>
          <cell r="E278">
            <v>0</v>
          </cell>
          <cell r="F278">
            <v>0.1</v>
          </cell>
          <cell r="G278">
            <v>0</v>
          </cell>
          <cell r="H278">
            <v>0.1</v>
          </cell>
          <cell r="I278">
            <v>0</v>
          </cell>
        </row>
        <row r="279">
          <cell r="A279">
            <v>36</v>
          </cell>
          <cell r="B279" t="str">
            <v>48V 200Ah battery charger</v>
          </cell>
          <cell r="C279">
            <v>0</v>
          </cell>
          <cell r="D279">
            <v>0</v>
          </cell>
          <cell r="E279">
            <v>0</v>
          </cell>
          <cell r="F279">
            <v>8.5000000000000006E-2</v>
          </cell>
          <cell r="G279">
            <v>0</v>
          </cell>
          <cell r="H279">
            <v>8.5000000000000006E-2</v>
          </cell>
          <cell r="I279">
            <v>0</v>
          </cell>
        </row>
        <row r="280">
          <cell r="A280">
            <v>37</v>
          </cell>
          <cell r="B280" t="str">
            <v xml:space="preserve">Stringing &amp; Jumpering </v>
          </cell>
          <cell r="C280" t="str">
            <v>LS</v>
          </cell>
          <cell r="D280">
            <v>0</v>
          </cell>
          <cell r="E280">
            <v>0</v>
          </cell>
          <cell r="F280">
            <v>0.5</v>
          </cell>
          <cell r="G280">
            <v>0.5</v>
          </cell>
          <cell r="H280" t="str">
            <v>LS</v>
          </cell>
          <cell r="I280">
            <v>0.5</v>
          </cell>
        </row>
        <row r="281">
          <cell r="A281">
            <v>38</v>
          </cell>
          <cell r="B281" t="str">
            <v>Testing &amp; Commissioning &amp; misc.expenditure</v>
          </cell>
          <cell r="C281" t="str">
            <v>LS</v>
          </cell>
          <cell r="D281">
            <v>0</v>
          </cell>
          <cell r="E281">
            <v>0</v>
          </cell>
          <cell r="F281">
            <v>0.1</v>
          </cell>
          <cell r="G281">
            <v>0.1</v>
          </cell>
          <cell r="H281" t="str">
            <v>LS</v>
          </cell>
          <cell r="I281">
            <v>0.1</v>
          </cell>
        </row>
        <row r="282">
          <cell r="A282">
            <v>38</v>
          </cell>
          <cell r="B282" t="str">
            <v>Testing &amp; Commissioning &amp; misc.expenditure</v>
          </cell>
          <cell r="C282" t="str">
            <v>LS</v>
          </cell>
          <cell r="D282">
            <v>0</v>
          </cell>
          <cell r="E282">
            <v>0</v>
          </cell>
          <cell r="F282">
            <v>0.1</v>
          </cell>
          <cell r="G282">
            <v>0.1</v>
          </cell>
          <cell r="H282" t="str">
            <v>LS</v>
          </cell>
          <cell r="I282">
            <v>0.1</v>
          </cell>
        </row>
        <row r="283">
          <cell r="E283">
            <v>0</v>
          </cell>
          <cell r="F283">
            <v>0.1</v>
          </cell>
          <cell r="G283">
            <v>0.1</v>
          </cell>
          <cell r="H283" t="str">
            <v>LS</v>
          </cell>
          <cell r="I283">
            <v>0.1</v>
          </cell>
        </row>
        <row r="284">
          <cell r="B284" t="str">
            <v>SUB TOTAL (J)</v>
          </cell>
          <cell r="C284">
            <v>0</v>
          </cell>
          <cell r="D284">
            <v>0</v>
          </cell>
          <cell r="E284">
            <v>0</v>
          </cell>
          <cell r="F284">
            <v>0</v>
          </cell>
          <cell r="G284">
            <v>3.7711999999999999</v>
          </cell>
          <cell r="H284">
            <v>0</v>
          </cell>
          <cell r="I284">
            <v>3.7711999999999999</v>
          </cell>
        </row>
      </sheetData>
      <sheetData sheetId="13">
        <row r="38">
          <cell r="A38" t="str">
            <v xml:space="preserve">ESTIMATE FOR INSTALLATION OF ADDITIONAL 1X40MVA 132/33KV TRANSFORMER AT EXISTING EHV SUBSTATION </v>
          </cell>
        </row>
      </sheetData>
      <sheetData sheetId="14">
        <row r="38">
          <cell r="A38" t="str">
            <v xml:space="preserve">ESTIMATE FOR INSTALLATION OF ADDITIONAL 1X40MVA 132/33KV TRANSFORMER AT EXISTING EHV SUBSTATION </v>
          </cell>
        </row>
      </sheetData>
      <sheetData sheetId="15">
        <row r="38">
          <cell r="A38" t="str">
            <v xml:space="preserve">ESTIMATE FOR INSTALLATION OF ADDITIONAL 1X40MVA 132/33KV TRANSFORMER AT EXISTING EHV SUBSTATION </v>
          </cell>
        </row>
      </sheetData>
      <sheetData sheetId="16">
        <row r="38">
          <cell r="A38" t="str">
            <v xml:space="preserve">ESTIMATE FOR INSTALLATION OF ADDITIONAL 1X40MVA 132/33KV TRANSFORMER AT EXISTING EHV SUBSTATION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38">
          <cell r="A38" t="str">
            <v xml:space="preserve">ESTIMATE FOR INSTALLATION OF ADDITIONAL 1X40MVA 132/33KV TRANSFORMER AT EXISTING EHV SUBSTATION </v>
          </cell>
        </row>
      </sheetData>
      <sheetData sheetId="35">
        <row r="38">
          <cell r="A38" t="str">
            <v xml:space="preserve">ESTIMATE FOR INSTALLATION OF ADDITIONAL 1X40MVA 132/33KV TRANSFORMER AT EXISTING EHV SUBSTATION </v>
          </cell>
        </row>
      </sheetData>
      <sheetData sheetId="36">
        <row r="38">
          <cell r="A38" t="str">
            <v xml:space="preserve">ESTIMATE FOR INSTALLATION OF ADDITIONAL 1X40MVA 132/33KV TRANSFORMER AT EXISTING EHV SUBSTATION </v>
          </cell>
        </row>
      </sheetData>
      <sheetData sheetId="37">
        <row r="38">
          <cell r="A38" t="str">
            <v xml:space="preserve">ESTIMATE FOR INSTALLATION OF ADDITIONAL 1X40MVA 132/33KV TRANSFORMER AT EXISTING EHV SUBSTATION </v>
          </cell>
        </row>
      </sheetData>
      <sheetData sheetId="38">
        <row r="38">
          <cell r="A38" t="str">
            <v xml:space="preserve">ESTIMATE FOR INSTALLATION OF ADDITIONAL 1X40MVA 132/33KV TRANSFORMER AT EXISTING EHV SUBSTATION </v>
          </cell>
        </row>
      </sheetData>
      <sheetData sheetId="39">
        <row r="38">
          <cell r="A38" t="str">
            <v xml:space="preserve">ESTIMATE FOR INSTALLATION OF ADDITIONAL 1X40MVA 132/33KV TRANSFORMER AT EXISTING EHV SUBSTATION </v>
          </cell>
        </row>
      </sheetData>
      <sheetData sheetId="40">
        <row r="38">
          <cell r="A38" t="str">
            <v xml:space="preserve">ESTIMATE FOR INSTALLATION OF ADDITIONAL 1X40MVA 132/33KV TRANSFORMER AT EXISTING EHV SUBSTATION </v>
          </cell>
        </row>
      </sheetData>
      <sheetData sheetId="41">
        <row r="38">
          <cell r="A38" t="str">
            <v xml:space="preserve">ESTIMATE FOR INSTALLATION OF ADDITIONAL 1X40MVA 132/33KV TRANSFORMER AT EXISTING EHV SUBSTATION </v>
          </cell>
        </row>
      </sheetData>
      <sheetData sheetId="42">
        <row r="38">
          <cell r="A38" t="str">
            <v xml:space="preserve">ESTIMATE FOR INSTALLATION OF ADDITIONAL 1X40MVA 132/33KV TRANSFORMER AT EXISTING EHV SUBSTATION </v>
          </cell>
        </row>
      </sheetData>
      <sheetData sheetId="43">
        <row r="38">
          <cell r="A38" t="str">
            <v xml:space="preserve">ESTIMATE FOR INSTALLATION OF ADDITIONAL 1X40MVA 132/33KV TRANSFORMER AT EXISTING EHV SUBSTATION </v>
          </cell>
        </row>
      </sheetData>
      <sheetData sheetId="44">
        <row r="38">
          <cell r="A38" t="str">
            <v xml:space="preserve">ESTIMATE FOR INSTALLATION OF ADDITIONAL 1X40MVA 132/33KV TRANSFORMER AT EXISTING EHV SUBSTATION </v>
          </cell>
        </row>
      </sheetData>
      <sheetData sheetId="45" refreshError="1"/>
      <sheetData sheetId="46" refreshError="1"/>
      <sheetData sheetId="47" refreshError="1"/>
      <sheetData sheetId="48" refreshError="1"/>
      <sheetData sheetId="49">
        <row r="38">
          <cell r="A38" t="str">
            <v xml:space="preserve">ESTIMATE FOR INSTALLATION OF ADDITIONAL 1X40MVA 132/33KV TRANSFORMER AT EXISTING EHV SUBSTATION </v>
          </cell>
        </row>
      </sheetData>
      <sheetData sheetId="50">
        <row r="38">
          <cell r="A38" t="str">
            <v xml:space="preserve">ESTIMATE FOR INSTALLATION OF ADDITIONAL 1X40MVA 132/33KV TRANSFORMER AT EXISTING EHV SUBSTATION </v>
          </cell>
        </row>
      </sheetData>
      <sheetData sheetId="51">
        <row r="38">
          <cell r="A38" t="str">
            <v xml:space="preserve">ESTIMATE FOR INSTALLATION OF ADDITIONAL 1X40MVA 132/33KV TRANSFORMER AT EXISTING EHV SUBSTATION </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38">
          <cell r="A38">
            <v>0</v>
          </cell>
        </row>
      </sheetData>
      <sheetData sheetId="65">
        <row r="38">
          <cell r="A38" t="str">
            <v xml:space="preserve">ESTIMATE FOR INSTALLATION OF ADDITIONAL 1X40MVA 132/33KV TRANSFORMER AT EXISTING EHV SUBSTATION </v>
          </cell>
        </row>
      </sheetData>
      <sheetData sheetId="66">
        <row r="38">
          <cell r="A38">
            <v>0</v>
          </cell>
        </row>
      </sheetData>
      <sheetData sheetId="67">
        <row r="38">
          <cell r="A38">
            <v>0</v>
          </cell>
        </row>
      </sheetData>
      <sheetData sheetId="68">
        <row r="38">
          <cell r="A38" t="str">
            <v xml:space="preserve">ESTIMATE FOR INSTALLATION OF ADDITIONAL 1X40MVA 132/33KV TRANSFORMER AT EXISTING EHV SUBSTATION </v>
          </cell>
        </row>
      </sheetData>
      <sheetData sheetId="69">
        <row r="38">
          <cell r="A38" t="str">
            <v xml:space="preserve">ESTIMATE FOR INSTALLATION OF ADDITIONAL 1X40MVA 132/33KV TRANSFORMER AT EXISTING EHV SUBSTATION </v>
          </cell>
        </row>
      </sheetData>
      <sheetData sheetId="70">
        <row r="38">
          <cell r="A38" t="str">
            <v xml:space="preserve">ESTIMATE FOR INSTALLATION OF ADDITIONAL 1X40MVA 132/33KV TRANSFORMER AT EXISTING EHV SUBSTATION </v>
          </cell>
        </row>
      </sheetData>
      <sheetData sheetId="71">
        <row r="38">
          <cell r="A38" t="str">
            <v xml:space="preserve">ESTIMATE FOR INSTALLATION OF ADDITIONAL 1X40MVA 132/33KV TRANSFORMER AT EXISTING EHV SUBSTATION </v>
          </cell>
        </row>
      </sheetData>
      <sheetData sheetId="72">
        <row r="38">
          <cell r="A38" t="str">
            <v xml:space="preserve">ESTIMATE FOR INSTALLATION OF ADDITIONAL 1X40MVA 132/33KV TRANSFORMER AT EXISTING EHV SUBSTATION </v>
          </cell>
        </row>
      </sheetData>
      <sheetData sheetId="73">
        <row r="38">
          <cell r="A38" t="str">
            <v xml:space="preserve">ESTIMATE FOR INSTALLATION OF ADDITIONAL 1X40MVA 132/33KV TRANSFORMER AT EXISTING EHV SUBSTATION </v>
          </cell>
        </row>
      </sheetData>
      <sheetData sheetId="74">
        <row r="38">
          <cell r="A38" t="str">
            <v xml:space="preserve">ESTIMATE FOR INSTALLATION OF ADDITIONAL 1X40MVA 132/33KV TRANSFORMER AT EXISTING EHV SUBSTATION </v>
          </cell>
        </row>
      </sheetData>
      <sheetData sheetId="75">
        <row r="38">
          <cell r="A38" t="str">
            <v xml:space="preserve">ESTIMATE FOR INSTALLATION OF ADDITIONAL 1X40MVA 132/33KV TRANSFORMER AT EXISTING EHV SUBSTATION </v>
          </cell>
        </row>
      </sheetData>
      <sheetData sheetId="76">
        <row r="38">
          <cell r="A38" t="str">
            <v xml:space="preserve">ESTIMATE FOR INSTALLATION OF ADDITIONAL 1X40MVA 132/33KV TRANSFORMER AT EXISTING EHV SUBSTATION </v>
          </cell>
        </row>
      </sheetData>
      <sheetData sheetId="77">
        <row r="38">
          <cell r="A38" t="str">
            <v xml:space="preserve">ESTIMATE FOR INSTALLATION OF ADDITIONAL 1X40MVA 132/33KV TRANSFORMER AT EXISTING EHV SUBSTATION </v>
          </cell>
        </row>
      </sheetData>
      <sheetData sheetId="78">
        <row r="38">
          <cell r="A38" t="str">
            <v xml:space="preserve">ESTIMATE FOR INSTALLATION OF ADDITIONAL 1X40MVA 132/33KV TRANSFORMER AT EXISTING EHV SUBSTATION </v>
          </cell>
        </row>
      </sheetData>
      <sheetData sheetId="79">
        <row r="38">
          <cell r="A38" t="str">
            <v xml:space="preserve">ESTIMATE FOR INSTALLATION OF ADDITIONAL 1X40MVA 132/33KV TRANSFORMER AT EXISTING EHV SUBSTATION </v>
          </cell>
        </row>
      </sheetData>
      <sheetData sheetId="80">
        <row r="38">
          <cell r="A38" t="str">
            <v xml:space="preserve">ESTIMATE FOR INSTALLATION OF ADDITIONAL 1X40MVA 132/33KV TRANSFORMER AT EXISTING EHV SUBSTATION </v>
          </cell>
        </row>
      </sheetData>
      <sheetData sheetId="81">
        <row r="38">
          <cell r="A38">
            <v>0</v>
          </cell>
        </row>
      </sheetData>
      <sheetData sheetId="82">
        <row r="38">
          <cell r="A38" t="str">
            <v xml:space="preserve">ESTIMATE FOR INSTALLATION OF ADDITIONAL 1X40MVA 132/33KV TRANSFORMER AT EXISTING EHV SUBSTATION </v>
          </cell>
        </row>
      </sheetData>
      <sheetData sheetId="83">
        <row r="38">
          <cell r="A38" t="str">
            <v xml:space="preserve">ESTIMATE FOR INSTALLATION OF ADDITIONAL 1X40MVA 132/33KV TRANSFORMER AT EXISTING EHV SUBSTATION </v>
          </cell>
        </row>
      </sheetData>
      <sheetData sheetId="84">
        <row r="38">
          <cell r="A38" t="str">
            <v xml:space="preserve">ESTIMATE FOR INSTALLATION OF ADDITIONAL 1X40MVA 132/33KV TRANSFORMER AT EXISTING EHV SUBSTATION </v>
          </cell>
        </row>
      </sheetData>
      <sheetData sheetId="85">
        <row r="38">
          <cell r="A38" t="str">
            <v xml:space="preserve">ESTIMATE FOR INSTALLATION OF ADDITIONAL 1X40MVA 132/33KV TRANSFORMER AT EXISTING EHV SUBSTATION </v>
          </cell>
        </row>
      </sheetData>
      <sheetData sheetId="86">
        <row r="38">
          <cell r="A38">
            <v>0</v>
          </cell>
        </row>
      </sheetData>
      <sheetData sheetId="87">
        <row r="38">
          <cell r="A38" t="str">
            <v xml:space="preserve">ESTIMATE FOR INSTALLATION OF ADDITIONAL 1X40MVA 132/33KV TRANSFORMER AT EXISTING EHV SUBSTATION </v>
          </cell>
        </row>
      </sheetData>
      <sheetData sheetId="88">
        <row r="38">
          <cell r="A38">
            <v>0</v>
          </cell>
        </row>
      </sheetData>
      <sheetData sheetId="89">
        <row r="38">
          <cell r="A38" t="str">
            <v xml:space="preserve">ESTIMATE FOR INSTALLATION OF ADDITIONAL 1X40MVA 132/33KV TRANSFORMER AT EXISTING EHV SUBSTATION </v>
          </cell>
        </row>
      </sheetData>
      <sheetData sheetId="90">
        <row r="38">
          <cell r="A38" t="str">
            <v xml:space="preserve">ESTIMATE FOR INSTALLATION OF ADDITIONAL 1X40MVA 132/33KV TRANSFORMER AT EXISTING EHV SUBSTATION </v>
          </cell>
        </row>
      </sheetData>
      <sheetData sheetId="91">
        <row r="38">
          <cell r="A38" t="str">
            <v xml:space="preserve">ESTIMATE FOR INSTALLATION OF ADDITIONAL 1X40MVA 132/33KV TRANSFORMER AT EXISTING EHV SUBSTATION </v>
          </cell>
        </row>
      </sheetData>
      <sheetData sheetId="92">
        <row r="38">
          <cell r="A38" t="str">
            <v xml:space="preserve">ESTIMATE FOR INSTALLATION OF ADDITIONAL 1X40MVA 132/33KV TRANSFORMER AT EXISTING EHV SUBSTATION </v>
          </cell>
        </row>
      </sheetData>
      <sheetData sheetId="93">
        <row r="38">
          <cell r="A38" t="str">
            <v xml:space="preserve">ESTIMATE FOR INSTALLATION OF ADDITIONAL 1X40MVA 132/33KV TRANSFORMER AT EXISTING EHV SUBSTATION </v>
          </cell>
        </row>
      </sheetData>
      <sheetData sheetId="94">
        <row r="38">
          <cell r="A38" t="str">
            <v xml:space="preserve">ESTIMATE FOR INSTALLATION OF ADDITIONAL 1X40MVA 132/33KV TRANSFORMER AT EXISTING EHV SUBSTATION </v>
          </cell>
        </row>
      </sheetData>
      <sheetData sheetId="95">
        <row r="38">
          <cell r="A38" t="str">
            <v xml:space="preserve">ESTIMATE FOR INSTALLATION OF ADDITIONAL 1X40MVA 132/33KV TRANSFORMER AT EXISTING EHV SUBSTATION </v>
          </cell>
        </row>
      </sheetData>
      <sheetData sheetId="96">
        <row r="38">
          <cell r="A38" t="str">
            <v xml:space="preserve">ESTIMATE FOR INSTALLATION OF ADDITIONAL 1X40MVA 132/33KV TRANSFORMER AT EXISTING EHV SUBSTATION </v>
          </cell>
        </row>
      </sheetData>
      <sheetData sheetId="97">
        <row r="38">
          <cell r="A38" t="str">
            <v xml:space="preserve">ESTIMATE FOR INSTALLATION OF ADDITIONAL 1X40MVA 132/33KV TRANSFORMER AT EXISTING EHV SUBSTATION </v>
          </cell>
        </row>
      </sheetData>
      <sheetData sheetId="98">
        <row r="38">
          <cell r="A38" t="str">
            <v xml:space="preserve">ESTIMATE FOR INSTALLATION OF ADDITIONAL 1X40MVA 132/33KV TRANSFORMER AT EXISTING EHV SUBSTATION </v>
          </cell>
        </row>
      </sheetData>
      <sheetData sheetId="99">
        <row r="38">
          <cell r="A38" t="str">
            <v xml:space="preserve">ESTIMATE FOR INSTALLATION OF ADDITIONAL 1X40MVA 132/33KV TRANSFORMER AT EXISTING EHV SUBSTATION </v>
          </cell>
        </row>
      </sheetData>
      <sheetData sheetId="100">
        <row r="38">
          <cell r="A38" t="str">
            <v xml:space="preserve">ESTIMATE FOR INSTALLATION OF ADDITIONAL 1X40MVA 132/33KV TRANSFORMER AT EXISTING EHV SUBSTATION </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ow r="38">
          <cell r="A38" t="str">
            <v xml:space="preserve">ESTIMATE FOR INSTALLATION OF ADDITIONAL 1X40MVA 132/33KV TRANSFORMER AT EXISTING EHV SUBSTATION </v>
          </cell>
        </row>
      </sheetData>
      <sheetData sheetId="132">
        <row r="38">
          <cell r="A38" t="str">
            <v xml:space="preserve">ESTIMATE FOR INSTALLATION OF ADDITIONAL 1X40MVA 132/33KV TRANSFORMER AT EXISTING EHV SUBSTATION </v>
          </cell>
        </row>
      </sheetData>
      <sheetData sheetId="133">
        <row r="38">
          <cell r="A38" t="str">
            <v xml:space="preserve">ESTIMATE FOR INSTALLATION OF ADDITIONAL 1X40MVA 132/33KV TRANSFORMER AT EXISTING EHV SUBSTATION </v>
          </cell>
        </row>
      </sheetData>
      <sheetData sheetId="134">
        <row r="38">
          <cell r="A38" t="str">
            <v xml:space="preserve">ESTIMATE FOR INSTALLATION OF ADDITIONAL 1X40MVA 132/33KV TRANSFORMER AT EXISTING EHV SUBSTATION </v>
          </cell>
        </row>
      </sheetData>
      <sheetData sheetId="135">
        <row r="38">
          <cell r="A38" t="str">
            <v xml:space="preserve">ESTIMATE FOR INSTALLATION OF ADDITIONAL 1X40MVA 132/33KV TRANSFORMER AT EXISTING EHV SUBSTATION </v>
          </cell>
        </row>
      </sheetData>
      <sheetData sheetId="136">
        <row r="38">
          <cell r="A38" t="str">
            <v xml:space="preserve">ESTIMATE FOR INSTALLATION OF ADDITIONAL 1X40MVA 132/33KV TRANSFORMER AT EXISTING EHV SUBSTATION </v>
          </cell>
        </row>
      </sheetData>
      <sheetData sheetId="137">
        <row r="38">
          <cell r="A38" t="str">
            <v xml:space="preserve">ESTIMATE FOR INSTALLATION OF ADDITIONAL 1X40MVA 132/33KV TRANSFORMER AT EXISTING EHV SUBSTATION </v>
          </cell>
        </row>
      </sheetData>
      <sheetData sheetId="138">
        <row r="38">
          <cell r="A38" t="str">
            <v xml:space="preserve">ESTIMATE FOR INSTALLATION OF ADDITIONAL 1X40MVA 132/33KV TRANSFORMER AT EXISTING EHV SUBSTATION </v>
          </cell>
        </row>
      </sheetData>
      <sheetData sheetId="139">
        <row r="38">
          <cell r="A38" t="str">
            <v xml:space="preserve">ESTIMATE FOR INSTALLATION OF ADDITIONAL 1X40MVA 132/33KV TRANSFORMER AT EXISTING EHV SUBSTATION </v>
          </cell>
        </row>
      </sheetData>
      <sheetData sheetId="140">
        <row r="38">
          <cell r="A38" t="str">
            <v xml:space="preserve">ESTIMATE FOR INSTALLATION OF ADDITIONAL 1X40MVA 132/33KV TRANSFORMER AT EXISTING EHV SUBSTATION </v>
          </cell>
        </row>
      </sheetData>
      <sheetData sheetId="141">
        <row r="38">
          <cell r="A38" t="str">
            <v xml:space="preserve">ESTIMATE FOR INSTALLATION OF ADDITIONAL 1X40MVA 132/33KV TRANSFORMER AT EXISTING EHV SUBSTATION </v>
          </cell>
        </row>
      </sheetData>
      <sheetData sheetId="142">
        <row r="38">
          <cell r="A38" t="str">
            <v xml:space="preserve">ESTIMATE FOR INSTALLATION OF ADDITIONAL 1X40MVA 132/33KV TRANSFORMER AT EXISTING EHV SUBSTATION </v>
          </cell>
        </row>
      </sheetData>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ow r="38">
          <cell r="A38" t="str">
            <v xml:space="preserve">ESTIMATE FOR INSTALLATION OF ADDITIONAL 1X40MVA 132/33KV TRANSFORMER AT EXISTING EHV SUBSTATION </v>
          </cell>
        </row>
      </sheetData>
      <sheetData sheetId="154">
        <row r="38">
          <cell r="A38">
            <v>0</v>
          </cell>
        </row>
      </sheetData>
      <sheetData sheetId="155">
        <row r="38">
          <cell r="A38" t="str">
            <v xml:space="preserve">ESTIMATE FOR INSTALLATION OF ADDITIONAL 1X40MVA 132/33KV TRANSFORMER AT EXISTING EHV SUBSTATION </v>
          </cell>
        </row>
      </sheetData>
      <sheetData sheetId="156">
        <row r="38">
          <cell r="A38">
            <v>0</v>
          </cell>
        </row>
      </sheetData>
      <sheetData sheetId="157">
        <row r="38">
          <cell r="A38" t="str">
            <v xml:space="preserve">ESTIMATE FOR INSTALLATION OF ADDITIONAL 1X40MVA 132/33KV TRANSFORMER AT EXISTING EHV SUBSTATION </v>
          </cell>
        </row>
      </sheetData>
      <sheetData sheetId="158">
        <row r="38">
          <cell r="A38">
            <v>0</v>
          </cell>
        </row>
      </sheetData>
      <sheetData sheetId="159">
        <row r="38">
          <cell r="A38" t="str">
            <v xml:space="preserve">ESTIMATE FOR INSTALLATION OF ADDITIONAL 1X40MVA 132/33KV TRANSFORMER AT EXISTING EHV SUBSTATION </v>
          </cell>
        </row>
      </sheetData>
      <sheetData sheetId="160">
        <row r="38">
          <cell r="A38" t="str">
            <v xml:space="preserve">ESTIMATE FOR INSTALLATION OF ADDITIONAL 1X40MVA 132/33KV TRANSFORMER AT EXISTING EHV SUBSTATION </v>
          </cell>
        </row>
      </sheetData>
      <sheetData sheetId="161">
        <row r="38">
          <cell r="A38" t="str">
            <v xml:space="preserve">ESTIMATE FOR INSTALLATION OF ADDITIONAL 1X40MVA 132/33KV TRANSFORMER AT EXISTING EHV SUBSTATION </v>
          </cell>
        </row>
      </sheetData>
      <sheetData sheetId="162">
        <row r="38">
          <cell r="A38" t="str">
            <v xml:space="preserve">ESTIMATE FOR INSTALLATION OF ADDITIONAL 1X40MVA 132/33KV TRANSFORMER AT EXISTING EHV SUBSTATION </v>
          </cell>
        </row>
      </sheetData>
      <sheetData sheetId="163" refreshError="1"/>
      <sheetData sheetId="164" refreshError="1"/>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_PwC"/>
      <sheetName val="Assumptions"/>
      <sheetName val="Gainloss computation FY 09-10"/>
      <sheetName val="Summary"/>
      <sheetName val="Issue sheet"/>
      <sheetName val="Tables_True up FY 09-10"/>
      <sheetName val="O&amp;M costs"/>
      <sheetName val="Sheet1"/>
      <sheetName val="F1(Bhu)"/>
      <sheetName val="F1(Cha)"/>
      <sheetName val="F1(Paras)"/>
      <sheetName val="F1(Kor)"/>
      <sheetName val="F1(Parli)"/>
      <sheetName val="F1(Kha)"/>
      <sheetName val="F1(Nasi)"/>
      <sheetName val="F1(Uran)"/>
      <sheetName val="F1(Hydro)"/>
      <sheetName val="F2.1(Bhu)"/>
      <sheetName val="F2.1(Cha)"/>
      <sheetName val="F2.1(Kor)"/>
      <sheetName val="F2.1(Parli)"/>
      <sheetName val="F2.1(Paras)"/>
      <sheetName val="F2.1(Nasi)"/>
      <sheetName val="F2.1(Uran)"/>
      <sheetName val="F2.1(Kha)"/>
      <sheetName val="Capex Bhu"/>
      <sheetName val="Capex Cha"/>
      <sheetName val="Capex Kor"/>
      <sheetName val="Capex Paras"/>
      <sheetName val="Capex Kha"/>
      <sheetName val="Capex parli"/>
      <sheetName val="Capex Nasi"/>
      <sheetName val="Capex Uran"/>
      <sheetName val="Capex Hydro"/>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F2.2(Cha)"/>
      <sheetName val="F2.3(Cha)"/>
      <sheetName val="F2.6(Cha)"/>
      <sheetName val="F3(Cha)"/>
      <sheetName val="F3.1(Cha)"/>
      <sheetName val="F3.2(Cha)"/>
      <sheetName val="F3.3(Cha)"/>
      <sheetName val="F4(Cha)"/>
      <sheetName val="F5.1(Cha)"/>
      <sheetName val="F5(Cha)"/>
      <sheetName val="F5.2(Cha)"/>
      <sheetName val="F5.3(Cha)"/>
      <sheetName val="F5.4(Cha)"/>
      <sheetName val="F6(Cha)"/>
      <sheetName val="F11(Cha)"/>
      <sheetName val="F12(Cha)"/>
      <sheetName val="O&amp;m EXP."/>
      <sheetName val="Koradi"/>
      <sheetName val="F2.2(Kor)"/>
      <sheetName val="F2.3(Kor)"/>
      <sheetName val="F2.6(Kor)"/>
      <sheetName val="F3(Kor)"/>
      <sheetName val="F3.1(Kor)"/>
      <sheetName val="F3.2(Kor)"/>
      <sheetName val="F3.3(Kor)"/>
      <sheetName val="F4(Kor)"/>
      <sheetName val="F5.4(Kor)"/>
      <sheetName val="F5(Kor)"/>
      <sheetName val="F5.1(Kor)"/>
      <sheetName val="F5.2(Kor)"/>
      <sheetName val="F5.3(Kor)"/>
      <sheetName val="F6(Kor)"/>
      <sheetName val="F11(Kor)"/>
      <sheetName val="F12(Kor)"/>
      <sheetName val="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2.2(Nasi)"/>
      <sheetName val="F2.3(Nasi)"/>
      <sheetName val="F2.6(Nasi)"/>
      <sheetName val="F3(Nasi)"/>
      <sheetName val="F3.1(Nasi)"/>
      <sheetName val="F3.2(Nasi)"/>
      <sheetName val="F3.3(Nasi)"/>
      <sheetName val="F4(Nasi)"/>
      <sheetName val="F5(Nasi)"/>
      <sheetName val="F5.1(Nasi)"/>
      <sheetName val="F5.3(Nasi)"/>
      <sheetName val="F5.2(Nasi)"/>
      <sheetName val="F5.4(Nasi)"/>
      <sheetName val="F6(Nasi)"/>
      <sheetName val="F11(Nasi)"/>
      <sheetName val="F12(Nasi)"/>
      <sheetName val="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2.1(Hydro)"/>
      <sheetName val="F2.3(Hydro)"/>
      <sheetName val="F2.4(Hydro)"/>
      <sheetName val="F2.6(Hydro)"/>
      <sheetName val="F3(Hydro)"/>
      <sheetName val="F3.1(Hydro)"/>
      <sheetName val="F3.2(Hydro)"/>
      <sheetName val="F3.3(Hydro)"/>
      <sheetName val="F4(Koyna)"/>
      <sheetName val="F4(PuneHydro)"/>
      <sheetName val="F4(NasikHydro)"/>
      <sheetName val="F5(Hydro)"/>
      <sheetName val="F5.1(Hydro)"/>
      <sheetName val="F5.2(Hydro)"/>
      <sheetName val="F4(Hydro)"/>
      <sheetName val="F5.4(PuneHydro)"/>
      <sheetName val="F5.3(PuneHydro)"/>
      <sheetName val="F5.3(NasikHydro)"/>
      <sheetName val="F5.4(NasikHydro)"/>
      <sheetName val="F5.4(Koyna)"/>
      <sheetName val="F5.3(Koyna)"/>
      <sheetName val="F6(Hydro)"/>
      <sheetName val="F11(Hydro)"/>
      <sheetName val="F12(Hydro)"/>
      <sheetName val="Revised True Up 200809"/>
      <sheetName val="Impact of FY 08-09"/>
      <sheetName val="Gainloss_computation_FY_09-10"/>
      <sheetName val="Issue_sheet"/>
      <sheetName val="Tables_True_up_FY_09-10"/>
      <sheetName val="O&amp;M_costs"/>
      <sheetName val="F2_1(Bhu)"/>
      <sheetName val="F2_1(Cha)"/>
      <sheetName val="F2_1(Kor)"/>
      <sheetName val="F2_1(Parli)"/>
      <sheetName val="F2_1(Paras)"/>
      <sheetName val="F2_1(Nasi)"/>
      <sheetName val="F2_1(Uran)"/>
      <sheetName val="F2_1(Kha)"/>
      <sheetName val="Capex_Bhu"/>
      <sheetName val="Capex_Cha"/>
      <sheetName val="Capex_Kor"/>
      <sheetName val="Capex_Paras"/>
      <sheetName val="Capex_Kha"/>
      <sheetName val="Capex_parli"/>
      <sheetName val="Capex_Nasi"/>
      <sheetName val="Capex_Uran"/>
      <sheetName val="Capex_Hydro"/>
      <sheetName val="F2_2(Bhu)"/>
      <sheetName val="F2_3(Bhu)"/>
      <sheetName val="F2_6(Bhu)"/>
      <sheetName val="F3_1(Bhu)"/>
      <sheetName val="F3_2(Bhu)"/>
      <sheetName val="F3_3(Bhu)"/>
      <sheetName val="F5_1(Bhu)"/>
      <sheetName val="F5_2(Bhu)"/>
      <sheetName val="F5_3(Bhu)"/>
      <sheetName val="F5_4(Bhu)"/>
      <sheetName val="F2_2(Cha)"/>
      <sheetName val="F2_3(Cha)"/>
      <sheetName val="F2_6(Cha)"/>
      <sheetName val="F3_1(Cha)"/>
      <sheetName val="F3_2(Cha)"/>
      <sheetName val="F3_3(Cha)"/>
      <sheetName val="F5_1(Cha)"/>
      <sheetName val="F5_2(Cha)"/>
      <sheetName val="F5_3(Cha)"/>
      <sheetName val="F5_4(Cha)"/>
      <sheetName val="O&amp;m_EXP_"/>
      <sheetName val="F2_2(Kor)"/>
      <sheetName val="F2_3(Kor)"/>
      <sheetName val="F2_6(Kor)"/>
      <sheetName val="F3_1(Kor)"/>
      <sheetName val="F3_2(Kor)"/>
      <sheetName val="F3_3(Kor)"/>
      <sheetName val="F5_4(Kor)"/>
      <sheetName val="F5_1(Kor)"/>
      <sheetName val="F5_2(Kor)"/>
      <sheetName val="F5_3(Kor)"/>
      <sheetName val="F2_2(Paras)"/>
      <sheetName val="F2_3(Paras)"/>
      <sheetName val="F2_6(Paras)"/>
      <sheetName val="F3_1(Paras)"/>
      <sheetName val="F3_2(Paras)"/>
      <sheetName val="F3_3(Paras)"/>
      <sheetName val="F5_1(Paras)"/>
      <sheetName val="F5_2(Paras)"/>
      <sheetName val="F5_3(Paras)"/>
      <sheetName val="F5_4(Paras)"/>
      <sheetName val="F2_2(Parli)"/>
      <sheetName val="F2_3(Parli)"/>
      <sheetName val="F2_6(Parli)"/>
      <sheetName val="F3_1(Parli)"/>
      <sheetName val="F3_2(Parli)"/>
      <sheetName val="F3_3(Parli)"/>
      <sheetName val="F5_1(Parli)"/>
      <sheetName val="F5_2(Parli)"/>
      <sheetName val="F5_3(Parli)"/>
      <sheetName val="F5_4(Parli)"/>
      <sheetName val="F2_2(Kha)"/>
      <sheetName val="F2_3(Kha)"/>
      <sheetName val="F2_6(Kha)"/>
      <sheetName val="F3_1(Kha)"/>
      <sheetName val="F3_2(Kha)"/>
      <sheetName val="F3_3(Kha)"/>
      <sheetName val="F5_1(Kha)"/>
      <sheetName val="F5_2(Kha)"/>
      <sheetName val="F5_3(Kha)"/>
      <sheetName val="F5_4(Kha)"/>
      <sheetName val="F2_2(Nasi)"/>
      <sheetName val="F2_3(Nasi)"/>
      <sheetName val="F2_6(Nasi)"/>
      <sheetName val="F3_1(Nasi)"/>
      <sheetName val="F3_2(Nasi)"/>
      <sheetName val="F3_3(Nasi)"/>
      <sheetName val="F5_1(Nasi)"/>
      <sheetName val="F5_3(Nasi)"/>
      <sheetName val="F5_2(Nasi)"/>
      <sheetName val="F5_4(Nasi)"/>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4(PuneHydro)"/>
      <sheetName val="F5_3(PuneHydro)"/>
      <sheetName val="F5_3(NasikHydro)"/>
      <sheetName val="F5_4(NasikHydro)"/>
      <sheetName val="F5_4(Koyna)"/>
      <sheetName val="F5_3(Koyna)"/>
      <sheetName val="Revised_True_Up_200809"/>
      <sheetName val="Impact_of_FY_08-09"/>
      <sheetName val="Masters"/>
    </sheetNames>
    <sheetDataSet>
      <sheetData sheetId="0">
        <row r="7">
          <cell r="D7">
            <v>0.1074</v>
          </cell>
          <cell r="E7">
            <v>0.1055</v>
          </cell>
        </row>
        <row r="8">
          <cell r="D8">
            <v>8.1799999999999998E-2</v>
          </cell>
        </row>
        <row r="116">
          <cell r="C116">
            <v>0.11749999999999999</v>
          </cell>
        </row>
      </sheetData>
      <sheetData sheetId="1">
        <row r="3">
          <cell r="B3">
            <v>7.8600000000000003E-2</v>
          </cell>
        </row>
        <row r="16">
          <cell r="B16">
            <v>0.13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30">
          <cell r="V30">
            <v>27.489999999999995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ow r="30">
          <cell r="V30">
            <v>27.489999999999995</v>
          </cell>
        </row>
      </sheetData>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Sheet1"/>
      <sheetName val="1997-1998"/>
      <sheetName val="1998-1999"/>
      <sheetName val="1999-2000"/>
      <sheetName val="2000-01"/>
      <sheetName val="2001-02"/>
      <sheetName val="2002-03"/>
      <sheetName val="2003-04"/>
      <sheetName val="2004-05"/>
      <sheetName val="2005-06"/>
      <sheetName val="2006-07"/>
      <sheetName val="2007-08"/>
      <sheetName val="2008-09"/>
      <sheetName val="2009-10"/>
      <sheetName val="2010-11"/>
      <sheetName val="2011-12"/>
      <sheetName val="2012-13"/>
      <sheetName val="2013-14"/>
      <sheetName val="2014-15"/>
      <sheetName val="2014-15-U-2ESD"/>
      <sheetName val="Yly-Gen"/>
      <sheetName val="Data"/>
      <sheetName val="Since Comm,"/>
      <sheetName val="History Data"/>
      <sheetName val="Gen.Data 87-97"/>
      <sheetName val="C.F., C.V. &amp; H.R."/>
      <sheetName val="Gen., Coal Factor, Heat Rate"/>
      <sheetName val="SAP-Data"/>
      <sheetName val="Assumptions"/>
      <sheetName val="Assumption_PwC"/>
      <sheetName val="Since_Comm,"/>
      <sheetName val="History_Data"/>
      <sheetName val="Gen_Data_87-97"/>
      <sheetName val="C_F_,_C_V__&amp;_H_R_"/>
      <sheetName val="Gen_,_Coal_Factor,_Hea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2000-01"/>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3">
          <cell r="B3">
            <v>7.8600000000000003E-2</v>
          </cell>
        </row>
        <row r="6">
          <cell r="B6">
            <v>0.06</v>
          </cell>
        </row>
        <row r="7">
          <cell r="B7">
            <v>0.06</v>
          </cell>
        </row>
        <row r="8">
          <cell r="B8">
            <v>0.06</v>
          </cell>
        </row>
        <row r="9">
          <cell r="B9">
            <v>0.06</v>
          </cell>
        </row>
        <row r="10">
          <cell r="B10">
            <v>0.05</v>
          </cell>
        </row>
        <row r="11">
          <cell r="B11">
            <v>0.12</v>
          </cell>
        </row>
        <row r="12">
          <cell r="B12">
            <v>0.12</v>
          </cell>
        </row>
        <row r="13">
          <cell r="B13">
            <v>1</v>
          </cell>
        </row>
        <row r="16">
          <cell r="B16">
            <v>0.13</v>
          </cell>
        </row>
        <row r="17">
          <cell r="B17">
            <v>0.13</v>
          </cell>
        </row>
        <row r="18">
          <cell r="B18">
            <v>0.13</v>
          </cell>
        </row>
        <row r="20">
          <cell r="B20">
            <v>0.1993</v>
          </cell>
        </row>
        <row r="22">
          <cell r="B22">
            <v>70.004999999999995</v>
          </cell>
        </row>
        <row r="23">
          <cell r="B23">
            <v>358.87740000000002</v>
          </cell>
        </row>
        <row r="25">
          <cell r="B25">
            <v>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LY -99-00"/>
      <sheetName val="Hydro Data"/>
      <sheetName val="HLY0001"/>
      <sheetName val="SUMMERY"/>
      <sheetName val="mnthly-chrt"/>
      <sheetName val="purchase"/>
      <sheetName val="dpc cost"/>
      <sheetName val="Plant Availability"/>
      <sheetName val="MOD-PROJ"/>
      <sheetName val="Apr-99"/>
      <sheetName val="May-99"/>
      <sheetName val="Jun-99"/>
      <sheetName val="July-99"/>
      <sheetName val="Aug-99"/>
      <sheetName val="Sept-99"/>
      <sheetName val="Oct-99"/>
      <sheetName val="Nov-99"/>
      <sheetName val="Dec-99"/>
      <sheetName val="Jan-00"/>
      <sheetName val="Feb-00"/>
      <sheetName val="Mar-00"/>
      <sheetName val="Sheet1"/>
      <sheetName val="HLY_-99-00"/>
      <sheetName val="Hydro_Data"/>
      <sheetName val="dpc_cost"/>
      <sheetName val="Plant_Availability"/>
      <sheetName val="Bombaybazar(Remark)"/>
      <sheetName val="Discom Details"/>
      <sheetName val="A 3.7"/>
      <sheetName val="C.S.GENERATION"/>
      <sheetName val="Sch-3"/>
      <sheetName val="Assumptions"/>
      <sheetName val="04rel"/>
      <sheetName val="all"/>
      <sheetName val="RAJ"/>
      <sheetName val="Cash Flow"/>
      <sheetName val="HLY_-99-002"/>
      <sheetName val="Hydro_Data2"/>
      <sheetName val="dpc_cost2"/>
      <sheetName val="Plant_Availability2"/>
      <sheetName val="HLY_-99-001"/>
      <sheetName val="Hydro_Data1"/>
      <sheetName val="dpc_cost1"/>
      <sheetName val="Plant_Availability1"/>
      <sheetName val="HLY_-99-003"/>
      <sheetName val="Hydro_Data3"/>
      <sheetName val="dpc_cost3"/>
      <sheetName val="Plant_Availability3"/>
      <sheetName val="Discom_Details"/>
      <sheetName val="A_3_7"/>
      <sheetName val="C_S_GENERATION"/>
      <sheetName val="Cash_Flow"/>
      <sheetName val="DCL AUG 12"/>
      <sheetName val="Index Feb 09"/>
      <sheetName val="Data base Feb 09"/>
      <sheetName val="General"/>
      <sheetName val="7.11 p1"/>
      <sheetName val="strain"/>
      <sheetName val="data"/>
      <sheetName val="HLY_-99-004"/>
      <sheetName val="Hydro_Data4"/>
      <sheetName val="dpc_cost4"/>
      <sheetName val="Plant_Availability4"/>
      <sheetName val="Discom_Details1"/>
      <sheetName val="A_3_71"/>
      <sheetName val="C_S_GENERATION1"/>
      <sheetName val="Cash_Flow1"/>
      <sheetName val="7_11_p1"/>
      <sheetName val="7_11_p11"/>
      <sheetName val="Discom_Details2"/>
      <sheetName val="A_3_72"/>
      <sheetName val="C_S_GENERATION2"/>
      <sheetName val="7_11_p12"/>
      <sheetName val="sep01"/>
      <sheetName val="Form-B"/>
      <sheetName val="4 Annex 1 Basic rate"/>
      <sheetName val="tb2002 linked"/>
      <sheetName val="sum"/>
      <sheetName val="DPT-PW"/>
      <sheetName val="Factor_sheet"/>
      <sheetName val="SCF"/>
      <sheetName val="Report"/>
      <sheetName val="Energy_bal"/>
      <sheetName val="TRP"/>
      <sheetName val="Dom"/>
      <sheetName val="Inputs"/>
      <sheetName val="Feb-06"/>
      <sheetName val="17(B) govt"/>
      <sheetName val="Dispatch 2.0"/>
      <sheetName val="DETAILED  BOQ"/>
      <sheetName val="NOPAT_VDF"/>
      <sheetName val="Invested capital_VDF"/>
      <sheetName val="Conductor Size"/>
      <sheetName val="Addl.40"/>
      <sheetName val="DETAILED__BOQ"/>
      <sheetName val="DCL_AUG_12"/>
      <sheetName val="Index_Feb_09"/>
      <sheetName val="Data_base_Feb_09"/>
      <sheetName val="Dispatch_2_0"/>
      <sheetName val="Addl_40"/>
      <sheetName val="Sheet2"/>
      <sheetName val="FT-05-02IsoBOM"/>
      <sheetName val="1"/>
      <sheetName val="Code"/>
      <sheetName val="Design"/>
      <sheetName val="Coalmine"/>
      <sheetName val="Staff Acco."/>
      <sheetName val="BLR 1"/>
      <sheetName val="GEN"/>
      <sheetName val="GAS"/>
      <sheetName val="DEAE"/>
      <sheetName val="BLR2"/>
      <sheetName val="BLR3"/>
      <sheetName val="BLR4"/>
      <sheetName val="BLR5"/>
      <sheetName val="DEM"/>
      <sheetName val="SAM"/>
      <sheetName val="CHEM"/>
      <sheetName val="COP"/>
      <sheetName val="CFL-KIM"/>
      <sheetName val="XLR_NoRangeSheet"/>
      <sheetName val="B&amp;CM LIST"/>
      <sheetName val="Licensee Information"/>
      <sheetName val="deduction"/>
      <sheetName val="addition"/>
      <sheetName val="HLY_-99-005"/>
      <sheetName val="Hydro_Data5"/>
      <sheetName val="dpc_cost5"/>
      <sheetName val="Plant_Availability5"/>
      <sheetName val="Discom_Details3"/>
      <sheetName val="A_3_73"/>
      <sheetName val="C_S_GENERATION3"/>
      <sheetName val="Cash_Flow2"/>
      <sheetName val="DCL_AUG_121"/>
      <sheetName val="Index_Feb_091"/>
      <sheetName val="Data_base_Feb_091"/>
      <sheetName val="7_11_p13"/>
      <sheetName val="tb2002_linked"/>
      <sheetName val="4_Annex_1_Basic_rate"/>
      <sheetName val="17(B)_govt"/>
      <sheetName val="Dispatch_2_01"/>
      <sheetName val="DETAILED__BOQ1"/>
      <sheetName val="Invested_capital_VDF"/>
      <sheetName val="Licensee_Information"/>
      <sheetName val="Addl_401"/>
      <sheetName val="Conductor_Size"/>
      <sheetName val="Staff_Acco_"/>
      <sheetName val="BLR_1"/>
      <sheetName val="B&amp;CM_LIST"/>
    </sheetNames>
    <sheetDataSet>
      <sheetData sheetId="0" refreshError="1"/>
      <sheetData sheetId="1" refreshError="1"/>
      <sheetData sheetId="2" refreshError="1"/>
      <sheetData sheetId="3" refreshError="1">
        <row r="1">
          <cell r="P1">
            <v>0.72</v>
          </cell>
        </row>
      </sheetData>
      <sheetData sheetId="4" refreshError="1"/>
      <sheetData sheetId="5" refreshError="1"/>
      <sheetData sheetId="6" refreshError="1">
        <row r="1">
          <cell r="D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1">
          <cell r="D1">
            <v>0</v>
          </cell>
        </row>
      </sheetData>
      <sheetData sheetId="35">
        <row r="1">
          <cell r="D1">
            <v>0</v>
          </cell>
        </row>
      </sheetData>
      <sheetData sheetId="36">
        <row r="1">
          <cell r="D1">
            <v>0</v>
          </cell>
        </row>
      </sheetData>
      <sheetData sheetId="37" refreshError="1"/>
      <sheetData sheetId="38" refreshError="1"/>
      <sheetData sheetId="39" refreshError="1"/>
      <sheetData sheetId="40" refreshError="1"/>
      <sheetData sheetId="41" refreshError="1"/>
      <sheetData sheetId="42" refreshError="1"/>
      <sheetData sheetId="43">
        <row r="1">
          <cell r="D1">
            <v>0</v>
          </cell>
        </row>
      </sheetData>
      <sheetData sheetId="44">
        <row r="1">
          <cell r="D1">
            <v>0</v>
          </cell>
        </row>
      </sheetData>
      <sheetData sheetId="45">
        <row r="1">
          <cell r="D1">
            <v>0</v>
          </cell>
        </row>
      </sheetData>
      <sheetData sheetId="46">
        <row r="1">
          <cell r="D1">
            <v>0</v>
          </cell>
        </row>
      </sheetData>
      <sheetData sheetId="47">
        <row r="1">
          <cell r="D1">
            <v>0</v>
          </cell>
        </row>
      </sheetData>
      <sheetData sheetId="48">
        <row r="1">
          <cell r="D1">
            <v>0</v>
          </cell>
        </row>
      </sheetData>
      <sheetData sheetId="49">
        <row r="1">
          <cell r="D1">
            <v>0</v>
          </cell>
        </row>
      </sheetData>
      <sheetData sheetId="50">
        <row r="1">
          <cell r="D1">
            <v>0</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1">
          <cell r="D1">
            <v>0</v>
          </cell>
        </row>
      </sheetData>
      <sheetData sheetId="60">
        <row r="1">
          <cell r="D1">
            <v>0</v>
          </cell>
        </row>
      </sheetData>
      <sheetData sheetId="61">
        <row r="1">
          <cell r="D1">
            <v>0</v>
          </cell>
        </row>
      </sheetData>
      <sheetData sheetId="62">
        <row r="1">
          <cell r="D1">
            <v>0</v>
          </cell>
        </row>
      </sheetData>
      <sheetData sheetId="63">
        <row r="1">
          <cell r="D1">
            <v>0</v>
          </cell>
        </row>
      </sheetData>
      <sheetData sheetId="64">
        <row r="1">
          <cell r="D1">
            <v>0</v>
          </cell>
        </row>
      </sheetData>
      <sheetData sheetId="65">
        <row r="1">
          <cell r="D1">
            <v>0</v>
          </cell>
        </row>
      </sheetData>
      <sheetData sheetId="66">
        <row r="1">
          <cell r="D1">
            <v>0</v>
          </cell>
        </row>
      </sheetData>
      <sheetData sheetId="67">
        <row r="1">
          <cell r="D1">
            <v>0</v>
          </cell>
        </row>
      </sheetData>
      <sheetData sheetId="68">
        <row r="1">
          <cell r="D1">
            <v>0</v>
          </cell>
        </row>
      </sheetData>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1">
          <cell r="D1">
            <v>0</v>
          </cell>
        </row>
      </sheetData>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ow r="1">
          <cell r="D1">
            <v>0</v>
          </cell>
        </row>
      </sheetData>
      <sheetData sheetId="93">
        <row r="1">
          <cell r="D1">
            <v>0</v>
          </cell>
        </row>
      </sheetData>
      <sheetData sheetId="94">
        <row r="1">
          <cell r="D1">
            <v>0</v>
          </cell>
        </row>
      </sheetData>
      <sheetData sheetId="95">
        <row r="1">
          <cell r="D1">
            <v>0</v>
          </cell>
        </row>
      </sheetData>
      <sheetData sheetId="96">
        <row r="1">
          <cell r="D1">
            <v>0</v>
          </cell>
        </row>
      </sheetData>
      <sheetData sheetId="97">
        <row r="1">
          <cell r="D1">
            <v>0</v>
          </cell>
        </row>
      </sheetData>
      <sheetData sheetId="98">
        <row r="1">
          <cell r="D1">
            <v>0</v>
          </cell>
        </row>
      </sheetData>
      <sheetData sheetId="99">
        <row r="1">
          <cell r="D1">
            <v>0</v>
          </cell>
        </row>
      </sheetData>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vel_qty"/>
      <sheetName val="Nov_04"/>
      <sheetName val="Dec_04"/>
      <sheetName val="Assumptions"/>
      <sheetName val="dpc cost"/>
      <sheetName val="SUMMERY"/>
      <sheetName val="OCM3"/>
      <sheetName val="dpc_cost"/>
      <sheetName val="deduction"/>
      <sheetName val="addition"/>
      <sheetName val="sep01"/>
      <sheetName val="NP"/>
      <sheetName val="PP"/>
      <sheetName val="Water _balance_Dec04"/>
    </sheetNames>
    <sheetDataSet>
      <sheetData sheetId="0" refreshError="1">
        <row r="8">
          <cell r="B8">
            <v>195</v>
          </cell>
          <cell r="C8">
            <v>1</v>
          </cell>
        </row>
        <row r="9">
          <cell r="B9">
            <v>195.02500000000001</v>
          </cell>
          <cell r="C9">
            <v>1.05</v>
          </cell>
        </row>
        <row r="10">
          <cell r="B10">
            <v>195.05</v>
          </cell>
          <cell r="C10">
            <v>1.1000000000000001</v>
          </cell>
        </row>
        <row r="11">
          <cell r="B11">
            <v>195.07499999999999</v>
          </cell>
          <cell r="C11">
            <v>1.1499999999999999</v>
          </cell>
        </row>
        <row r="12">
          <cell r="B12">
            <v>195.1</v>
          </cell>
          <cell r="C12">
            <v>1.2</v>
          </cell>
        </row>
        <row r="13">
          <cell r="B13">
            <v>195.125</v>
          </cell>
          <cell r="C13">
            <v>1.25</v>
          </cell>
        </row>
        <row r="14">
          <cell r="B14">
            <v>195.15</v>
          </cell>
          <cell r="C14">
            <v>1.3</v>
          </cell>
        </row>
        <row r="15">
          <cell r="B15">
            <v>195.17500000000001</v>
          </cell>
          <cell r="C15">
            <v>1.35</v>
          </cell>
        </row>
        <row r="16">
          <cell r="B16">
            <v>195.2</v>
          </cell>
          <cell r="C16">
            <v>1.4</v>
          </cell>
        </row>
        <row r="17">
          <cell r="B17">
            <v>195.22499999999999</v>
          </cell>
          <cell r="C17">
            <v>1.45</v>
          </cell>
        </row>
        <row r="18">
          <cell r="B18">
            <v>195.25</v>
          </cell>
          <cell r="C18">
            <v>1.5</v>
          </cell>
        </row>
        <row r="19">
          <cell r="B19">
            <v>195.27500000000001</v>
          </cell>
          <cell r="C19">
            <v>1.55</v>
          </cell>
        </row>
        <row r="20">
          <cell r="B20">
            <v>195.3</v>
          </cell>
          <cell r="C20">
            <v>1.6</v>
          </cell>
        </row>
        <row r="21">
          <cell r="B21">
            <v>195.32499999999999</v>
          </cell>
          <cell r="C21">
            <v>1.65</v>
          </cell>
        </row>
        <row r="22">
          <cell r="B22">
            <v>195.35</v>
          </cell>
          <cell r="C22">
            <v>1.7</v>
          </cell>
        </row>
        <row r="23">
          <cell r="B23">
            <v>195.375</v>
          </cell>
          <cell r="C23">
            <v>1.75</v>
          </cell>
        </row>
        <row r="24">
          <cell r="B24">
            <v>195.4</v>
          </cell>
          <cell r="C24">
            <v>1.8</v>
          </cell>
        </row>
        <row r="25">
          <cell r="B25">
            <v>195.42500000000001</v>
          </cell>
          <cell r="C25">
            <v>1.85</v>
          </cell>
        </row>
        <row r="26">
          <cell r="B26">
            <v>195.45</v>
          </cell>
          <cell r="C26">
            <v>1.9</v>
          </cell>
        </row>
        <row r="27">
          <cell r="B27">
            <v>195.47499999999999</v>
          </cell>
          <cell r="C27">
            <v>1.95</v>
          </cell>
        </row>
        <row r="28">
          <cell r="B28">
            <v>195.5</v>
          </cell>
          <cell r="C28">
            <v>2</v>
          </cell>
        </row>
        <row r="29">
          <cell r="B29">
            <v>195.52500000000001</v>
          </cell>
          <cell r="C29">
            <v>2.0499999999999998</v>
          </cell>
        </row>
        <row r="30">
          <cell r="B30">
            <v>195.55</v>
          </cell>
          <cell r="C30">
            <v>2.1</v>
          </cell>
        </row>
        <row r="31">
          <cell r="B31">
            <v>195.57499999999999</v>
          </cell>
          <cell r="C31">
            <v>2.15</v>
          </cell>
        </row>
        <row r="32">
          <cell r="B32">
            <v>195.6</v>
          </cell>
          <cell r="C32">
            <v>2.2000000000000002</v>
          </cell>
        </row>
        <row r="33">
          <cell r="B33">
            <v>195.625</v>
          </cell>
          <cell r="C33">
            <v>2.25</v>
          </cell>
        </row>
        <row r="34">
          <cell r="B34">
            <v>195.65</v>
          </cell>
          <cell r="C34">
            <v>2.2999999999999998</v>
          </cell>
        </row>
        <row r="35">
          <cell r="B35">
            <v>195.67500000000001</v>
          </cell>
          <cell r="C35">
            <v>2.35</v>
          </cell>
        </row>
        <row r="36">
          <cell r="B36">
            <v>195.7</v>
          </cell>
          <cell r="C36">
            <v>2.4</v>
          </cell>
        </row>
        <row r="37">
          <cell r="B37">
            <v>195.72499999999999</v>
          </cell>
          <cell r="C37">
            <v>2.4500000000000002</v>
          </cell>
        </row>
        <row r="38">
          <cell r="B38">
            <v>195.75</v>
          </cell>
          <cell r="C38">
            <v>2.5</v>
          </cell>
        </row>
        <row r="39">
          <cell r="B39">
            <v>195.77500000000001</v>
          </cell>
          <cell r="C39">
            <v>2.5499999999999998</v>
          </cell>
        </row>
        <row r="40">
          <cell r="B40">
            <v>195.8</v>
          </cell>
          <cell r="C40">
            <v>2.6</v>
          </cell>
        </row>
        <row r="41">
          <cell r="B41">
            <v>195.82499999999999</v>
          </cell>
          <cell r="C41">
            <v>2.65</v>
          </cell>
        </row>
        <row r="42">
          <cell r="B42">
            <v>195.85</v>
          </cell>
          <cell r="C42">
            <v>2.7</v>
          </cell>
        </row>
        <row r="43">
          <cell r="B43">
            <v>195.875</v>
          </cell>
          <cell r="C43">
            <v>2.75</v>
          </cell>
        </row>
        <row r="44">
          <cell r="B44">
            <v>195.9</v>
          </cell>
          <cell r="C44">
            <v>2.8</v>
          </cell>
        </row>
        <row r="45">
          <cell r="B45">
            <v>195.92500000000001</v>
          </cell>
          <cell r="C45">
            <v>2.85</v>
          </cell>
        </row>
        <row r="46">
          <cell r="B46">
            <v>195.95</v>
          </cell>
          <cell r="C46">
            <v>2.9</v>
          </cell>
        </row>
        <row r="47">
          <cell r="B47">
            <v>195.97499999999999</v>
          </cell>
          <cell r="C47">
            <v>2.95</v>
          </cell>
        </row>
        <row r="48">
          <cell r="B48">
            <v>196</v>
          </cell>
          <cell r="C48">
            <v>3</v>
          </cell>
        </row>
        <row r="49">
          <cell r="B49">
            <v>196.02500000000001</v>
          </cell>
          <cell r="C49">
            <v>3.0750000000000002</v>
          </cell>
        </row>
        <row r="50">
          <cell r="B50">
            <v>196.05</v>
          </cell>
          <cell r="C50">
            <v>3.15</v>
          </cell>
        </row>
        <row r="51">
          <cell r="B51">
            <v>196.07499999999999</v>
          </cell>
          <cell r="C51">
            <v>3.2250000000000001</v>
          </cell>
        </row>
        <row r="52">
          <cell r="B52">
            <v>196.1</v>
          </cell>
          <cell r="C52">
            <v>3.3</v>
          </cell>
        </row>
        <row r="53">
          <cell r="B53">
            <v>196.125</v>
          </cell>
          <cell r="C53">
            <v>3.375</v>
          </cell>
        </row>
        <row r="54">
          <cell r="B54">
            <v>196.15</v>
          </cell>
          <cell r="C54">
            <v>3.45</v>
          </cell>
        </row>
        <row r="55">
          <cell r="B55">
            <v>196.17500000000001</v>
          </cell>
          <cell r="C55">
            <v>3.5249999999999999</v>
          </cell>
        </row>
        <row r="56">
          <cell r="B56">
            <v>196.2</v>
          </cell>
          <cell r="C56">
            <v>3.6</v>
          </cell>
        </row>
        <row r="57">
          <cell r="B57">
            <v>196.22499999999999</v>
          </cell>
          <cell r="C57">
            <v>3.6749999999999998</v>
          </cell>
        </row>
        <row r="58">
          <cell r="B58">
            <v>196.25</v>
          </cell>
          <cell r="C58">
            <v>3.75</v>
          </cell>
        </row>
        <row r="59">
          <cell r="B59">
            <v>196.27500000000001</v>
          </cell>
          <cell r="C59">
            <v>3.8250000000000002</v>
          </cell>
        </row>
        <row r="60">
          <cell r="B60">
            <v>196.3</v>
          </cell>
          <cell r="C60">
            <v>3.9</v>
          </cell>
        </row>
        <row r="61">
          <cell r="B61">
            <v>196.32499999999999</v>
          </cell>
          <cell r="C61">
            <v>3.9750000000000001</v>
          </cell>
        </row>
        <row r="62">
          <cell r="B62">
            <v>196.35</v>
          </cell>
          <cell r="C62">
            <v>4.05</v>
          </cell>
        </row>
        <row r="63">
          <cell r="B63">
            <v>196.375</v>
          </cell>
          <cell r="C63">
            <v>4.125</v>
          </cell>
        </row>
        <row r="64">
          <cell r="B64">
            <v>196.4</v>
          </cell>
          <cell r="C64">
            <v>4.2</v>
          </cell>
        </row>
        <row r="65">
          <cell r="B65">
            <v>196.42500000000001</v>
          </cell>
          <cell r="C65">
            <v>4.2750000000000004</v>
          </cell>
        </row>
        <row r="66">
          <cell r="B66">
            <v>196.45</v>
          </cell>
          <cell r="C66">
            <v>4.3499999999999996</v>
          </cell>
        </row>
        <row r="67">
          <cell r="B67">
            <v>196.47499999999999</v>
          </cell>
          <cell r="C67">
            <v>4.4249999999999998</v>
          </cell>
        </row>
        <row r="68">
          <cell r="B68">
            <v>196.5</v>
          </cell>
          <cell r="C68">
            <v>4.5</v>
          </cell>
        </row>
        <row r="69">
          <cell r="B69">
            <v>196.52500000000001</v>
          </cell>
          <cell r="C69">
            <v>4.5750000000000002</v>
          </cell>
        </row>
        <row r="70">
          <cell r="B70">
            <v>196.55</v>
          </cell>
          <cell r="C70">
            <v>4.6500000000000004</v>
          </cell>
        </row>
        <row r="71">
          <cell r="B71">
            <v>196.57499999999999</v>
          </cell>
          <cell r="C71">
            <v>4.7249999999999996</v>
          </cell>
        </row>
        <row r="72">
          <cell r="B72">
            <v>196.6</v>
          </cell>
          <cell r="C72">
            <v>4.8</v>
          </cell>
        </row>
        <row r="73">
          <cell r="B73">
            <v>196.625</v>
          </cell>
          <cell r="C73">
            <v>4.875</v>
          </cell>
        </row>
        <row r="74">
          <cell r="B74">
            <v>196.65</v>
          </cell>
          <cell r="C74">
            <v>4.95</v>
          </cell>
        </row>
        <row r="75">
          <cell r="B75">
            <v>196.67500000000001</v>
          </cell>
          <cell r="C75">
            <v>5.0250000000000004</v>
          </cell>
        </row>
        <row r="76">
          <cell r="B76">
            <v>196.7</v>
          </cell>
          <cell r="C76">
            <v>5.0999999999999996</v>
          </cell>
        </row>
        <row r="77">
          <cell r="B77">
            <v>196.72499999999999</v>
          </cell>
          <cell r="C77">
            <v>5.1749999999999998</v>
          </cell>
        </row>
        <row r="78">
          <cell r="B78">
            <v>196.75</v>
          </cell>
          <cell r="C78">
            <v>5.25</v>
          </cell>
        </row>
        <row r="79">
          <cell r="B79">
            <v>196.77500000000001</v>
          </cell>
          <cell r="C79">
            <v>5.3250000000000002</v>
          </cell>
        </row>
        <row r="80">
          <cell r="B80">
            <v>196.8</v>
          </cell>
          <cell r="C80">
            <v>5.4</v>
          </cell>
        </row>
        <row r="81">
          <cell r="B81">
            <v>196.82499999999999</v>
          </cell>
          <cell r="C81">
            <v>5.4749999999999996</v>
          </cell>
        </row>
        <row r="82">
          <cell r="B82">
            <v>196.85</v>
          </cell>
          <cell r="C82">
            <v>5.55</v>
          </cell>
        </row>
        <row r="83">
          <cell r="B83">
            <v>196.875</v>
          </cell>
          <cell r="C83">
            <v>5.625</v>
          </cell>
        </row>
        <row r="84">
          <cell r="B84">
            <v>196.9</v>
          </cell>
          <cell r="C84">
            <v>5.7</v>
          </cell>
        </row>
        <row r="85">
          <cell r="B85">
            <v>196.92500000000001</v>
          </cell>
          <cell r="C85">
            <v>5.7750000000000004</v>
          </cell>
        </row>
        <row r="86">
          <cell r="B86">
            <v>196.95</v>
          </cell>
          <cell r="C86">
            <v>5.85</v>
          </cell>
        </row>
        <row r="87">
          <cell r="B87">
            <v>196.97499999999999</v>
          </cell>
          <cell r="C87">
            <v>5.9249999999999998</v>
          </cell>
        </row>
        <row r="88">
          <cell r="B88">
            <v>197</v>
          </cell>
          <cell r="C88">
            <v>6</v>
          </cell>
        </row>
        <row r="89">
          <cell r="B89">
            <v>197.02500000000001</v>
          </cell>
          <cell r="C89">
            <v>6.125</v>
          </cell>
        </row>
        <row r="90">
          <cell r="B90">
            <v>197.05</v>
          </cell>
          <cell r="C90">
            <v>6.25</v>
          </cell>
        </row>
        <row r="91">
          <cell r="B91">
            <v>197.07499999999999</v>
          </cell>
          <cell r="C91">
            <v>6.375</v>
          </cell>
        </row>
        <row r="92">
          <cell r="B92">
            <v>197.1</v>
          </cell>
          <cell r="C92">
            <v>6.5</v>
          </cell>
        </row>
        <row r="93">
          <cell r="B93">
            <v>197.125</v>
          </cell>
          <cell r="C93">
            <v>6.625</v>
          </cell>
        </row>
        <row r="94">
          <cell r="B94">
            <v>197.15</v>
          </cell>
          <cell r="C94">
            <v>6.75</v>
          </cell>
        </row>
        <row r="95">
          <cell r="B95">
            <v>197.17500000000001</v>
          </cell>
          <cell r="C95">
            <v>6.875</v>
          </cell>
        </row>
        <row r="96">
          <cell r="B96">
            <v>197.2</v>
          </cell>
          <cell r="C96">
            <v>7</v>
          </cell>
        </row>
        <row r="97">
          <cell r="B97">
            <v>197.22499999999999</v>
          </cell>
          <cell r="C97">
            <v>7.125</v>
          </cell>
        </row>
        <row r="98">
          <cell r="B98">
            <v>197.25</v>
          </cell>
          <cell r="C98">
            <v>7.25</v>
          </cell>
        </row>
        <row r="99">
          <cell r="B99">
            <v>197.27500000000001</v>
          </cell>
          <cell r="C99">
            <v>7.375</v>
          </cell>
        </row>
        <row r="100">
          <cell r="B100">
            <v>197.3</v>
          </cell>
          <cell r="C100">
            <v>7.5</v>
          </cell>
        </row>
        <row r="101">
          <cell r="B101">
            <v>197.32499999999999</v>
          </cell>
          <cell r="C101">
            <v>7.625</v>
          </cell>
        </row>
        <row r="102">
          <cell r="B102">
            <v>197.35</v>
          </cell>
          <cell r="C102">
            <v>7.75</v>
          </cell>
        </row>
        <row r="103">
          <cell r="B103">
            <v>197.375</v>
          </cell>
          <cell r="C103">
            <v>7.875</v>
          </cell>
        </row>
        <row r="104">
          <cell r="B104">
            <v>197.4</v>
          </cell>
          <cell r="C104">
            <v>8</v>
          </cell>
        </row>
        <row r="105">
          <cell r="B105">
            <v>197.42500000000001</v>
          </cell>
          <cell r="C105">
            <v>8.125</v>
          </cell>
        </row>
        <row r="106">
          <cell r="B106">
            <v>197.45</v>
          </cell>
          <cell r="C106">
            <v>8.25</v>
          </cell>
        </row>
        <row r="107">
          <cell r="B107">
            <v>197.47499999999999</v>
          </cell>
          <cell r="C107">
            <v>8.375</v>
          </cell>
        </row>
        <row r="108">
          <cell r="B108">
            <v>197.5</v>
          </cell>
          <cell r="C108">
            <v>8.5</v>
          </cell>
        </row>
        <row r="109">
          <cell r="B109">
            <v>197.52500000000001</v>
          </cell>
          <cell r="C109">
            <v>8.625</v>
          </cell>
        </row>
        <row r="110">
          <cell r="B110">
            <v>197.55000000000049</v>
          </cell>
          <cell r="C110">
            <v>8.75</v>
          </cell>
        </row>
        <row r="111">
          <cell r="B111">
            <v>197.5750000000005</v>
          </cell>
          <cell r="C111">
            <v>8.875</v>
          </cell>
        </row>
        <row r="112">
          <cell r="B112">
            <v>197.6</v>
          </cell>
          <cell r="C112">
            <v>9</v>
          </cell>
        </row>
        <row r="113">
          <cell r="B113">
            <v>197.625</v>
          </cell>
          <cell r="C113">
            <v>9.125</v>
          </cell>
        </row>
        <row r="114">
          <cell r="B114">
            <v>197.65</v>
          </cell>
          <cell r="C114">
            <v>9.25</v>
          </cell>
        </row>
        <row r="115">
          <cell r="B115">
            <v>197.67500000000001</v>
          </cell>
          <cell r="C115">
            <v>9.375</v>
          </cell>
        </row>
        <row r="116">
          <cell r="B116">
            <v>197.7</v>
          </cell>
          <cell r="C116">
            <v>9.5</v>
          </cell>
        </row>
        <row r="117">
          <cell r="B117">
            <v>197.72499999999999</v>
          </cell>
          <cell r="C117">
            <v>9.625</v>
          </cell>
        </row>
        <row r="118">
          <cell r="B118">
            <v>197.75</v>
          </cell>
          <cell r="C118">
            <v>9.75</v>
          </cell>
        </row>
        <row r="119">
          <cell r="B119">
            <v>197.77500000000001</v>
          </cell>
          <cell r="C119">
            <v>9.875</v>
          </cell>
        </row>
        <row r="120">
          <cell r="B120">
            <v>197.8</v>
          </cell>
          <cell r="C120">
            <v>10</v>
          </cell>
        </row>
        <row r="121">
          <cell r="B121">
            <v>197.82499999999999</v>
          </cell>
          <cell r="C121">
            <v>10.125</v>
          </cell>
        </row>
        <row r="122">
          <cell r="B122">
            <v>197.85</v>
          </cell>
          <cell r="C122">
            <v>10.25</v>
          </cell>
        </row>
        <row r="123">
          <cell r="B123">
            <v>197.875</v>
          </cell>
          <cell r="C123">
            <v>10.375</v>
          </cell>
        </row>
        <row r="124">
          <cell r="B124">
            <v>197.9</v>
          </cell>
          <cell r="C124">
            <v>10.5</v>
          </cell>
        </row>
        <row r="125">
          <cell r="B125">
            <v>197.92500000000001</v>
          </cell>
          <cell r="C125">
            <v>10.625</v>
          </cell>
        </row>
        <row r="126">
          <cell r="B126">
            <v>197.95</v>
          </cell>
          <cell r="C126">
            <v>10.75</v>
          </cell>
        </row>
        <row r="127">
          <cell r="B127">
            <v>197.97499999999999</v>
          </cell>
          <cell r="C127">
            <v>10.875</v>
          </cell>
        </row>
        <row r="128">
          <cell r="B128">
            <v>198</v>
          </cell>
          <cell r="C128">
            <v>11</v>
          </cell>
        </row>
        <row r="129">
          <cell r="B129">
            <v>198.02500000000001</v>
          </cell>
          <cell r="C129">
            <v>11.15</v>
          </cell>
        </row>
        <row r="130">
          <cell r="B130">
            <v>198.05</v>
          </cell>
          <cell r="C130">
            <v>11.3</v>
          </cell>
        </row>
        <row r="131">
          <cell r="B131">
            <v>198.07499999999999</v>
          </cell>
          <cell r="C131">
            <v>11.45</v>
          </cell>
        </row>
        <row r="132">
          <cell r="B132">
            <v>198.1</v>
          </cell>
          <cell r="C132">
            <v>11.6</v>
          </cell>
        </row>
        <row r="133">
          <cell r="B133">
            <v>198.125</v>
          </cell>
          <cell r="C133">
            <v>11.75</v>
          </cell>
        </row>
        <row r="134">
          <cell r="B134">
            <v>198.15</v>
          </cell>
          <cell r="C134">
            <v>11.9</v>
          </cell>
        </row>
        <row r="135">
          <cell r="B135">
            <v>198.17500000000001</v>
          </cell>
          <cell r="C135">
            <v>12.05</v>
          </cell>
        </row>
        <row r="136">
          <cell r="B136">
            <v>198.2</v>
          </cell>
          <cell r="C136">
            <v>12.2</v>
          </cell>
        </row>
        <row r="137">
          <cell r="B137">
            <v>198.22499999999999</v>
          </cell>
          <cell r="C137">
            <v>12.35</v>
          </cell>
        </row>
        <row r="138">
          <cell r="B138">
            <v>198.25</v>
          </cell>
          <cell r="C138">
            <v>12.5</v>
          </cell>
        </row>
        <row r="139">
          <cell r="B139">
            <v>198.27500000000001</v>
          </cell>
          <cell r="C139">
            <v>12.65</v>
          </cell>
        </row>
        <row r="140">
          <cell r="B140">
            <v>198.3</v>
          </cell>
          <cell r="C140">
            <v>12.8</v>
          </cell>
        </row>
        <row r="141">
          <cell r="B141">
            <v>198.32499999999999</v>
          </cell>
          <cell r="C141">
            <v>12.95</v>
          </cell>
        </row>
        <row r="142">
          <cell r="B142">
            <v>198.35</v>
          </cell>
          <cell r="C142">
            <v>13.1</v>
          </cell>
        </row>
        <row r="143">
          <cell r="B143">
            <v>198.375</v>
          </cell>
          <cell r="C143">
            <v>13.25</v>
          </cell>
        </row>
        <row r="144">
          <cell r="B144">
            <v>198.4</v>
          </cell>
          <cell r="C144">
            <v>13.4</v>
          </cell>
        </row>
        <row r="145">
          <cell r="B145">
            <v>198.42500000000001</v>
          </cell>
          <cell r="C145">
            <v>13.55</v>
          </cell>
        </row>
        <row r="146">
          <cell r="B146">
            <v>198.45</v>
          </cell>
          <cell r="C146">
            <v>13.7</v>
          </cell>
        </row>
        <row r="147">
          <cell r="B147">
            <v>198.47499999999999</v>
          </cell>
          <cell r="C147">
            <v>13.85</v>
          </cell>
        </row>
        <row r="148">
          <cell r="B148">
            <v>198.5</v>
          </cell>
          <cell r="C148">
            <v>14</v>
          </cell>
        </row>
        <row r="149">
          <cell r="B149">
            <v>198.52500000000001</v>
          </cell>
          <cell r="C149">
            <v>14.2</v>
          </cell>
        </row>
        <row r="150">
          <cell r="B150">
            <v>198.55</v>
          </cell>
          <cell r="C150">
            <v>14.4</v>
          </cell>
        </row>
        <row r="151">
          <cell r="B151">
            <v>198.57499999999999</v>
          </cell>
          <cell r="C151">
            <v>14.6</v>
          </cell>
        </row>
        <row r="152">
          <cell r="B152">
            <v>198.6</v>
          </cell>
          <cell r="C152">
            <v>14.8</v>
          </cell>
        </row>
        <row r="153">
          <cell r="B153">
            <v>198.625</v>
          </cell>
          <cell r="C153">
            <v>15</v>
          </cell>
        </row>
        <row r="154">
          <cell r="B154">
            <v>198.65</v>
          </cell>
          <cell r="C154">
            <v>15.2</v>
          </cell>
        </row>
        <row r="155">
          <cell r="B155">
            <v>198.67500000000001</v>
          </cell>
          <cell r="C155">
            <v>15.4</v>
          </cell>
        </row>
        <row r="156">
          <cell r="B156">
            <v>198.7</v>
          </cell>
          <cell r="C156">
            <v>15.6</v>
          </cell>
        </row>
        <row r="157">
          <cell r="B157">
            <v>198.72499999999999</v>
          </cell>
          <cell r="C157">
            <v>15.8</v>
          </cell>
        </row>
        <row r="158">
          <cell r="B158">
            <v>198.75</v>
          </cell>
          <cell r="C158">
            <v>16</v>
          </cell>
        </row>
        <row r="159">
          <cell r="B159">
            <v>198.77500000000001</v>
          </cell>
          <cell r="C159">
            <v>16.2</v>
          </cell>
        </row>
        <row r="160">
          <cell r="B160">
            <v>198.8</v>
          </cell>
          <cell r="C160">
            <v>16.399999999999999</v>
          </cell>
        </row>
        <row r="161">
          <cell r="B161">
            <v>198.82499999999999</v>
          </cell>
          <cell r="C161">
            <v>16.600000000000001</v>
          </cell>
        </row>
        <row r="162">
          <cell r="B162">
            <v>198.85</v>
          </cell>
          <cell r="C162">
            <v>16.8</v>
          </cell>
        </row>
        <row r="163">
          <cell r="B163">
            <v>198.875</v>
          </cell>
          <cell r="C163">
            <v>17</v>
          </cell>
        </row>
        <row r="164">
          <cell r="B164">
            <v>198.9</v>
          </cell>
          <cell r="C164">
            <v>17.2</v>
          </cell>
        </row>
        <row r="165">
          <cell r="B165">
            <v>198.92500000000001</v>
          </cell>
          <cell r="C165">
            <v>17.399999999999999</v>
          </cell>
        </row>
        <row r="166">
          <cell r="B166">
            <v>198.95</v>
          </cell>
          <cell r="C166">
            <v>17.600000000000001</v>
          </cell>
        </row>
        <row r="167">
          <cell r="B167">
            <v>198.97499999999999</v>
          </cell>
          <cell r="C167">
            <v>17.8</v>
          </cell>
        </row>
        <row r="168">
          <cell r="B168">
            <v>199</v>
          </cell>
          <cell r="C168">
            <v>18</v>
          </cell>
        </row>
        <row r="169">
          <cell r="B169">
            <v>199.02500000000001</v>
          </cell>
          <cell r="C169">
            <v>18.2</v>
          </cell>
        </row>
        <row r="170">
          <cell r="B170">
            <v>199.05</v>
          </cell>
          <cell r="C170">
            <v>18.399999999999999</v>
          </cell>
        </row>
        <row r="171">
          <cell r="B171">
            <v>199.07499999999999</v>
          </cell>
          <cell r="C171">
            <v>18.600000000000001</v>
          </cell>
        </row>
        <row r="172">
          <cell r="B172">
            <v>199.1</v>
          </cell>
          <cell r="C172">
            <v>18.8</v>
          </cell>
        </row>
        <row r="173">
          <cell r="B173">
            <v>199.125</v>
          </cell>
          <cell r="C173">
            <v>19</v>
          </cell>
        </row>
        <row r="174">
          <cell r="B174">
            <v>199.15</v>
          </cell>
          <cell r="C174">
            <v>19.2</v>
          </cell>
        </row>
        <row r="175">
          <cell r="B175">
            <v>199.17500000000001</v>
          </cell>
          <cell r="C175">
            <v>19.399999999999999</v>
          </cell>
        </row>
        <row r="176">
          <cell r="B176">
            <v>199.2</v>
          </cell>
          <cell r="C176">
            <v>19.600000000000001</v>
          </cell>
        </row>
        <row r="177">
          <cell r="B177">
            <v>199.22499999999999</v>
          </cell>
          <cell r="C177">
            <v>19.8</v>
          </cell>
        </row>
        <row r="178">
          <cell r="B178">
            <v>199.25</v>
          </cell>
          <cell r="C178">
            <v>20</v>
          </cell>
        </row>
        <row r="179">
          <cell r="B179">
            <v>199.27500000000001</v>
          </cell>
          <cell r="C179">
            <v>20.2</v>
          </cell>
        </row>
        <row r="180">
          <cell r="B180">
            <v>199.3</v>
          </cell>
          <cell r="C180">
            <v>20.399999999999999</v>
          </cell>
        </row>
        <row r="181">
          <cell r="B181">
            <v>199.32499999999999</v>
          </cell>
          <cell r="C181">
            <v>20.6</v>
          </cell>
        </row>
        <row r="182">
          <cell r="B182">
            <v>199.35</v>
          </cell>
          <cell r="C182">
            <v>20.8</v>
          </cell>
        </row>
        <row r="183">
          <cell r="B183">
            <v>199.375</v>
          </cell>
          <cell r="C183">
            <v>21</v>
          </cell>
        </row>
        <row r="184">
          <cell r="B184">
            <v>199.4</v>
          </cell>
          <cell r="C184">
            <v>21.2</v>
          </cell>
        </row>
        <row r="185">
          <cell r="B185">
            <v>199.42500000000001</v>
          </cell>
          <cell r="C185">
            <v>21.4</v>
          </cell>
        </row>
        <row r="186">
          <cell r="B186">
            <v>199.45</v>
          </cell>
          <cell r="C186">
            <v>21.6</v>
          </cell>
        </row>
        <row r="187">
          <cell r="B187">
            <v>199.47499999999999</v>
          </cell>
          <cell r="C187">
            <v>21.8</v>
          </cell>
        </row>
        <row r="188">
          <cell r="B188">
            <v>199.5</v>
          </cell>
          <cell r="C188">
            <v>22</v>
          </cell>
        </row>
        <row r="189">
          <cell r="B189">
            <v>199.52500000000001</v>
          </cell>
          <cell r="C189">
            <v>22.274999999999999</v>
          </cell>
        </row>
        <row r="190">
          <cell r="B190">
            <v>199.55</v>
          </cell>
          <cell r="C190">
            <v>22.55</v>
          </cell>
        </row>
        <row r="191">
          <cell r="B191">
            <v>199.57499999999999</v>
          </cell>
          <cell r="C191">
            <v>22.824999999999999</v>
          </cell>
        </row>
        <row r="192">
          <cell r="B192">
            <v>199.6</v>
          </cell>
          <cell r="C192">
            <v>23.1</v>
          </cell>
        </row>
        <row r="193">
          <cell r="B193">
            <v>199.625</v>
          </cell>
          <cell r="C193">
            <v>23.375</v>
          </cell>
        </row>
        <row r="194">
          <cell r="B194">
            <v>199.65</v>
          </cell>
          <cell r="C194">
            <v>23.65</v>
          </cell>
        </row>
        <row r="195">
          <cell r="B195">
            <v>199.67500000000001</v>
          </cell>
          <cell r="C195">
            <v>23.925000000000001</v>
          </cell>
        </row>
        <row r="196">
          <cell r="B196">
            <v>199.7</v>
          </cell>
          <cell r="C196">
            <v>24.2</v>
          </cell>
        </row>
        <row r="197">
          <cell r="B197">
            <v>199.72499999999999</v>
          </cell>
          <cell r="C197">
            <v>24.475000000000001</v>
          </cell>
        </row>
        <row r="198">
          <cell r="B198">
            <v>199.75</v>
          </cell>
          <cell r="C198">
            <v>24.75</v>
          </cell>
        </row>
        <row r="199">
          <cell r="B199">
            <v>199.77500000000001</v>
          </cell>
          <cell r="C199">
            <v>25.024999999999999</v>
          </cell>
        </row>
        <row r="200">
          <cell r="B200">
            <v>199.8</v>
          </cell>
          <cell r="C200">
            <v>25.3</v>
          </cell>
        </row>
        <row r="201">
          <cell r="B201">
            <v>199.82499999999999</v>
          </cell>
          <cell r="C201">
            <v>25.574999999999999</v>
          </cell>
        </row>
        <row r="202">
          <cell r="B202">
            <v>199.85</v>
          </cell>
          <cell r="C202">
            <v>25.85</v>
          </cell>
        </row>
        <row r="203">
          <cell r="B203">
            <v>199.875</v>
          </cell>
          <cell r="C203">
            <v>26.125</v>
          </cell>
        </row>
        <row r="204">
          <cell r="B204">
            <v>199.9</v>
          </cell>
          <cell r="C204">
            <v>26.4</v>
          </cell>
        </row>
        <row r="205">
          <cell r="B205">
            <v>199.92500000000001</v>
          </cell>
          <cell r="C205">
            <v>26.675000000000001</v>
          </cell>
        </row>
        <row r="206">
          <cell r="B206">
            <v>199.95</v>
          </cell>
          <cell r="C206">
            <v>26.95</v>
          </cell>
        </row>
        <row r="207">
          <cell r="B207">
            <v>199.97499999999999</v>
          </cell>
          <cell r="C207">
            <v>27.225000000000001</v>
          </cell>
        </row>
        <row r="208">
          <cell r="B208">
            <v>200</v>
          </cell>
          <cell r="C208">
            <v>27.5</v>
          </cell>
        </row>
        <row r="209">
          <cell r="B209">
            <v>200.02500000000001</v>
          </cell>
          <cell r="C209">
            <v>27.8</v>
          </cell>
        </row>
        <row r="210">
          <cell r="B210">
            <v>200.05</v>
          </cell>
          <cell r="C210">
            <v>28.1</v>
          </cell>
        </row>
        <row r="211">
          <cell r="B211">
            <v>200.07499999999999</v>
          </cell>
          <cell r="C211">
            <v>28.4</v>
          </cell>
        </row>
        <row r="212">
          <cell r="B212">
            <v>200.1</v>
          </cell>
          <cell r="C212">
            <v>28.7</v>
          </cell>
        </row>
        <row r="213">
          <cell r="B213">
            <v>200.12500000000108</v>
          </cell>
          <cell r="C213">
            <v>29</v>
          </cell>
        </row>
        <row r="214">
          <cell r="B214">
            <v>200.15000000000109</v>
          </cell>
          <cell r="C214">
            <v>29.3</v>
          </cell>
        </row>
        <row r="215">
          <cell r="B215">
            <v>200.17500000000109</v>
          </cell>
          <cell r="C215">
            <v>29.6</v>
          </cell>
        </row>
        <row r="216">
          <cell r="B216">
            <v>200.2000000000011</v>
          </cell>
          <cell r="C216">
            <v>29.9</v>
          </cell>
        </row>
        <row r="217">
          <cell r="B217">
            <v>200.2250000000011</v>
          </cell>
          <cell r="C217">
            <v>30.2</v>
          </cell>
        </row>
        <row r="218">
          <cell r="B218">
            <v>200.25000000000111</v>
          </cell>
          <cell r="C218">
            <v>30.5</v>
          </cell>
        </row>
        <row r="219">
          <cell r="B219">
            <v>200.27500000000111</v>
          </cell>
          <cell r="C219">
            <v>30.8</v>
          </cell>
        </row>
        <row r="220">
          <cell r="B220">
            <v>200.30000000000112</v>
          </cell>
          <cell r="C220">
            <v>31.1</v>
          </cell>
        </row>
        <row r="221">
          <cell r="B221">
            <v>200.32500000000113</v>
          </cell>
          <cell r="C221">
            <v>31.4</v>
          </cell>
        </row>
        <row r="222">
          <cell r="B222">
            <v>200.35000000000113</v>
          </cell>
          <cell r="C222">
            <v>31.7</v>
          </cell>
        </row>
        <row r="223">
          <cell r="B223">
            <v>200.37500000000114</v>
          </cell>
          <cell r="C223">
            <v>32</v>
          </cell>
        </row>
        <row r="224">
          <cell r="B224">
            <v>200.40000000000114</v>
          </cell>
          <cell r="C224">
            <v>32.299999999999997</v>
          </cell>
        </row>
        <row r="225">
          <cell r="B225">
            <v>200.42500000000115</v>
          </cell>
          <cell r="C225">
            <v>32.6</v>
          </cell>
        </row>
        <row r="226">
          <cell r="B226">
            <v>200.45000000000115</v>
          </cell>
          <cell r="C226">
            <v>32.9</v>
          </cell>
        </row>
        <row r="227">
          <cell r="B227">
            <v>200.47500000000116</v>
          </cell>
          <cell r="C227">
            <v>33.200000000000003</v>
          </cell>
        </row>
        <row r="228">
          <cell r="B228">
            <v>200.5</v>
          </cell>
          <cell r="C228">
            <v>33.49999999999995</v>
          </cell>
        </row>
        <row r="229">
          <cell r="B229">
            <v>200.52500000000001</v>
          </cell>
          <cell r="C229">
            <v>33.87499999999995</v>
          </cell>
        </row>
        <row r="230">
          <cell r="B230">
            <v>200.55</v>
          </cell>
          <cell r="C230">
            <v>34.24999999999995</v>
          </cell>
        </row>
        <row r="231">
          <cell r="B231">
            <v>200.57499999999999</v>
          </cell>
          <cell r="C231">
            <v>34.62499999999995</v>
          </cell>
        </row>
        <row r="232">
          <cell r="B232">
            <v>200.6</v>
          </cell>
          <cell r="C232">
            <v>34.99999999999995</v>
          </cell>
        </row>
        <row r="233">
          <cell r="B233">
            <v>200.625</v>
          </cell>
          <cell r="C233">
            <v>35.37499999999995</v>
          </cell>
        </row>
        <row r="234">
          <cell r="B234">
            <v>200.65</v>
          </cell>
          <cell r="C234">
            <v>35.74999999999995</v>
          </cell>
        </row>
        <row r="235">
          <cell r="B235">
            <v>200.67500000000001</v>
          </cell>
          <cell r="C235">
            <v>36.12499999999995</v>
          </cell>
        </row>
        <row r="236">
          <cell r="B236">
            <v>200.7</v>
          </cell>
          <cell r="C236">
            <v>36.49999999999995</v>
          </cell>
        </row>
        <row r="237">
          <cell r="B237">
            <v>200.72499999999999</v>
          </cell>
          <cell r="C237">
            <v>36.87499999999995</v>
          </cell>
        </row>
        <row r="238">
          <cell r="B238">
            <v>200.75</v>
          </cell>
          <cell r="C238">
            <v>37.24999999999995</v>
          </cell>
        </row>
        <row r="239">
          <cell r="B239">
            <v>200.77500000000001</v>
          </cell>
          <cell r="C239">
            <v>37.62499999999995</v>
          </cell>
        </row>
        <row r="240">
          <cell r="B240">
            <v>200.8</v>
          </cell>
          <cell r="C240">
            <v>37.99999999999995</v>
          </cell>
        </row>
        <row r="241">
          <cell r="B241">
            <v>200.82499999999999</v>
          </cell>
          <cell r="C241">
            <v>38.37499999999995</v>
          </cell>
        </row>
        <row r="242">
          <cell r="B242">
            <v>200.85</v>
          </cell>
          <cell r="C242">
            <v>38.74999999999995</v>
          </cell>
        </row>
        <row r="243">
          <cell r="B243">
            <v>200.875</v>
          </cell>
          <cell r="C243">
            <v>39.12499999999995</v>
          </cell>
        </row>
        <row r="244">
          <cell r="B244">
            <v>200.9</v>
          </cell>
          <cell r="C244">
            <v>39.49999999999995</v>
          </cell>
        </row>
        <row r="245">
          <cell r="B245">
            <v>200.92500000000001</v>
          </cell>
          <cell r="C245">
            <v>39.87499999999995</v>
          </cell>
        </row>
        <row r="246">
          <cell r="B246">
            <v>200.95</v>
          </cell>
          <cell r="C246">
            <v>40.24999999999995</v>
          </cell>
        </row>
        <row r="247">
          <cell r="B247">
            <v>200.97499999999999</v>
          </cell>
          <cell r="C247">
            <v>40.62499999999995</v>
          </cell>
        </row>
        <row r="248">
          <cell r="B248">
            <v>201</v>
          </cell>
          <cell r="C248">
            <v>41</v>
          </cell>
        </row>
        <row r="249">
          <cell r="B249">
            <v>201.02500000000001</v>
          </cell>
          <cell r="C249">
            <v>41.375</v>
          </cell>
        </row>
        <row r="250">
          <cell r="B250">
            <v>201.05</v>
          </cell>
          <cell r="C250">
            <v>41.75</v>
          </cell>
        </row>
        <row r="251">
          <cell r="B251">
            <v>201.07499999999999</v>
          </cell>
          <cell r="C251">
            <v>42.125</v>
          </cell>
        </row>
        <row r="252">
          <cell r="B252">
            <v>201.1</v>
          </cell>
          <cell r="C252">
            <v>42.5</v>
          </cell>
        </row>
        <row r="253">
          <cell r="B253">
            <v>201.125</v>
          </cell>
          <cell r="C253">
            <v>42.875</v>
          </cell>
        </row>
        <row r="254">
          <cell r="B254">
            <v>201.15</v>
          </cell>
          <cell r="C254">
            <v>43.25</v>
          </cell>
        </row>
        <row r="255">
          <cell r="B255">
            <v>201.17500000000001</v>
          </cell>
          <cell r="C255">
            <v>43.625</v>
          </cell>
        </row>
        <row r="256">
          <cell r="B256">
            <v>201.2</v>
          </cell>
          <cell r="C256">
            <v>44</v>
          </cell>
        </row>
        <row r="257">
          <cell r="B257">
            <v>201.22499999999999</v>
          </cell>
          <cell r="C257">
            <v>44.375</v>
          </cell>
        </row>
        <row r="258">
          <cell r="B258">
            <v>201.25</v>
          </cell>
          <cell r="C258">
            <v>44.75</v>
          </cell>
        </row>
        <row r="259">
          <cell r="B259">
            <v>201.27500000000001</v>
          </cell>
          <cell r="C259">
            <v>45.125</v>
          </cell>
        </row>
        <row r="260">
          <cell r="B260">
            <v>201.3</v>
          </cell>
          <cell r="C260">
            <v>45.5</v>
          </cell>
        </row>
        <row r="261">
          <cell r="B261">
            <v>201.32499999999999</v>
          </cell>
          <cell r="C261">
            <v>45.875</v>
          </cell>
        </row>
        <row r="262">
          <cell r="B262">
            <v>201.35</v>
          </cell>
          <cell r="C262">
            <v>46.25</v>
          </cell>
        </row>
        <row r="263">
          <cell r="B263">
            <v>201.375</v>
          </cell>
          <cell r="C263">
            <v>46.625</v>
          </cell>
        </row>
        <row r="264">
          <cell r="B264">
            <v>201.4</v>
          </cell>
          <cell r="C264">
            <v>47</v>
          </cell>
        </row>
        <row r="265">
          <cell r="B265">
            <v>201.42500000000001</v>
          </cell>
          <cell r="C265">
            <v>47.375</v>
          </cell>
        </row>
        <row r="266">
          <cell r="B266">
            <v>201.45</v>
          </cell>
          <cell r="C266">
            <v>47.75</v>
          </cell>
        </row>
        <row r="267">
          <cell r="B267">
            <v>201.47499999999999</v>
          </cell>
          <cell r="C267">
            <v>48.125</v>
          </cell>
        </row>
        <row r="268">
          <cell r="B268">
            <v>201.5</v>
          </cell>
          <cell r="C268">
            <v>48.5</v>
          </cell>
        </row>
        <row r="269">
          <cell r="B269">
            <v>201.52500000000001</v>
          </cell>
          <cell r="C269">
            <v>48.924999999999997</v>
          </cell>
        </row>
        <row r="270">
          <cell r="B270">
            <v>201.55</v>
          </cell>
          <cell r="C270">
            <v>49.35</v>
          </cell>
        </row>
        <row r="271">
          <cell r="B271">
            <v>201.57499999999999</v>
          </cell>
          <cell r="C271">
            <v>49.774999999999999</v>
          </cell>
        </row>
        <row r="272">
          <cell r="B272">
            <v>201.6</v>
          </cell>
          <cell r="C272">
            <v>50.2</v>
          </cell>
        </row>
        <row r="273">
          <cell r="B273">
            <v>201.625</v>
          </cell>
          <cell r="C273">
            <v>50.625</v>
          </cell>
        </row>
        <row r="274">
          <cell r="B274">
            <v>201.65</v>
          </cell>
          <cell r="C274">
            <v>51.05</v>
          </cell>
        </row>
        <row r="275">
          <cell r="B275">
            <v>201.67500000000001</v>
          </cell>
          <cell r="C275">
            <v>51.475000000000001</v>
          </cell>
        </row>
        <row r="276">
          <cell r="B276">
            <v>201.7</v>
          </cell>
          <cell r="C276">
            <v>51.9</v>
          </cell>
        </row>
        <row r="277">
          <cell r="B277">
            <v>201.72499999999999</v>
          </cell>
          <cell r="C277">
            <v>52.325000000000003</v>
          </cell>
        </row>
        <row r="278">
          <cell r="B278">
            <v>201.75</v>
          </cell>
          <cell r="C278">
            <v>52.75</v>
          </cell>
        </row>
        <row r="279">
          <cell r="B279">
            <v>201.77500000000001</v>
          </cell>
          <cell r="C279">
            <v>53.174999999999997</v>
          </cell>
        </row>
        <row r="280">
          <cell r="B280">
            <v>201.8</v>
          </cell>
          <cell r="C280">
            <v>53.6</v>
          </cell>
        </row>
        <row r="281">
          <cell r="B281">
            <v>201.82499999999999</v>
          </cell>
          <cell r="C281">
            <v>54.024999999999999</v>
          </cell>
        </row>
        <row r="282">
          <cell r="B282">
            <v>201.85</v>
          </cell>
          <cell r="C282">
            <v>54.45</v>
          </cell>
        </row>
        <row r="283">
          <cell r="B283">
            <v>201.875</v>
          </cell>
          <cell r="C283">
            <v>54.875</v>
          </cell>
        </row>
        <row r="284">
          <cell r="B284">
            <v>201.9</v>
          </cell>
          <cell r="C284">
            <v>55.3</v>
          </cell>
        </row>
        <row r="285">
          <cell r="B285">
            <v>201.92500000000001</v>
          </cell>
          <cell r="C285">
            <v>55.725000000000001</v>
          </cell>
        </row>
        <row r="286">
          <cell r="B286">
            <v>201.95</v>
          </cell>
          <cell r="C286">
            <v>56.15</v>
          </cell>
        </row>
        <row r="287">
          <cell r="B287">
            <v>201.97499999999999</v>
          </cell>
          <cell r="C287">
            <v>56.575000000000003</v>
          </cell>
        </row>
        <row r="288">
          <cell r="B288">
            <v>202</v>
          </cell>
          <cell r="C288">
            <v>57</v>
          </cell>
        </row>
        <row r="289">
          <cell r="B289">
            <v>202.02500000000001</v>
          </cell>
          <cell r="C289">
            <v>57.475000000000001</v>
          </cell>
        </row>
        <row r="290">
          <cell r="B290">
            <v>202.05</v>
          </cell>
          <cell r="C290">
            <v>57.95</v>
          </cell>
        </row>
        <row r="291">
          <cell r="B291">
            <v>202.07499999999999</v>
          </cell>
          <cell r="C291">
            <v>58.424999999999997</v>
          </cell>
        </row>
        <row r="292">
          <cell r="B292">
            <v>202.1</v>
          </cell>
          <cell r="C292">
            <v>58.9</v>
          </cell>
        </row>
        <row r="293">
          <cell r="B293">
            <v>202.125</v>
          </cell>
          <cell r="C293">
            <v>59.375</v>
          </cell>
        </row>
        <row r="294">
          <cell r="B294">
            <v>202.15</v>
          </cell>
          <cell r="C294">
            <v>59.85</v>
          </cell>
        </row>
        <row r="295">
          <cell r="B295">
            <v>202.17500000000001</v>
          </cell>
          <cell r="C295">
            <v>60.325000000000003</v>
          </cell>
        </row>
        <row r="296">
          <cell r="B296">
            <v>202.2</v>
          </cell>
          <cell r="C296">
            <v>60.8</v>
          </cell>
        </row>
        <row r="297">
          <cell r="B297">
            <v>202.22499999999999</v>
          </cell>
          <cell r="C297">
            <v>61.274999999999999</v>
          </cell>
        </row>
        <row r="298">
          <cell r="B298">
            <v>202.25</v>
          </cell>
          <cell r="C298">
            <v>61.75</v>
          </cell>
        </row>
        <row r="299">
          <cell r="B299">
            <v>202.27500000000001</v>
          </cell>
          <cell r="C299">
            <v>62.225000000000001</v>
          </cell>
        </row>
        <row r="300">
          <cell r="B300">
            <v>202.3</v>
          </cell>
          <cell r="C300">
            <v>62.7</v>
          </cell>
        </row>
        <row r="301">
          <cell r="B301">
            <v>202.32499999999999</v>
          </cell>
          <cell r="C301">
            <v>63.174999999999997</v>
          </cell>
        </row>
        <row r="302">
          <cell r="B302">
            <v>202.35</v>
          </cell>
          <cell r="C302">
            <v>63.65</v>
          </cell>
        </row>
        <row r="303">
          <cell r="B303">
            <v>202.375</v>
          </cell>
          <cell r="C303">
            <v>64.125</v>
          </cell>
        </row>
        <row r="304">
          <cell r="B304">
            <v>202.4</v>
          </cell>
          <cell r="C304">
            <v>64.599999999999994</v>
          </cell>
        </row>
        <row r="305">
          <cell r="B305">
            <v>202.42500000000001</v>
          </cell>
          <cell r="C305">
            <v>65.075000000000003</v>
          </cell>
        </row>
        <row r="306">
          <cell r="B306">
            <v>202.45</v>
          </cell>
          <cell r="C306">
            <v>65.55</v>
          </cell>
        </row>
        <row r="307">
          <cell r="B307">
            <v>202.47499999999999</v>
          </cell>
          <cell r="C307">
            <v>66.025000000000006</v>
          </cell>
        </row>
        <row r="308">
          <cell r="B308">
            <v>202.5</v>
          </cell>
          <cell r="C308">
            <v>66.5</v>
          </cell>
        </row>
        <row r="309">
          <cell r="B309">
            <v>202.52500000000001</v>
          </cell>
          <cell r="C309">
            <v>67.099999999999994</v>
          </cell>
        </row>
        <row r="310">
          <cell r="B310">
            <v>202.55</v>
          </cell>
          <cell r="C310">
            <v>67.7</v>
          </cell>
        </row>
        <row r="311">
          <cell r="B311">
            <v>202.57499999999999</v>
          </cell>
          <cell r="C311">
            <v>68.3</v>
          </cell>
        </row>
        <row r="312">
          <cell r="B312">
            <v>202.6</v>
          </cell>
          <cell r="C312">
            <v>68.900000000000006</v>
          </cell>
        </row>
        <row r="313">
          <cell r="B313">
            <v>202.625</v>
          </cell>
          <cell r="C313">
            <v>69.5</v>
          </cell>
        </row>
        <row r="314">
          <cell r="B314">
            <v>202.65</v>
          </cell>
          <cell r="C314">
            <v>70.099999999999994</v>
          </cell>
        </row>
        <row r="315">
          <cell r="B315">
            <v>202.67500000000001</v>
          </cell>
          <cell r="C315">
            <v>70.7</v>
          </cell>
        </row>
        <row r="316">
          <cell r="B316">
            <v>202.7</v>
          </cell>
          <cell r="C316">
            <v>71.3</v>
          </cell>
        </row>
        <row r="317">
          <cell r="B317">
            <v>202.72499999999999</v>
          </cell>
          <cell r="C317">
            <v>71.900000000000006</v>
          </cell>
        </row>
        <row r="318">
          <cell r="B318">
            <v>202.75</v>
          </cell>
          <cell r="C318">
            <v>72.5</v>
          </cell>
        </row>
        <row r="319">
          <cell r="B319">
            <v>202.77500000000001</v>
          </cell>
          <cell r="C319">
            <v>73.099999999999994</v>
          </cell>
        </row>
        <row r="320">
          <cell r="B320">
            <v>202.8</v>
          </cell>
          <cell r="C320">
            <v>73.7</v>
          </cell>
        </row>
        <row r="321">
          <cell r="B321">
            <v>202.82499999999999</v>
          </cell>
          <cell r="C321">
            <v>74.3</v>
          </cell>
        </row>
        <row r="322">
          <cell r="B322">
            <v>202.85</v>
          </cell>
          <cell r="C322">
            <v>74.900000000000006</v>
          </cell>
        </row>
        <row r="323">
          <cell r="B323">
            <v>202.875</v>
          </cell>
          <cell r="C323">
            <v>75.5</v>
          </cell>
        </row>
        <row r="324">
          <cell r="B324">
            <v>202.9</v>
          </cell>
          <cell r="C324">
            <v>76.099999999999994</v>
          </cell>
        </row>
        <row r="325">
          <cell r="B325">
            <v>202.92500000000001</v>
          </cell>
          <cell r="C325">
            <v>76.7</v>
          </cell>
        </row>
        <row r="326">
          <cell r="B326">
            <v>202.95</v>
          </cell>
          <cell r="C326">
            <v>77.3</v>
          </cell>
        </row>
        <row r="327">
          <cell r="B327">
            <v>202.97499999999999</v>
          </cell>
          <cell r="C327">
            <v>77.900000000000006</v>
          </cell>
        </row>
        <row r="328">
          <cell r="B328">
            <v>203</v>
          </cell>
          <cell r="C328">
            <v>78.5</v>
          </cell>
        </row>
        <row r="329">
          <cell r="B329">
            <v>203.02500000000001</v>
          </cell>
          <cell r="C329">
            <v>79.075000000000003</v>
          </cell>
        </row>
        <row r="330">
          <cell r="B330">
            <v>203.05</v>
          </cell>
          <cell r="C330">
            <v>79.650000000000006</v>
          </cell>
        </row>
        <row r="331">
          <cell r="B331">
            <v>203.07499999999999</v>
          </cell>
          <cell r="C331">
            <v>80.224999999999994</v>
          </cell>
        </row>
        <row r="332">
          <cell r="B332">
            <v>203.1</v>
          </cell>
          <cell r="C332">
            <v>80.8</v>
          </cell>
        </row>
        <row r="333">
          <cell r="B333">
            <v>203.125</v>
          </cell>
          <cell r="C333">
            <v>81.375</v>
          </cell>
        </row>
        <row r="334">
          <cell r="B334">
            <v>203.15</v>
          </cell>
          <cell r="C334">
            <v>81.95</v>
          </cell>
        </row>
        <row r="335">
          <cell r="B335">
            <v>203.17500000000001</v>
          </cell>
          <cell r="C335">
            <v>82.525000000000006</v>
          </cell>
        </row>
        <row r="336">
          <cell r="B336">
            <v>203.2</v>
          </cell>
          <cell r="C336">
            <v>83.1</v>
          </cell>
        </row>
        <row r="337">
          <cell r="B337">
            <v>203.22499999999999</v>
          </cell>
          <cell r="C337">
            <v>83.674999999999997</v>
          </cell>
        </row>
        <row r="338">
          <cell r="B338">
            <v>203.25</v>
          </cell>
          <cell r="C338">
            <v>84.25</v>
          </cell>
        </row>
        <row r="339">
          <cell r="B339">
            <v>203.27500000000001</v>
          </cell>
          <cell r="C339">
            <v>84.825000000000003</v>
          </cell>
        </row>
        <row r="340">
          <cell r="B340">
            <v>203.3</v>
          </cell>
          <cell r="C340">
            <v>85.4</v>
          </cell>
        </row>
        <row r="341">
          <cell r="B341">
            <v>203.32499999999999</v>
          </cell>
          <cell r="C341">
            <v>85.974999999999994</v>
          </cell>
        </row>
        <row r="342">
          <cell r="B342">
            <v>203.35</v>
          </cell>
          <cell r="C342">
            <v>86.55</v>
          </cell>
        </row>
        <row r="343">
          <cell r="B343">
            <v>203.375</v>
          </cell>
          <cell r="C343">
            <v>87.125</v>
          </cell>
        </row>
        <row r="344">
          <cell r="B344">
            <v>203.4</v>
          </cell>
          <cell r="C344">
            <v>87.7</v>
          </cell>
        </row>
        <row r="345">
          <cell r="B345">
            <v>203.42500000000001</v>
          </cell>
          <cell r="C345">
            <v>88.275000000000006</v>
          </cell>
        </row>
        <row r="346">
          <cell r="B346">
            <v>203.45</v>
          </cell>
          <cell r="C346">
            <v>88.85</v>
          </cell>
        </row>
        <row r="347">
          <cell r="B347">
            <v>203.47499999999999</v>
          </cell>
          <cell r="C347">
            <v>89.424999999999997</v>
          </cell>
        </row>
        <row r="348">
          <cell r="B348">
            <v>203.5</v>
          </cell>
          <cell r="C348">
            <v>90</v>
          </cell>
        </row>
        <row r="349">
          <cell r="B349">
            <v>203.52500000000001</v>
          </cell>
          <cell r="C349">
            <v>90.8</v>
          </cell>
        </row>
        <row r="350">
          <cell r="B350">
            <v>203.55</v>
          </cell>
          <cell r="C350">
            <v>91.6</v>
          </cell>
        </row>
        <row r="351">
          <cell r="B351">
            <v>203.57499999999999</v>
          </cell>
          <cell r="C351">
            <v>92.4</v>
          </cell>
        </row>
        <row r="352">
          <cell r="B352">
            <v>203.6</v>
          </cell>
          <cell r="C352">
            <v>93.2</v>
          </cell>
        </row>
        <row r="353">
          <cell r="B353">
            <v>203.625</v>
          </cell>
          <cell r="C353">
            <v>94</v>
          </cell>
        </row>
        <row r="354">
          <cell r="B354">
            <v>203.65</v>
          </cell>
          <cell r="C354">
            <v>94.8</v>
          </cell>
        </row>
        <row r="355">
          <cell r="B355">
            <v>203.67500000000001</v>
          </cell>
          <cell r="C355">
            <v>95.6</v>
          </cell>
        </row>
        <row r="356">
          <cell r="B356">
            <v>203.7</v>
          </cell>
          <cell r="C356">
            <v>96.4</v>
          </cell>
        </row>
        <row r="357">
          <cell r="B357">
            <v>203.72499999999999</v>
          </cell>
          <cell r="C357">
            <v>97.2</v>
          </cell>
        </row>
        <row r="358">
          <cell r="B358">
            <v>203.75</v>
          </cell>
          <cell r="C358">
            <v>98</v>
          </cell>
        </row>
        <row r="359">
          <cell r="B359">
            <v>203.77500000000001</v>
          </cell>
          <cell r="C359">
            <v>98.8</v>
          </cell>
        </row>
        <row r="360">
          <cell r="B360">
            <v>203.8</v>
          </cell>
          <cell r="C360">
            <v>99.6</v>
          </cell>
        </row>
        <row r="361">
          <cell r="B361">
            <v>203.82499999999999</v>
          </cell>
          <cell r="C361">
            <v>100.4</v>
          </cell>
        </row>
        <row r="362">
          <cell r="B362">
            <v>203.85</v>
          </cell>
          <cell r="C362">
            <v>101.2</v>
          </cell>
        </row>
        <row r="363">
          <cell r="B363">
            <v>203.875</v>
          </cell>
          <cell r="C363">
            <v>102</v>
          </cell>
        </row>
        <row r="364">
          <cell r="B364">
            <v>203.9</v>
          </cell>
          <cell r="C364">
            <v>102.8</v>
          </cell>
        </row>
        <row r="365">
          <cell r="B365">
            <v>203.92500000000001</v>
          </cell>
          <cell r="C365">
            <v>103.6</v>
          </cell>
        </row>
        <row r="366">
          <cell r="B366">
            <v>203.95</v>
          </cell>
          <cell r="C366">
            <v>104.4</v>
          </cell>
        </row>
        <row r="367">
          <cell r="B367">
            <v>203.97499999999999</v>
          </cell>
          <cell r="C367">
            <v>105.2</v>
          </cell>
        </row>
        <row r="368">
          <cell r="B368">
            <v>204</v>
          </cell>
          <cell r="C368">
            <v>106</v>
          </cell>
        </row>
        <row r="369">
          <cell r="B369">
            <v>204.02500000000001</v>
          </cell>
          <cell r="C369">
            <v>106.825</v>
          </cell>
        </row>
        <row r="370">
          <cell r="B370">
            <v>204.05</v>
          </cell>
          <cell r="C370">
            <v>107.65</v>
          </cell>
        </row>
        <row r="371">
          <cell r="B371">
            <v>204.07499999999999</v>
          </cell>
          <cell r="C371">
            <v>108.47499999999999</v>
          </cell>
        </row>
        <row r="372">
          <cell r="B372">
            <v>204.1</v>
          </cell>
          <cell r="C372">
            <v>109.3</v>
          </cell>
        </row>
        <row r="373">
          <cell r="B373">
            <v>204.125</v>
          </cell>
          <cell r="C373">
            <v>110.125</v>
          </cell>
        </row>
        <row r="374">
          <cell r="B374">
            <v>204.15</v>
          </cell>
          <cell r="C374">
            <v>110.95</v>
          </cell>
        </row>
        <row r="375">
          <cell r="B375">
            <v>204.17500000000001</v>
          </cell>
          <cell r="C375">
            <v>111.77500000000001</v>
          </cell>
        </row>
        <row r="376">
          <cell r="B376">
            <v>204.2</v>
          </cell>
          <cell r="C376">
            <v>112.6</v>
          </cell>
        </row>
        <row r="377">
          <cell r="B377">
            <v>204.22499999999999</v>
          </cell>
          <cell r="C377">
            <v>113.425</v>
          </cell>
        </row>
        <row r="378">
          <cell r="B378">
            <v>204.25</v>
          </cell>
          <cell r="C378">
            <v>114.25</v>
          </cell>
        </row>
        <row r="379">
          <cell r="B379">
            <v>204.27500000000001</v>
          </cell>
          <cell r="C379">
            <v>115.075</v>
          </cell>
        </row>
        <row r="380">
          <cell r="B380">
            <v>204.3</v>
          </cell>
          <cell r="C380">
            <v>115.9</v>
          </cell>
        </row>
        <row r="381">
          <cell r="B381">
            <v>204.32499999999999</v>
          </cell>
          <cell r="C381">
            <v>116.72499999999999</v>
          </cell>
        </row>
        <row r="382">
          <cell r="B382">
            <v>204.35</v>
          </cell>
          <cell r="C382">
            <v>117.55</v>
          </cell>
        </row>
        <row r="383">
          <cell r="B383">
            <v>204.375</v>
          </cell>
          <cell r="C383">
            <v>118.375</v>
          </cell>
        </row>
        <row r="384">
          <cell r="B384">
            <v>204.4</v>
          </cell>
          <cell r="C384">
            <v>119.2</v>
          </cell>
        </row>
        <row r="385">
          <cell r="B385">
            <v>204.42500000000001</v>
          </cell>
          <cell r="C385">
            <v>120.02500000000001</v>
          </cell>
        </row>
        <row r="386">
          <cell r="B386">
            <v>204.45</v>
          </cell>
          <cell r="C386">
            <v>120.85</v>
          </cell>
        </row>
        <row r="387">
          <cell r="B387">
            <v>204.47499999999999</v>
          </cell>
          <cell r="C387">
            <v>121.675</v>
          </cell>
        </row>
        <row r="388">
          <cell r="B388">
            <v>204.5</v>
          </cell>
          <cell r="C388">
            <v>122.5</v>
          </cell>
        </row>
        <row r="389">
          <cell r="B389">
            <v>204.52500000000001</v>
          </cell>
          <cell r="C389">
            <v>123.375</v>
          </cell>
        </row>
        <row r="390">
          <cell r="B390">
            <v>204.55</v>
          </cell>
          <cell r="C390">
            <v>124.25</v>
          </cell>
        </row>
        <row r="391">
          <cell r="B391">
            <v>204.57499999999999</v>
          </cell>
          <cell r="C391">
            <v>125.125</v>
          </cell>
        </row>
        <row r="392">
          <cell r="B392">
            <v>204.6</v>
          </cell>
          <cell r="C392">
            <v>126</v>
          </cell>
        </row>
        <row r="393">
          <cell r="B393">
            <v>204.625</v>
          </cell>
          <cell r="C393">
            <v>126.875</v>
          </cell>
        </row>
        <row r="394">
          <cell r="B394">
            <v>204.65</v>
          </cell>
          <cell r="C394">
            <v>127.75</v>
          </cell>
        </row>
        <row r="395">
          <cell r="B395">
            <v>204.67500000000001</v>
          </cell>
          <cell r="C395">
            <v>128.625</v>
          </cell>
        </row>
        <row r="396">
          <cell r="B396">
            <v>204.7</v>
          </cell>
          <cell r="C396">
            <v>129.5</v>
          </cell>
        </row>
        <row r="397">
          <cell r="B397">
            <v>204.72499999999999</v>
          </cell>
          <cell r="C397">
            <v>130.375</v>
          </cell>
        </row>
        <row r="398">
          <cell r="B398">
            <v>204.75</v>
          </cell>
          <cell r="C398">
            <v>131.25</v>
          </cell>
        </row>
        <row r="399">
          <cell r="B399">
            <v>204.77500000000001</v>
          </cell>
          <cell r="C399">
            <v>132.125</v>
          </cell>
        </row>
        <row r="400">
          <cell r="B400">
            <v>204.8</v>
          </cell>
          <cell r="C400">
            <v>133</v>
          </cell>
        </row>
        <row r="401">
          <cell r="B401">
            <v>204.82499999999999</v>
          </cell>
          <cell r="C401">
            <v>133.875</v>
          </cell>
        </row>
        <row r="402">
          <cell r="B402">
            <v>204.85</v>
          </cell>
          <cell r="C402">
            <v>134.75</v>
          </cell>
        </row>
        <row r="403">
          <cell r="B403">
            <v>204.875</v>
          </cell>
          <cell r="C403">
            <v>135.625</v>
          </cell>
        </row>
        <row r="404">
          <cell r="B404">
            <v>204.9</v>
          </cell>
          <cell r="C404">
            <v>136.5</v>
          </cell>
        </row>
        <row r="405">
          <cell r="B405">
            <v>204.92500000000001</v>
          </cell>
          <cell r="C405">
            <v>137.375</v>
          </cell>
        </row>
        <row r="406">
          <cell r="B406">
            <v>204.95</v>
          </cell>
          <cell r="C406">
            <v>138.25</v>
          </cell>
        </row>
        <row r="407">
          <cell r="B407">
            <v>204.97499999999999</v>
          </cell>
          <cell r="C407">
            <v>139.125</v>
          </cell>
        </row>
        <row r="408">
          <cell r="B408">
            <v>205</v>
          </cell>
          <cell r="C408">
            <v>140</v>
          </cell>
        </row>
        <row r="409">
          <cell r="B409">
            <v>205.02500000000001</v>
          </cell>
          <cell r="C409">
            <v>141</v>
          </cell>
        </row>
        <row r="410">
          <cell r="B410">
            <v>205.05</v>
          </cell>
          <cell r="C410">
            <v>142</v>
          </cell>
        </row>
        <row r="411">
          <cell r="B411">
            <v>205.07499999999999</v>
          </cell>
          <cell r="C411">
            <v>143</v>
          </cell>
        </row>
        <row r="412">
          <cell r="B412">
            <v>205.1</v>
          </cell>
          <cell r="C412">
            <v>144</v>
          </cell>
        </row>
        <row r="413">
          <cell r="B413">
            <v>205.125</v>
          </cell>
          <cell r="C413">
            <v>145</v>
          </cell>
        </row>
        <row r="414">
          <cell r="B414">
            <v>205.15</v>
          </cell>
          <cell r="C414">
            <v>146</v>
          </cell>
        </row>
        <row r="415">
          <cell r="B415">
            <v>205.17500000000001</v>
          </cell>
          <cell r="C415">
            <v>147</v>
          </cell>
        </row>
        <row r="416">
          <cell r="B416">
            <v>205.2</v>
          </cell>
          <cell r="C416">
            <v>148</v>
          </cell>
        </row>
        <row r="417">
          <cell r="B417">
            <v>205.22499999999999</v>
          </cell>
          <cell r="C417">
            <v>149</v>
          </cell>
        </row>
        <row r="418">
          <cell r="B418">
            <v>205.25</v>
          </cell>
          <cell r="C418">
            <v>150</v>
          </cell>
        </row>
        <row r="419">
          <cell r="B419">
            <v>205.27500000000001</v>
          </cell>
          <cell r="C419">
            <v>151</v>
          </cell>
        </row>
        <row r="420">
          <cell r="B420">
            <v>205.3</v>
          </cell>
          <cell r="C420">
            <v>152</v>
          </cell>
        </row>
        <row r="421">
          <cell r="B421">
            <v>205.32499999999999</v>
          </cell>
          <cell r="C421">
            <v>153</v>
          </cell>
        </row>
        <row r="422">
          <cell r="B422">
            <v>205.35</v>
          </cell>
          <cell r="C422">
            <v>154</v>
          </cell>
        </row>
        <row r="423">
          <cell r="B423">
            <v>205.375</v>
          </cell>
          <cell r="C423">
            <v>155</v>
          </cell>
        </row>
        <row r="424">
          <cell r="B424">
            <v>205.4</v>
          </cell>
          <cell r="C424">
            <v>156</v>
          </cell>
        </row>
        <row r="425">
          <cell r="B425">
            <v>205.42500000000001</v>
          </cell>
          <cell r="C425">
            <v>157</v>
          </cell>
        </row>
        <row r="426">
          <cell r="B426">
            <v>205.45</v>
          </cell>
          <cell r="C426">
            <v>158</v>
          </cell>
        </row>
        <row r="427">
          <cell r="B427">
            <v>205.47499999999999</v>
          </cell>
          <cell r="C427">
            <v>159</v>
          </cell>
        </row>
        <row r="428">
          <cell r="B428">
            <v>205.5</v>
          </cell>
          <cell r="C428">
            <v>160</v>
          </cell>
        </row>
        <row r="429">
          <cell r="B429">
            <v>205.52500000000001</v>
          </cell>
          <cell r="C429">
            <v>161</v>
          </cell>
        </row>
        <row r="430">
          <cell r="B430">
            <v>205.55</v>
          </cell>
          <cell r="C430">
            <v>162</v>
          </cell>
        </row>
        <row r="431">
          <cell r="B431">
            <v>205.57499999999999</v>
          </cell>
          <cell r="C431">
            <v>163</v>
          </cell>
        </row>
        <row r="432">
          <cell r="B432">
            <v>205.6</v>
          </cell>
          <cell r="C432">
            <v>164</v>
          </cell>
        </row>
        <row r="433">
          <cell r="B433">
            <v>205.625</v>
          </cell>
          <cell r="C433">
            <v>165</v>
          </cell>
        </row>
        <row r="434">
          <cell r="B434">
            <v>205.65</v>
          </cell>
          <cell r="C434">
            <v>166</v>
          </cell>
        </row>
        <row r="435">
          <cell r="B435">
            <v>205.67500000000001</v>
          </cell>
          <cell r="C435">
            <v>167</v>
          </cell>
        </row>
        <row r="436">
          <cell r="B436">
            <v>205.7</v>
          </cell>
          <cell r="C436">
            <v>168</v>
          </cell>
        </row>
        <row r="437">
          <cell r="B437">
            <v>205.72499999999999</v>
          </cell>
          <cell r="C437">
            <v>169</v>
          </cell>
        </row>
        <row r="438">
          <cell r="B438">
            <v>205.75</v>
          </cell>
          <cell r="C438">
            <v>170</v>
          </cell>
        </row>
        <row r="439">
          <cell r="B439">
            <v>205.77500000000001</v>
          </cell>
          <cell r="C439">
            <v>171</v>
          </cell>
        </row>
        <row r="440">
          <cell r="B440">
            <v>205.8</v>
          </cell>
          <cell r="C440">
            <v>172</v>
          </cell>
        </row>
        <row r="441">
          <cell r="B441">
            <v>205.82499999999999</v>
          </cell>
          <cell r="C441">
            <v>173</v>
          </cell>
        </row>
        <row r="442">
          <cell r="B442">
            <v>205.85</v>
          </cell>
          <cell r="C442">
            <v>174</v>
          </cell>
        </row>
        <row r="443">
          <cell r="B443">
            <v>205.875</v>
          </cell>
          <cell r="C443">
            <v>175</v>
          </cell>
        </row>
        <row r="444">
          <cell r="B444">
            <v>205.9</v>
          </cell>
          <cell r="C444">
            <v>176</v>
          </cell>
        </row>
        <row r="445">
          <cell r="B445">
            <v>205.92500000000001</v>
          </cell>
          <cell r="C445">
            <v>177</v>
          </cell>
        </row>
        <row r="446">
          <cell r="B446">
            <v>205.95</v>
          </cell>
          <cell r="C446">
            <v>178</v>
          </cell>
        </row>
        <row r="447">
          <cell r="B447">
            <v>205.97499999999999</v>
          </cell>
          <cell r="C447">
            <v>179</v>
          </cell>
        </row>
        <row r="448">
          <cell r="B448">
            <v>206</v>
          </cell>
          <cell r="C448">
            <v>180</v>
          </cell>
        </row>
        <row r="449">
          <cell r="B449">
            <v>206.02500000000001</v>
          </cell>
          <cell r="C449">
            <v>181.15</v>
          </cell>
        </row>
        <row r="450">
          <cell r="B450">
            <v>206.05</v>
          </cell>
          <cell r="C450">
            <v>182.3</v>
          </cell>
        </row>
        <row r="451">
          <cell r="B451">
            <v>206.07499999999999</v>
          </cell>
          <cell r="C451">
            <v>183.45</v>
          </cell>
        </row>
        <row r="452">
          <cell r="B452">
            <v>206.1</v>
          </cell>
          <cell r="C452">
            <v>184.6</v>
          </cell>
        </row>
        <row r="453">
          <cell r="B453">
            <v>206.125</v>
          </cell>
          <cell r="C453">
            <v>185.75</v>
          </cell>
        </row>
        <row r="454">
          <cell r="B454">
            <v>206.15</v>
          </cell>
          <cell r="C454">
            <v>186.9</v>
          </cell>
        </row>
        <row r="455">
          <cell r="B455">
            <v>206.17500000000001</v>
          </cell>
          <cell r="C455">
            <v>188.05</v>
          </cell>
        </row>
        <row r="456">
          <cell r="B456">
            <v>206.2</v>
          </cell>
          <cell r="C456">
            <v>189.2</v>
          </cell>
        </row>
        <row r="457">
          <cell r="B457">
            <v>206.22499999999999</v>
          </cell>
          <cell r="C457">
            <v>190.35</v>
          </cell>
        </row>
        <row r="458">
          <cell r="B458">
            <v>206.25</v>
          </cell>
          <cell r="C458">
            <v>191.5</v>
          </cell>
        </row>
        <row r="459">
          <cell r="B459">
            <v>206.27500000000001</v>
          </cell>
          <cell r="C459">
            <v>192.65</v>
          </cell>
        </row>
        <row r="460">
          <cell r="B460">
            <v>206.3</v>
          </cell>
          <cell r="C460">
            <v>193.8</v>
          </cell>
        </row>
        <row r="461">
          <cell r="B461">
            <v>206.32499999999999</v>
          </cell>
          <cell r="C461">
            <v>194.95</v>
          </cell>
        </row>
        <row r="462">
          <cell r="B462">
            <v>206.35</v>
          </cell>
          <cell r="C462">
            <v>196.1</v>
          </cell>
        </row>
        <row r="463">
          <cell r="B463">
            <v>206.375</v>
          </cell>
          <cell r="C463">
            <v>197.25</v>
          </cell>
        </row>
        <row r="464">
          <cell r="B464">
            <v>206.4</v>
          </cell>
          <cell r="C464">
            <v>198.4</v>
          </cell>
        </row>
        <row r="465">
          <cell r="B465">
            <v>206.42500000000001</v>
          </cell>
          <cell r="C465">
            <v>199.55</v>
          </cell>
        </row>
        <row r="466">
          <cell r="B466">
            <v>206.45</v>
          </cell>
          <cell r="C466">
            <v>200.7</v>
          </cell>
        </row>
        <row r="467">
          <cell r="B467">
            <v>206.47499999999999</v>
          </cell>
          <cell r="C467">
            <v>201.85</v>
          </cell>
        </row>
        <row r="468">
          <cell r="B468">
            <v>206.5</v>
          </cell>
          <cell r="C468">
            <v>203</v>
          </cell>
        </row>
        <row r="469">
          <cell r="B469">
            <v>206.52500000000001</v>
          </cell>
          <cell r="C469">
            <v>204.17500000000001</v>
          </cell>
        </row>
        <row r="470">
          <cell r="B470">
            <v>206.55</v>
          </cell>
          <cell r="C470">
            <v>205.35</v>
          </cell>
        </row>
        <row r="471">
          <cell r="B471">
            <v>206.57499999999999</v>
          </cell>
          <cell r="C471">
            <v>206.52500000000001</v>
          </cell>
        </row>
        <row r="472">
          <cell r="B472">
            <v>206.6</v>
          </cell>
          <cell r="C472">
            <v>207.7</v>
          </cell>
        </row>
        <row r="473">
          <cell r="B473">
            <v>206.625</v>
          </cell>
          <cell r="C473">
            <v>208.875</v>
          </cell>
        </row>
        <row r="474">
          <cell r="B474">
            <v>206.65</v>
          </cell>
          <cell r="C474">
            <v>210.05</v>
          </cell>
        </row>
        <row r="475">
          <cell r="B475">
            <v>206.67500000000001</v>
          </cell>
          <cell r="C475">
            <v>211.22499999999999</v>
          </cell>
        </row>
        <row r="476">
          <cell r="B476">
            <v>206.7</v>
          </cell>
          <cell r="C476">
            <v>212.4</v>
          </cell>
        </row>
        <row r="477">
          <cell r="B477">
            <v>206.72499999999999</v>
          </cell>
          <cell r="C477">
            <v>213.57499999999999</v>
          </cell>
        </row>
        <row r="478">
          <cell r="B478">
            <v>206.75</v>
          </cell>
          <cell r="C478">
            <v>214.75</v>
          </cell>
        </row>
        <row r="479">
          <cell r="B479">
            <v>206.77500000000001</v>
          </cell>
          <cell r="C479">
            <v>215.92500000000001</v>
          </cell>
        </row>
        <row r="480">
          <cell r="B480">
            <v>206.8</v>
          </cell>
          <cell r="C480">
            <v>217.1</v>
          </cell>
        </row>
        <row r="481">
          <cell r="B481">
            <v>206.82499999999999</v>
          </cell>
          <cell r="C481">
            <v>218.27500000000001</v>
          </cell>
        </row>
        <row r="482">
          <cell r="B482">
            <v>206.85</v>
          </cell>
          <cell r="C482">
            <v>219.45</v>
          </cell>
        </row>
        <row r="483">
          <cell r="B483">
            <v>206.875</v>
          </cell>
          <cell r="C483">
            <v>220.625</v>
          </cell>
        </row>
        <row r="484">
          <cell r="B484">
            <v>206.9</v>
          </cell>
          <cell r="C484">
            <v>221.8</v>
          </cell>
        </row>
        <row r="485">
          <cell r="B485">
            <v>206.92500000000001</v>
          </cell>
          <cell r="C485">
            <v>222.97499999999999</v>
          </cell>
        </row>
        <row r="486">
          <cell r="B486">
            <v>206.95</v>
          </cell>
          <cell r="C486">
            <v>224.15</v>
          </cell>
        </row>
        <row r="487">
          <cell r="B487">
            <v>206.97499999999999</v>
          </cell>
          <cell r="C487">
            <v>225.32499999999999</v>
          </cell>
        </row>
        <row r="488">
          <cell r="B488">
            <v>207</v>
          </cell>
          <cell r="C488">
            <v>226.5</v>
          </cell>
        </row>
        <row r="489">
          <cell r="B489">
            <v>207.02500000000001</v>
          </cell>
          <cell r="C489">
            <v>227.8</v>
          </cell>
        </row>
        <row r="490">
          <cell r="B490">
            <v>207.05</v>
          </cell>
          <cell r="C490">
            <v>229.1</v>
          </cell>
        </row>
        <row r="491">
          <cell r="B491">
            <v>207.07499999999999</v>
          </cell>
          <cell r="C491">
            <v>230.4</v>
          </cell>
        </row>
        <row r="492">
          <cell r="B492">
            <v>207.1</v>
          </cell>
          <cell r="C492">
            <v>231.7</v>
          </cell>
        </row>
        <row r="493">
          <cell r="B493">
            <v>207.125</v>
          </cell>
          <cell r="C493">
            <v>233</v>
          </cell>
        </row>
        <row r="494">
          <cell r="B494">
            <v>207.15</v>
          </cell>
          <cell r="C494">
            <v>234.3</v>
          </cell>
        </row>
        <row r="495">
          <cell r="B495">
            <v>207.17500000000001</v>
          </cell>
          <cell r="C495">
            <v>235.6</v>
          </cell>
        </row>
        <row r="496">
          <cell r="B496">
            <v>207.2</v>
          </cell>
          <cell r="C496">
            <v>236.9</v>
          </cell>
        </row>
        <row r="497">
          <cell r="B497">
            <v>207.22499999999999</v>
          </cell>
          <cell r="C497">
            <v>238.2</v>
          </cell>
        </row>
        <row r="498">
          <cell r="B498">
            <v>207.25</v>
          </cell>
          <cell r="C498">
            <v>239.5</v>
          </cell>
        </row>
        <row r="499">
          <cell r="B499">
            <v>207.27500000000001</v>
          </cell>
          <cell r="C499">
            <v>240.8</v>
          </cell>
        </row>
        <row r="500">
          <cell r="B500">
            <v>207.3</v>
          </cell>
          <cell r="C500">
            <v>242.1</v>
          </cell>
        </row>
        <row r="501">
          <cell r="B501">
            <v>207.32499999999999</v>
          </cell>
          <cell r="C501">
            <v>243.4</v>
          </cell>
        </row>
        <row r="502">
          <cell r="B502">
            <v>207.35</v>
          </cell>
          <cell r="C502">
            <v>244.7</v>
          </cell>
        </row>
        <row r="503">
          <cell r="B503">
            <v>207.375</v>
          </cell>
          <cell r="C503">
            <v>246</v>
          </cell>
        </row>
        <row r="504">
          <cell r="B504">
            <v>207.4</v>
          </cell>
          <cell r="C504">
            <v>247.3</v>
          </cell>
        </row>
        <row r="505">
          <cell r="B505">
            <v>207.42500000000001</v>
          </cell>
          <cell r="C505">
            <v>248.6</v>
          </cell>
        </row>
        <row r="506">
          <cell r="B506">
            <v>207.45</v>
          </cell>
          <cell r="C506">
            <v>249.9</v>
          </cell>
        </row>
        <row r="507">
          <cell r="B507">
            <v>207.47499999999999</v>
          </cell>
          <cell r="C507">
            <v>251.2</v>
          </cell>
        </row>
        <row r="508">
          <cell r="B508">
            <v>207.5</v>
          </cell>
          <cell r="C508">
            <v>252.5</v>
          </cell>
        </row>
        <row r="509">
          <cell r="B509">
            <v>207.52500000000001</v>
          </cell>
          <cell r="C509">
            <v>253.92500000000001</v>
          </cell>
        </row>
        <row r="510">
          <cell r="B510">
            <v>207.55</v>
          </cell>
          <cell r="C510">
            <v>255.35</v>
          </cell>
        </row>
        <row r="511">
          <cell r="B511">
            <v>207.57499999999999</v>
          </cell>
          <cell r="C511">
            <v>256.77499999999998</v>
          </cell>
        </row>
        <row r="512">
          <cell r="B512">
            <v>207.6</v>
          </cell>
          <cell r="C512">
            <v>258.2</v>
          </cell>
        </row>
        <row r="513">
          <cell r="B513">
            <v>207.625</v>
          </cell>
          <cell r="C513">
            <v>259.625</v>
          </cell>
        </row>
        <row r="514">
          <cell r="B514">
            <v>207.65</v>
          </cell>
          <cell r="C514">
            <v>261.05</v>
          </cell>
        </row>
        <row r="515">
          <cell r="B515">
            <v>207.67500000000001</v>
          </cell>
          <cell r="C515">
            <v>262.47500000000002</v>
          </cell>
        </row>
        <row r="516">
          <cell r="B516">
            <v>207.7</v>
          </cell>
          <cell r="C516">
            <v>263.89999999999998</v>
          </cell>
        </row>
        <row r="517">
          <cell r="B517">
            <v>207.72499999999999</v>
          </cell>
          <cell r="C517">
            <v>265.32499999999999</v>
          </cell>
        </row>
        <row r="518">
          <cell r="B518">
            <v>207.75</v>
          </cell>
          <cell r="C518">
            <v>266.75</v>
          </cell>
        </row>
        <row r="519">
          <cell r="B519">
            <v>207.77500000000001</v>
          </cell>
          <cell r="C519">
            <v>268.17500000000001</v>
          </cell>
        </row>
        <row r="520">
          <cell r="B520">
            <v>207.8</v>
          </cell>
          <cell r="C520">
            <v>269.60000000000002</v>
          </cell>
        </row>
        <row r="521">
          <cell r="B521">
            <v>207.82499999999999</v>
          </cell>
          <cell r="C521">
            <v>271.02499999999998</v>
          </cell>
        </row>
        <row r="522">
          <cell r="B522">
            <v>207.85</v>
          </cell>
          <cell r="C522">
            <v>272.45</v>
          </cell>
        </row>
        <row r="523">
          <cell r="B523">
            <v>207.875</v>
          </cell>
          <cell r="C523">
            <v>273.875</v>
          </cell>
        </row>
        <row r="524">
          <cell r="B524">
            <v>207.9</v>
          </cell>
          <cell r="C524">
            <v>275.3</v>
          </cell>
        </row>
        <row r="525">
          <cell r="B525">
            <v>207.92500000000001</v>
          </cell>
          <cell r="C525">
            <v>276.72500000000002</v>
          </cell>
        </row>
        <row r="526">
          <cell r="B526">
            <v>207.95</v>
          </cell>
          <cell r="C526">
            <v>278.14999999999998</v>
          </cell>
        </row>
        <row r="527">
          <cell r="B527">
            <v>207.97499999999999</v>
          </cell>
          <cell r="C527">
            <v>279.57499999999999</v>
          </cell>
        </row>
        <row r="528">
          <cell r="B528">
            <v>208</v>
          </cell>
          <cell r="C528">
            <v>281</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Summary"/>
      <sheetName val="BHUSAWAL"/>
      <sheetName val="F1(Bhu)"/>
      <sheetName val="F2.1(Bhu)"/>
      <sheetName val="F2.2(Bhu)"/>
      <sheetName val="F2.3(Bhu)"/>
      <sheetName val="F2.6(Bhu)"/>
      <sheetName val="F3(Bhu)"/>
      <sheetName val="F3.1(Bhu)"/>
      <sheetName val="F3.2(Bhu)"/>
      <sheetName val="F3.3(Bhu)"/>
      <sheetName val="F4(Bhu)"/>
      <sheetName val="F5(Bhu)"/>
      <sheetName val="F5.1(Bhu)"/>
      <sheetName val="F5.2(Bhu)"/>
      <sheetName val="F5.3(Bhu)"/>
      <sheetName val="F5.4(Bhu)"/>
      <sheetName val="F6(Bhu)"/>
      <sheetName val="F11(Bhu)"/>
      <sheetName val="F12(Bhu)"/>
      <sheetName val="Chandrapur"/>
      <sheetName val="F1(Cha)"/>
      <sheetName val="F2.1(Cha)"/>
      <sheetName val="F2.2(Cha)"/>
      <sheetName val="F2.3(Cha)"/>
      <sheetName val="F2.6(Cha)"/>
      <sheetName val="F3(Cha)"/>
      <sheetName val="F3.1(Cha)"/>
      <sheetName val="F3.2(Cha)"/>
      <sheetName val="F3.3(Cha)"/>
      <sheetName val="F4(Cha)"/>
      <sheetName val="F5(Cha)"/>
      <sheetName val="F5.1(Cha)"/>
      <sheetName val="F5.2(Cha)"/>
      <sheetName val="F5.3(Cha)"/>
      <sheetName val="F5.4(Cha)"/>
      <sheetName val="F6(Cha)"/>
      <sheetName val="F11(Cha)"/>
      <sheetName val="F12(Cha)"/>
      <sheetName val="Koradi"/>
      <sheetName val="F1(Kor)"/>
      <sheetName val="F2.1(Kor)"/>
      <sheetName val="F2.2(Kor)"/>
      <sheetName val="F2.3(Kor)"/>
      <sheetName val="F2.6(Kor)"/>
      <sheetName val="F3(Kor)"/>
      <sheetName val="F3.1(Kor)"/>
      <sheetName val="F3.2(Kor)"/>
      <sheetName val="F3.3(Kor)"/>
      <sheetName val="F4(Kor)"/>
      <sheetName val="F5(Kor)"/>
      <sheetName val="F5.1(Kor)"/>
      <sheetName val="F5.2(Kor)"/>
      <sheetName val="F5.3(Kor)"/>
      <sheetName val="F5.4(Kor)"/>
      <sheetName val="F6(Kor)"/>
      <sheetName val="F11(Kor)"/>
      <sheetName val="F12(Kor)"/>
      <sheetName val="Paras"/>
      <sheetName val="F1(Paras)"/>
      <sheetName val="F2.1(Paras)"/>
      <sheetName val="F2.2(Paras)"/>
      <sheetName val="F2.3(Paras)"/>
      <sheetName val="F2.6(Paras)"/>
      <sheetName val="F3(Paras)"/>
      <sheetName val="F3.1(Paras)"/>
      <sheetName val="F3.2(Paras)"/>
      <sheetName val="F3.3(Paras)"/>
      <sheetName val="F4(Paras)"/>
      <sheetName val="F5(Paras)"/>
      <sheetName val="F5.1(Paras)"/>
      <sheetName val="F5.2(Paras)"/>
      <sheetName val="F5.3(Paras)"/>
      <sheetName val="F5.4(Paras)"/>
      <sheetName val="F6(Paras)"/>
      <sheetName val="F11(Paras)"/>
      <sheetName val="F12(Paras)"/>
      <sheetName val="Parli"/>
      <sheetName val="F1(Parli)"/>
      <sheetName val="F2.1(Parli)"/>
      <sheetName val="F2.2(Parli)"/>
      <sheetName val="F2.3(Parli)"/>
      <sheetName val="F2.6(Parli)"/>
      <sheetName val="F3(Parli)"/>
      <sheetName val="F3.1(Parli)"/>
      <sheetName val="F3.2(Parli)"/>
      <sheetName val="F3.3(Parli)"/>
      <sheetName val="F4(Parli)"/>
      <sheetName val="F5(Parli)"/>
      <sheetName val="F5.1(Parli)"/>
      <sheetName val="F5.2(Parli)"/>
      <sheetName val="F5.3(Parli)"/>
      <sheetName val="F5.4(Parli)"/>
      <sheetName val="F6(Parli)"/>
      <sheetName val="F11(Parli)"/>
      <sheetName val="F12(Parli)"/>
      <sheetName val="Khaperkheda"/>
      <sheetName val="F1(Kha)"/>
      <sheetName val="F2.1(Kha)"/>
      <sheetName val="F2.2(Kha)"/>
      <sheetName val="F2.3(Kha)"/>
      <sheetName val="F2.6(Kha)"/>
      <sheetName val="F3(Kha)"/>
      <sheetName val="F3.1(Kha)"/>
      <sheetName val="F3.2(Kha)"/>
      <sheetName val="F3.3(Kha)"/>
      <sheetName val="F4(Kha)"/>
      <sheetName val="F5(Kha)"/>
      <sheetName val="F5.1(Kha)"/>
      <sheetName val="F5.2(Kha)"/>
      <sheetName val="F5.3(Kha)"/>
      <sheetName val="F5.4(Kha)"/>
      <sheetName val="F6(Kha)"/>
      <sheetName val="F11(Kha)"/>
      <sheetName val="F12(Kha)"/>
      <sheetName val="Nasik"/>
      <sheetName val="F1(Nasi)"/>
      <sheetName val="F2.1(Nasi)"/>
      <sheetName val="F2.2(Nasi)"/>
      <sheetName val="F2.3(Nasi)"/>
      <sheetName val="F2.6(Nasi)"/>
      <sheetName val="F3(Nasi)"/>
      <sheetName val="F3.1(Nasi)"/>
      <sheetName val="F3.2(Nasi)"/>
      <sheetName val="F3.3(Nasi)"/>
      <sheetName val="F4(Nasi)"/>
      <sheetName val="F5(Nasi)"/>
      <sheetName val="F5.1(Nasi)"/>
      <sheetName val="F5.2(Nasi)"/>
      <sheetName val="F5.3(Nasi)"/>
      <sheetName val="F5.4(Nasi)"/>
      <sheetName val="F6(Nasi)"/>
      <sheetName val="F11(Nasi)"/>
      <sheetName val="F12(Nasi)"/>
      <sheetName val="Uran"/>
      <sheetName val="F1(Uran)"/>
      <sheetName val="F2.1(Uran)"/>
      <sheetName val="F2.2(Uran)"/>
      <sheetName val="F2.3(Uran)"/>
      <sheetName val="F2.6(Uran)"/>
      <sheetName val="F3(Uran)"/>
      <sheetName val="F3.1(Uran)"/>
      <sheetName val="F3.2(Uran)"/>
      <sheetName val="F3.3(Uran)"/>
      <sheetName val="F4(Uran)"/>
      <sheetName val="F5(Uran)"/>
      <sheetName val="F5.1(Uran)"/>
      <sheetName val="F5.2(Uran)"/>
      <sheetName val="F5.3(Uran)"/>
      <sheetName val="F5.4(Uran)"/>
      <sheetName val="F6(Uran)"/>
      <sheetName val="F11(Uran)"/>
      <sheetName val="F12(Uran)"/>
      <sheetName val="Hydro"/>
      <sheetName val="F1(Hydro)"/>
      <sheetName val="F2.1(Hydro)"/>
      <sheetName val="F2.3(Hydro)"/>
      <sheetName val="F2.4(Hydro)"/>
      <sheetName val="F2.6(Hydro)"/>
      <sheetName val="F3(Hydro)"/>
      <sheetName val="F3.1(Hydro)"/>
      <sheetName val="F3.2(Hydro)"/>
      <sheetName val="F3.3(Hydro)"/>
      <sheetName val="F4(Hydro)"/>
      <sheetName val="F4(Koyna)"/>
      <sheetName val="F4(PuneHydro)"/>
      <sheetName val="F4(NasikHydro)"/>
      <sheetName val="F5(Hydro)"/>
      <sheetName val="F5.1(Hydro)"/>
      <sheetName val="F5.2(Hydro)"/>
      <sheetName val="F5.3(PuneHydro)"/>
      <sheetName val="F5.4(PuneHydro)"/>
      <sheetName val="F5.3(NasikHydro)"/>
      <sheetName val="F5.4(NasikHydro)"/>
      <sheetName val="F5.3(Koyna)"/>
      <sheetName val="F5.4(Koyna)"/>
      <sheetName val="F6(Hydro)"/>
      <sheetName val="F11(Hydro)"/>
      <sheetName val="F12(Hydro)"/>
      <sheetName val="Level_qty"/>
      <sheetName val="F2_1(Bhu)"/>
      <sheetName val="F2_2(Bhu)"/>
      <sheetName val="F2_3(Bhu)"/>
      <sheetName val="F2_6(Bhu)"/>
      <sheetName val="F3_1(Bhu)"/>
      <sheetName val="F3_2(Bhu)"/>
      <sheetName val="F3_3(Bhu)"/>
      <sheetName val="F5_1(Bhu)"/>
      <sheetName val="F5_2(Bhu)"/>
      <sheetName val="F5_3(Bhu)"/>
      <sheetName val="F5_4(Bhu)"/>
      <sheetName val="F2_1(Cha)"/>
      <sheetName val="F2_2(Cha)"/>
      <sheetName val="F2_3(Cha)"/>
      <sheetName val="F2_6(Cha)"/>
      <sheetName val="F3_1(Cha)"/>
      <sheetName val="F3_2(Cha)"/>
      <sheetName val="F3_3(Cha)"/>
      <sheetName val="F5_1(Cha)"/>
      <sheetName val="F5_2(Cha)"/>
      <sheetName val="F5_3(Cha)"/>
      <sheetName val="F5_4(Cha)"/>
      <sheetName val="F2_1(Kor)"/>
      <sheetName val="F2_2(Kor)"/>
      <sheetName val="F2_3(Kor)"/>
      <sheetName val="F2_6(Kor)"/>
      <sheetName val="F3_1(Kor)"/>
      <sheetName val="F3_2(Kor)"/>
      <sheetName val="F3_3(Kor)"/>
      <sheetName val="F5_1(Kor)"/>
      <sheetName val="F5_2(Kor)"/>
      <sheetName val="F5_3(Kor)"/>
      <sheetName val="F5_4(Kor)"/>
      <sheetName val="F2_1(Paras)"/>
      <sheetName val="F2_2(Paras)"/>
      <sheetName val="F2_3(Paras)"/>
      <sheetName val="F2_6(Paras)"/>
      <sheetName val="F3_1(Paras)"/>
      <sheetName val="F3_2(Paras)"/>
      <sheetName val="F3_3(Paras)"/>
      <sheetName val="F5_1(Paras)"/>
      <sheetName val="F5_2(Paras)"/>
      <sheetName val="F5_3(Paras)"/>
      <sheetName val="F5_4(Paras)"/>
      <sheetName val="F2_1(Parli)"/>
      <sheetName val="F2_2(Parli)"/>
      <sheetName val="F2_3(Parli)"/>
      <sheetName val="F2_6(Parli)"/>
      <sheetName val="F3_1(Parli)"/>
      <sheetName val="F3_2(Parli)"/>
      <sheetName val="F3_3(Parli)"/>
      <sheetName val="F5_1(Parli)"/>
      <sheetName val="F5_2(Parli)"/>
      <sheetName val="F5_3(Parli)"/>
      <sheetName val="F5_4(Parli)"/>
      <sheetName val="F2_1(Kha)"/>
      <sheetName val="F2_2(Kha)"/>
      <sheetName val="F2_3(Kha)"/>
      <sheetName val="F2_6(Kha)"/>
      <sheetName val="F3_1(Kha)"/>
      <sheetName val="F3_2(Kha)"/>
      <sheetName val="F3_3(Kha)"/>
      <sheetName val="F5_1(Kha)"/>
      <sheetName val="F5_2(Kha)"/>
      <sheetName val="F5_3(Kha)"/>
      <sheetName val="F5_4(Kha)"/>
      <sheetName val="F2_1(Nasi)"/>
      <sheetName val="F2_2(Nasi)"/>
      <sheetName val="F2_3(Nasi)"/>
      <sheetName val="F2_6(Nasi)"/>
      <sheetName val="F3_1(Nasi)"/>
      <sheetName val="F3_2(Nasi)"/>
      <sheetName val="F3_3(Nasi)"/>
      <sheetName val="F5_1(Nasi)"/>
      <sheetName val="F5_2(Nasi)"/>
      <sheetName val="F5_3(Nasi)"/>
      <sheetName val="F5_4(Nasi)"/>
      <sheetName val="F2_1(Uran)"/>
      <sheetName val="F2_2(Uran)"/>
      <sheetName val="F2_3(Uran)"/>
      <sheetName val="F2_6(Uran)"/>
      <sheetName val="F3_1(Uran)"/>
      <sheetName val="F3_2(Uran)"/>
      <sheetName val="F3_3(Uran)"/>
      <sheetName val="F5_1(Uran)"/>
      <sheetName val="F5_2(Uran)"/>
      <sheetName val="F5_3(Uran)"/>
      <sheetName val="F5_4(Uran)"/>
      <sheetName val="F2_1(Hydro)"/>
      <sheetName val="F2_3(Hydro)"/>
      <sheetName val="F2_4(Hydro)"/>
      <sheetName val="F2_6(Hydro)"/>
      <sheetName val="F3_1(Hydro)"/>
      <sheetName val="F3_2(Hydro)"/>
      <sheetName val="F3_3(Hydro)"/>
      <sheetName val="F5_1(Hydro)"/>
      <sheetName val="F5_2(Hydro)"/>
      <sheetName val="F5_3(PuneHydro)"/>
      <sheetName val="F5_4(PuneHydro)"/>
      <sheetName val="F5_3(NasikHydro)"/>
      <sheetName val="F5_4(NasikHydro)"/>
      <sheetName val="F5_3(Koyna)"/>
      <sheetName val="F5_4(Koyna)"/>
    </sheetNames>
    <sheetDataSet>
      <sheetData sheetId="0">
        <row r="4">
          <cell r="B4">
            <v>7.8600000000000003E-2</v>
          </cell>
        </row>
        <row r="5">
          <cell r="B5">
            <v>7.8600000000000003E-2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2:N58"/>
  <sheetViews>
    <sheetView showGridLines="0" tabSelected="1" view="pageBreakPreview" zoomScale="80" zoomScaleNormal="80" zoomScaleSheetLayoutView="80" workbookViewId="0">
      <selection activeCell="C68" sqref="C68"/>
    </sheetView>
  </sheetViews>
  <sheetFormatPr defaultColWidth="9.36328125" defaultRowHeight="14"/>
  <cols>
    <col min="1" max="1" width="6.36328125" style="14" customWidth="1"/>
    <col min="2" max="2" width="9.36328125" style="14" customWidth="1"/>
    <col min="3" max="3" width="75.6328125" style="14" customWidth="1"/>
    <col min="4" max="4" width="17.6328125" style="14" customWidth="1"/>
    <col min="5" max="5" width="20.6328125" style="14" customWidth="1"/>
    <col min="6" max="14" width="18.6328125" style="14" customWidth="1"/>
    <col min="15" max="16384" width="9.36328125" style="14"/>
  </cols>
  <sheetData>
    <row r="2" spans="2:14" ht="17.5">
      <c r="B2" s="1760" t="s">
        <v>776</v>
      </c>
      <c r="C2" s="1761"/>
      <c r="D2" s="1761"/>
      <c r="E2" s="30"/>
      <c r="F2" s="30"/>
      <c r="G2" s="30"/>
      <c r="H2" s="30"/>
      <c r="I2" s="30"/>
      <c r="J2" s="30"/>
      <c r="K2" s="30"/>
      <c r="L2" s="30"/>
      <c r="M2" s="30"/>
      <c r="N2" s="30"/>
    </row>
    <row r="3" spans="2:14" s="5" customFormat="1" ht="15.5" customHeight="1">
      <c r="B3" s="1762" t="s">
        <v>1415</v>
      </c>
      <c r="C3" s="1763"/>
      <c r="D3" s="1763"/>
      <c r="E3" s="30"/>
      <c r="F3" s="30"/>
      <c r="G3" s="30"/>
      <c r="H3" s="30"/>
      <c r="I3" s="30"/>
      <c r="J3" s="30"/>
      <c r="K3" s="30"/>
      <c r="L3" s="30"/>
      <c r="M3" s="30"/>
      <c r="N3" s="30"/>
    </row>
    <row r="4" spans="2:14" ht="15.5">
      <c r="B4" s="31"/>
      <c r="C4" s="31"/>
      <c r="D4" s="31"/>
      <c r="E4" s="31"/>
      <c r="F4" s="31"/>
      <c r="G4" s="31"/>
      <c r="H4" s="31"/>
      <c r="I4" s="31"/>
      <c r="J4" s="31"/>
      <c r="K4" s="31"/>
      <c r="L4" s="31"/>
      <c r="M4" s="31"/>
      <c r="N4" s="31"/>
    </row>
    <row r="5" spans="2:14" ht="15.5">
      <c r="B5" s="31"/>
      <c r="C5" s="31"/>
      <c r="D5" s="31"/>
      <c r="E5" s="31"/>
      <c r="F5" s="31"/>
      <c r="G5" s="31"/>
      <c r="H5" s="31"/>
      <c r="I5" s="31"/>
      <c r="J5" s="31"/>
      <c r="K5" s="31"/>
      <c r="L5" s="31"/>
      <c r="M5" s="32"/>
      <c r="N5" s="31"/>
    </row>
    <row r="6" spans="2:14">
      <c r="B6" s="1764" t="s">
        <v>340</v>
      </c>
      <c r="C6" s="1767" t="s">
        <v>15</v>
      </c>
      <c r="D6" s="1767" t="s">
        <v>5</v>
      </c>
    </row>
    <row r="7" spans="2:14">
      <c r="B7" s="1765"/>
      <c r="C7" s="1767"/>
      <c r="D7" s="1767"/>
    </row>
    <row r="8" spans="2:14">
      <c r="B8" s="1766"/>
      <c r="C8" s="1768"/>
      <c r="D8" s="1768"/>
    </row>
    <row r="9" spans="2:14" ht="15.5">
      <c r="B9" s="122">
        <v>1</v>
      </c>
      <c r="C9" s="121" t="s">
        <v>52</v>
      </c>
      <c r="D9" s="1117" t="s">
        <v>13</v>
      </c>
    </row>
    <row r="10" spans="2:14" ht="15.5">
      <c r="B10" s="122">
        <f>B9+1</f>
        <v>2</v>
      </c>
      <c r="C10" s="121" t="s">
        <v>370</v>
      </c>
      <c r="D10" s="1117" t="s">
        <v>371</v>
      </c>
    </row>
    <row r="11" spans="2:14" ht="15.5">
      <c r="B11" s="122">
        <f>B10+1</f>
        <v>3</v>
      </c>
      <c r="C11" s="121" t="s">
        <v>389</v>
      </c>
      <c r="D11" s="1117" t="s">
        <v>54</v>
      </c>
    </row>
    <row r="12" spans="2:14" ht="15.5">
      <c r="B12" s="122">
        <f>B11+1</f>
        <v>4</v>
      </c>
      <c r="C12" s="121" t="s">
        <v>53</v>
      </c>
      <c r="D12" s="1117" t="s">
        <v>55</v>
      </c>
    </row>
    <row r="13" spans="2:14" ht="15.5">
      <c r="B13" s="122">
        <f>B12+1</f>
        <v>5</v>
      </c>
      <c r="C13" s="121" t="s">
        <v>309</v>
      </c>
      <c r="D13" s="1117" t="s">
        <v>57</v>
      </c>
    </row>
    <row r="14" spans="2:14" ht="15.5">
      <c r="B14" s="122">
        <f t="shared" ref="B14:B41" si="0">B13+1</f>
        <v>6</v>
      </c>
      <c r="C14" s="121" t="s">
        <v>56</v>
      </c>
      <c r="D14" s="1117" t="s">
        <v>59</v>
      </c>
    </row>
    <row r="15" spans="2:14" ht="15.5">
      <c r="B15" s="122">
        <f t="shared" si="0"/>
        <v>7</v>
      </c>
      <c r="C15" s="121" t="s">
        <v>58</v>
      </c>
      <c r="D15" s="1117" t="s">
        <v>61</v>
      </c>
    </row>
    <row r="16" spans="2:14" ht="15.5">
      <c r="B16" s="122">
        <f t="shared" si="0"/>
        <v>8</v>
      </c>
      <c r="C16" s="123" t="s">
        <v>356</v>
      </c>
      <c r="D16" s="1117" t="s">
        <v>63</v>
      </c>
    </row>
    <row r="17" spans="2:4" ht="15.5">
      <c r="B17" s="122">
        <f t="shared" si="0"/>
        <v>9</v>
      </c>
      <c r="C17" s="123" t="s">
        <v>60</v>
      </c>
      <c r="D17" s="1117" t="s">
        <v>355</v>
      </c>
    </row>
    <row r="18" spans="2:4" ht="15.5">
      <c r="B18" s="122">
        <f t="shared" si="0"/>
        <v>10</v>
      </c>
      <c r="C18" s="121" t="s">
        <v>62</v>
      </c>
      <c r="D18" s="1117" t="s">
        <v>388</v>
      </c>
    </row>
    <row r="19" spans="2:4" ht="15.5">
      <c r="B19" s="122">
        <f t="shared" si="0"/>
        <v>11</v>
      </c>
      <c r="C19" s="123" t="s">
        <v>64</v>
      </c>
      <c r="D19" s="1117" t="s">
        <v>39</v>
      </c>
    </row>
    <row r="20" spans="2:4" ht="15.5">
      <c r="B20" s="122">
        <f t="shared" si="0"/>
        <v>12</v>
      </c>
      <c r="C20" s="123" t="s">
        <v>652</v>
      </c>
      <c r="D20" s="1117" t="s">
        <v>65</v>
      </c>
    </row>
    <row r="21" spans="2:4" ht="15.5">
      <c r="B21" s="122">
        <f t="shared" si="0"/>
        <v>13</v>
      </c>
      <c r="C21" s="123" t="s">
        <v>178</v>
      </c>
      <c r="D21" s="1117" t="s">
        <v>66</v>
      </c>
    </row>
    <row r="22" spans="2:4" ht="15.5">
      <c r="B22" s="122">
        <f t="shared" si="0"/>
        <v>14</v>
      </c>
      <c r="C22" s="123" t="s">
        <v>650</v>
      </c>
      <c r="D22" s="1117" t="s">
        <v>67</v>
      </c>
    </row>
    <row r="23" spans="2:4" ht="15.5">
      <c r="B23" s="122">
        <f t="shared" si="0"/>
        <v>15</v>
      </c>
      <c r="C23" s="121" t="s">
        <v>651</v>
      </c>
      <c r="D23" s="1117" t="s">
        <v>68</v>
      </c>
    </row>
    <row r="24" spans="2:4" ht="15.5">
      <c r="B24" s="122">
        <f t="shared" si="0"/>
        <v>16</v>
      </c>
      <c r="C24" s="121" t="s">
        <v>484</v>
      </c>
      <c r="D24" s="1117" t="s">
        <v>40</v>
      </c>
    </row>
    <row r="25" spans="2:4" ht="15.5">
      <c r="B25" s="122">
        <f t="shared" si="0"/>
        <v>17</v>
      </c>
      <c r="C25" s="121" t="s">
        <v>14</v>
      </c>
      <c r="D25" s="1117" t="s">
        <v>395</v>
      </c>
    </row>
    <row r="26" spans="2:4" ht="15.5">
      <c r="B26" s="122">
        <f t="shared" si="0"/>
        <v>18</v>
      </c>
      <c r="C26" s="121" t="s">
        <v>310</v>
      </c>
      <c r="D26" s="1117" t="s">
        <v>396</v>
      </c>
    </row>
    <row r="27" spans="2:4" ht="15.5">
      <c r="B27" s="122">
        <f t="shared" si="0"/>
        <v>19</v>
      </c>
      <c r="C27" s="121" t="s">
        <v>47</v>
      </c>
      <c r="D27" s="1117" t="s">
        <v>485</v>
      </c>
    </row>
    <row r="28" spans="2:4" ht="15.5">
      <c r="B28" s="122">
        <f t="shared" si="0"/>
        <v>20</v>
      </c>
      <c r="C28" s="121" t="s">
        <v>1416</v>
      </c>
      <c r="D28" s="1117" t="s">
        <v>69</v>
      </c>
    </row>
    <row r="29" spans="2:4" ht="46.5">
      <c r="B29" s="122">
        <f t="shared" si="0"/>
        <v>21</v>
      </c>
      <c r="C29" s="1118" t="s">
        <v>1417</v>
      </c>
      <c r="D29" s="1117" t="s">
        <v>1418</v>
      </c>
    </row>
    <row r="30" spans="2:4" ht="15.5">
      <c r="B30" s="122">
        <f t="shared" si="0"/>
        <v>22</v>
      </c>
      <c r="C30" s="121" t="s">
        <v>1419</v>
      </c>
      <c r="D30" s="1117" t="s">
        <v>1420</v>
      </c>
    </row>
    <row r="31" spans="2:4" ht="15.5">
      <c r="B31" s="122">
        <f t="shared" si="0"/>
        <v>23</v>
      </c>
      <c r="C31" s="123" t="s">
        <v>32</v>
      </c>
      <c r="D31" s="1117" t="s">
        <v>70</v>
      </c>
    </row>
    <row r="32" spans="2:4" ht="15.5">
      <c r="B32" s="122">
        <f t="shared" si="0"/>
        <v>24</v>
      </c>
      <c r="C32" s="121" t="s">
        <v>41</v>
      </c>
      <c r="D32" s="1117" t="s">
        <v>72</v>
      </c>
    </row>
    <row r="33" spans="2:4" ht="15.5">
      <c r="B33" s="122">
        <f t="shared" si="0"/>
        <v>25</v>
      </c>
      <c r="C33" s="121" t="s">
        <v>71</v>
      </c>
      <c r="D33" s="1117" t="s">
        <v>73</v>
      </c>
    </row>
    <row r="34" spans="2:4" ht="15.5">
      <c r="B34" s="122">
        <f t="shared" si="0"/>
        <v>26</v>
      </c>
      <c r="C34" s="123" t="s">
        <v>674</v>
      </c>
      <c r="D34" s="1117" t="s">
        <v>74</v>
      </c>
    </row>
    <row r="35" spans="2:4" ht="15.5">
      <c r="B35" s="122">
        <f t="shared" si="0"/>
        <v>27</v>
      </c>
      <c r="C35" s="227" t="s">
        <v>440</v>
      </c>
      <c r="D35" s="1117" t="s">
        <v>311</v>
      </c>
    </row>
    <row r="36" spans="2:4" ht="15.5">
      <c r="B36" s="122">
        <f t="shared" si="0"/>
        <v>28</v>
      </c>
      <c r="C36" s="123" t="s">
        <v>313</v>
      </c>
      <c r="D36" s="1117" t="s">
        <v>312</v>
      </c>
    </row>
    <row r="37" spans="2:4" ht="15.5">
      <c r="B37" s="122">
        <f t="shared" si="0"/>
        <v>29</v>
      </c>
      <c r="C37" s="121" t="s">
        <v>446</v>
      </c>
      <c r="D37" s="1117" t="s">
        <v>439</v>
      </c>
    </row>
    <row r="38" spans="2:4" ht="15.5">
      <c r="B38" s="122">
        <f t="shared" si="0"/>
        <v>30</v>
      </c>
      <c r="C38" s="121" t="s">
        <v>322</v>
      </c>
      <c r="D38" s="1117" t="s">
        <v>75</v>
      </c>
    </row>
    <row r="39" spans="2:4" ht="15.5">
      <c r="B39" s="122">
        <f t="shared" si="0"/>
        <v>31</v>
      </c>
      <c r="C39" s="121" t="s">
        <v>314</v>
      </c>
      <c r="D39" s="1117" t="s">
        <v>76</v>
      </c>
    </row>
    <row r="40" spans="2:4" ht="15.5">
      <c r="B40" s="122">
        <f t="shared" si="0"/>
        <v>32</v>
      </c>
      <c r="C40" s="121" t="s">
        <v>88</v>
      </c>
      <c r="D40" s="1117" t="s">
        <v>323</v>
      </c>
    </row>
    <row r="41" spans="2:4" ht="15.5">
      <c r="B41" s="122">
        <f t="shared" si="0"/>
        <v>33</v>
      </c>
      <c r="C41" s="121" t="s">
        <v>315</v>
      </c>
      <c r="D41" s="1117" t="s">
        <v>349</v>
      </c>
    </row>
    <row r="42" spans="2:4" ht="15.5">
      <c r="B42" s="1119"/>
      <c r="C42" s="1120" t="s">
        <v>1421</v>
      </c>
      <c r="D42" s="1121"/>
    </row>
    <row r="43" spans="2:4" ht="15.5">
      <c r="B43" s="122">
        <f>B41+1</f>
        <v>34</v>
      </c>
      <c r="C43" s="121" t="s">
        <v>1422</v>
      </c>
      <c r="D43" s="1117" t="s">
        <v>1423</v>
      </c>
    </row>
    <row r="44" spans="2:4" ht="15.5">
      <c r="B44" s="122">
        <f>B43+1</f>
        <v>35</v>
      </c>
      <c r="C44" s="121" t="s">
        <v>1424</v>
      </c>
      <c r="D44" s="1117" t="s">
        <v>1425</v>
      </c>
    </row>
    <row r="45" spans="2:4" ht="15.5">
      <c r="B45" s="122">
        <f>B44+1</f>
        <v>36</v>
      </c>
      <c r="C45" s="121" t="s">
        <v>1426</v>
      </c>
      <c r="D45" s="1117" t="s">
        <v>1427</v>
      </c>
    </row>
    <row r="46" spans="2:4" ht="15.5">
      <c r="B46" s="122">
        <f t="shared" ref="B46:B55" si="1">B45+1</f>
        <v>37</v>
      </c>
      <c r="C46" s="121" t="s">
        <v>1428</v>
      </c>
      <c r="D46" s="1117" t="s">
        <v>1429</v>
      </c>
    </row>
    <row r="47" spans="2:4" ht="15.5">
      <c r="B47" s="122">
        <f t="shared" si="1"/>
        <v>38</v>
      </c>
      <c r="C47" s="121" t="s">
        <v>1430</v>
      </c>
      <c r="D47" s="1117" t="s">
        <v>1431</v>
      </c>
    </row>
    <row r="48" spans="2:4" ht="15.5">
      <c r="B48" s="122">
        <f t="shared" si="1"/>
        <v>39</v>
      </c>
      <c r="C48" s="121" t="s">
        <v>1432</v>
      </c>
      <c r="D48" s="1117" t="s">
        <v>1433</v>
      </c>
    </row>
    <row r="49" spans="2:4" ht="15.5">
      <c r="B49" s="122">
        <f t="shared" si="1"/>
        <v>40</v>
      </c>
      <c r="C49" s="121" t="s">
        <v>1434</v>
      </c>
      <c r="D49" s="1117" t="s">
        <v>1435</v>
      </c>
    </row>
    <row r="50" spans="2:4" ht="15.5">
      <c r="B50" s="122">
        <f t="shared" si="1"/>
        <v>41</v>
      </c>
      <c r="C50" s="121" t="s">
        <v>1436</v>
      </c>
      <c r="D50" s="1117" t="s">
        <v>1437</v>
      </c>
    </row>
    <row r="51" spans="2:4" ht="15.5">
      <c r="B51" s="122">
        <f t="shared" si="1"/>
        <v>42</v>
      </c>
      <c r="C51" s="121" t="s">
        <v>1438</v>
      </c>
      <c r="D51" s="1117" t="s">
        <v>1439</v>
      </c>
    </row>
    <row r="52" spans="2:4" ht="15.5">
      <c r="B52" s="122">
        <f t="shared" si="1"/>
        <v>43</v>
      </c>
      <c r="C52" s="288" t="s">
        <v>1440</v>
      </c>
      <c r="D52" s="289" t="s">
        <v>1441</v>
      </c>
    </row>
    <row r="53" spans="2:4" ht="15.5">
      <c r="B53" s="122">
        <f t="shared" si="1"/>
        <v>44</v>
      </c>
      <c r="C53" s="288" t="s">
        <v>1442</v>
      </c>
      <c r="D53" s="289" t="s">
        <v>1443</v>
      </c>
    </row>
    <row r="54" spans="2:4" ht="15.5">
      <c r="B54" s="122">
        <f t="shared" si="1"/>
        <v>45</v>
      </c>
      <c r="C54" s="288" t="s">
        <v>557</v>
      </c>
      <c r="D54" s="289" t="s">
        <v>558</v>
      </c>
    </row>
    <row r="55" spans="2:4" ht="15.5">
      <c r="B55" s="1122">
        <f t="shared" si="1"/>
        <v>46</v>
      </c>
      <c r="C55" s="1123" t="s">
        <v>628</v>
      </c>
      <c r="D55" s="1124" t="s">
        <v>1444</v>
      </c>
    </row>
    <row r="56" spans="2:4" ht="15.5">
      <c r="B56" s="122">
        <f>B55+1</f>
        <v>47</v>
      </c>
      <c r="C56" s="288" t="s">
        <v>1445</v>
      </c>
      <c r="D56" s="289" t="s">
        <v>1446</v>
      </c>
    </row>
    <row r="57" spans="2:4">
      <c r="B57" s="99">
        <v>48</v>
      </c>
      <c r="C57" s="24" t="s">
        <v>1447</v>
      </c>
      <c r="D57" s="24" t="s">
        <v>1448</v>
      </c>
    </row>
    <row r="58" spans="2:4">
      <c r="B58" s="290" t="s">
        <v>1449</v>
      </c>
    </row>
  </sheetData>
  <mergeCells count="5">
    <mergeCell ref="B2:D2"/>
    <mergeCell ref="B3:D3"/>
    <mergeCell ref="B6:B8"/>
    <mergeCell ref="C6:C8"/>
    <mergeCell ref="D6:D8"/>
  </mergeCells>
  <phoneticPr fontId="20" type="noConversion"/>
  <pageMargins left="0.55000000000000004" right="0.23622047244094491" top="1.1023622047244095" bottom="0.98425196850393704" header="0.23622047244094491" footer="0.23622047244094491"/>
  <pageSetup paperSize="9" scale="75"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U22"/>
  <sheetViews>
    <sheetView showGridLines="0" view="pageBreakPreview" topLeftCell="B7" zoomScale="87" zoomScaleNormal="80" zoomScaleSheetLayoutView="87" workbookViewId="0">
      <selection activeCell="I25" sqref="I25"/>
    </sheetView>
  </sheetViews>
  <sheetFormatPr defaultColWidth="9.36328125" defaultRowHeight="14"/>
  <cols>
    <col min="1" max="1" width="3.36328125" style="90" customWidth="1"/>
    <col min="2" max="2" width="7.6328125" style="90" customWidth="1"/>
    <col min="3" max="3" width="54.54296875" style="90" bestFit="1" customWidth="1"/>
    <col min="4" max="4" width="13" style="90" bestFit="1" customWidth="1"/>
    <col min="5" max="5" width="6.6328125" style="90" bestFit="1" customWidth="1"/>
    <col min="6" max="6" width="15.36328125" style="90" customWidth="1"/>
    <col min="7" max="7" width="12.6328125" style="90" bestFit="1" customWidth="1"/>
    <col min="8" max="8" width="6.6328125" style="90" bestFit="1" customWidth="1"/>
    <col min="9" max="10" width="12.54296875" style="90" bestFit="1" customWidth="1"/>
    <col min="11" max="11" width="6.6328125" style="90" bestFit="1" customWidth="1"/>
    <col min="12" max="12" width="8.6328125" style="90" bestFit="1" customWidth="1"/>
    <col min="13" max="13" width="11.90625" style="90" bestFit="1" customWidth="1"/>
    <col min="14" max="14" width="13.90625" style="90" bestFit="1" customWidth="1"/>
    <col min="15" max="20" width="15.36328125" style="90" customWidth="1"/>
    <col min="21" max="21" width="9.54296875" style="90" bestFit="1" customWidth="1"/>
    <col min="22" max="16384" width="9.36328125" style="90"/>
  </cols>
  <sheetData>
    <row r="2" spans="2:21">
      <c r="B2" s="1776" t="str">
        <f>Index!B2</f>
        <v xml:space="preserve">      Maharashtra State Power Generation Company Ltd.</v>
      </c>
      <c r="C2" s="1776"/>
      <c r="D2" s="1776"/>
      <c r="E2" s="1776"/>
      <c r="F2" s="1776"/>
      <c r="G2" s="1776"/>
      <c r="H2" s="1776"/>
      <c r="I2" s="1776"/>
      <c r="J2" s="1776"/>
      <c r="K2" s="1802" t="str">
        <f>B2</f>
        <v xml:space="preserve">      Maharashtra State Power Generation Company Ltd.</v>
      </c>
      <c r="L2" s="1802"/>
      <c r="M2" s="1802"/>
      <c r="N2" s="1802"/>
      <c r="O2" s="1802"/>
      <c r="P2" s="1802"/>
      <c r="Q2" s="1802"/>
      <c r="R2" s="1802"/>
      <c r="S2" s="1802"/>
      <c r="T2" s="1802"/>
      <c r="U2" s="1802"/>
    </row>
    <row r="3" spans="2:21">
      <c r="B3" s="1776" t="str">
        <f>Index!B3</f>
        <v>MYT Petition Formats for Parli 8</v>
      </c>
      <c r="C3" s="1776"/>
      <c r="D3" s="1776"/>
      <c r="E3" s="1776"/>
      <c r="F3" s="1776"/>
      <c r="G3" s="1776"/>
      <c r="H3" s="1776"/>
      <c r="I3" s="1776"/>
      <c r="J3" s="1776"/>
      <c r="K3" s="1802" t="str">
        <f>B3</f>
        <v>MYT Petition Formats for Parli 8</v>
      </c>
      <c r="L3" s="1802"/>
      <c r="M3" s="1802"/>
      <c r="N3" s="1802"/>
      <c r="O3" s="1802"/>
      <c r="P3" s="1802"/>
      <c r="Q3" s="1802"/>
      <c r="R3" s="1802"/>
      <c r="S3" s="1802"/>
      <c r="T3" s="1802"/>
      <c r="U3" s="1802"/>
    </row>
    <row r="4" spans="2:21">
      <c r="B4" s="1776" t="s">
        <v>459</v>
      </c>
      <c r="C4" s="1776"/>
      <c r="D4" s="1776"/>
      <c r="E4" s="1776"/>
      <c r="F4" s="1776"/>
      <c r="G4" s="1776"/>
      <c r="H4" s="1776"/>
      <c r="I4" s="1776"/>
      <c r="J4" s="1776"/>
      <c r="K4" s="1802" t="str">
        <f>B4</f>
        <v>Form 2.6: Capacity Charge &amp; Energy Charge Rate - Hydel Generation</v>
      </c>
      <c r="L4" s="1802"/>
      <c r="M4" s="1802"/>
      <c r="N4" s="1802"/>
      <c r="O4" s="1802"/>
      <c r="P4" s="1802"/>
      <c r="Q4" s="1802"/>
      <c r="R4" s="1802"/>
      <c r="S4" s="1802"/>
      <c r="T4" s="1802"/>
      <c r="U4" s="1802"/>
    </row>
    <row r="6" spans="2:21">
      <c r="B6" s="155"/>
      <c r="C6" s="156"/>
      <c r="D6" s="157"/>
      <c r="E6" s="157"/>
      <c r="F6" s="157"/>
      <c r="G6" s="157"/>
      <c r="H6" s="157"/>
      <c r="I6" s="157"/>
      <c r="J6" s="157"/>
      <c r="U6" s="21"/>
    </row>
    <row r="7" spans="2:21" ht="13.75" customHeight="1">
      <c r="B7" s="1804" t="s">
        <v>340</v>
      </c>
      <c r="C7" s="1806" t="s">
        <v>36</v>
      </c>
      <c r="D7" s="1806" t="s">
        <v>455</v>
      </c>
      <c r="E7" s="1772" t="s">
        <v>508</v>
      </c>
      <c r="F7" s="1773"/>
      <c r="G7" s="1774"/>
      <c r="H7" s="1772" t="s">
        <v>509</v>
      </c>
      <c r="I7" s="1773"/>
      <c r="J7" s="1774"/>
      <c r="K7" s="1772" t="s">
        <v>510</v>
      </c>
      <c r="L7" s="1773"/>
      <c r="M7" s="1773"/>
      <c r="N7" s="1773"/>
      <c r="O7" s="1774"/>
      <c r="P7" s="1775" t="s">
        <v>957</v>
      </c>
      <c r="Q7" s="1775"/>
      <c r="R7" s="1775"/>
      <c r="S7" s="1775"/>
      <c r="T7" s="1775"/>
      <c r="U7" s="1770" t="s">
        <v>26</v>
      </c>
    </row>
    <row r="8" spans="2:21" ht="42">
      <c r="B8" s="1804"/>
      <c r="C8" s="1806"/>
      <c r="D8" s="1806"/>
      <c r="E8" s="376" t="s">
        <v>964</v>
      </c>
      <c r="F8" s="297" t="s">
        <v>78</v>
      </c>
      <c r="G8" s="297" t="s">
        <v>811</v>
      </c>
      <c r="H8" s="376" t="s">
        <v>964</v>
      </c>
      <c r="I8" s="297" t="s">
        <v>78</v>
      </c>
      <c r="J8" s="376" t="s">
        <v>811</v>
      </c>
      <c r="K8" s="376" t="s">
        <v>964</v>
      </c>
      <c r="L8" s="297" t="s">
        <v>444</v>
      </c>
      <c r="M8" s="297" t="s">
        <v>448</v>
      </c>
      <c r="N8" s="297" t="s">
        <v>79</v>
      </c>
      <c r="O8" s="297" t="s">
        <v>452</v>
      </c>
      <c r="P8" s="709" t="s">
        <v>958</v>
      </c>
      <c r="Q8" s="709" t="s">
        <v>959</v>
      </c>
      <c r="R8" s="709" t="s">
        <v>960</v>
      </c>
      <c r="S8" s="709" t="s">
        <v>961</v>
      </c>
      <c r="T8" s="709" t="s">
        <v>962</v>
      </c>
      <c r="U8" s="1770"/>
    </row>
    <row r="9" spans="2:21">
      <c r="B9" s="1805"/>
      <c r="C9" s="1782"/>
      <c r="D9" s="1782"/>
      <c r="E9" s="297" t="s">
        <v>80</v>
      </c>
      <c r="F9" s="297" t="s">
        <v>81</v>
      </c>
      <c r="G9" s="297" t="s">
        <v>676</v>
      </c>
      <c r="H9" s="297" t="s">
        <v>391</v>
      </c>
      <c r="I9" s="297" t="s">
        <v>409</v>
      </c>
      <c r="J9" s="297" t="s">
        <v>456</v>
      </c>
      <c r="K9" s="297" t="s">
        <v>655</v>
      </c>
      <c r="L9" s="297" t="s">
        <v>592</v>
      </c>
      <c r="M9" s="297" t="s">
        <v>593</v>
      </c>
      <c r="N9" s="297" t="s">
        <v>678</v>
      </c>
      <c r="O9" s="297" t="s">
        <v>679</v>
      </c>
      <c r="P9" s="698" t="s">
        <v>21</v>
      </c>
      <c r="Q9" s="698" t="s">
        <v>21</v>
      </c>
      <c r="R9" s="698" t="s">
        <v>21</v>
      </c>
      <c r="S9" s="698" t="s">
        <v>21</v>
      </c>
      <c r="T9" s="698" t="s">
        <v>21</v>
      </c>
      <c r="U9" s="1771"/>
    </row>
    <row r="10" spans="2:21" s="65" customFormat="1">
      <c r="B10" s="158">
        <v>1</v>
      </c>
      <c r="C10" s="159" t="s">
        <v>458</v>
      </c>
      <c r="D10" s="166" t="s">
        <v>352</v>
      </c>
      <c r="E10" s="1824" t="s">
        <v>769</v>
      </c>
      <c r="F10" s="1825"/>
      <c r="G10" s="1825"/>
      <c r="H10" s="1825"/>
      <c r="I10" s="1825"/>
      <c r="J10" s="1825"/>
      <c r="K10" s="1830" t="str">
        <f>E10</f>
        <v>Not Applicable for Thermal Power Plant</v>
      </c>
      <c r="L10" s="1830"/>
      <c r="M10" s="1830"/>
      <c r="N10" s="1830"/>
      <c r="O10" s="1830"/>
      <c r="P10" s="1830"/>
      <c r="Q10" s="1830"/>
      <c r="R10" s="1830"/>
      <c r="S10" s="1830"/>
      <c r="T10" s="1830"/>
      <c r="U10" s="1831"/>
    </row>
    <row r="11" spans="2:21" s="65" customFormat="1">
      <c r="B11" s="158">
        <f>B10+1</f>
        <v>2</v>
      </c>
      <c r="C11" s="159" t="s">
        <v>419</v>
      </c>
      <c r="D11" s="166" t="s">
        <v>353</v>
      </c>
      <c r="E11" s="1826"/>
      <c r="F11" s="1827"/>
      <c r="G11" s="1827"/>
      <c r="H11" s="1827"/>
      <c r="I11" s="1827"/>
      <c r="J11" s="1827"/>
      <c r="K11" s="1832"/>
      <c r="L11" s="1832"/>
      <c r="M11" s="1832"/>
      <c r="N11" s="1832"/>
      <c r="O11" s="1832"/>
      <c r="P11" s="1832"/>
      <c r="Q11" s="1832"/>
      <c r="R11" s="1832"/>
      <c r="S11" s="1832"/>
      <c r="T11" s="1832"/>
      <c r="U11" s="1833"/>
    </row>
    <row r="12" spans="2:21" s="65" customFormat="1">
      <c r="B12" s="158">
        <f t="shared" ref="B12:B18" si="0">B11+1</f>
        <v>3</v>
      </c>
      <c r="C12" s="159" t="s">
        <v>363</v>
      </c>
      <c r="D12" s="166" t="s">
        <v>357</v>
      </c>
      <c r="E12" s="1826"/>
      <c r="F12" s="1827"/>
      <c r="G12" s="1827"/>
      <c r="H12" s="1827"/>
      <c r="I12" s="1827"/>
      <c r="J12" s="1827"/>
      <c r="K12" s="1832"/>
      <c r="L12" s="1832"/>
      <c r="M12" s="1832"/>
      <c r="N12" s="1832"/>
      <c r="O12" s="1832"/>
      <c r="P12" s="1832"/>
      <c r="Q12" s="1832"/>
      <c r="R12" s="1832"/>
      <c r="S12" s="1832"/>
      <c r="T12" s="1832"/>
      <c r="U12" s="1833"/>
    </row>
    <row r="13" spans="2:21">
      <c r="B13" s="158">
        <f t="shared" si="0"/>
        <v>4</v>
      </c>
      <c r="C13" s="160" t="s">
        <v>460</v>
      </c>
      <c r="D13" s="166" t="s">
        <v>457</v>
      </c>
      <c r="E13" s="1826"/>
      <c r="F13" s="1827"/>
      <c r="G13" s="1827"/>
      <c r="H13" s="1827"/>
      <c r="I13" s="1827"/>
      <c r="J13" s="1827"/>
      <c r="K13" s="1832"/>
      <c r="L13" s="1832"/>
      <c r="M13" s="1832"/>
      <c r="N13" s="1832"/>
      <c r="O13" s="1832"/>
      <c r="P13" s="1832"/>
      <c r="Q13" s="1832"/>
      <c r="R13" s="1832"/>
      <c r="S13" s="1832"/>
      <c r="T13" s="1832"/>
      <c r="U13" s="1833"/>
    </row>
    <row r="14" spans="2:21">
      <c r="B14" s="158"/>
      <c r="C14" s="161"/>
      <c r="D14" s="166"/>
      <c r="E14" s="1826"/>
      <c r="F14" s="1827"/>
      <c r="G14" s="1827"/>
      <c r="H14" s="1827"/>
      <c r="I14" s="1827"/>
      <c r="J14" s="1827"/>
      <c r="K14" s="1832"/>
      <c r="L14" s="1832"/>
      <c r="M14" s="1832"/>
      <c r="N14" s="1832"/>
      <c r="O14" s="1832"/>
      <c r="P14" s="1832"/>
      <c r="Q14" s="1832"/>
      <c r="R14" s="1832"/>
      <c r="S14" s="1832"/>
      <c r="T14" s="1832"/>
      <c r="U14" s="1833"/>
    </row>
    <row r="15" spans="2:21">
      <c r="B15" s="158">
        <v>5</v>
      </c>
      <c r="C15" s="159" t="s">
        <v>364</v>
      </c>
      <c r="D15" s="166" t="s">
        <v>354</v>
      </c>
      <c r="E15" s="1826"/>
      <c r="F15" s="1827"/>
      <c r="G15" s="1827"/>
      <c r="H15" s="1827"/>
      <c r="I15" s="1827"/>
      <c r="J15" s="1827"/>
      <c r="K15" s="1832"/>
      <c r="L15" s="1832"/>
      <c r="M15" s="1832"/>
      <c r="N15" s="1832"/>
      <c r="O15" s="1832"/>
      <c r="P15" s="1832"/>
      <c r="Q15" s="1832"/>
      <c r="R15" s="1832"/>
      <c r="S15" s="1832"/>
      <c r="T15" s="1832"/>
      <c r="U15" s="1833"/>
    </row>
    <row r="16" spans="2:21" s="96" customFormat="1">
      <c r="B16" s="158">
        <f t="shared" si="0"/>
        <v>6</v>
      </c>
      <c r="C16" s="159" t="s">
        <v>365</v>
      </c>
      <c r="D16" s="166" t="s">
        <v>359</v>
      </c>
      <c r="E16" s="1826"/>
      <c r="F16" s="1827"/>
      <c r="G16" s="1827"/>
      <c r="H16" s="1827"/>
      <c r="I16" s="1827"/>
      <c r="J16" s="1827"/>
      <c r="K16" s="1832"/>
      <c r="L16" s="1832"/>
      <c r="M16" s="1832"/>
      <c r="N16" s="1832"/>
      <c r="O16" s="1832"/>
      <c r="P16" s="1832"/>
      <c r="Q16" s="1832"/>
      <c r="R16" s="1832"/>
      <c r="S16" s="1832"/>
      <c r="T16" s="1832"/>
      <c r="U16" s="1833"/>
    </row>
    <row r="17" spans="2:21" s="96" customFormat="1">
      <c r="B17" s="158">
        <f t="shared" si="0"/>
        <v>7</v>
      </c>
      <c r="C17" s="159" t="s">
        <v>366</v>
      </c>
      <c r="D17" s="166" t="s">
        <v>360</v>
      </c>
      <c r="E17" s="1826"/>
      <c r="F17" s="1827"/>
      <c r="G17" s="1827"/>
      <c r="H17" s="1827"/>
      <c r="I17" s="1827"/>
      <c r="J17" s="1827"/>
      <c r="K17" s="1832"/>
      <c r="L17" s="1832"/>
      <c r="M17" s="1832"/>
      <c r="N17" s="1832"/>
      <c r="O17" s="1832"/>
      <c r="P17" s="1832"/>
      <c r="Q17" s="1832"/>
      <c r="R17" s="1832"/>
      <c r="S17" s="1832"/>
      <c r="T17" s="1832"/>
      <c r="U17" s="1833"/>
    </row>
    <row r="18" spans="2:21" s="96" customFormat="1">
      <c r="B18" s="158">
        <f t="shared" si="0"/>
        <v>8</v>
      </c>
      <c r="C18" s="167" t="s">
        <v>367</v>
      </c>
      <c r="D18" s="166" t="s">
        <v>361</v>
      </c>
      <c r="E18" s="1828"/>
      <c r="F18" s="1829"/>
      <c r="G18" s="1829"/>
      <c r="H18" s="1829"/>
      <c r="I18" s="1829"/>
      <c r="J18" s="1829"/>
      <c r="K18" s="1834"/>
      <c r="L18" s="1834"/>
      <c r="M18" s="1834"/>
      <c r="N18" s="1834"/>
      <c r="O18" s="1834"/>
      <c r="P18" s="1834"/>
      <c r="Q18" s="1834"/>
      <c r="R18" s="1834"/>
      <c r="S18" s="1834"/>
      <c r="T18" s="1834"/>
      <c r="U18" s="1835"/>
    </row>
    <row r="19" spans="2:21" s="96" customFormat="1">
      <c r="B19" s="90"/>
      <c r="C19" s="90"/>
    </row>
    <row r="20" spans="2:21" s="96" customFormat="1">
      <c r="B20" s="179"/>
      <c r="C20" s="162"/>
      <c r="D20" s="162"/>
      <c r="E20" s="162"/>
      <c r="F20" s="162"/>
      <c r="G20" s="162"/>
      <c r="H20" s="162"/>
      <c r="I20" s="162"/>
      <c r="J20" s="162"/>
    </row>
    <row r="21" spans="2:21" s="96" customFormat="1" ht="16">
      <c r="B21" s="163"/>
      <c r="C21" s="164"/>
      <c r="D21" s="165"/>
      <c r="E21" s="92"/>
      <c r="F21" s="92"/>
      <c r="G21" s="92"/>
      <c r="H21" s="92"/>
      <c r="I21" s="92"/>
      <c r="J21" s="92"/>
    </row>
    <row r="22" spans="2:21" s="96" customFormat="1" ht="18" customHeight="1">
      <c r="B22" s="7"/>
      <c r="C22" s="163"/>
      <c r="D22" s="163"/>
      <c r="E22" s="163"/>
      <c r="F22" s="163"/>
      <c r="G22" s="163"/>
      <c r="H22" s="163"/>
      <c r="I22" s="163"/>
      <c r="J22" s="163"/>
    </row>
  </sheetData>
  <mergeCells count="16">
    <mergeCell ref="B2:J2"/>
    <mergeCell ref="B3:J3"/>
    <mergeCell ref="B4:J4"/>
    <mergeCell ref="K2:U2"/>
    <mergeCell ref="K3:U3"/>
    <mergeCell ref="K4:U4"/>
    <mergeCell ref="B7:B9"/>
    <mergeCell ref="C7:C9"/>
    <mergeCell ref="D7:D9"/>
    <mergeCell ref="E7:G7"/>
    <mergeCell ref="H7:J7"/>
    <mergeCell ref="E10:J18"/>
    <mergeCell ref="K10:U18"/>
    <mergeCell ref="U7:U9"/>
    <mergeCell ref="K7:O7"/>
    <mergeCell ref="P7:T7"/>
  </mergeCells>
  <pageMargins left="0.74803149606299213" right="0.74803149606299213" top="0.98425196850393704" bottom="0.98425196850393704" header="0.51181102362204722" footer="0.51181102362204722"/>
  <pageSetup paperSize="9" scale="60" orientation="landscape" r:id="rId1"/>
  <headerFooter alignWithMargins="0"/>
  <colBreaks count="1" manualBreakCount="1">
    <brk id="10" max="18"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B2:N45"/>
  <sheetViews>
    <sheetView showGridLines="0" view="pageBreakPreview" zoomScale="90" zoomScaleNormal="80" zoomScaleSheetLayoutView="90" workbookViewId="0">
      <selection activeCell="B13" sqref="B13"/>
    </sheetView>
  </sheetViews>
  <sheetFormatPr defaultColWidth="9.36328125" defaultRowHeight="14"/>
  <cols>
    <col min="1" max="1" width="3.36328125" style="5" customWidth="1"/>
    <col min="2" max="2" width="8.36328125" style="5" customWidth="1"/>
    <col min="3" max="3" width="43.6328125" style="5" customWidth="1"/>
    <col min="4" max="4" width="7.36328125" style="5" bestFit="1" customWidth="1"/>
    <col min="5" max="5" width="11.08984375" style="5" customWidth="1"/>
    <col min="6" max="6" width="14.6328125" style="5" customWidth="1"/>
    <col min="7" max="7" width="7.90625" style="5" bestFit="1" customWidth="1"/>
    <col min="8" max="8" width="10.90625" style="5" bestFit="1" customWidth="1"/>
    <col min="9" max="9" width="7.90625" style="5" bestFit="1" customWidth="1"/>
    <col min="10" max="10" width="10.90625" style="5" bestFit="1" customWidth="1"/>
    <col min="11" max="11" width="7.90625" style="5" bestFit="1" customWidth="1"/>
    <col min="12" max="12" width="10.90625" style="5" bestFit="1" customWidth="1"/>
    <col min="13" max="13" width="7.90625" style="5" bestFit="1" customWidth="1"/>
    <col min="14" max="14" width="10.90625" style="5" bestFit="1" customWidth="1"/>
    <col min="15" max="16384" width="9.36328125" style="5"/>
  </cols>
  <sheetData>
    <row r="2" spans="2:14">
      <c r="B2" s="1776" t="str">
        <f>Index!B2</f>
        <v xml:space="preserve">      Maharashtra State Power Generation Company Ltd.</v>
      </c>
      <c r="C2" s="1814"/>
      <c r="D2" s="1814"/>
      <c r="E2" s="1814"/>
      <c r="F2" s="1814"/>
      <c r="G2" s="1814"/>
      <c r="H2" s="1814"/>
      <c r="I2" s="1814"/>
      <c r="J2" s="1814"/>
      <c r="K2" s="1814"/>
      <c r="L2" s="1814"/>
      <c r="M2" s="1814"/>
    </row>
    <row r="3" spans="2:14">
      <c r="B3" s="1776" t="str">
        <f>Index!B3</f>
        <v>MYT Petition Formats for Parli 8</v>
      </c>
      <c r="C3" s="1814"/>
      <c r="D3" s="1814"/>
      <c r="E3" s="1814"/>
      <c r="F3" s="1814"/>
      <c r="G3" s="1814"/>
      <c r="H3" s="1814"/>
      <c r="I3" s="1814"/>
      <c r="J3" s="1814"/>
      <c r="K3" s="1814"/>
      <c r="L3" s="1814"/>
      <c r="M3" s="1814"/>
    </row>
    <row r="4" spans="2:14">
      <c r="B4" s="1777" t="s">
        <v>386</v>
      </c>
      <c r="C4" s="1814"/>
      <c r="D4" s="1814"/>
      <c r="E4" s="1814"/>
      <c r="F4" s="1814"/>
      <c r="G4" s="1814"/>
      <c r="H4" s="1814"/>
      <c r="I4" s="1814"/>
      <c r="J4" s="1814"/>
      <c r="K4" s="1814"/>
      <c r="L4" s="1814"/>
      <c r="M4" s="1814"/>
    </row>
    <row r="6" spans="2:14">
      <c r="B6" s="6" t="s">
        <v>1006</v>
      </c>
    </row>
    <row r="7" spans="2:14">
      <c r="B7" s="53"/>
      <c r="C7" s="17"/>
      <c r="D7" s="18"/>
      <c r="E7" s="18"/>
      <c r="F7" s="21" t="s">
        <v>10</v>
      </c>
      <c r="G7" s="18"/>
      <c r="H7" s="18"/>
      <c r="I7" s="18"/>
      <c r="J7" s="18"/>
      <c r="K7" s="18"/>
      <c r="L7" s="18"/>
      <c r="M7" s="18"/>
      <c r="N7" s="18"/>
    </row>
    <row r="8" spans="2:14" s="35" customFormat="1" ht="15.75" customHeight="1">
      <c r="B8" s="1808" t="s">
        <v>340</v>
      </c>
      <c r="C8" s="1810" t="s">
        <v>36</v>
      </c>
      <c r="D8" s="1810" t="s">
        <v>144</v>
      </c>
      <c r="E8" s="1772" t="s">
        <v>508</v>
      </c>
      <c r="F8" s="1774"/>
      <c r="G8" s="1810" t="s">
        <v>144</v>
      </c>
      <c r="H8" s="1772" t="s">
        <v>509</v>
      </c>
      <c r="I8" s="1774"/>
      <c r="J8" s="1810" t="s">
        <v>144</v>
      </c>
      <c r="K8" s="1772" t="s">
        <v>510</v>
      </c>
      <c r="L8" s="1774"/>
    </row>
    <row r="9" spans="2:14" s="35" customFormat="1" ht="26.25" customHeight="1">
      <c r="B9" s="1809"/>
      <c r="C9" s="1811"/>
      <c r="D9" s="1811"/>
      <c r="E9" s="376" t="s">
        <v>812</v>
      </c>
      <c r="F9" s="259" t="s">
        <v>813</v>
      </c>
      <c r="G9" s="1811"/>
      <c r="H9" s="751" t="s">
        <v>812</v>
      </c>
      <c r="I9" s="751" t="s">
        <v>813</v>
      </c>
      <c r="J9" s="1811"/>
      <c r="K9" s="751" t="s">
        <v>812</v>
      </c>
      <c r="L9" s="751" t="s">
        <v>813</v>
      </c>
    </row>
    <row r="10" spans="2:14" s="6" customFormat="1">
      <c r="B10" s="137">
        <v>1</v>
      </c>
      <c r="C10" s="60" t="s">
        <v>379</v>
      </c>
      <c r="D10" s="1845" t="s">
        <v>769</v>
      </c>
      <c r="E10" s="1846"/>
      <c r="F10" s="1847"/>
      <c r="G10" s="1845" t="s">
        <v>769</v>
      </c>
      <c r="H10" s="1846"/>
      <c r="I10" s="1847"/>
      <c r="J10" s="1845" t="s">
        <v>769</v>
      </c>
      <c r="K10" s="1846"/>
      <c r="L10" s="1847"/>
    </row>
    <row r="11" spans="2:14" s="6" customFormat="1">
      <c r="B11" s="137">
        <v>2</v>
      </c>
      <c r="C11" s="60" t="s">
        <v>148</v>
      </c>
      <c r="D11" s="1848"/>
      <c r="E11" s="1849"/>
      <c r="F11" s="1850"/>
      <c r="G11" s="1848"/>
      <c r="H11" s="1849"/>
      <c r="I11" s="1850"/>
      <c r="J11" s="1848"/>
      <c r="K11" s="1849"/>
      <c r="L11" s="1850"/>
    </row>
    <row r="12" spans="2:14" s="6" customFormat="1">
      <c r="B12" s="137">
        <v>3</v>
      </c>
      <c r="C12" s="60" t="s">
        <v>149</v>
      </c>
      <c r="D12" s="1848"/>
      <c r="E12" s="1849"/>
      <c r="F12" s="1850"/>
      <c r="G12" s="1848"/>
      <c r="H12" s="1849"/>
      <c r="I12" s="1850"/>
      <c r="J12" s="1848"/>
      <c r="K12" s="1849"/>
      <c r="L12" s="1850"/>
    </row>
    <row r="13" spans="2:14">
      <c r="B13" s="137">
        <v>4</v>
      </c>
      <c r="C13" s="139" t="s">
        <v>150</v>
      </c>
      <c r="D13" s="1848"/>
      <c r="E13" s="1849"/>
      <c r="F13" s="1850"/>
      <c r="G13" s="1848"/>
      <c r="H13" s="1849"/>
      <c r="I13" s="1850"/>
      <c r="J13" s="1848"/>
      <c r="K13" s="1849"/>
      <c r="L13" s="1850"/>
    </row>
    <row r="14" spans="2:14">
      <c r="B14" s="10"/>
      <c r="C14" s="9"/>
      <c r="D14" s="1848"/>
      <c r="E14" s="1849"/>
      <c r="F14" s="1850"/>
      <c r="G14" s="1848"/>
      <c r="H14" s="1849"/>
      <c r="I14" s="1850"/>
      <c r="J14" s="1848"/>
      <c r="K14" s="1849"/>
      <c r="L14" s="1850"/>
    </row>
    <row r="15" spans="2:14" ht="14" customHeight="1">
      <c r="B15" s="140">
        <v>5</v>
      </c>
      <c r="C15" s="61" t="s">
        <v>151</v>
      </c>
      <c r="D15" s="1848"/>
      <c r="E15" s="1849"/>
      <c r="F15" s="1850"/>
      <c r="G15" s="1848"/>
      <c r="H15" s="1849"/>
      <c r="I15" s="1850"/>
      <c r="J15" s="1848"/>
      <c r="K15" s="1849"/>
      <c r="L15" s="1850"/>
    </row>
    <row r="16" spans="2:14" s="1" customFormat="1" ht="17.25" customHeight="1">
      <c r="B16" s="141">
        <v>6</v>
      </c>
      <c r="C16" s="60" t="s">
        <v>381</v>
      </c>
      <c r="D16" s="1848"/>
      <c r="E16" s="1849"/>
      <c r="F16" s="1850"/>
      <c r="G16" s="1848"/>
      <c r="H16" s="1849"/>
      <c r="I16" s="1850"/>
      <c r="J16" s="1848"/>
      <c r="K16" s="1849"/>
      <c r="L16" s="1850"/>
    </row>
    <row r="17" spans="2:14" s="1" customFormat="1">
      <c r="B17" s="137">
        <v>7</v>
      </c>
      <c r="C17" s="61" t="s">
        <v>86</v>
      </c>
      <c r="D17" s="1848"/>
      <c r="E17" s="1849"/>
      <c r="F17" s="1850"/>
      <c r="G17" s="1848"/>
      <c r="H17" s="1849"/>
      <c r="I17" s="1850"/>
      <c r="J17" s="1848"/>
      <c r="K17" s="1849"/>
      <c r="L17" s="1850"/>
    </row>
    <row r="18" spans="2:14" s="1" customFormat="1">
      <c r="B18" s="137"/>
      <c r="C18" s="61"/>
      <c r="D18" s="1848"/>
      <c r="E18" s="1849"/>
      <c r="F18" s="1850"/>
      <c r="G18" s="1848"/>
      <c r="H18" s="1849"/>
      <c r="I18" s="1850"/>
      <c r="J18" s="1848"/>
      <c r="K18" s="1849"/>
      <c r="L18" s="1850"/>
    </row>
    <row r="19" spans="2:14" s="1" customFormat="1">
      <c r="B19" s="158">
        <v>8</v>
      </c>
      <c r="C19" s="61" t="s">
        <v>486</v>
      </c>
      <c r="D19" s="1851"/>
      <c r="E19" s="1852"/>
      <c r="F19" s="1853"/>
      <c r="G19" s="1851"/>
      <c r="H19" s="1852"/>
      <c r="I19" s="1853"/>
      <c r="J19" s="1851"/>
      <c r="K19" s="1852"/>
      <c r="L19" s="1853"/>
    </row>
    <row r="20" spans="2:14" s="1" customFormat="1" hidden="1">
      <c r="B20" s="6" t="s">
        <v>160</v>
      </c>
      <c r="C20" s="36"/>
    </row>
    <row r="21" spans="2:14" s="1" customFormat="1" hidden="1">
      <c r="B21" s="5">
        <v>1</v>
      </c>
      <c r="C21" s="7" t="s">
        <v>708</v>
      </c>
    </row>
    <row r="22" spans="2:14" s="1" customFormat="1" hidden="1">
      <c r="B22" s="5">
        <v>2</v>
      </c>
      <c r="C22" s="7" t="s">
        <v>454</v>
      </c>
    </row>
    <row r="23" spans="2:14" s="1" customFormat="1" hidden="1">
      <c r="B23" s="5">
        <v>3</v>
      </c>
      <c r="C23" s="47" t="s">
        <v>159</v>
      </c>
    </row>
    <row r="24" spans="2:14" s="1" customFormat="1">
      <c r="B24" s="5"/>
      <c r="C24" s="47"/>
    </row>
    <row r="25" spans="2:14">
      <c r="B25" s="6" t="s">
        <v>997</v>
      </c>
    </row>
    <row r="26" spans="2:14">
      <c r="B26" s="53"/>
      <c r="C26" s="17"/>
      <c r="D26" s="18"/>
      <c r="E26" s="18"/>
      <c r="F26" s="18"/>
      <c r="G26" s="18"/>
      <c r="H26" s="18"/>
    </row>
    <row r="27" spans="2:14" s="35" customFormat="1" ht="15.75" customHeight="1">
      <c r="B27" s="1808" t="s">
        <v>340</v>
      </c>
      <c r="C27" s="1810" t="s">
        <v>36</v>
      </c>
      <c r="D27" s="1778" t="s">
        <v>380</v>
      </c>
      <c r="E27" s="1772" t="s">
        <v>958</v>
      </c>
      <c r="F27" s="1773"/>
      <c r="G27" s="1772" t="s">
        <v>959</v>
      </c>
      <c r="H27" s="1773"/>
      <c r="I27" s="1772" t="s">
        <v>960</v>
      </c>
      <c r="J27" s="1773"/>
      <c r="K27" s="1772" t="s">
        <v>961</v>
      </c>
      <c r="L27" s="1773"/>
      <c r="M27" s="1772" t="s">
        <v>962</v>
      </c>
      <c r="N27" s="1773"/>
    </row>
    <row r="28" spans="2:14" s="6" customFormat="1" ht="35" customHeight="1">
      <c r="B28" s="1809"/>
      <c r="C28" s="1811"/>
      <c r="D28" s="1807"/>
      <c r="E28" s="376" t="s">
        <v>812</v>
      </c>
      <c r="F28" s="376" t="s">
        <v>813</v>
      </c>
      <c r="G28" s="376" t="s">
        <v>812</v>
      </c>
      <c r="H28" s="376" t="s">
        <v>813</v>
      </c>
      <c r="I28" s="376" t="s">
        <v>812</v>
      </c>
      <c r="J28" s="376" t="s">
        <v>813</v>
      </c>
      <c r="K28" s="376" t="s">
        <v>812</v>
      </c>
      <c r="L28" s="376" t="s">
        <v>813</v>
      </c>
      <c r="M28" s="376" t="s">
        <v>812</v>
      </c>
      <c r="N28" s="376" t="s">
        <v>813</v>
      </c>
    </row>
    <row r="29" spans="2:14" s="6" customFormat="1">
      <c r="B29" s="137">
        <v>1</v>
      </c>
      <c r="C29" s="60" t="s">
        <v>379</v>
      </c>
      <c r="D29" s="138"/>
      <c r="E29" s="1836" t="s">
        <v>769</v>
      </c>
      <c r="F29" s="1837"/>
      <c r="G29" s="1837"/>
      <c r="H29" s="1837"/>
      <c r="I29" s="1837"/>
      <c r="J29" s="1837"/>
      <c r="K29" s="1837"/>
      <c r="L29" s="1837"/>
      <c r="M29" s="1837"/>
      <c r="N29" s="1838"/>
    </row>
    <row r="30" spans="2:14" s="6" customFormat="1">
      <c r="B30" s="137">
        <v>2</v>
      </c>
      <c r="C30" s="60" t="s">
        <v>148</v>
      </c>
      <c r="D30" s="138"/>
      <c r="E30" s="1839"/>
      <c r="F30" s="1840"/>
      <c r="G30" s="1840"/>
      <c r="H30" s="1840"/>
      <c r="I30" s="1840"/>
      <c r="J30" s="1840"/>
      <c r="K30" s="1840"/>
      <c r="L30" s="1840"/>
      <c r="M30" s="1840"/>
      <c r="N30" s="1841"/>
    </row>
    <row r="31" spans="2:14">
      <c r="B31" s="137">
        <v>3</v>
      </c>
      <c r="C31" s="60" t="s">
        <v>709</v>
      </c>
      <c r="D31" s="138"/>
      <c r="E31" s="1839"/>
      <c r="F31" s="1840"/>
      <c r="G31" s="1840"/>
      <c r="H31" s="1840"/>
      <c r="I31" s="1840"/>
      <c r="J31" s="1840"/>
      <c r="K31" s="1840"/>
      <c r="L31" s="1840"/>
      <c r="M31" s="1840"/>
      <c r="N31" s="1841"/>
    </row>
    <row r="32" spans="2:14">
      <c r="B32" s="137">
        <v>4</v>
      </c>
      <c r="C32" s="139" t="s">
        <v>150</v>
      </c>
      <c r="D32" s="138"/>
      <c r="E32" s="1839"/>
      <c r="F32" s="1840"/>
      <c r="G32" s="1840"/>
      <c r="H32" s="1840"/>
      <c r="I32" s="1840"/>
      <c r="J32" s="1840"/>
      <c r="K32" s="1840"/>
      <c r="L32" s="1840"/>
      <c r="M32" s="1840"/>
      <c r="N32" s="1841"/>
    </row>
    <row r="33" spans="2:14" ht="14" customHeight="1">
      <c r="B33" s="10"/>
      <c r="C33" s="9"/>
      <c r="D33" s="138"/>
      <c r="E33" s="1839"/>
      <c r="F33" s="1840"/>
      <c r="G33" s="1840"/>
      <c r="H33" s="1840"/>
      <c r="I33" s="1840"/>
      <c r="J33" s="1840"/>
      <c r="K33" s="1840"/>
      <c r="L33" s="1840"/>
      <c r="M33" s="1840"/>
      <c r="N33" s="1841"/>
    </row>
    <row r="34" spans="2:14" s="1" customFormat="1">
      <c r="B34" s="140">
        <v>5</v>
      </c>
      <c r="C34" s="61" t="s">
        <v>151</v>
      </c>
      <c r="D34" s="138"/>
      <c r="E34" s="1839"/>
      <c r="F34" s="1840"/>
      <c r="G34" s="1840"/>
      <c r="H34" s="1840"/>
      <c r="I34" s="1840"/>
      <c r="J34" s="1840"/>
      <c r="K34" s="1840"/>
      <c r="L34" s="1840"/>
      <c r="M34" s="1840"/>
      <c r="N34" s="1841"/>
    </row>
    <row r="35" spans="2:14" s="1" customFormat="1">
      <c r="B35" s="150">
        <v>6</v>
      </c>
      <c r="C35" s="60" t="s">
        <v>381</v>
      </c>
      <c r="D35" s="138"/>
      <c r="E35" s="1839"/>
      <c r="F35" s="1840"/>
      <c r="G35" s="1840"/>
      <c r="H35" s="1840"/>
      <c r="I35" s="1840"/>
      <c r="J35" s="1840"/>
      <c r="K35" s="1840"/>
      <c r="L35" s="1840"/>
      <c r="M35" s="1840"/>
      <c r="N35" s="1841"/>
    </row>
    <row r="36" spans="2:14" s="1" customFormat="1">
      <c r="B36" s="137">
        <v>7</v>
      </c>
      <c r="C36" s="61" t="s">
        <v>86</v>
      </c>
      <c r="D36" s="9"/>
      <c r="E36" s="1842"/>
      <c r="F36" s="1843"/>
      <c r="G36" s="1843"/>
      <c r="H36" s="1843"/>
      <c r="I36" s="1843"/>
      <c r="J36" s="1843"/>
      <c r="K36" s="1843"/>
      <c r="L36" s="1843"/>
      <c r="M36" s="1843"/>
      <c r="N36" s="1844"/>
    </row>
    <row r="37" spans="2:14" s="1" customFormat="1">
      <c r="B37" s="5"/>
      <c r="C37" s="36"/>
    </row>
    <row r="38" spans="2:14" s="1" customFormat="1">
      <c r="B38" s="54"/>
      <c r="C38" s="7"/>
      <c r="D38" s="48"/>
      <c r="E38" s="48"/>
      <c r="F38" s="48"/>
      <c r="G38" s="11"/>
      <c r="H38" s="11"/>
      <c r="I38" s="7"/>
    </row>
    <row r="39" spans="2:14" s="1" customFormat="1" ht="18" customHeight="1">
      <c r="B39" s="47"/>
      <c r="C39" s="45"/>
      <c r="D39" s="47"/>
      <c r="E39" s="47"/>
      <c r="F39" s="47"/>
      <c r="G39" s="47"/>
      <c r="H39" s="47"/>
      <c r="I39" s="7"/>
    </row>
    <row r="40" spans="2:14" s="1" customFormat="1" ht="13.5" customHeight="1">
      <c r="B40" s="47"/>
      <c r="C40" s="45"/>
      <c r="D40" s="47"/>
      <c r="E40" s="47"/>
      <c r="F40" s="47"/>
      <c r="G40" s="47"/>
      <c r="H40" s="47"/>
      <c r="I40" s="7"/>
    </row>
    <row r="41" spans="2:14">
      <c r="B41" s="47"/>
      <c r="C41" s="47"/>
      <c r="D41" s="7"/>
      <c r="E41" s="7"/>
      <c r="F41" s="7"/>
      <c r="G41" s="7"/>
      <c r="H41" s="7"/>
      <c r="I41" s="7"/>
    </row>
    <row r="42" spans="2:14">
      <c r="B42" s="7"/>
      <c r="C42" s="7"/>
      <c r="D42" s="7"/>
      <c r="E42" s="7"/>
      <c r="F42" s="7"/>
      <c r="G42" s="7"/>
      <c r="H42" s="7"/>
      <c r="I42" s="7"/>
    </row>
    <row r="43" spans="2:14">
      <c r="B43" s="7"/>
      <c r="C43" s="7"/>
      <c r="D43" s="7"/>
      <c r="E43" s="7"/>
      <c r="F43" s="7"/>
      <c r="G43" s="7"/>
      <c r="H43" s="56"/>
      <c r="I43" s="7"/>
    </row>
    <row r="44" spans="2:14">
      <c r="B44" s="7"/>
      <c r="C44" s="7"/>
      <c r="D44" s="7"/>
      <c r="E44" s="7"/>
      <c r="F44" s="7"/>
      <c r="G44" s="7"/>
      <c r="H44" s="7"/>
      <c r="I44" s="7"/>
    </row>
    <row r="45" spans="2:14">
      <c r="B45" s="7"/>
      <c r="C45" s="7"/>
    </row>
  </sheetData>
  <mergeCells count="23">
    <mergeCell ref="B27:B28"/>
    <mergeCell ref="B2:M2"/>
    <mergeCell ref="B3:M3"/>
    <mergeCell ref="B4:M4"/>
    <mergeCell ref="D8:D9"/>
    <mergeCell ref="E8:F8"/>
    <mergeCell ref="C8:C9"/>
    <mergeCell ref="B8:B9"/>
    <mergeCell ref="D27:D28"/>
    <mergeCell ref="C27:C28"/>
    <mergeCell ref="E27:F27"/>
    <mergeCell ref="G27:H27"/>
    <mergeCell ref="I27:J27"/>
    <mergeCell ref="D10:F19"/>
    <mergeCell ref="E29:N36"/>
    <mergeCell ref="G8:G9"/>
    <mergeCell ref="H8:I8"/>
    <mergeCell ref="G10:I19"/>
    <mergeCell ref="J8:J9"/>
    <mergeCell ref="K8:L8"/>
    <mergeCell ref="J10:L19"/>
    <mergeCell ref="K27:L27"/>
    <mergeCell ref="M27:N27"/>
  </mergeCells>
  <pageMargins left="0.75" right="0.75" top="1" bottom="1" header="0.5" footer="0.5"/>
  <pageSetup paperSize="9" scale="8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2:P32"/>
  <sheetViews>
    <sheetView showGridLines="0" view="pageBreakPreview" zoomScale="90" zoomScaleNormal="80" zoomScaleSheetLayoutView="90" workbookViewId="0">
      <selection activeCell="B7" sqref="B7:B9"/>
    </sheetView>
  </sheetViews>
  <sheetFormatPr defaultColWidth="9.36328125" defaultRowHeight="14"/>
  <cols>
    <col min="1" max="1" width="3.36328125" style="5" customWidth="1"/>
    <col min="2" max="2" width="8.36328125" style="5" customWidth="1"/>
    <col min="3" max="3" width="26.6328125" style="5" customWidth="1"/>
    <col min="4" max="7" width="16.6328125" style="5" customWidth="1"/>
    <col min="8" max="8" width="15.6328125" style="5" customWidth="1"/>
    <col min="9" max="9" width="14.36328125" style="5" customWidth="1"/>
    <col min="10" max="10" width="15.6328125" style="5" customWidth="1"/>
    <col min="11" max="11" width="18" style="5" bestFit="1" customWidth="1"/>
    <col min="12" max="16" width="15.6328125" style="5" customWidth="1"/>
    <col min="17" max="16384" width="9.36328125" style="5"/>
  </cols>
  <sheetData>
    <row r="2" spans="2:16">
      <c r="B2" s="1776" t="str">
        <f>Index!B2</f>
        <v xml:space="preserve">      Maharashtra State Power Generation Company Ltd.</v>
      </c>
      <c r="C2" s="1814"/>
      <c r="D2" s="1814"/>
      <c r="E2" s="1814"/>
      <c r="F2" s="1814"/>
      <c r="G2" s="1814"/>
      <c r="H2" s="1814"/>
      <c r="I2" s="1814"/>
      <c r="J2" s="1814"/>
      <c r="K2" s="1814"/>
      <c r="L2" s="1814"/>
      <c r="M2" s="1814"/>
      <c r="N2" s="1814"/>
      <c r="O2" s="1814"/>
      <c r="P2" s="1814"/>
    </row>
    <row r="3" spans="2:16">
      <c r="B3" s="1776" t="str">
        <f>Index!B3</f>
        <v>MYT Petition Formats for Parli 8</v>
      </c>
      <c r="C3" s="1814"/>
      <c r="D3" s="1814"/>
      <c r="E3" s="1814"/>
      <c r="F3" s="1814"/>
      <c r="G3" s="1814"/>
      <c r="H3" s="1814"/>
      <c r="I3" s="1814"/>
      <c r="J3" s="1814"/>
      <c r="K3" s="1814"/>
      <c r="L3" s="1814"/>
      <c r="M3" s="1814"/>
      <c r="N3" s="1814"/>
      <c r="O3" s="1814"/>
      <c r="P3" s="1814"/>
    </row>
    <row r="4" spans="2:16">
      <c r="B4" s="1777" t="s">
        <v>387</v>
      </c>
      <c r="C4" s="1814"/>
      <c r="D4" s="1814"/>
      <c r="E4" s="1814"/>
      <c r="F4" s="1814"/>
      <c r="G4" s="1814"/>
      <c r="H4" s="1814"/>
      <c r="I4" s="1814"/>
      <c r="J4" s="1814"/>
      <c r="K4" s="1814"/>
      <c r="L4" s="1814"/>
      <c r="M4" s="1814"/>
      <c r="N4" s="1814"/>
      <c r="O4" s="1814"/>
      <c r="P4" s="1814"/>
    </row>
    <row r="5" spans="2:16">
      <c r="C5" s="19"/>
      <c r="D5" s="19"/>
      <c r="E5" s="19"/>
      <c r="F5" s="19"/>
      <c r="G5" s="19"/>
    </row>
    <row r="6" spans="2:16">
      <c r="B6" s="53"/>
      <c r="C6" s="17"/>
      <c r="D6" s="17"/>
      <c r="E6" s="17"/>
      <c r="F6" s="17"/>
      <c r="G6" s="17"/>
      <c r="H6" s="18"/>
      <c r="I6" s="18"/>
      <c r="J6" s="18"/>
    </row>
    <row r="7" spans="2:16" s="35" customFormat="1">
      <c r="B7" s="1804" t="s">
        <v>6</v>
      </c>
      <c r="C7" s="1806" t="s">
        <v>36</v>
      </c>
      <c r="D7" s="1863" t="s">
        <v>508</v>
      </c>
      <c r="E7" s="1864"/>
      <c r="F7" s="1863" t="s">
        <v>509</v>
      </c>
      <c r="G7" s="1864"/>
      <c r="H7" s="1772" t="s">
        <v>510</v>
      </c>
      <c r="I7" s="1773"/>
      <c r="J7" s="1773"/>
      <c r="K7" s="1773"/>
      <c r="L7" s="1772" t="s">
        <v>509</v>
      </c>
      <c r="M7" s="1774"/>
      <c r="N7" s="1772" t="s">
        <v>510</v>
      </c>
      <c r="O7" s="1774"/>
      <c r="P7" s="1778" t="s">
        <v>26</v>
      </c>
    </row>
    <row r="8" spans="2:16" s="36" customFormat="1" ht="28">
      <c r="B8" s="1804"/>
      <c r="C8" s="1806"/>
      <c r="D8" s="235" t="s">
        <v>706</v>
      </c>
      <c r="E8" s="235" t="s">
        <v>78</v>
      </c>
      <c r="F8" s="297" t="s">
        <v>450</v>
      </c>
      <c r="G8" s="297" t="s">
        <v>78</v>
      </c>
      <c r="H8" s="297" t="s">
        <v>450</v>
      </c>
      <c r="I8" s="215" t="s">
        <v>444</v>
      </c>
      <c r="J8" s="215" t="s">
        <v>448</v>
      </c>
      <c r="K8" s="215" t="s">
        <v>79</v>
      </c>
      <c r="L8" s="297" t="s">
        <v>450</v>
      </c>
      <c r="M8" s="297" t="s">
        <v>675</v>
      </c>
      <c r="N8" s="297" t="s">
        <v>450</v>
      </c>
      <c r="O8" s="297" t="s">
        <v>675</v>
      </c>
      <c r="P8" s="1779"/>
    </row>
    <row r="9" spans="2:16" s="36" customFormat="1" ht="24.75" customHeight="1">
      <c r="B9" s="1805"/>
      <c r="C9" s="1782"/>
      <c r="D9" s="235" t="s">
        <v>80</v>
      </c>
      <c r="E9" s="235" t="s">
        <v>81</v>
      </c>
      <c r="F9" s="297" t="s">
        <v>461</v>
      </c>
      <c r="G9" s="297" t="s">
        <v>391</v>
      </c>
      <c r="H9" s="215" t="s">
        <v>410</v>
      </c>
      <c r="I9" s="215" t="s">
        <v>411</v>
      </c>
      <c r="J9" s="215" t="s">
        <v>503</v>
      </c>
      <c r="K9" s="215" t="s">
        <v>504</v>
      </c>
      <c r="L9" s="235" t="s">
        <v>592</v>
      </c>
      <c r="M9" s="235" t="s">
        <v>593</v>
      </c>
      <c r="N9" s="235" t="s">
        <v>594</v>
      </c>
      <c r="O9" s="235" t="s">
        <v>595</v>
      </c>
      <c r="P9" s="1807"/>
    </row>
    <row r="10" spans="2:16" s="36" customFormat="1" ht="28.25" customHeight="1">
      <c r="B10" s="154">
        <v>1</v>
      </c>
      <c r="C10" s="62" t="s">
        <v>334</v>
      </c>
      <c r="D10" s="1854" t="s">
        <v>770</v>
      </c>
      <c r="E10" s="1855"/>
      <c r="F10" s="1855"/>
      <c r="G10" s="1855"/>
      <c r="H10" s="1855"/>
      <c r="I10" s="1855"/>
      <c r="J10" s="1855"/>
      <c r="K10" s="1855"/>
      <c r="L10" s="1855"/>
      <c r="M10" s="1855"/>
      <c r="N10" s="1855"/>
      <c r="O10" s="1855"/>
      <c r="P10" s="1856"/>
    </row>
    <row r="11" spans="2:16" s="6" customFormat="1">
      <c r="B11" s="151" t="s">
        <v>161</v>
      </c>
      <c r="C11" s="58" t="s">
        <v>162</v>
      </c>
      <c r="D11" s="1857"/>
      <c r="E11" s="1858"/>
      <c r="F11" s="1858"/>
      <c r="G11" s="1858"/>
      <c r="H11" s="1858"/>
      <c r="I11" s="1858"/>
      <c r="J11" s="1858"/>
      <c r="K11" s="1858"/>
      <c r="L11" s="1858"/>
      <c r="M11" s="1858"/>
      <c r="N11" s="1858"/>
      <c r="O11" s="1858"/>
      <c r="P11" s="1859"/>
    </row>
    <row r="12" spans="2:16" s="6" customFormat="1">
      <c r="B12" s="137"/>
      <c r="C12" s="59" t="s">
        <v>163</v>
      </c>
      <c r="D12" s="1857"/>
      <c r="E12" s="1858"/>
      <c r="F12" s="1858"/>
      <c r="G12" s="1858"/>
      <c r="H12" s="1858"/>
      <c r="I12" s="1858"/>
      <c r="J12" s="1858"/>
      <c r="K12" s="1858"/>
      <c r="L12" s="1858"/>
      <c r="M12" s="1858"/>
      <c r="N12" s="1858"/>
      <c r="O12" s="1858"/>
      <c r="P12" s="1859"/>
    </row>
    <row r="13" spans="2:16" s="6" customFormat="1">
      <c r="B13" s="137"/>
      <c r="C13" s="59" t="s">
        <v>164</v>
      </c>
      <c r="D13" s="1857"/>
      <c r="E13" s="1858"/>
      <c r="F13" s="1858"/>
      <c r="G13" s="1858"/>
      <c r="H13" s="1858"/>
      <c r="I13" s="1858"/>
      <c r="J13" s="1858"/>
      <c r="K13" s="1858"/>
      <c r="L13" s="1858"/>
      <c r="M13" s="1858"/>
      <c r="N13" s="1858"/>
      <c r="O13" s="1858"/>
      <c r="P13" s="1859"/>
    </row>
    <row r="14" spans="2:16" s="6" customFormat="1">
      <c r="B14" s="137"/>
      <c r="C14" s="59" t="s">
        <v>165</v>
      </c>
      <c r="D14" s="1857"/>
      <c r="E14" s="1858"/>
      <c r="F14" s="1858"/>
      <c r="G14" s="1858"/>
      <c r="H14" s="1858"/>
      <c r="I14" s="1858"/>
      <c r="J14" s="1858"/>
      <c r="K14" s="1858"/>
      <c r="L14" s="1858"/>
      <c r="M14" s="1858"/>
      <c r="N14" s="1858"/>
      <c r="O14" s="1858"/>
      <c r="P14" s="1859"/>
    </row>
    <row r="15" spans="2:16" s="6" customFormat="1">
      <c r="B15" s="137"/>
      <c r="C15" s="60"/>
      <c r="D15" s="1857"/>
      <c r="E15" s="1858"/>
      <c r="F15" s="1858"/>
      <c r="G15" s="1858"/>
      <c r="H15" s="1858"/>
      <c r="I15" s="1858"/>
      <c r="J15" s="1858"/>
      <c r="K15" s="1858"/>
      <c r="L15" s="1858"/>
      <c r="M15" s="1858"/>
      <c r="N15" s="1858"/>
      <c r="O15" s="1858"/>
      <c r="P15" s="1859"/>
    </row>
    <row r="16" spans="2:16" s="6" customFormat="1">
      <c r="B16" s="151" t="s">
        <v>166</v>
      </c>
      <c r="C16" s="61" t="s">
        <v>167</v>
      </c>
      <c r="D16" s="1857"/>
      <c r="E16" s="1858"/>
      <c r="F16" s="1858"/>
      <c r="G16" s="1858"/>
      <c r="H16" s="1858"/>
      <c r="I16" s="1858"/>
      <c r="J16" s="1858"/>
      <c r="K16" s="1858"/>
      <c r="L16" s="1858"/>
      <c r="M16" s="1858"/>
      <c r="N16" s="1858"/>
      <c r="O16" s="1858"/>
      <c r="P16" s="1859"/>
    </row>
    <row r="17" spans="2:16" s="6" customFormat="1">
      <c r="B17" s="137"/>
      <c r="C17" s="59" t="s">
        <v>163</v>
      </c>
      <c r="D17" s="1857"/>
      <c r="E17" s="1858"/>
      <c r="F17" s="1858"/>
      <c r="G17" s="1858"/>
      <c r="H17" s="1858"/>
      <c r="I17" s="1858"/>
      <c r="J17" s="1858"/>
      <c r="K17" s="1858"/>
      <c r="L17" s="1858"/>
      <c r="M17" s="1858"/>
      <c r="N17" s="1858"/>
      <c r="O17" s="1858"/>
      <c r="P17" s="1859"/>
    </row>
    <row r="18" spans="2:16">
      <c r="B18" s="137"/>
      <c r="C18" s="59" t="s">
        <v>164</v>
      </c>
      <c r="D18" s="1857"/>
      <c r="E18" s="1858"/>
      <c r="F18" s="1858"/>
      <c r="G18" s="1858"/>
      <c r="H18" s="1858"/>
      <c r="I18" s="1858"/>
      <c r="J18" s="1858"/>
      <c r="K18" s="1858"/>
      <c r="L18" s="1858"/>
      <c r="M18" s="1858"/>
      <c r="N18" s="1858"/>
      <c r="O18" s="1858"/>
      <c r="P18" s="1859"/>
    </row>
    <row r="19" spans="2:16">
      <c r="B19" s="10"/>
      <c r="C19" s="59" t="s">
        <v>168</v>
      </c>
      <c r="D19" s="1857"/>
      <c r="E19" s="1858"/>
      <c r="F19" s="1858"/>
      <c r="G19" s="1858"/>
      <c r="H19" s="1858"/>
      <c r="I19" s="1858"/>
      <c r="J19" s="1858"/>
      <c r="K19" s="1858"/>
      <c r="L19" s="1858"/>
      <c r="M19" s="1858"/>
      <c r="N19" s="1858"/>
      <c r="O19" s="1858"/>
      <c r="P19" s="1859"/>
    </row>
    <row r="20" spans="2:16">
      <c r="B20" s="10"/>
      <c r="C20" s="61"/>
      <c r="D20" s="1857"/>
      <c r="E20" s="1858"/>
      <c r="F20" s="1858"/>
      <c r="G20" s="1858"/>
      <c r="H20" s="1858"/>
      <c r="I20" s="1858"/>
      <c r="J20" s="1858"/>
      <c r="K20" s="1858"/>
      <c r="L20" s="1858"/>
      <c r="M20" s="1858"/>
      <c r="N20" s="1858"/>
      <c r="O20" s="1858"/>
      <c r="P20" s="1859"/>
    </row>
    <row r="21" spans="2:16" s="1" customFormat="1" ht="17.25" customHeight="1">
      <c r="B21" s="141">
        <v>2</v>
      </c>
      <c r="C21" s="62" t="s">
        <v>335</v>
      </c>
      <c r="D21" s="1857"/>
      <c r="E21" s="1858"/>
      <c r="F21" s="1858"/>
      <c r="G21" s="1858"/>
      <c r="H21" s="1858"/>
      <c r="I21" s="1858"/>
      <c r="J21" s="1858"/>
      <c r="K21" s="1858"/>
      <c r="L21" s="1858"/>
      <c r="M21" s="1858"/>
      <c r="N21" s="1858"/>
      <c r="O21" s="1858"/>
      <c r="P21" s="1859"/>
    </row>
    <row r="22" spans="2:16" s="1" customFormat="1" ht="17.25" customHeight="1">
      <c r="B22" s="141"/>
      <c r="C22" s="62" t="s">
        <v>169</v>
      </c>
      <c r="D22" s="1857"/>
      <c r="E22" s="1858"/>
      <c r="F22" s="1858"/>
      <c r="G22" s="1858"/>
      <c r="H22" s="1858"/>
      <c r="I22" s="1858"/>
      <c r="J22" s="1858"/>
      <c r="K22" s="1858"/>
      <c r="L22" s="1858"/>
      <c r="M22" s="1858"/>
      <c r="N22" s="1858"/>
      <c r="O22" s="1858"/>
      <c r="P22" s="1859"/>
    </row>
    <row r="23" spans="2:16" s="1" customFormat="1" ht="17.25" customHeight="1">
      <c r="B23" s="141"/>
      <c r="C23" s="62" t="s">
        <v>169</v>
      </c>
      <c r="D23" s="1857"/>
      <c r="E23" s="1858"/>
      <c r="F23" s="1858"/>
      <c r="G23" s="1858"/>
      <c r="H23" s="1858"/>
      <c r="I23" s="1858"/>
      <c r="J23" s="1858"/>
      <c r="K23" s="1858"/>
      <c r="L23" s="1858"/>
      <c r="M23" s="1858"/>
      <c r="N23" s="1858"/>
      <c r="O23" s="1858"/>
      <c r="P23" s="1859"/>
    </row>
    <row r="24" spans="2:16" s="1" customFormat="1">
      <c r="B24" s="137"/>
      <c r="C24" s="61" t="s">
        <v>170</v>
      </c>
      <c r="D24" s="1860"/>
      <c r="E24" s="1861"/>
      <c r="F24" s="1861"/>
      <c r="G24" s="1861"/>
      <c r="H24" s="1861"/>
      <c r="I24" s="1861"/>
      <c r="J24" s="1861"/>
      <c r="K24" s="1861"/>
      <c r="L24" s="1861"/>
      <c r="M24" s="1861"/>
      <c r="N24" s="1861"/>
      <c r="O24" s="1861"/>
      <c r="P24" s="1862"/>
    </row>
    <row r="25" spans="2:16" s="1" customFormat="1">
      <c r="B25" s="5"/>
      <c r="C25" s="36"/>
      <c r="D25" s="36"/>
      <c r="E25" s="36"/>
      <c r="F25" s="36"/>
      <c r="G25" s="36"/>
    </row>
    <row r="26" spans="2:16" s="1" customFormat="1">
      <c r="B26" s="54"/>
      <c r="C26" s="7"/>
      <c r="D26" s="7"/>
      <c r="E26" s="7"/>
      <c r="F26" s="7"/>
      <c r="G26" s="7"/>
      <c r="H26" s="7"/>
      <c r="I26" s="7"/>
      <c r="J26" s="7"/>
      <c r="K26" s="7"/>
    </row>
    <row r="27" spans="2:16" s="1" customFormat="1">
      <c r="B27" s="42"/>
      <c r="C27" s="42"/>
      <c r="D27" s="42"/>
      <c r="E27" s="42"/>
      <c r="F27" s="42"/>
      <c r="G27" s="42"/>
      <c r="H27" s="48"/>
      <c r="I27" s="11"/>
      <c r="J27" s="11"/>
      <c r="K27" s="7"/>
    </row>
    <row r="28" spans="2:16" s="1" customFormat="1">
      <c r="B28" s="7"/>
      <c r="C28" s="42"/>
      <c r="D28" s="42"/>
      <c r="E28" s="42"/>
      <c r="F28" s="42"/>
      <c r="G28" s="42"/>
      <c r="H28" s="42"/>
      <c r="I28" s="42"/>
      <c r="J28" s="42"/>
      <c r="K28" s="7"/>
    </row>
    <row r="29" spans="2:16">
      <c r="B29" s="7"/>
      <c r="C29" s="7"/>
      <c r="D29" s="7"/>
      <c r="E29" s="7"/>
      <c r="F29" s="7"/>
      <c r="G29" s="7"/>
      <c r="H29" s="7"/>
      <c r="I29" s="7"/>
      <c r="J29" s="7"/>
      <c r="K29" s="7"/>
    </row>
    <row r="30" spans="2:16">
      <c r="B30" s="7"/>
      <c r="C30" s="7"/>
      <c r="D30" s="7"/>
      <c r="E30" s="7"/>
      <c r="F30" s="7"/>
      <c r="G30" s="7"/>
      <c r="H30" s="7"/>
      <c r="I30" s="7"/>
      <c r="J30" s="7"/>
      <c r="K30" s="7"/>
    </row>
    <row r="31" spans="2:16">
      <c r="B31" s="7"/>
      <c r="C31" s="7"/>
      <c r="D31" s="7"/>
      <c r="E31" s="7"/>
      <c r="F31" s="7"/>
      <c r="G31" s="7"/>
      <c r="H31" s="7"/>
      <c r="I31" s="7"/>
      <c r="J31" s="56"/>
      <c r="K31" s="7"/>
    </row>
    <row r="32" spans="2:16">
      <c r="B32" s="7"/>
      <c r="C32" s="7"/>
      <c r="D32" s="7"/>
      <c r="E32" s="7"/>
      <c r="F32" s="7"/>
      <c r="G32" s="7"/>
      <c r="H32" s="7"/>
      <c r="I32" s="7"/>
      <c r="J32" s="7"/>
      <c r="K32" s="7"/>
    </row>
  </sheetData>
  <mergeCells count="12">
    <mergeCell ref="D10:P24"/>
    <mergeCell ref="B2:P2"/>
    <mergeCell ref="B3:P3"/>
    <mergeCell ref="B4:P4"/>
    <mergeCell ref="B7:B9"/>
    <mergeCell ref="C7:C9"/>
    <mergeCell ref="H7:K7"/>
    <mergeCell ref="D7:E7"/>
    <mergeCell ref="F7:G7"/>
    <mergeCell ref="L7:M7"/>
    <mergeCell ref="N7:O7"/>
    <mergeCell ref="P7:P9"/>
  </mergeCells>
  <pageMargins left="0.75" right="0.75" top="1" bottom="1" header="0.5" footer="0.5"/>
  <pageSetup paperSize="9" scale="5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AA24"/>
  <sheetViews>
    <sheetView showGridLines="0" view="pageBreakPreview" zoomScale="70" zoomScaleSheetLayoutView="70" workbookViewId="0">
      <pane xSplit="4" ySplit="9" topLeftCell="E10" activePane="bottomRight" state="frozen"/>
      <selection pane="topRight" activeCell="E1" sqref="E1"/>
      <selection pane="bottomLeft" activeCell="A10" sqref="A10"/>
      <selection pane="bottomRight" activeCell="G10" sqref="G10"/>
    </sheetView>
  </sheetViews>
  <sheetFormatPr defaultColWidth="9.36328125" defaultRowHeight="14"/>
  <cols>
    <col min="1" max="1" width="4.36328125" style="5" customWidth="1"/>
    <col min="2" max="2" width="6.36328125" style="5" customWidth="1"/>
    <col min="3" max="3" width="46.54296875" style="5" customWidth="1"/>
    <col min="4" max="4" width="17.54296875" style="5" customWidth="1"/>
    <col min="5" max="5" width="11.08984375" style="5" customWidth="1"/>
    <col min="6" max="6" width="14.453125" style="5" customWidth="1"/>
    <col min="7" max="8" width="17.54296875" style="5" customWidth="1"/>
    <col min="9" max="9" width="11.08984375" style="5" customWidth="1"/>
    <col min="10" max="10" width="14.453125" style="5" customWidth="1"/>
    <col min="11" max="11" width="17.54296875" style="5" customWidth="1"/>
    <col min="12" max="12" width="15.36328125" style="5" customWidth="1"/>
    <col min="13" max="13" width="11.08984375" style="5" customWidth="1"/>
    <col min="14" max="23" width="15.6328125" style="5" customWidth="1"/>
    <col min="24" max="24" width="20.54296875" style="5" customWidth="1"/>
    <col min="25" max="16384" width="9.36328125" style="5"/>
  </cols>
  <sheetData>
    <row r="1" spans="2:27">
      <c r="B1" s="53"/>
    </row>
    <row r="2" spans="2:27">
      <c r="B2" s="1832" t="str">
        <f>Index!B2</f>
        <v xml:space="preserve">      Maharashtra State Power Generation Company Ltd.</v>
      </c>
      <c r="C2" s="1832"/>
      <c r="D2" s="1832"/>
      <c r="E2" s="1832"/>
      <c r="F2" s="1832"/>
      <c r="G2" s="1832"/>
      <c r="H2" s="1832"/>
      <c r="I2" s="1832"/>
      <c r="J2" s="1832"/>
      <c r="K2" s="1832"/>
      <c r="L2" s="1832"/>
      <c r="M2" s="636"/>
      <c r="N2" s="1832" t="str">
        <f>Index!B2</f>
        <v xml:space="preserve">      Maharashtra State Power Generation Company Ltd.</v>
      </c>
      <c r="O2" s="1832"/>
      <c r="P2" s="1832"/>
      <c r="Q2" s="1832"/>
      <c r="R2" s="1832"/>
      <c r="S2" s="1832"/>
      <c r="T2" s="1832"/>
      <c r="U2" s="1832"/>
      <c r="V2" s="1832"/>
      <c r="W2" s="1832"/>
      <c r="X2" s="1832"/>
      <c r="Y2" s="575"/>
      <c r="Z2" s="575"/>
      <c r="AA2" s="575"/>
    </row>
    <row r="3" spans="2:27">
      <c r="B3" s="1832" t="str">
        <f>Index!B3</f>
        <v>MYT Petition Formats for Parli 8</v>
      </c>
      <c r="C3" s="1832"/>
      <c r="D3" s="1832"/>
      <c r="E3" s="1832"/>
      <c r="F3" s="1832"/>
      <c r="G3" s="1832"/>
      <c r="H3" s="1832"/>
      <c r="I3" s="1832"/>
      <c r="J3" s="1832"/>
      <c r="K3" s="1832"/>
      <c r="L3" s="1832"/>
      <c r="M3" s="636"/>
      <c r="N3" s="1832" t="str">
        <f>Index!B3</f>
        <v>MYT Petition Formats for Parli 8</v>
      </c>
      <c r="O3" s="1832"/>
      <c r="P3" s="1832"/>
      <c r="Q3" s="1832"/>
      <c r="R3" s="1832"/>
      <c r="S3" s="1832"/>
      <c r="T3" s="1832"/>
      <c r="U3" s="1832"/>
      <c r="V3" s="1832"/>
      <c r="W3" s="1832"/>
      <c r="X3" s="1832"/>
      <c r="Y3" s="575"/>
      <c r="Z3" s="575"/>
      <c r="AA3" s="575"/>
    </row>
    <row r="4" spans="2:27">
      <c r="B4" s="1832" t="s">
        <v>649</v>
      </c>
      <c r="C4" s="1832"/>
      <c r="D4" s="1832"/>
      <c r="E4" s="1832"/>
      <c r="F4" s="1832"/>
      <c r="G4" s="1832"/>
      <c r="H4" s="1832"/>
      <c r="I4" s="1832"/>
      <c r="J4" s="1832"/>
      <c r="K4" s="1832"/>
      <c r="L4" s="1832"/>
      <c r="M4" s="636"/>
      <c r="N4" s="1832" t="s">
        <v>927</v>
      </c>
      <c r="O4" s="1832"/>
      <c r="P4" s="1832"/>
      <c r="Q4" s="1832"/>
      <c r="R4" s="1832"/>
      <c r="S4" s="1832"/>
      <c r="T4" s="1832"/>
      <c r="U4" s="1832"/>
      <c r="V4" s="1832"/>
      <c r="W4" s="1832"/>
      <c r="X4" s="1832"/>
      <c r="Y4" s="575"/>
      <c r="Z4" s="575"/>
      <c r="AA4" s="575"/>
    </row>
    <row r="5" spans="2:27">
      <c r="C5" s="63"/>
      <c r="D5" s="63"/>
      <c r="E5" s="63"/>
      <c r="F5" s="63"/>
      <c r="G5" s="63"/>
      <c r="H5" s="63"/>
      <c r="I5" s="63"/>
      <c r="J5" s="63"/>
      <c r="K5" s="63"/>
      <c r="L5" s="63"/>
      <c r="M5" s="63"/>
      <c r="N5" s="63"/>
      <c r="O5" s="63"/>
      <c r="P5" s="63"/>
      <c r="Q5" s="63"/>
      <c r="R5" s="63"/>
      <c r="S5" s="63"/>
      <c r="T5" s="63"/>
      <c r="U5" s="63"/>
      <c r="V5" s="63"/>
      <c r="W5" s="63"/>
    </row>
    <row r="6" spans="2:27">
      <c r="X6" s="21" t="s">
        <v>10</v>
      </c>
    </row>
    <row r="7" spans="2:27" s="35" customFormat="1" ht="15" customHeight="1">
      <c r="B7" s="1873" t="s">
        <v>340</v>
      </c>
      <c r="C7" s="1874" t="s">
        <v>36</v>
      </c>
      <c r="D7" s="1785" t="s">
        <v>5</v>
      </c>
      <c r="E7" s="1785" t="s">
        <v>508</v>
      </c>
      <c r="F7" s="1785"/>
      <c r="G7" s="1785"/>
      <c r="H7" s="1785"/>
      <c r="I7" s="1785" t="s">
        <v>509</v>
      </c>
      <c r="J7" s="1785"/>
      <c r="K7" s="1785"/>
      <c r="L7" s="1785"/>
      <c r="M7" s="1785" t="s">
        <v>510</v>
      </c>
      <c r="N7" s="1785"/>
      <c r="O7" s="1785"/>
      <c r="P7" s="1785"/>
      <c r="Q7" s="1785"/>
      <c r="R7" s="1785"/>
      <c r="S7" s="1775" t="s">
        <v>957</v>
      </c>
      <c r="T7" s="1775"/>
      <c r="U7" s="1775"/>
      <c r="V7" s="1775"/>
      <c r="W7" s="1775"/>
      <c r="X7" s="1785" t="s">
        <v>26</v>
      </c>
    </row>
    <row r="8" spans="2:27" s="36" customFormat="1" ht="35.4" customHeight="1">
      <c r="B8" s="1873"/>
      <c r="C8" s="1874"/>
      <c r="D8" s="1785"/>
      <c r="E8" s="1300" t="s">
        <v>1545</v>
      </c>
      <c r="F8" s="1300" t="s">
        <v>914</v>
      </c>
      <c r="G8" s="1300" t="s">
        <v>78</v>
      </c>
      <c r="H8" s="1300" t="s">
        <v>451</v>
      </c>
      <c r="I8" s="1300" t="s">
        <v>1545</v>
      </c>
      <c r="J8" s="1300" t="s">
        <v>914</v>
      </c>
      <c r="K8" s="1300" t="s">
        <v>78</v>
      </c>
      <c r="L8" s="1300" t="s">
        <v>451</v>
      </c>
      <c r="M8" s="1300" t="s">
        <v>1545</v>
      </c>
      <c r="N8" s="1300" t="s">
        <v>914</v>
      </c>
      <c r="O8" s="1300" t="s">
        <v>444</v>
      </c>
      <c r="P8" s="1300" t="s">
        <v>448</v>
      </c>
      <c r="Q8" s="1300" t="s">
        <v>79</v>
      </c>
      <c r="R8" s="1300" t="s">
        <v>452</v>
      </c>
      <c r="S8" s="709" t="s">
        <v>958</v>
      </c>
      <c r="T8" s="709" t="s">
        <v>959</v>
      </c>
      <c r="U8" s="709" t="s">
        <v>960</v>
      </c>
      <c r="V8" s="709" t="s">
        <v>961</v>
      </c>
      <c r="W8" s="709" t="s">
        <v>962</v>
      </c>
      <c r="X8" s="1785"/>
    </row>
    <row r="9" spans="2:27" s="36" customFormat="1" ht="15.75" customHeight="1">
      <c r="B9" s="1873"/>
      <c r="C9" s="1874"/>
      <c r="D9" s="1785"/>
      <c r="E9" s="1300" t="s">
        <v>80</v>
      </c>
      <c r="F9" s="1300" t="s">
        <v>81</v>
      </c>
      <c r="G9" s="1300" t="s">
        <v>1546</v>
      </c>
      <c r="H9" s="1300" t="s">
        <v>1547</v>
      </c>
      <c r="I9" s="1300" t="s">
        <v>1508</v>
      </c>
      <c r="J9" s="1300" t="s">
        <v>511</v>
      </c>
      <c r="K9" s="1300" t="s">
        <v>410</v>
      </c>
      <c r="L9" s="1300" t="s">
        <v>1548</v>
      </c>
      <c r="M9" s="1300" t="s">
        <v>591</v>
      </c>
      <c r="N9" s="1300" t="s">
        <v>655</v>
      </c>
      <c r="O9" s="1300" t="s">
        <v>592</v>
      </c>
      <c r="P9" s="1300" t="s">
        <v>593</v>
      </c>
      <c r="Q9" s="1300" t="s">
        <v>678</v>
      </c>
      <c r="R9" s="1300" t="s">
        <v>679</v>
      </c>
      <c r="S9" s="698" t="s">
        <v>21</v>
      </c>
      <c r="T9" s="698" t="s">
        <v>21</v>
      </c>
      <c r="U9" s="698" t="s">
        <v>21</v>
      </c>
      <c r="V9" s="698" t="s">
        <v>21</v>
      </c>
      <c r="W9" s="698" t="s">
        <v>21</v>
      </c>
      <c r="X9" s="1786"/>
    </row>
    <row r="10" spans="2:27" s="92" customFormat="1" ht="18.649999999999999" customHeight="1">
      <c r="B10" s="180">
        <v>1</v>
      </c>
      <c r="C10" s="503" t="s">
        <v>172</v>
      </c>
      <c r="D10" s="181" t="s">
        <v>65</v>
      </c>
      <c r="E10" s="181"/>
      <c r="F10" s="591">
        <f>SUM(F11:F13)</f>
        <v>80.150695830193015</v>
      </c>
      <c r="G10" s="591">
        <f>SUM(G11:G13)</f>
        <v>101.01910843181773</v>
      </c>
      <c r="H10" s="591">
        <f>G10-F10</f>
        <v>20.868412601624712</v>
      </c>
      <c r="I10" s="591"/>
      <c r="J10" s="591">
        <f>SUM(J11:J13)</f>
        <v>83.082716384599735</v>
      </c>
      <c r="K10" s="1183">
        <f>SUM(K11:K13)</f>
        <v>131.54888968461313</v>
      </c>
      <c r="L10" s="591">
        <f>K10-J10</f>
        <v>48.466173300013395</v>
      </c>
      <c r="M10" s="1182"/>
      <c r="N10" s="591">
        <f>SUM(N11:N13)</f>
        <v>86.12484520267445</v>
      </c>
      <c r="O10" s="591">
        <f>'F3.1'!M10/2</f>
        <v>53.9</v>
      </c>
      <c r="P10" s="591">
        <f>'F3.1'!M10/2</f>
        <v>53.9</v>
      </c>
      <c r="Q10" s="504">
        <f>O10+P10</f>
        <v>107.8</v>
      </c>
      <c r="R10" s="1182">
        <f>Q10-N10</f>
        <v>21.675154797325547</v>
      </c>
      <c r="S10" s="1182">
        <f>S11</f>
        <v>103.325</v>
      </c>
      <c r="T10" s="1182">
        <f t="shared" ref="T10:W10" si="0">T11</f>
        <v>107.8</v>
      </c>
      <c r="U10" s="1182">
        <f t="shared" si="0"/>
        <v>112.47499999999999</v>
      </c>
      <c r="V10" s="1182">
        <f t="shared" si="0"/>
        <v>117.35</v>
      </c>
      <c r="W10" s="1182">
        <f t="shared" si="0"/>
        <v>122.425</v>
      </c>
      <c r="X10" s="695"/>
    </row>
    <row r="11" spans="2:27" s="92" customFormat="1" ht="18.649999999999999" customHeight="1">
      <c r="B11" s="180">
        <f>B10+1</f>
        <v>2</v>
      </c>
      <c r="C11" s="91" t="s">
        <v>173</v>
      </c>
      <c r="D11" s="181" t="s">
        <v>66</v>
      </c>
      <c r="E11" s="1870">
        <v>80.102651488781646</v>
      </c>
      <c r="F11" s="1866">
        <v>80.150695830193015</v>
      </c>
      <c r="G11" s="871">
        <f>'F3.2'!D36</f>
        <v>55.527549398204279</v>
      </c>
      <c r="H11" s="1866">
        <f>SUM(G11:G13)-F11</f>
        <v>20.868412601624712</v>
      </c>
      <c r="I11" s="1870">
        <v>83.010457147537721</v>
      </c>
      <c r="J11" s="1866">
        <v>83.082716384599735</v>
      </c>
      <c r="K11" s="871">
        <f>'F3.2'!E36</f>
        <v>70.675670587527236</v>
      </c>
      <c r="L11" s="1866">
        <f>SUM(K11:K13)-J11</f>
        <v>48.466173300013395</v>
      </c>
      <c r="M11" s="1870">
        <v>86.026445080531275</v>
      </c>
      <c r="N11" s="1866">
        <v>86.12484520267445</v>
      </c>
      <c r="O11" s="871">
        <f>'F3.2'!F36</f>
        <v>26.98299487644681</v>
      </c>
      <c r="P11" s="871">
        <f>'F3.2'!G36</f>
        <v>33.880424003713252</v>
      </c>
      <c r="Q11" s="871">
        <f>SUM(O11:P11)</f>
        <v>60.863418880160062</v>
      </c>
      <c r="R11" s="1866">
        <f>SUM(Q11:Q13)-N11</f>
        <v>41.10307387624546</v>
      </c>
      <c r="S11" s="1867">
        <f>'F3.1'!$K$10</f>
        <v>103.325</v>
      </c>
      <c r="T11" s="1867">
        <f>'F3.1'!$M$10</f>
        <v>107.8</v>
      </c>
      <c r="U11" s="1867">
        <f>'F3.1'!$O$10</f>
        <v>112.47499999999999</v>
      </c>
      <c r="V11" s="1867">
        <f>'F3.1'!$Q$10</f>
        <v>117.35</v>
      </c>
      <c r="W11" s="1867">
        <f>'F3.1'!$S$10</f>
        <v>122.425</v>
      </c>
      <c r="X11" s="1865"/>
    </row>
    <row r="12" spans="2:27" s="92" customFormat="1" ht="18.649999999999999" customHeight="1">
      <c r="B12" s="180">
        <v>3</v>
      </c>
      <c r="C12" s="91" t="s">
        <v>175</v>
      </c>
      <c r="D12" s="181" t="s">
        <v>67</v>
      </c>
      <c r="E12" s="1871"/>
      <c r="F12" s="1866"/>
      <c r="G12" s="871">
        <f>'F3.3'!D44</f>
        <v>15.092037364190018</v>
      </c>
      <c r="H12" s="1866"/>
      <c r="I12" s="1871"/>
      <c r="J12" s="1866"/>
      <c r="K12" s="871">
        <f>'F3.3'!E44</f>
        <v>7.8853856364756343</v>
      </c>
      <c r="L12" s="1866"/>
      <c r="M12" s="1871"/>
      <c r="N12" s="1866"/>
      <c r="O12" s="871">
        <f>'F3.3'!F44</f>
        <v>3.6489831035919034</v>
      </c>
      <c r="P12" s="871">
        <f>'F3.3'!G44</f>
        <v>8.1104861175514245</v>
      </c>
      <c r="Q12" s="871">
        <f>SUM(O12:P12)</f>
        <v>11.759469221143327</v>
      </c>
      <c r="R12" s="1866"/>
      <c r="S12" s="1868"/>
      <c r="T12" s="1868"/>
      <c r="U12" s="1868"/>
      <c r="V12" s="1868"/>
      <c r="W12" s="1868"/>
      <c r="X12" s="1865"/>
    </row>
    <row r="13" spans="2:27" s="92" customFormat="1" ht="18.649999999999999" customHeight="1">
      <c r="B13" s="180">
        <v>4</v>
      </c>
      <c r="C13" s="91" t="s">
        <v>174</v>
      </c>
      <c r="D13" s="181" t="s">
        <v>68</v>
      </c>
      <c r="E13" s="1872"/>
      <c r="F13" s="1866"/>
      <c r="G13" s="871">
        <f>'F3.4'!D21</f>
        <v>30.399521669423439</v>
      </c>
      <c r="H13" s="1866"/>
      <c r="I13" s="1872"/>
      <c r="J13" s="1866"/>
      <c r="K13" s="871">
        <f>'F3.4'!E21</f>
        <v>52.987833460610261</v>
      </c>
      <c r="L13" s="1866"/>
      <c r="M13" s="1872"/>
      <c r="N13" s="1866"/>
      <c r="O13" s="871">
        <f>'F3.4'!F21</f>
        <v>16.502456369373792</v>
      </c>
      <c r="P13" s="871">
        <f>'F3.4'!G21</f>
        <v>38.102574608242726</v>
      </c>
      <c r="Q13" s="871">
        <f>SUM(O13:P13)</f>
        <v>54.605030977616522</v>
      </c>
      <c r="R13" s="1866"/>
      <c r="S13" s="1869"/>
      <c r="T13" s="1869"/>
      <c r="U13" s="1869"/>
      <c r="V13" s="1869"/>
      <c r="W13" s="1869"/>
      <c r="X13" s="1865"/>
    </row>
    <row r="14" spans="2:27" s="92" customFormat="1" ht="18.649999999999999" customHeight="1">
      <c r="B14" s="180">
        <v>5</v>
      </c>
      <c r="C14" s="574" t="s">
        <v>775</v>
      </c>
      <c r="D14" s="181"/>
      <c r="E14" s="1184"/>
      <c r="F14" s="591"/>
      <c r="G14" s="871"/>
      <c r="H14" s="591"/>
      <c r="I14" s="1184"/>
      <c r="J14" s="591">
        <f>K14</f>
        <v>8.2854502544690281</v>
      </c>
      <c r="K14" s="871">
        <v>8.2854502544690281</v>
      </c>
      <c r="L14" s="591"/>
      <c r="M14" s="1184"/>
      <c r="N14" s="591">
        <f>Q14</f>
        <v>8.6464161869679348</v>
      </c>
      <c r="O14" s="871">
        <v>4.3232080934839674</v>
      </c>
      <c r="P14" s="871">
        <f>O14</f>
        <v>4.3232080934839674</v>
      </c>
      <c r="Q14" s="871">
        <f>SUM(O14:P14)</f>
        <v>8.6464161869679348</v>
      </c>
      <c r="R14" s="591"/>
      <c r="S14" s="591">
        <f>'F3.1'!$K$13</f>
        <v>9.0231080487070212</v>
      </c>
      <c r="T14" s="591">
        <f>'F3.1'!$M$13</f>
        <v>9.4162109593283407</v>
      </c>
      <c r="U14" s="591">
        <f>'F3.1'!$O$13</f>
        <v>9.8264398865622056</v>
      </c>
      <c r="V14" s="591">
        <f>'F3.1'!$Q$13</f>
        <v>10.254540946596231</v>
      </c>
      <c r="W14" s="591">
        <f>'F3.1'!$S$13</f>
        <v>10.701292761096569</v>
      </c>
      <c r="X14" s="1865"/>
    </row>
    <row r="15" spans="2:27" s="92" customFormat="1" ht="18.649999999999999" customHeight="1">
      <c r="B15" s="180">
        <f>B14+1</f>
        <v>6</v>
      </c>
      <c r="C15" s="91" t="s">
        <v>176</v>
      </c>
      <c r="D15" s="181"/>
      <c r="E15" s="1185"/>
      <c r="F15" s="1185"/>
      <c r="G15" s="1185">
        <f>'F3.3'!D45+'F3.2'!D37</f>
        <v>0</v>
      </c>
      <c r="H15" s="1185">
        <f>G15-F15</f>
        <v>0</v>
      </c>
      <c r="I15" s="1185"/>
      <c r="J15" s="1185"/>
      <c r="K15" s="1185">
        <f>'F3.3'!E45+'F3.2'!E37</f>
        <v>0</v>
      </c>
      <c r="L15" s="1185">
        <f>K15-J15</f>
        <v>0</v>
      </c>
      <c r="M15" s="1185"/>
      <c r="N15" s="871"/>
      <c r="O15" s="1185">
        <f>'F3.3'!F45+'F3.2'!F37</f>
        <v>0</v>
      </c>
      <c r="P15" s="1185">
        <f>'F3.3'!G45+'F3.2'!G37</f>
        <v>0</v>
      </c>
      <c r="Q15" s="871">
        <f>O15+P15</f>
        <v>0</v>
      </c>
      <c r="R15" s="871">
        <f>Q15-N15</f>
        <v>0</v>
      </c>
      <c r="S15" s="871"/>
      <c r="T15" s="871"/>
      <c r="U15" s="871"/>
      <c r="V15" s="871"/>
      <c r="W15" s="871"/>
      <c r="X15" s="91"/>
    </row>
    <row r="16" spans="2:27" s="92" customFormat="1" ht="18.649999999999999" customHeight="1">
      <c r="B16" s="180">
        <v>7</v>
      </c>
      <c r="C16" s="91" t="s">
        <v>581</v>
      </c>
      <c r="D16" s="181"/>
      <c r="E16" s="1185"/>
      <c r="F16" s="1185"/>
      <c r="G16" s="1185"/>
      <c r="H16" s="1185">
        <f>G16-F16</f>
        <v>0</v>
      </c>
      <c r="I16" s="1185"/>
      <c r="J16" s="1185"/>
      <c r="K16" s="1185"/>
      <c r="L16" s="1185">
        <f>K16-J16</f>
        <v>0</v>
      </c>
      <c r="M16" s="1185"/>
      <c r="N16" s="871"/>
      <c r="O16" s="871"/>
      <c r="P16" s="871"/>
      <c r="Q16" s="871">
        <f>O16+P16</f>
        <v>0</v>
      </c>
      <c r="R16" s="871">
        <f>Q16-N16</f>
        <v>0</v>
      </c>
      <c r="S16" s="871"/>
      <c r="T16" s="871"/>
      <c r="U16" s="871"/>
      <c r="V16" s="871"/>
      <c r="W16" s="871"/>
      <c r="X16" s="91"/>
    </row>
    <row r="17" spans="1:24" s="575" customFormat="1" ht="33.65" customHeight="1">
      <c r="B17" s="180">
        <v>8</v>
      </c>
      <c r="C17" s="182" t="s">
        <v>390</v>
      </c>
      <c r="D17" s="183"/>
      <c r="E17" s="1186">
        <f>SUM(E11:E14)-E15+E16</f>
        <v>80.102651488781646</v>
      </c>
      <c r="F17" s="1186">
        <f>SUM(F11:F14)-F15+F16</f>
        <v>80.150695830193015</v>
      </c>
      <c r="G17" s="1186">
        <f>SUM(G11:G14)-G15+G16</f>
        <v>101.01910843181773</v>
      </c>
      <c r="H17" s="1186">
        <f t="shared" ref="H17:W17" si="1">SUM(H11:H14)-H15+H16</f>
        <v>20.868412601624712</v>
      </c>
      <c r="I17" s="1186">
        <f t="shared" si="1"/>
        <v>83.010457147537721</v>
      </c>
      <c r="J17" s="1186">
        <f t="shared" si="1"/>
        <v>91.368166639068761</v>
      </c>
      <c r="K17" s="1186">
        <f t="shared" si="1"/>
        <v>139.83433993908216</v>
      </c>
      <c r="L17" s="1186">
        <f t="shared" si="1"/>
        <v>48.466173300013395</v>
      </c>
      <c r="M17" s="1186">
        <f t="shared" si="1"/>
        <v>86.026445080531275</v>
      </c>
      <c r="N17" s="1186">
        <f t="shared" si="1"/>
        <v>94.77126138964239</v>
      </c>
      <c r="O17" s="1186">
        <f t="shared" si="1"/>
        <v>51.457642442896471</v>
      </c>
      <c r="P17" s="1186">
        <f t="shared" si="1"/>
        <v>84.416692822991365</v>
      </c>
      <c r="Q17" s="1186">
        <f t="shared" si="1"/>
        <v>135.87433526588785</v>
      </c>
      <c r="R17" s="1186">
        <f t="shared" si="1"/>
        <v>41.10307387624546</v>
      </c>
      <c r="S17" s="1186">
        <f>SUM(S11:S14)-S15+S16</f>
        <v>112.34810804870702</v>
      </c>
      <c r="T17" s="1186">
        <f t="shared" si="1"/>
        <v>117.21621095932834</v>
      </c>
      <c r="U17" s="1186">
        <f t="shared" si="1"/>
        <v>122.30143988656221</v>
      </c>
      <c r="V17" s="1186">
        <f t="shared" si="1"/>
        <v>127.60454094659623</v>
      </c>
      <c r="W17" s="1186">
        <f t="shared" si="1"/>
        <v>133.12629276109658</v>
      </c>
      <c r="X17" s="184"/>
    </row>
    <row r="18" spans="1:24" s="1" customFormat="1" ht="15.75" customHeight="1">
      <c r="A18" s="5"/>
      <c r="B18" s="5"/>
      <c r="G18" s="1187"/>
      <c r="H18" s="626"/>
      <c r="I18" s="626"/>
      <c r="J18" s="2"/>
      <c r="K18" s="1187"/>
      <c r="L18" s="2"/>
      <c r="X18" s="5"/>
    </row>
    <row r="19" spans="1:24">
      <c r="B19" s="1188"/>
      <c r="C19" s="1188" t="s">
        <v>36</v>
      </c>
      <c r="D19" s="1188" t="s">
        <v>510</v>
      </c>
      <c r="E19" s="1189" t="str">
        <f>S8</f>
        <v>FY 2025-26</v>
      </c>
      <c r="F19" s="1189" t="str">
        <f>T8</f>
        <v>FY 2026-27</v>
      </c>
      <c r="G19" s="1189" t="str">
        <f>U8</f>
        <v>FY 2027-28</v>
      </c>
      <c r="H19" s="1189" t="str">
        <f>V8</f>
        <v>FY 2028-29</v>
      </c>
      <c r="I19" s="1189" t="str">
        <f>W8</f>
        <v>FY 2029-30</v>
      </c>
      <c r="K19" s="621"/>
    </row>
    <row r="20" spans="1:24" ht="28">
      <c r="B20" s="10"/>
      <c r="C20" s="1190" t="s">
        <v>1500</v>
      </c>
      <c r="D20" s="9"/>
      <c r="E20" s="9"/>
      <c r="F20" s="9"/>
      <c r="G20" s="9"/>
      <c r="H20" s="9"/>
      <c r="I20" s="9"/>
    </row>
    <row r="21" spans="1:24">
      <c r="B21" s="9"/>
      <c r="C21" s="9" t="s">
        <v>1501</v>
      </c>
      <c r="D21" s="937">
        <v>0</v>
      </c>
      <c r="E21" s="937">
        <v>102.78</v>
      </c>
      <c r="F21" s="937">
        <v>0</v>
      </c>
      <c r="G21" s="937">
        <v>0</v>
      </c>
      <c r="H21" s="937">
        <v>0</v>
      </c>
      <c r="I21" s="937">
        <v>0</v>
      </c>
    </row>
    <row r="22" spans="1:24">
      <c r="B22" s="9"/>
      <c r="C22" s="9" t="s">
        <v>1502</v>
      </c>
      <c r="D22" s="9"/>
      <c r="E22" s="9"/>
      <c r="F22" s="9"/>
      <c r="G22" s="9"/>
      <c r="H22" s="9"/>
      <c r="I22" s="9"/>
    </row>
    <row r="23" spans="1:24">
      <c r="B23" s="40"/>
      <c r="C23" s="40" t="s">
        <v>1503</v>
      </c>
      <c r="D23" s="1294">
        <f>D21</f>
        <v>0</v>
      </c>
      <c r="E23" s="1191">
        <f>D23+SUM(E21:E22)</f>
        <v>102.78</v>
      </c>
      <c r="F23" s="1191">
        <f>E23+SUM(F21:F22)</f>
        <v>102.78</v>
      </c>
      <c r="G23" s="1191">
        <f>F23+SUM(G21:G22)</f>
        <v>102.78</v>
      </c>
      <c r="H23" s="1191">
        <f>G23+SUM(H21:H22)</f>
        <v>102.78</v>
      </c>
      <c r="I23" s="1191">
        <f>H23+SUM(I21:I22)</f>
        <v>102.78</v>
      </c>
    </row>
    <row r="24" spans="1:24">
      <c r="A24" s="1179">
        <v>4.3299999999999998E-2</v>
      </c>
      <c r="B24" s="1192">
        <v>0.02</v>
      </c>
      <c r="C24" s="40" t="s">
        <v>1500</v>
      </c>
      <c r="D24" s="1191">
        <f>D23*$B$24*(59/365)</f>
        <v>0</v>
      </c>
      <c r="E24" s="1191">
        <f>E23*$B$24</f>
        <v>2.0556000000000001</v>
      </c>
      <c r="F24" s="1191">
        <f>F23*$B$24*(1+$A$24)</f>
        <v>2.1446074799999999</v>
      </c>
      <c r="G24" s="1191">
        <f>G23*$B$24*(1+$A$24)^2</f>
        <v>2.2374689838839998</v>
      </c>
      <c r="H24" s="1191">
        <f>H23*$B$24*(1+$A$24)^3</f>
        <v>2.3343513908861766</v>
      </c>
      <c r="I24" s="1191">
        <f>I23*$B$24*(1+$A$24)^4</f>
        <v>2.4354288061115481</v>
      </c>
    </row>
  </sheetData>
  <mergeCells count="29">
    <mergeCell ref="I11:I13"/>
    <mergeCell ref="J11:J13"/>
    <mergeCell ref="L11:L13"/>
    <mergeCell ref="M11:M13"/>
    <mergeCell ref="B2:L2"/>
    <mergeCell ref="B3:L3"/>
    <mergeCell ref="B4:L4"/>
    <mergeCell ref="I7:L7"/>
    <mergeCell ref="B7:B9"/>
    <mergeCell ref="E7:H7"/>
    <mergeCell ref="D7:D9"/>
    <mergeCell ref="C7:C9"/>
    <mergeCell ref="E11:E13"/>
    <mergeCell ref="F11:F13"/>
    <mergeCell ref="H11:H13"/>
    <mergeCell ref="N2:X2"/>
    <mergeCell ref="N3:X3"/>
    <mergeCell ref="N4:X4"/>
    <mergeCell ref="X7:X9"/>
    <mergeCell ref="X11:X14"/>
    <mergeCell ref="M7:R7"/>
    <mergeCell ref="S7:W7"/>
    <mergeCell ref="N11:N13"/>
    <mergeCell ref="R11:R13"/>
    <mergeCell ref="S11:S13"/>
    <mergeCell ref="T11:T13"/>
    <mergeCell ref="U11:U13"/>
    <mergeCell ref="V11:V13"/>
    <mergeCell ref="W11:W13"/>
  </mergeCells>
  <pageMargins left="1.02" right="0.25" top="1" bottom="1" header="0.25" footer="0.25"/>
  <pageSetup paperSize="9" scale="35" orientation="landscape" r:id="rId1"/>
  <headerFooter alignWithMargins="0">
    <oddHeader>&amp;F</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B1:AC67"/>
  <sheetViews>
    <sheetView showGridLines="0" view="pageBreakPreview" zoomScale="80" zoomScaleNormal="80" zoomScaleSheetLayoutView="80" workbookViewId="0">
      <pane xSplit="3" ySplit="9" topLeftCell="D59" activePane="bottomRight" state="frozen"/>
      <selection pane="topRight" activeCell="D1" sqref="D1"/>
      <selection pane="bottomLeft" activeCell="A10" sqref="A10"/>
      <selection pane="bottomRight" activeCell="B29" sqref="B29:C29"/>
    </sheetView>
  </sheetViews>
  <sheetFormatPr defaultColWidth="9.36328125" defaultRowHeight="14"/>
  <cols>
    <col min="1" max="1" width="9.36328125" style="1"/>
    <col min="2" max="2" width="7.36328125" style="1" customWidth="1"/>
    <col min="3" max="3" width="44.6328125" style="1" customWidth="1"/>
    <col min="4" max="4" width="13.08984375" style="1" customWidth="1"/>
    <col min="5" max="6" width="15" style="1" customWidth="1"/>
    <col min="7" max="7" width="16.6328125" style="1" bestFit="1" customWidth="1"/>
    <col min="8" max="8" width="12.36328125" style="1" customWidth="1"/>
    <col min="9" max="17" width="15" style="1" customWidth="1"/>
    <col min="18" max="18" width="17.36328125" style="1" customWidth="1"/>
    <col min="19" max="26" width="15" style="1" customWidth="1"/>
    <col min="27" max="27" width="11.81640625" style="1" customWidth="1"/>
    <col min="28" max="16384" width="9.36328125" style="1"/>
  </cols>
  <sheetData>
    <row r="1" spans="2:29">
      <c r="B1" s="1776" t="str">
        <f>Index!B2</f>
        <v xml:space="preserve">      Maharashtra State Power Generation Company Ltd.</v>
      </c>
      <c r="C1" s="1776"/>
      <c r="D1" s="1776"/>
      <c r="E1" s="1776"/>
      <c r="F1" s="1776"/>
      <c r="G1" s="1776"/>
      <c r="H1" s="1776"/>
      <c r="I1" s="1776"/>
      <c r="J1" s="1776"/>
      <c r="K1" s="1776"/>
      <c r="L1" s="1776"/>
      <c r="M1" s="1776"/>
      <c r="N1" s="1776"/>
      <c r="O1" s="1776"/>
      <c r="P1" s="1776"/>
      <c r="Q1" s="1776"/>
      <c r="R1" s="1776"/>
      <c r="S1" s="232"/>
      <c r="T1" s="232"/>
      <c r="U1" s="191"/>
      <c r="V1" s="216"/>
    </row>
    <row r="2" spans="2:29">
      <c r="B2" s="1776" t="str">
        <f>Index!B3</f>
        <v>MYT Petition Formats for Parli 8</v>
      </c>
      <c r="C2" s="1776"/>
      <c r="D2" s="1776"/>
      <c r="E2" s="1776"/>
      <c r="F2" s="1776"/>
      <c r="G2" s="1776"/>
      <c r="H2" s="1776"/>
      <c r="I2" s="1776"/>
      <c r="J2" s="1776"/>
      <c r="K2" s="1776"/>
      <c r="L2" s="1776"/>
      <c r="M2" s="1776"/>
      <c r="N2" s="1776"/>
      <c r="O2" s="1776"/>
      <c r="P2" s="1776"/>
      <c r="Q2" s="1776"/>
      <c r="R2" s="1776"/>
      <c r="S2" s="233"/>
      <c r="T2" s="233"/>
      <c r="U2" s="65"/>
      <c r="V2" s="217"/>
    </row>
    <row r="3" spans="2:29">
      <c r="B3" s="1777" t="s">
        <v>653</v>
      </c>
      <c r="C3" s="1777"/>
      <c r="D3" s="1777"/>
      <c r="E3" s="1777"/>
      <c r="F3" s="1777"/>
      <c r="G3" s="1777"/>
      <c r="H3" s="1777"/>
      <c r="I3" s="1777"/>
      <c r="J3" s="1777"/>
      <c r="K3" s="1777"/>
      <c r="L3" s="1777"/>
      <c r="M3" s="1777"/>
      <c r="N3" s="1777"/>
      <c r="O3" s="1777"/>
      <c r="P3" s="1777"/>
      <c r="Q3" s="1777"/>
      <c r="R3" s="1777"/>
      <c r="S3" s="233"/>
      <c r="T3" s="233"/>
      <c r="U3" s="65"/>
      <c r="V3" s="217"/>
    </row>
    <row r="4" spans="2:29">
      <c r="B4" s="93"/>
      <c r="C4" s="93"/>
      <c r="D4" s="634"/>
      <c r="E4" s="93"/>
      <c r="F4" s="93"/>
      <c r="G4" s="93"/>
      <c r="H4" s="634"/>
      <c r="I4" s="93"/>
      <c r="J4" s="93"/>
      <c r="K4" s="294"/>
      <c r="L4" s="634"/>
      <c r="M4" s="294"/>
      <c r="N4" s="294"/>
      <c r="O4" s="294"/>
      <c r="P4" s="634"/>
      <c r="Q4" s="93"/>
      <c r="R4" s="93"/>
      <c r="S4" s="233"/>
      <c r="T4" s="233"/>
      <c r="U4" s="93"/>
      <c r="V4" s="217"/>
    </row>
    <row r="5" spans="2:29" s="2" customFormat="1">
      <c r="B5" s="1894" t="s">
        <v>177</v>
      </c>
      <c r="C5" s="1894"/>
      <c r="D5" s="1894"/>
      <c r="E5" s="1894"/>
      <c r="F5" s="1894"/>
      <c r="G5" s="1894"/>
      <c r="H5" s="1894"/>
      <c r="I5" s="1894"/>
      <c r="J5" s="1894"/>
      <c r="K5" s="1894"/>
      <c r="L5" s="1894"/>
      <c r="M5" s="1894"/>
      <c r="N5" s="1894"/>
      <c r="O5" s="1894"/>
      <c r="P5" s="1894"/>
      <c r="Q5" s="1894"/>
      <c r="R5" s="1894"/>
      <c r="S5" s="1894"/>
      <c r="T5" s="1894"/>
      <c r="U5" s="1894"/>
      <c r="V5" s="787"/>
    </row>
    <row r="6" spans="2:29">
      <c r="V6" s="21"/>
      <c r="W6" s="21" t="s">
        <v>10</v>
      </c>
    </row>
    <row r="7" spans="2:29" s="96" customFormat="1" ht="18" customHeight="1">
      <c r="B7" s="1873" t="s">
        <v>340</v>
      </c>
      <c r="C7" s="1873" t="s">
        <v>36</v>
      </c>
      <c r="D7" s="1876" t="s">
        <v>1504</v>
      </c>
      <c r="E7" s="1877"/>
      <c r="F7" s="1877"/>
      <c r="G7" s="1877"/>
      <c r="H7" s="1878"/>
      <c r="I7" s="1873" t="s">
        <v>1505</v>
      </c>
      <c r="J7" s="1166" t="s">
        <v>1506</v>
      </c>
      <c r="K7" s="1874" t="s">
        <v>957</v>
      </c>
      <c r="L7" s="1874"/>
      <c r="M7" s="1874"/>
      <c r="N7" s="1874"/>
      <c r="O7" s="1874"/>
      <c r="P7" s="1874"/>
      <c r="Q7" s="1874"/>
      <c r="R7" s="1874"/>
      <c r="S7" s="1874"/>
      <c r="T7" s="1874"/>
      <c r="U7" s="1895" t="s">
        <v>26</v>
      </c>
      <c r="X7" s="575"/>
      <c r="Y7" s="575"/>
      <c r="Z7" s="1849"/>
      <c r="AA7" s="92"/>
      <c r="AB7" s="92"/>
    </row>
    <row r="8" spans="2:29" s="96" customFormat="1" ht="42" customHeight="1">
      <c r="B8" s="1873"/>
      <c r="C8" s="1873"/>
      <c r="D8" s="1166" t="s">
        <v>325</v>
      </c>
      <c r="E8" s="1166" t="s">
        <v>506</v>
      </c>
      <c r="F8" s="1166" t="s">
        <v>507</v>
      </c>
      <c r="G8" s="1166" t="s">
        <v>508</v>
      </c>
      <c r="H8" s="1166" t="s">
        <v>509</v>
      </c>
      <c r="I8" s="1873"/>
      <c r="J8" s="1166" t="s">
        <v>510</v>
      </c>
      <c r="K8" s="1888" t="s">
        <v>958</v>
      </c>
      <c r="L8" s="1889"/>
      <c r="M8" s="1888" t="s">
        <v>959</v>
      </c>
      <c r="N8" s="1889"/>
      <c r="O8" s="1888" t="s">
        <v>960</v>
      </c>
      <c r="P8" s="1889"/>
      <c r="Q8" s="1888" t="s">
        <v>961</v>
      </c>
      <c r="R8" s="1889"/>
      <c r="S8" s="1888" t="s">
        <v>962</v>
      </c>
      <c r="T8" s="1889"/>
      <c r="U8" s="1896"/>
      <c r="V8" s="363"/>
      <c r="W8" s="363"/>
      <c r="X8" s="1832"/>
      <c r="Y8" s="1832"/>
      <c r="Z8" s="1849"/>
      <c r="AA8" s="92"/>
      <c r="AB8" s="92"/>
    </row>
    <row r="9" spans="2:29" s="96" customFormat="1" ht="16" customHeight="1">
      <c r="B9" s="1873"/>
      <c r="C9" s="1873"/>
      <c r="D9" s="1161" t="s">
        <v>80</v>
      </c>
      <c r="E9" s="1161" t="s">
        <v>81</v>
      </c>
      <c r="F9" s="1161" t="s">
        <v>1507</v>
      </c>
      <c r="G9" s="1161" t="s">
        <v>391</v>
      </c>
      <c r="H9" s="1161" t="s">
        <v>1508</v>
      </c>
      <c r="I9" s="1161" t="s">
        <v>1509</v>
      </c>
      <c r="J9" s="1193" t="s">
        <v>410</v>
      </c>
      <c r="K9" s="1166" t="s">
        <v>977</v>
      </c>
      <c r="L9" s="1161" t="s">
        <v>21</v>
      </c>
      <c r="M9" s="1166" t="s">
        <v>977</v>
      </c>
      <c r="N9" s="1161" t="s">
        <v>21</v>
      </c>
      <c r="O9" s="1166" t="s">
        <v>977</v>
      </c>
      <c r="P9" s="1161" t="s">
        <v>21</v>
      </c>
      <c r="Q9" s="1166" t="s">
        <v>977</v>
      </c>
      <c r="R9" s="1161" t="s">
        <v>21</v>
      </c>
      <c r="S9" s="1166" t="s">
        <v>977</v>
      </c>
      <c r="T9" s="1161" t="s">
        <v>21</v>
      </c>
      <c r="U9" s="1897"/>
      <c r="V9" s="505" t="s">
        <v>413</v>
      </c>
      <c r="W9" s="506" t="s">
        <v>1008</v>
      </c>
      <c r="X9" s="1162"/>
      <c r="Y9" s="1163"/>
      <c r="Z9" s="1849"/>
      <c r="AA9" s="1194"/>
      <c r="AB9" s="1195"/>
      <c r="AC9" s="507"/>
    </row>
    <row r="10" spans="2:29" s="2" customFormat="1">
      <c r="B10" s="431">
        <v>1</v>
      </c>
      <c r="C10" s="91" t="s">
        <v>178</v>
      </c>
      <c r="D10" s="1898"/>
      <c r="E10" s="1885"/>
      <c r="F10" s="1885"/>
      <c r="G10" s="1885"/>
      <c r="H10" s="1890"/>
      <c r="I10" s="1885"/>
      <c r="J10" s="1893"/>
      <c r="K10" s="1884">
        <f>E51</f>
        <v>103.325</v>
      </c>
      <c r="L10" s="1884">
        <f>K10</f>
        <v>103.325</v>
      </c>
      <c r="M10" s="1884">
        <f>F51</f>
        <v>107.8</v>
      </c>
      <c r="N10" s="1884">
        <f>M10</f>
        <v>107.8</v>
      </c>
      <c r="O10" s="1884">
        <f>G51</f>
        <v>112.47499999999999</v>
      </c>
      <c r="P10" s="1884">
        <f>O10</f>
        <v>112.47499999999999</v>
      </c>
      <c r="Q10" s="1884">
        <f>H51</f>
        <v>117.35</v>
      </c>
      <c r="R10" s="1884">
        <f>Q10</f>
        <v>117.35</v>
      </c>
      <c r="S10" s="1884">
        <f>I51</f>
        <v>122.425</v>
      </c>
      <c r="T10" s="1884">
        <f>S10</f>
        <v>122.425</v>
      </c>
      <c r="U10" s="3"/>
      <c r="V10" s="788" t="s">
        <v>508</v>
      </c>
      <c r="W10" s="789">
        <v>4.8836443567319074E-2</v>
      </c>
      <c r="X10" s="432"/>
      <c r="Y10" s="724"/>
      <c r="Z10" s="432"/>
      <c r="AA10" s="344"/>
      <c r="AB10" s="1196"/>
      <c r="AC10" s="581"/>
    </row>
    <row r="11" spans="2:29" s="364" customFormat="1" ht="29" customHeight="1">
      <c r="B11" s="431">
        <f>B10+1</f>
        <v>2</v>
      </c>
      <c r="C11" s="569" t="s">
        <v>394</v>
      </c>
      <c r="D11" s="1899"/>
      <c r="E11" s="1886"/>
      <c r="F11" s="1886"/>
      <c r="G11" s="1886"/>
      <c r="H11" s="1891"/>
      <c r="I11" s="1886"/>
      <c r="J11" s="1893"/>
      <c r="K11" s="1884"/>
      <c r="L11" s="1884"/>
      <c r="M11" s="1884"/>
      <c r="N11" s="1884"/>
      <c r="O11" s="1884"/>
      <c r="P11" s="1884"/>
      <c r="Q11" s="1884"/>
      <c r="R11" s="1884"/>
      <c r="S11" s="1884"/>
      <c r="T11" s="1884"/>
      <c r="U11" s="628"/>
      <c r="V11" s="788" t="s">
        <v>509</v>
      </c>
      <c r="W11" s="793">
        <v>4.3566242197182838E-2</v>
      </c>
      <c r="X11" s="432"/>
      <c r="Y11" s="724"/>
      <c r="Z11" s="432"/>
      <c r="AA11" s="344"/>
      <c r="AB11" s="1197"/>
      <c r="AC11" s="581"/>
    </row>
    <row r="12" spans="2:29" s="2" customFormat="1">
      <c r="B12" s="431">
        <f t="shared" ref="B12:B16" si="0">B11+1</f>
        <v>3</v>
      </c>
      <c r="C12" s="91" t="s">
        <v>462</v>
      </c>
      <c r="D12" s="1899"/>
      <c r="E12" s="1886"/>
      <c r="F12" s="1886"/>
      <c r="G12" s="1886"/>
      <c r="H12" s="1891"/>
      <c r="I12" s="1886"/>
      <c r="J12" s="1893"/>
      <c r="K12" s="1884"/>
      <c r="L12" s="1884"/>
      <c r="M12" s="1884"/>
      <c r="N12" s="1884"/>
      <c r="O12" s="1884"/>
      <c r="P12" s="1884"/>
      <c r="Q12" s="1884"/>
      <c r="R12" s="1884"/>
      <c r="S12" s="1884"/>
      <c r="T12" s="1884"/>
      <c r="U12" s="628"/>
      <c r="V12" s="788" t="s">
        <v>510</v>
      </c>
      <c r="W12" s="790">
        <f>W11</f>
        <v>4.3566242197182838E-2</v>
      </c>
      <c r="X12" s="432"/>
      <c r="Y12" s="724"/>
      <c r="Z12" s="432"/>
      <c r="AA12" s="344"/>
      <c r="AB12" s="1198"/>
      <c r="AC12" s="581"/>
    </row>
    <row r="13" spans="2:29" s="2" customFormat="1">
      <c r="B13" s="431">
        <f t="shared" si="0"/>
        <v>4</v>
      </c>
      <c r="C13" s="578" t="s">
        <v>1007</v>
      </c>
      <c r="D13" s="1900"/>
      <c r="E13" s="1887"/>
      <c r="F13" s="1887"/>
      <c r="G13" s="1887"/>
      <c r="H13" s="1892"/>
      <c r="I13" s="1887"/>
      <c r="J13" s="1199"/>
      <c r="K13" s="504">
        <f>'F3'!Q14*(1+W$13)</f>
        <v>9.0231080487070212</v>
      </c>
      <c r="L13" s="504">
        <f>K13</f>
        <v>9.0231080487070212</v>
      </c>
      <c r="M13" s="504">
        <f>K13*(1+W$14)</f>
        <v>9.4162109593283407</v>
      </c>
      <c r="N13" s="504">
        <f>M13</f>
        <v>9.4162109593283407</v>
      </c>
      <c r="O13" s="504">
        <f>M13*(1+W$15)</f>
        <v>9.8264398865622056</v>
      </c>
      <c r="P13" s="504">
        <f>O13</f>
        <v>9.8264398865622056</v>
      </c>
      <c r="Q13" s="504">
        <f>O13*(1+W$16)</f>
        <v>10.254540946596231</v>
      </c>
      <c r="R13" s="504">
        <f>Q13</f>
        <v>10.254540946596231</v>
      </c>
      <c r="S13" s="1200">
        <f>Q13*(1+W$17)</f>
        <v>10.701292761096569</v>
      </c>
      <c r="T13" s="504">
        <f>S13</f>
        <v>10.701292761096569</v>
      </c>
      <c r="U13" s="628"/>
      <c r="V13" s="788" t="s">
        <v>958</v>
      </c>
      <c r="W13" s="582">
        <f>W12</f>
        <v>4.3566242197182838E-2</v>
      </c>
      <c r="X13" s="432"/>
      <c r="Y13" s="724"/>
      <c r="Z13" s="432"/>
      <c r="AA13" s="344"/>
      <c r="AB13" s="1198"/>
      <c r="AC13" s="581"/>
    </row>
    <row r="14" spans="2:29" s="475" customFormat="1">
      <c r="B14" s="431">
        <f t="shared" si="0"/>
        <v>5</v>
      </c>
      <c r="C14" s="184" t="s">
        <v>179</v>
      </c>
      <c r="D14" s="1201"/>
      <c r="E14" s="1201"/>
      <c r="F14" s="1201"/>
      <c r="G14" s="1201"/>
      <c r="H14" s="1201"/>
      <c r="I14" s="1201"/>
      <c r="J14" s="1201"/>
      <c r="K14" s="1201">
        <f t="shared" ref="K14:T14" si="1">SUM(K10:K13)</f>
        <v>112.34810804870702</v>
      </c>
      <c r="L14" s="1201">
        <f t="shared" si="1"/>
        <v>112.34810804870702</v>
      </c>
      <c r="M14" s="1201">
        <f t="shared" si="1"/>
        <v>117.21621095932834</v>
      </c>
      <c r="N14" s="1201">
        <f>SUM(N10:N13)</f>
        <v>117.21621095932834</v>
      </c>
      <c r="O14" s="1201">
        <f t="shared" si="1"/>
        <v>122.30143988656221</v>
      </c>
      <c r="P14" s="1201">
        <f t="shared" si="1"/>
        <v>122.30143988656221</v>
      </c>
      <c r="Q14" s="1201">
        <f t="shared" si="1"/>
        <v>127.60454094659623</v>
      </c>
      <c r="R14" s="1201">
        <f t="shared" si="1"/>
        <v>127.60454094659623</v>
      </c>
      <c r="S14" s="1201">
        <f t="shared" si="1"/>
        <v>133.12629276109658</v>
      </c>
      <c r="T14" s="1201">
        <f t="shared" si="1"/>
        <v>133.12629276109658</v>
      </c>
      <c r="U14" s="4"/>
      <c r="V14" s="788" t="s">
        <v>959</v>
      </c>
      <c r="W14" s="1202">
        <f>W12</f>
        <v>4.3566242197182838E-2</v>
      </c>
      <c r="X14" s="1203"/>
      <c r="Y14" s="1203"/>
      <c r="Z14" s="427"/>
      <c r="AA14" s="427"/>
      <c r="AB14" s="427"/>
    </row>
    <row r="15" spans="2:29" s="2" customFormat="1">
      <c r="B15" s="431">
        <f t="shared" si="0"/>
        <v>6</v>
      </c>
      <c r="C15" s="91" t="s">
        <v>338</v>
      </c>
      <c r="D15" s="871"/>
      <c r="E15" s="871"/>
      <c r="F15" s="871"/>
      <c r="G15" s="871"/>
      <c r="H15" s="871"/>
      <c r="I15" s="1204"/>
      <c r="J15" s="91"/>
      <c r="K15" s="871"/>
      <c r="L15" s="871"/>
      <c r="M15" s="871"/>
      <c r="N15" s="871"/>
      <c r="O15" s="871"/>
      <c r="P15" s="871"/>
      <c r="Q15" s="871"/>
      <c r="R15" s="871"/>
      <c r="S15" s="871"/>
      <c r="T15" s="871"/>
      <c r="U15" s="3"/>
      <c r="V15" s="788" t="s">
        <v>960</v>
      </c>
      <c r="W15" s="1202">
        <f>W12</f>
        <v>4.3566242197182838E-2</v>
      </c>
      <c r="X15" s="1205"/>
      <c r="Y15" s="1205"/>
      <c r="Z15" s="11"/>
      <c r="AA15" s="11"/>
      <c r="AB15" s="11"/>
    </row>
    <row r="16" spans="2:29">
      <c r="B16" s="431">
        <f t="shared" si="0"/>
        <v>7</v>
      </c>
      <c r="C16" s="569" t="s">
        <v>339</v>
      </c>
      <c r="D16" s="1206"/>
      <c r="E16" s="1206"/>
      <c r="F16" s="1206"/>
      <c r="G16" s="1206"/>
      <c r="H16" s="1206"/>
      <c r="I16" s="1207"/>
      <c r="J16" s="1206"/>
      <c r="K16" s="1206">
        <f t="shared" ref="K16:T16" si="2">SUM(K14:K15)</f>
        <v>112.34810804870702</v>
      </c>
      <c r="L16" s="1206">
        <f t="shared" si="2"/>
        <v>112.34810804870702</v>
      </c>
      <c r="M16" s="1206">
        <f t="shared" si="2"/>
        <v>117.21621095932834</v>
      </c>
      <c r="N16" s="1206">
        <f t="shared" si="2"/>
        <v>117.21621095932834</v>
      </c>
      <c r="O16" s="1206">
        <f t="shared" si="2"/>
        <v>122.30143988656221</v>
      </c>
      <c r="P16" s="1206">
        <f t="shared" si="2"/>
        <v>122.30143988656221</v>
      </c>
      <c r="Q16" s="1206">
        <f t="shared" si="2"/>
        <v>127.60454094659623</v>
      </c>
      <c r="R16" s="1206">
        <f t="shared" si="2"/>
        <v>127.60454094659623</v>
      </c>
      <c r="S16" s="1206">
        <f t="shared" si="2"/>
        <v>133.12629276109658</v>
      </c>
      <c r="T16" s="1206">
        <f t="shared" si="2"/>
        <v>133.12629276109658</v>
      </c>
      <c r="V16" s="788" t="s">
        <v>961</v>
      </c>
      <c r="W16" s="1202">
        <f>W12</f>
        <v>4.3566242197182838E-2</v>
      </c>
      <c r="X16" s="1203"/>
      <c r="Y16" s="1203"/>
      <c r="Z16" s="11"/>
      <c r="AA16" s="11"/>
      <c r="AB16" s="11"/>
    </row>
    <row r="17" spans="2:28">
      <c r="C17" s="2"/>
      <c r="D17" s="2"/>
      <c r="E17" s="2"/>
      <c r="F17" s="2"/>
      <c r="G17" s="2"/>
      <c r="H17" s="2"/>
      <c r="I17" s="2"/>
      <c r="J17" s="2"/>
      <c r="K17" s="2"/>
      <c r="L17" s="2"/>
      <c r="M17" s="2"/>
      <c r="N17" s="2"/>
      <c r="O17" s="2"/>
      <c r="P17" s="2"/>
      <c r="Q17" s="2"/>
      <c r="R17" s="2"/>
      <c r="S17" s="2"/>
      <c r="V17" s="788" t="s">
        <v>962</v>
      </c>
      <c r="W17" s="1202">
        <f>W13</f>
        <v>4.3566242197182838E-2</v>
      </c>
      <c r="X17" s="11"/>
      <c r="Y17" s="11"/>
      <c r="Z17" s="11"/>
      <c r="AA17" s="11"/>
      <c r="AB17" s="11"/>
    </row>
    <row r="18" spans="2:28">
      <c r="B18" s="44" t="s">
        <v>160</v>
      </c>
    </row>
    <row r="19" spans="2:28">
      <c r="B19" s="1">
        <v>1</v>
      </c>
      <c r="C19" s="1" t="s">
        <v>2155</v>
      </c>
    </row>
    <row r="20" spans="2:28">
      <c r="B20" s="1">
        <v>2</v>
      </c>
      <c r="C20" s="1" t="s">
        <v>2156</v>
      </c>
    </row>
    <row r="21" spans="2:28">
      <c r="B21" s="1">
        <v>3</v>
      </c>
      <c r="C21" s="1" t="s">
        <v>2157</v>
      </c>
    </row>
    <row r="22" spans="2:28">
      <c r="B22" s="1">
        <v>3</v>
      </c>
      <c r="C22" s="1" t="s">
        <v>2158</v>
      </c>
    </row>
    <row r="23" spans="2:28">
      <c r="K23" s="21"/>
      <c r="L23" s="21"/>
      <c r="M23" s="21"/>
      <c r="N23" s="21" t="s">
        <v>10</v>
      </c>
      <c r="O23" s="21"/>
      <c r="P23" s="21"/>
      <c r="X23" s="21" t="s">
        <v>10</v>
      </c>
    </row>
    <row r="24" spans="2:28" ht="18" customHeight="1">
      <c r="B24" s="1873" t="s">
        <v>340</v>
      </c>
      <c r="C24" s="1873" t="s">
        <v>36</v>
      </c>
      <c r="D24" s="1208"/>
      <c r="E24" s="1208"/>
      <c r="F24" s="1208"/>
      <c r="G24" s="1208"/>
      <c r="H24" s="1208"/>
      <c r="I24" s="1208"/>
      <c r="J24" s="1876" t="s">
        <v>1510</v>
      </c>
      <c r="K24" s="1877"/>
      <c r="L24" s="1877"/>
      <c r="M24" s="1877"/>
      <c r="N24" s="1878"/>
      <c r="O24" s="1209" t="s">
        <v>26</v>
      </c>
      <c r="P24" s="1210"/>
      <c r="Q24" s="1210"/>
      <c r="R24" s="1210"/>
      <c r="S24" s="1210"/>
      <c r="T24" s="57"/>
    </row>
    <row r="25" spans="2:28" ht="15">
      <c r="B25" s="1873"/>
      <c r="C25" s="1875"/>
      <c r="D25" s="1875" t="s">
        <v>508</v>
      </c>
      <c r="E25" s="1875"/>
      <c r="F25" s="1875" t="s">
        <v>509</v>
      </c>
      <c r="G25" s="1875"/>
      <c r="H25" s="1875" t="s">
        <v>510</v>
      </c>
      <c r="I25" s="1875"/>
      <c r="J25" s="1167" t="s">
        <v>958</v>
      </c>
      <c r="K25" s="1160" t="s">
        <v>959</v>
      </c>
      <c r="L25" s="1160" t="s">
        <v>960</v>
      </c>
      <c r="M25" s="1160" t="s">
        <v>961</v>
      </c>
      <c r="N25" s="1160" t="s">
        <v>962</v>
      </c>
      <c r="O25" s="1211"/>
      <c r="P25" s="1212"/>
      <c r="Q25" s="1212"/>
      <c r="R25" s="1212"/>
      <c r="S25" s="1212"/>
      <c r="T25" s="57"/>
    </row>
    <row r="26" spans="2:28">
      <c r="B26" s="1873"/>
      <c r="C26" s="1875"/>
      <c r="D26" s="1164" t="s">
        <v>956</v>
      </c>
      <c r="E26" s="1164" t="s">
        <v>7</v>
      </c>
      <c r="F26" s="1164" t="s">
        <v>956</v>
      </c>
      <c r="G26" s="1164" t="s">
        <v>7</v>
      </c>
      <c r="H26" s="1164" t="s">
        <v>956</v>
      </c>
      <c r="I26" s="1159" t="s">
        <v>21</v>
      </c>
      <c r="J26" s="1159" t="s">
        <v>21</v>
      </c>
      <c r="K26" s="1159" t="s">
        <v>21</v>
      </c>
      <c r="L26" s="1159" t="s">
        <v>21</v>
      </c>
      <c r="M26" s="1159" t="s">
        <v>21</v>
      </c>
      <c r="N26" s="1159" t="s">
        <v>21</v>
      </c>
      <c r="O26" s="1213"/>
      <c r="P26" s="1163"/>
      <c r="Q26" s="1163"/>
      <c r="R26" s="1163"/>
      <c r="S26" s="1163"/>
      <c r="T26" s="57"/>
    </row>
    <row r="27" spans="2:28" s="2" customFormat="1">
      <c r="B27" s="473">
        <v>1</v>
      </c>
      <c r="C27" s="3" t="s">
        <v>575</v>
      </c>
      <c r="D27" s="1214">
        <v>8.4499999999999993</v>
      </c>
      <c r="E27" s="1214">
        <v>8.7347056900263649</v>
      </c>
      <c r="F27" s="1214">
        <v>8.4499999999999993</v>
      </c>
      <c r="G27" s="1214">
        <v>20.028461671000002</v>
      </c>
      <c r="H27" s="1214">
        <v>8.4499999999999993</v>
      </c>
      <c r="I27" s="1214">
        <v>20.028461671000002</v>
      </c>
      <c r="J27" s="880">
        <v>37.166666666666664</v>
      </c>
      <c r="K27" s="880">
        <v>37.166666666666664</v>
      </c>
      <c r="L27" s="880">
        <v>37.166666666666664</v>
      </c>
      <c r="M27" s="880">
        <v>37.166666666666664</v>
      </c>
      <c r="N27" s="880">
        <v>37.166666666666664</v>
      </c>
      <c r="O27" s="1215"/>
      <c r="P27" s="1216"/>
      <c r="Q27" s="1217"/>
      <c r="R27" s="1216"/>
      <c r="S27" s="1217"/>
      <c r="T27" s="11"/>
    </row>
    <row r="28" spans="2:28">
      <c r="S28" s="618"/>
      <c r="T28" s="618"/>
    </row>
    <row r="29" spans="2:28">
      <c r="B29" s="1" t="s">
        <v>2159</v>
      </c>
    </row>
    <row r="31" spans="2:28">
      <c r="B31" s="1901" t="s">
        <v>463</v>
      </c>
      <c r="C31" s="1901"/>
      <c r="D31" s="1901"/>
      <c r="E31" s="1901"/>
      <c r="F31" s="1901"/>
      <c r="G31" s="1901"/>
      <c r="H31" s="1901"/>
      <c r="I31" s="1901"/>
      <c r="J31" s="1901"/>
      <c r="K31" s="304"/>
      <c r="L31" s="637"/>
      <c r="M31" s="304"/>
      <c r="N31" s="304"/>
      <c r="O31" s="304"/>
      <c r="P31" s="637"/>
      <c r="Q31" s="130"/>
    </row>
    <row r="33" spans="2:25" ht="15" customHeight="1">
      <c r="B33" s="1873" t="s">
        <v>340</v>
      </c>
      <c r="C33" s="1873" t="s">
        <v>36</v>
      </c>
      <c r="D33" s="1873" t="s">
        <v>180</v>
      </c>
      <c r="E33" s="1775" t="s">
        <v>957</v>
      </c>
      <c r="F33" s="1775"/>
      <c r="G33" s="1775"/>
      <c r="H33" s="1775"/>
      <c r="I33" s="1775"/>
      <c r="J33" s="1880" t="s">
        <v>26</v>
      </c>
      <c r="K33" s="57"/>
      <c r="L33" s="57"/>
      <c r="M33" s="57"/>
      <c r="N33" s="57"/>
      <c r="O33" s="57"/>
      <c r="P33" s="57"/>
      <c r="Q33" s="57"/>
      <c r="R33" s="1879"/>
      <c r="S33" s="1879"/>
      <c r="T33" s="1879"/>
      <c r="U33" s="1879"/>
      <c r="V33" s="1879"/>
      <c r="W33" s="1849"/>
      <c r="X33" s="57"/>
      <c r="Y33" s="57"/>
    </row>
    <row r="34" spans="2:25" ht="15">
      <c r="B34" s="1873"/>
      <c r="C34" s="1875"/>
      <c r="D34" s="1875"/>
      <c r="E34" s="1160" t="s">
        <v>958</v>
      </c>
      <c r="F34" s="1160" t="s">
        <v>959</v>
      </c>
      <c r="G34" s="1160" t="s">
        <v>960</v>
      </c>
      <c r="H34" s="1160" t="s">
        <v>961</v>
      </c>
      <c r="I34" s="1160" t="s">
        <v>962</v>
      </c>
      <c r="J34" s="1880"/>
      <c r="K34" s="1163"/>
      <c r="L34" s="1163"/>
      <c r="M34" s="1163"/>
      <c r="N34" s="1163"/>
      <c r="O34" s="1163"/>
      <c r="P34" s="1163"/>
      <c r="Q34" s="1163"/>
      <c r="R34" s="1212"/>
      <c r="S34" s="1212"/>
      <c r="T34" s="1212"/>
      <c r="U34" s="1212"/>
      <c r="V34" s="1212"/>
      <c r="W34" s="1849"/>
      <c r="X34" s="1163"/>
      <c r="Y34" s="1163"/>
    </row>
    <row r="35" spans="2:25">
      <c r="B35" s="1873"/>
      <c r="C35" s="1875"/>
      <c r="D35" s="1875"/>
      <c r="E35" s="1159" t="s">
        <v>21</v>
      </c>
      <c r="F35" s="1159" t="s">
        <v>21</v>
      </c>
      <c r="G35" s="1159" t="s">
        <v>21</v>
      </c>
      <c r="H35" s="1159" t="s">
        <v>21</v>
      </c>
      <c r="I35" s="1159" t="s">
        <v>21</v>
      </c>
      <c r="J35" s="1902"/>
      <c r="K35" s="1163"/>
      <c r="L35" s="1163"/>
      <c r="M35" s="1163"/>
      <c r="N35" s="1163"/>
      <c r="O35" s="1163"/>
      <c r="P35" s="1163"/>
      <c r="Q35" s="1163"/>
      <c r="R35" s="1163"/>
      <c r="S35" s="1163"/>
      <c r="T35" s="1163"/>
      <c r="U35" s="1163"/>
      <c r="V35" s="1163"/>
      <c r="W35" s="1883"/>
      <c r="X35" s="1163"/>
      <c r="Y35" s="1163"/>
    </row>
    <row r="36" spans="2:25">
      <c r="B36" s="131" t="s">
        <v>171</v>
      </c>
      <c r="C36" s="109" t="s">
        <v>181</v>
      </c>
      <c r="D36" s="9"/>
      <c r="E36" s="9"/>
      <c r="F36" s="9"/>
      <c r="G36" s="9"/>
      <c r="H36" s="9"/>
      <c r="I36" s="274"/>
      <c r="J36" s="1218"/>
      <c r="K36" s="11"/>
      <c r="L36" s="11"/>
      <c r="M36" s="11"/>
      <c r="N36" s="11"/>
      <c r="O36" s="11"/>
      <c r="P36" s="11"/>
      <c r="Q36" s="11"/>
      <c r="R36" s="11"/>
      <c r="S36" s="11"/>
      <c r="T36" s="11"/>
      <c r="U36" s="11"/>
      <c r="V36" s="11"/>
      <c r="W36" s="11"/>
      <c r="X36" s="11"/>
      <c r="Y36" s="11"/>
    </row>
    <row r="37" spans="2:25">
      <c r="B37" s="132">
        <v>1</v>
      </c>
      <c r="C37" s="3" t="s">
        <v>182</v>
      </c>
      <c r="D37" s="3" t="s">
        <v>466</v>
      </c>
      <c r="E37" s="937">
        <v>41.33</v>
      </c>
      <c r="F37" s="9">
        <v>43.12</v>
      </c>
      <c r="G37" s="9">
        <v>44.99</v>
      </c>
      <c r="H37" s="9">
        <v>46.94</v>
      </c>
      <c r="I37" s="1219">
        <v>48.97</v>
      </c>
      <c r="J37" s="1218"/>
      <c r="K37" s="1217"/>
      <c r="L37" s="1217"/>
      <c r="M37" s="1217"/>
      <c r="N37" s="1217"/>
      <c r="O37" s="1217"/>
      <c r="P37" s="1217"/>
      <c r="Q37" s="1217"/>
      <c r="R37" s="11"/>
      <c r="S37" s="11"/>
      <c r="T37" s="11"/>
      <c r="U37" s="11"/>
      <c r="V37" s="1217"/>
      <c r="W37" s="11"/>
      <c r="X37" s="1217"/>
      <c r="Y37" s="1217"/>
    </row>
    <row r="38" spans="2:25">
      <c r="B38" s="132">
        <v>2</v>
      </c>
      <c r="C38" s="3" t="s">
        <v>326</v>
      </c>
      <c r="D38" s="3" t="s">
        <v>466</v>
      </c>
      <c r="E38" s="937">
        <v>30.24</v>
      </c>
      <c r="F38" s="9">
        <v>31.35</v>
      </c>
      <c r="G38" s="9">
        <v>32.49</v>
      </c>
      <c r="H38" s="9">
        <v>33.659999999999997</v>
      </c>
      <c r="I38" s="1219">
        <v>34.86</v>
      </c>
      <c r="J38" s="1218"/>
      <c r="K38" s="1217"/>
      <c r="L38" s="1217"/>
      <c r="M38" s="1217"/>
      <c r="N38" s="1217"/>
      <c r="O38" s="1217"/>
      <c r="P38" s="1217"/>
      <c r="Q38" s="1217"/>
      <c r="R38" s="11"/>
      <c r="S38" s="11"/>
      <c r="T38" s="11"/>
      <c r="U38" s="11"/>
      <c r="V38" s="1217"/>
      <c r="W38" s="11"/>
      <c r="X38" s="1217"/>
      <c r="Y38" s="1217"/>
    </row>
    <row r="39" spans="2:25">
      <c r="B39" s="132">
        <v>3</v>
      </c>
      <c r="C39" s="3" t="s">
        <v>183</v>
      </c>
      <c r="D39" s="3" t="s">
        <v>466</v>
      </c>
      <c r="E39" s="937">
        <v>28.6</v>
      </c>
      <c r="F39" s="9">
        <v>31.1</v>
      </c>
      <c r="G39" s="9">
        <v>31.68</v>
      </c>
      <c r="H39" s="9">
        <v>33.340000000000003</v>
      </c>
      <c r="I39" s="1219">
        <v>35.090000000000003</v>
      </c>
      <c r="J39" s="1218"/>
      <c r="K39" s="1217"/>
      <c r="L39" s="1217"/>
      <c r="M39" s="1217"/>
      <c r="N39" s="1217"/>
      <c r="O39" s="1217"/>
      <c r="P39" s="1217"/>
      <c r="Q39" s="1217"/>
      <c r="R39" s="11"/>
      <c r="S39" s="11"/>
      <c r="T39" s="11"/>
      <c r="U39" s="11"/>
      <c r="V39" s="1217"/>
      <c r="W39" s="11"/>
      <c r="X39" s="1217"/>
      <c r="Y39" s="1217"/>
    </row>
    <row r="40" spans="2:25">
      <c r="B40" s="132">
        <v>4</v>
      </c>
      <c r="C40" s="3" t="s">
        <v>582</v>
      </c>
      <c r="D40" s="3" t="s">
        <v>466</v>
      </c>
      <c r="E40" s="9">
        <v>24.21</v>
      </c>
      <c r="F40" s="9">
        <v>25.26</v>
      </c>
      <c r="G40" s="9">
        <v>26.36</v>
      </c>
      <c r="H40" s="9">
        <v>27.5</v>
      </c>
      <c r="I40" s="1219">
        <v>28.69</v>
      </c>
      <c r="J40" s="1218"/>
      <c r="K40" s="1217"/>
      <c r="L40" s="1217"/>
      <c r="M40" s="1217"/>
      <c r="N40" s="1217"/>
      <c r="O40" s="1217"/>
      <c r="P40" s="1217"/>
      <c r="Q40" s="1217"/>
      <c r="R40" s="11"/>
      <c r="S40" s="11"/>
      <c r="T40" s="11"/>
      <c r="U40" s="11"/>
      <c r="V40" s="1217"/>
      <c r="W40" s="11"/>
      <c r="X40" s="1217"/>
      <c r="Y40" s="1217"/>
    </row>
    <row r="41" spans="2:25">
      <c r="B41" s="132">
        <v>5</v>
      </c>
      <c r="C41" s="3" t="s">
        <v>583</v>
      </c>
      <c r="D41" s="3" t="s">
        <v>466</v>
      </c>
      <c r="E41" s="9"/>
      <c r="F41" s="9"/>
      <c r="G41" s="9"/>
      <c r="H41" s="9"/>
      <c r="I41" s="1219"/>
      <c r="J41" s="1218"/>
      <c r="K41" s="1217"/>
      <c r="L41" s="1217"/>
      <c r="M41" s="1217"/>
      <c r="N41" s="1217"/>
      <c r="O41" s="1217"/>
      <c r="P41" s="1217"/>
      <c r="Q41" s="1217"/>
      <c r="R41" s="11"/>
      <c r="S41" s="11"/>
      <c r="T41" s="11"/>
      <c r="U41" s="11"/>
      <c r="V41" s="1217"/>
      <c r="W41" s="11"/>
      <c r="X41" s="1217"/>
      <c r="Y41" s="1217"/>
    </row>
    <row r="42" spans="2:25">
      <c r="B42" s="132"/>
      <c r="C42" s="3"/>
      <c r="D42" s="3"/>
      <c r="E42" s="9"/>
      <c r="F42" s="9"/>
      <c r="G42" s="9"/>
      <c r="H42" s="9"/>
      <c r="I42" s="1219"/>
      <c r="J42" s="1218"/>
      <c r="K42" s="1217"/>
      <c r="L42" s="1217"/>
      <c r="M42" s="1217"/>
      <c r="N42" s="1217"/>
      <c r="O42" s="1217"/>
      <c r="P42" s="1217"/>
      <c r="Q42" s="1217"/>
      <c r="R42" s="11"/>
      <c r="S42" s="11"/>
      <c r="T42" s="11"/>
      <c r="U42" s="11"/>
      <c r="V42" s="1217"/>
      <c r="W42" s="11"/>
      <c r="X42" s="1217"/>
      <c r="Y42" s="1217"/>
    </row>
    <row r="43" spans="2:25">
      <c r="B43" s="131" t="s">
        <v>184</v>
      </c>
      <c r="C43" s="631" t="s">
        <v>464</v>
      </c>
      <c r="D43" s="3"/>
      <c r="E43" s="9"/>
      <c r="F43" s="9"/>
      <c r="G43" s="9"/>
      <c r="H43" s="9"/>
      <c r="I43" s="1219"/>
      <c r="J43" s="1218"/>
      <c r="K43" s="1217"/>
      <c r="L43" s="1217"/>
      <c r="M43" s="1217"/>
      <c r="N43" s="1217"/>
      <c r="O43" s="1217"/>
      <c r="P43" s="1217"/>
      <c r="Q43" s="1217"/>
      <c r="R43" s="11"/>
      <c r="S43" s="11"/>
      <c r="T43" s="11"/>
      <c r="U43" s="11"/>
      <c r="V43" s="1217"/>
      <c r="W43" s="11"/>
      <c r="X43" s="1217"/>
      <c r="Y43" s="1217"/>
    </row>
    <row r="44" spans="2:25">
      <c r="B44" s="132">
        <v>1</v>
      </c>
      <c r="C44" s="3" t="s">
        <v>182</v>
      </c>
      <c r="D44" s="3" t="s">
        <v>96</v>
      </c>
      <c r="E44" s="9">
        <v>250</v>
      </c>
      <c r="F44" s="9">
        <v>250</v>
      </c>
      <c r="G44" s="9">
        <v>250</v>
      </c>
      <c r="H44" s="9">
        <v>250</v>
      </c>
      <c r="I44" s="9">
        <v>250</v>
      </c>
      <c r="J44" s="1218"/>
      <c r="K44" s="1217"/>
      <c r="L44" s="1217"/>
      <c r="M44" s="1217"/>
      <c r="N44" s="1217"/>
      <c r="O44" s="1217"/>
      <c r="P44" s="1217"/>
      <c r="Q44" s="1217"/>
      <c r="R44" s="11"/>
      <c r="S44" s="11"/>
      <c r="T44" s="11"/>
      <c r="U44" s="11"/>
      <c r="V44" s="1217"/>
      <c r="W44" s="11"/>
      <c r="X44" s="1217"/>
      <c r="Y44" s="1217"/>
    </row>
    <row r="45" spans="2:25">
      <c r="B45" s="132">
        <v>2</v>
      </c>
      <c r="C45" s="3" t="s">
        <v>326</v>
      </c>
      <c r="D45" s="3" t="s">
        <v>96</v>
      </c>
      <c r="E45" s="9"/>
      <c r="F45" s="9"/>
      <c r="G45" s="9"/>
      <c r="H45" s="9"/>
      <c r="I45" s="1219"/>
      <c r="J45" s="1218"/>
      <c r="K45" s="1217"/>
      <c r="L45" s="1217"/>
      <c r="M45" s="1217"/>
      <c r="N45" s="1217"/>
      <c r="O45" s="1217"/>
      <c r="P45" s="1217"/>
      <c r="Q45" s="1217"/>
      <c r="R45" s="11"/>
      <c r="S45" s="11"/>
      <c r="T45" s="11"/>
      <c r="U45" s="11"/>
      <c r="V45" s="1217"/>
      <c r="W45" s="11"/>
      <c r="X45" s="1217"/>
      <c r="Y45" s="1217"/>
    </row>
    <row r="46" spans="2:25">
      <c r="B46" s="132">
        <v>3</v>
      </c>
      <c r="C46" s="3" t="s">
        <v>183</v>
      </c>
      <c r="D46" s="3" t="s">
        <v>96</v>
      </c>
      <c r="E46" s="9"/>
      <c r="F46" s="9"/>
      <c r="G46" s="9"/>
      <c r="H46" s="9"/>
      <c r="I46" s="1219"/>
      <c r="J46" s="1218"/>
      <c r="K46" s="1217"/>
      <c r="L46" s="1217"/>
      <c r="M46" s="1217"/>
      <c r="N46" s="1217"/>
      <c r="O46" s="1217"/>
      <c r="P46" s="1217"/>
      <c r="Q46" s="1217"/>
      <c r="R46" s="11"/>
      <c r="S46" s="11"/>
      <c r="T46" s="11"/>
      <c r="U46" s="11"/>
      <c r="V46" s="1217"/>
      <c r="W46" s="11"/>
      <c r="X46" s="1217"/>
      <c r="Y46" s="1217"/>
    </row>
    <row r="47" spans="2:25">
      <c r="B47" s="132">
        <v>4</v>
      </c>
      <c r="C47" s="3" t="s">
        <v>584</v>
      </c>
      <c r="D47" s="3" t="s">
        <v>96</v>
      </c>
      <c r="E47" s="9"/>
      <c r="F47" s="9"/>
      <c r="G47" s="9"/>
      <c r="H47" s="9"/>
      <c r="I47" s="1219"/>
      <c r="J47" s="1218"/>
      <c r="K47" s="1217"/>
      <c r="L47" s="1217"/>
      <c r="M47" s="1217"/>
      <c r="N47" s="1217"/>
      <c r="O47" s="1217"/>
      <c r="P47" s="1217"/>
      <c r="Q47" s="1217"/>
      <c r="R47" s="11"/>
      <c r="S47" s="11"/>
      <c r="T47" s="11"/>
      <c r="U47" s="11"/>
      <c r="V47" s="1217"/>
      <c r="W47" s="11"/>
      <c r="X47" s="1217"/>
      <c r="Y47" s="1217"/>
    </row>
    <row r="48" spans="2:25">
      <c r="B48" s="132">
        <v>5</v>
      </c>
      <c r="C48" s="3" t="s">
        <v>583</v>
      </c>
      <c r="D48" s="3" t="s">
        <v>96</v>
      </c>
      <c r="E48" s="9"/>
      <c r="F48" s="9"/>
      <c r="G48" s="9"/>
      <c r="H48" s="9"/>
      <c r="I48" s="1219"/>
      <c r="J48" s="1218"/>
      <c r="K48" s="1217"/>
      <c r="L48" s="1217"/>
      <c r="M48" s="1217"/>
      <c r="N48" s="1217"/>
      <c r="O48" s="1217"/>
      <c r="P48" s="1217"/>
      <c r="Q48" s="1217"/>
      <c r="R48" s="11"/>
      <c r="S48" s="11"/>
      <c r="T48" s="11"/>
      <c r="U48" s="11"/>
      <c r="V48" s="1217"/>
      <c r="W48" s="11"/>
      <c r="X48" s="1217"/>
      <c r="Y48" s="1217"/>
    </row>
    <row r="49" spans="2:25">
      <c r="B49" s="132"/>
      <c r="C49" s="3"/>
      <c r="D49" s="3"/>
      <c r="E49" s="9"/>
      <c r="F49" s="9"/>
      <c r="G49" s="9"/>
      <c r="H49" s="9"/>
      <c r="I49" s="1219"/>
      <c r="J49" s="1218"/>
      <c r="K49" s="1217"/>
      <c r="L49" s="1217"/>
      <c r="M49" s="1217"/>
      <c r="N49" s="1217"/>
      <c r="O49" s="1217"/>
      <c r="P49" s="1217"/>
      <c r="Q49" s="1217"/>
      <c r="R49" s="11"/>
      <c r="S49" s="11"/>
      <c r="T49" s="11"/>
      <c r="U49" s="11"/>
      <c r="V49" s="1217"/>
      <c r="W49" s="11"/>
      <c r="X49" s="1217"/>
      <c r="Y49" s="1217"/>
    </row>
    <row r="50" spans="2:25">
      <c r="B50" s="131" t="s">
        <v>185</v>
      </c>
      <c r="C50" s="631" t="s">
        <v>465</v>
      </c>
      <c r="D50" s="3"/>
      <c r="E50" s="9"/>
      <c r="F50" s="9"/>
      <c r="G50" s="9"/>
      <c r="H50" s="9"/>
      <c r="I50" s="1219"/>
      <c r="J50" s="1218"/>
      <c r="K50" s="1217"/>
      <c r="L50" s="1217"/>
      <c r="M50" s="1217"/>
      <c r="N50" s="1217"/>
      <c r="O50" s="1217"/>
      <c r="P50" s="1217"/>
      <c r="Q50" s="1217"/>
      <c r="R50" s="11"/>
      <c r="S50" s="11"/>
      <c r="T50" s="11"/>
      <c r="U50" s="11"/>
      <c r="V50" s="1217"/>
      <c r="W50" s="11"/>
      <c r="X50" s="1217"/>
      <c r="Y50" s="1217"/>
    </row>
    <row r="51" spans="2:25">
      <c r="B51" s="132">
        <v>1</v>
      </c>
      <c r="C51" s="3" t="s">
        <v>182</v>
      </c>
      <c r="D51" s="3" t="s">
        <v>442</v>
      </c>
      <c r="E51" s="937">
        <f>E37*E44/100</f>
        <v>103.325</v>
      </c>
      <c r="F51" s="937">
        <f>F37*F44/100</f>
        <v>107.8</v>
      </c>
      <c r="G51" s="937">
        <f>G37*G44/100</f>
        <v>112.47499999999999</v>
      </c>
      <c r="H51" s="937">
        <f>H37*H44/100</f>
        <v>117.35</v>
      </c>
      <c r="I51" s="937">
        <f>I37*I44/100</f>
        <v>122.425</v>
      </c>
      <c r="J51" s="1218"/>
      <c r="K51" s="1217"/>
      <c r="L51" s="1217"/>
      <c r="M51" s="1217"/>
      <c r="N51" s="1217"/>
      <c r="O51" s="1217"/>
      <c r="P51" s="1217"/>
      <c r="Q51" s="1217"/>
      <c r="R51" s="11"/>
      <c r="S51" s="11"/>
      <c r="T51" s="11"/>
      <c r="U51" s="11"/>
      <c r="V51" s="1217"/>
      <c r="W51" s="11"/>
      <c r="X51" s="1217"/>
      <c r="Y51" s="1217"/>
    </row>
    <row r="52" spans="2:25">
      <c r="B52" s="132">
        <v>2</v>
      </c>
      <c r="C52" s="3" t="s">
        <v>326</v>
      </c>
      <c r="D52" s="3" t="s">
        <v>442</v>
      </c>
      <c r="E52" s="937">
        <f t="shared" ref="E52:I55" si="3">E38*E45/100</f>
        <v>0</v>
      </c>
      <c r="F52" s="937">
        <f t="shared" si="3"/>
        <v>0</v>
      </c>
      <c r="G52" s="937">
        <f t="shared" si="3"/>
        <v>0</v>
      </c>
      <c r="H52" s="937">
        <f t="shared" si="3"/>
        <v>0</v>
      </c>
      <c r="I52" s="937">
        <f t="shared" si="3"/>
        <v>0</v>
      </c>
      <c r="J52" s="1218"/>
      <c r="K52" s="1217"/>
      <c r="L52" s="1217"/>
      <c r="M52" s="1217"/>
      <c r="N52" s="1217"/>
      <c r="O52" s="1217"/>
      <c r="P52" s="1217"/>
      <c r="Q52" s="1217"/>
      <c r="R52" s="11"/>
      <c r="S52" s="11"/>
      <c r="T52" s="11"/>
      <c r="U52" s="11"/>
      <c r="V52" s="1217"/>
      <c r="W52" s="11"/>
      <c r="X52" s="1217"/>
      <c r="Y52" s="1217"/>
    </row>
    <row r="53" spans="2:25">
      <c r="B53" s="132">
        <v>3</v>
      </c>
      <c r="C53" s="3" t="s">
        <v>183</v>
      </c>
      <c r="D53" s="3" t="s">
        <v>442</v>
      </c>
      <c r="E53" s="937">
        <f t="shared" si="3"/>
        <v>0</v>
      </c>
      <c r="F53" s="937">
        <f t="shared" si="3"/>
        <v>0</v>
      </c>
      <c r="G53" s="937">
        <f t="shared" si="3"/>
        <v>0</v>
      </c>
      <c r="H53" s="937">
        <f t="shared" si="3"/>
        <v>0</v>
      </c>
      <c r="I53" s="937">
        <f t="shared" si="3"/>
        <v>0</v>
      </c>
      <c r="J53" s="1218"/>
      <c r="K53" s="1217"/>
      <c r="L53" s="1217"/>
      <c r="M53" s="1217"/>
      <c r="N53" s="1217"/>
      <c r="O53" s="1217"/>
      <c r="P53" s="1217"/>
      <c r="Q53" s="1217"/>
      <c r="R53" s="11"/>
      <c r="S53" s="11"/>
      <c r="T53" s="11"/>
      <c r="U53" s="11"/>
      <c r="V53" s="1217"/>
      <c r="W53" s="11"/>
      <c r="X53" s="1217"/>
      <c r="Y53" s="1217"/>
    </row>
    <row r="54" spans="2:25">
      <c r="B54" s="132">
        <v>4</v>
      </c>
      <c r="C54" s="3" t="s">
        <v>584</v>
      </c>
      <c r="D54" s="3" t="s">
        <v>442</v>
      </c>
      <c r="E54" s="937">
        <f t="shared" si="3"/>
        <v>0</v>
      </c>
      <c r="F54" s="937">
        <f t="shared" si="3"/>
        <v>0</v>
      </c>
      <c r="G54" s="937">
        <f t="shared" si="3"/>
        <v>0</v>
      </c>
      <c r="H54" s="937">
        <f t="shared" si="3"/>
        <v>0</v>
      </c>
      <c r="I54" s="937">
        <f t="shared" si="3"/>
        <v>0</v>
      </c>
      <c r="J54" s="1218"/>
      <c r="K54" s="1217"/>
      <c r="L54" s="1217"/>
      <c r="M54" s="1217"/>
      <c r="N54" s="1217"/>
      <c r="O54" s="1217"/>
      <c r="P54" s="1217"/>
      <c r="Q54" s="1217"/>
      <c r="R54" s="11"/>
      <c r="S54" s="11"/>
      <c r="T54" s="11"/>
      <c r="U54" s="11"/>
      <c r="V54" s="1217"/>
      <c r="W54" s="11"/>
      <c r="X54" s="1217"/>
      <c r="Y54" s="1217"/>
    </row>
    <row r="55" spans="2:25">
      <c r="B55" s="132">
        <v>5</v>
      </c>
      <c r="C55" s="3" t="s">
        <v>583</v>
      </c>
      <c r="D55" s="3" t="s">
        <v>442</v>
      </c>
      <c r="E55" s="937">
        <f t="shared" si="3"/>
        <v>0</v>
      </c>
      <c r="F55" s="937">
        <f t="shared" si="3"/>
        <v>0</v>
      </c>
      <c r="G55" s="937">
        <f t="shared" si="3"/>
        <v>0</v>
      </c>
      <c r="H55" s="937">
        <f t="shared" si="3"/>
        <v>0</v>
      </c>
      <c r="I55" s="937">
        <f t="shared" si="3"/>
        <v>0</v>
      </c>
      <c r="J55" s="1218"/>
      <c r="K55" s="1217"/>
      <c r="L55" s="1217"/>
      <c r="M55" s="1217"/>
      <c r="N55" s="1217"/>
      <c r="O55" s="1217"/>
      <c r="P55" s="1217"/>
      <c r="Q55" s="1217"/>
      <c r="R55" s="11"/>
      <c r="S55" s="11"/>
      <c r="T55" s="11"/>
      <c r="U55" s="11"/>
      <c r="V55" s="1217"/>
      <c r="W55" s="11"/>
      <c r="X55" s="1217"/>
      <c r="Y55" s="1217"/>
    </row>
    <row r="56" spans="2:25">
      <c r="B56" s="50"/>
      <c r="C56" s="5"/>
      <c r="D56" s="5"/>
      <c r="E56" s="5"/>
      <c r="F56" s="5"/>
      <c r="G56" s="5"/>
      <c r="H56" s="5"/>
      <c r="I56" s="5"/>
      <c r="J56" s="5"/>
      <c r="K56" s="5"/>
      <c r="L56" s="5"/>
      <c r="M56" s="5"/>
      <c r="N56" s="5"/>
      <c r="O56" s="5"/>
      <c r="P56" s="5"/>
      <c r="Q56" s="5"/>
    </row>
    <row r="59" spans="2:25">
      <c r="B59" s="1901" t="s">
        <v>576</v>
      </c>
      <c r="C59" s="1901"/>
      <c r="D59" s="1901"/>
      <c r="E59" s="1901"/>
      <c r="F59" s="1901"/>
      <c r="G59" s="1901"/>
      <c r="H59" s="1901"/>
      <c r="I59" s="1901"/>
      <c r="J59" s="1901"/>
      <c r="K59" s="304"/>
      <c r="L59" s="637"/>
      <c r="M59" s="304"/>
      <c r="N59" s="304"/>
      <c r="O59" s="304"/>
      <c r="P59" s="637"/>
    </row>
    <row r="60" spans="2:25">
      <c r="K60" s="21"/>
      <c r="L60" s="21"/>
      <c r="M60" s="21"/>
      <c r="N60" s="21"/>
      <c r="O60" s="21"/>
      <c r="P60" s="21"/>
      <c r="T60" s="21" t="s">
        <v>10</v>
      </c>
    </row>
    <row r="61" spans="2:25" ht="15">
      <c r="B61" s="1873" t="s">
        <v>340</v>
      </c>
      <c r="C61" s="1873" t="s">
        <v>36</v>
      </c>
      <c r="D61" s="1880" t="s">
        <v>508</v>
      </c>
      <c r="E61" s="1881"/>
      <c r="F61" s="1882"/>
      <c r="G61" s="1880" t="s">
        <v>509</v>
      </c>
      <c r="H61" s="1881"/>
      <c r="I61" s="1882"/>
      <c r="J61" s="1880" t="s">
        <v>510</v>
      </c>
      <c r="K61" s="1881"/>
      <c r="L61" s="1881"/>
      <c r="M61" s="1881"/>
      <c r="N61" s="1882"/>
      <c r="O61" s="1775" t="s">
        <v>957</v>
      </c>
      <c r="P61" s="1775"/>
      <c r="Q61" s="1775"/>
      <c r="R61" s="1775"/>
      <c r="S61" s="1775"/>
      <c r="T61" s="1785" t="s">
        <v>26</v>
      </c>
    </row>
    <row r="62" spans="2:25" ht="42">
      <c r="B62" s="1873"/>
      <c r="C62" s="1875"/>
      <c r="D62" s="306" t="s">
        <v>450</v>
      </c>
      <c r="E62" s="301" t="s">
        <v>78</v>
      </c>
      <c r="F62" s="301" t="s">
        <v>451</v>
      </c>
      <c r="G62" s="306" t="s">
        <v>450</v>
      </c>
      <c r="H62" s="301" t="s">
        <v>78</v>
      </c>
      <c r="I62" s="301" t="s">
        <v>451</v>
      </c>
      <c r="J62" s="301" t="s">
        <v>450</v>
      </c>
      <c r="K62" s="301" t="s">
        <v>444</v>
      </c>
      <c r="L62" s="301" t="s">
        <v>448</v>
      </c>
      <c r="M62" s="301" t="s">
        <v>79</v>
      </c>
      <c r="N62" s="301" t="s">
        <v>452</v>
      </c>
      <c r="O62" s="709" t="s">
        <v>958</v>
      </c>
      <c r="P62" s="709" t="s">
        <v>959</v>
      </c>
      <c r="Q62" s="709" t="s">
        <v>960</v>
      </c>
      <c r="R62" s="709" t="s">
        <v>961</v>
      </c>
      <c r="S62" s="709" t="s">
        <v>962</v>
      </c>
      <c r="T62" s="1785"/>
    </row>
    <row r="63" spans="2:25">
      <c r="B63" s="1873"/>
      <c r="C63" s="1875"/>
      <c r="D63" s="301" t="s">
        <v>80</v>
      </c>
      <c r="E63" s="301" t="s">
        <v>81</v>
      </c>
      <c r="F63" s="301" t="s">
        <v>676</v>
      </c>
      <c r="G63" s="301" t="s">
        <v>391</v>
      </c>
      <c r="H63" s="301" t="s">
        <v>409</v>
      </c>
      <c r="I63" s="301" t="s">
        <v>456</v>
      </c>
      <c r="J63" s="699" t="s">
        <v>410</v>
      </c>
      <c r="K63" s="699" t="s">
        <v>411</v>
      </c>
      <c r="L63" s="699" t="s">
        <v>591</v>
      </c>
      <c r="M63" s="699" t="s">
        <v>677</v>
      </c>
      <c r="N63" s="699" t="s">
        <v>505</v>
      </c>
      <c r="O63" s="698" t="s">
        <v>21</v>
      </c>
      <c r="P63" s="698" t="s">
        <v>21</v>
      </c>
      <c r="Q63" s="698" t="s">
        <v>21</v>
      </c>
      <c r="R63" s="698" t="s">
        <v>21</v>
      </c>
      <c r="S63" s="698" t="s">
        <v>21</v>
      </c>
      <c r="T63" s="1786"/>
    </row>
    <row r="64" spans="2:25">
      <c r="B64" s="166">
        <v>1</v>
      </c>
      <c r="C64" s="38" t="s">
        <v>577</v>
      </c>
      <c r="D64" s="353"/>
      <c r="E64" s="451"/>
      <c r="F64" s="353">
        <f>E64-D64</f>
        <v>0</v>
      </c>
      <c r="G64" s="353"/>
      <c r="H64" s="353"/>
      <c r="I64" s="353">
        <f>H64-G64</f>
        <v>0</v>
      </c>
      <c r="J64" s="353"/>
      <c r="K64" s="353"/>
      <c r="L64" s="353"/>
      <c r="M64" s="353">
        <f>K64+L64</f>
        <v>0</v>
      </c>
      <c r="N64" s="353">
        <f>M64-J64</f>
        <v>0</v>
      </c>
      <c r="O64" s="353"/>
      <c r="P64" s="353"/>
      <c r="Q64" s="353"/>
      <c r="R64" s="353"/>
      <c r="S64" s="9"/>
      <c r="T64" s="353"/>
    </row>
    <row r="65" spans="2:20">
      <c r="B65" s="132">
        <v>2</v>
      </c>
      <c r="C65" s="9" t="s">
        <v>578</v>
      </c>
      <c r="D65" s="353"/>
      <c r="E65" s="451"/>
      <c r="F65" s="353">
        <f>E65-D65</f>
        <v>0</v>
      </c>
      <c r="G65" s="353"/>
      <c r="H65" s="353"/>
      <c r="I65" s="353">
        <f>H65-G65</f>
        <v>0</v>
      </c>
      <c r="J65" s="353"/>
      <c r="K65" s="353"/>
      <c r="L65" s="353"/>
      <c r="M65" s="353">
        <f>K65+L65</f>
        <v>0</v>
      </c>
      <c r="N65" s="353">
        <f>M65-J65</f>
        <v>0</v>
      </c>
      <c r="O65" s="353"/>
      <c r="P65" s="353"/>
      <c r="Q65" s="353"/>
      <c r="R65" s="353"/>
      <c r="S65" s="9"/>
      <c r="T65" s="353"/>
    </row>
    <row r="66" spans="2:20">
      <c r="B66" s="132">
        <v>3</v>
      </c>
      <c r="C66" s="9" t="s">
        <v>579</v>
      </c>
      <c r="D66" s="353"/>
      <c r="E66" s="451"/>
      <c r="F66" s="353">
        <f>E66-D66</f>
        <v>0</v>
      </c>
      <c r="G66" s="353"/>
      <c r="H66" s="353"/>
      <c r="I66" s="353">
        <f>H66-G66</f>
        <v>0</v>
      </c>
      <c r="J66" s="353"/>
      <c r="K66" s="353"/>
      <c r="L66" s="353"/>
      <c r="M66" s="353">
        <f>K66+L66</f>
        <v>0</v>
      </c>
      <c r="N66" s="353">
        <f>M66-J66</f>
        <v>0</v>
      </c>
      <c r="O66" s="353"/>
      <c r="P66" s="353"/>
      <c r="Q66" s="353"/>
      <c r="R66" s="353"/>
      <c r="S66" s="9"/>
      <c r="T66" s="353"/>
    </row>
    <row r="67" spans="2:20">
      <c r="B67" s="132" t="s">
        <v>477</v>
      </c>
      <c r="C67" s="9"/>
      <c r="D67" s="353"/>
      <c r="E67" s="451"/>
      <c r="F67" s="353">
        <f>E67-D67</f>
        <v>0</v>
      </c>
      <c r="G67" s="353"/>
      <c r="H67" s="353"/>
      <c r="I67" s="353">
        <f>H67-G67</f>
        <v>0</v>
      </c>
      <c r="J67" s="353"/>
      <c r="K67" s="353"/>
      <c r="L67" s="353"/>
      <c r="M67" s="353">
        <f>K67+L67</f>
        <v>0</v>
      </c>
      <c r="N67" s="353">
        <f>M67-J67</f>
        <v>0</v>
      </c>
      <c r="O67" s="353"/>
      <c r="P67" s="353"/>
      <c r="Q67" s="353"/>
      <c r="R67" s="353"/>
      <c r="S67" s="9"/>
      <c r="T67" s="353"/>
    </row>
  </sheetData>
  <mergeCells count="56">
    <mergeCell ref="D10:D13"/>
    <mergeCell ref="B24:B26"/>
    <mergeCell ref="C24:C26"/>
    <mergeCell ref="B61:B63"/>
    <mergeCell ref="C61:C63"/>
    <mergeCell ref="B59:J59"/>
    <mergeCell ref="B31:J31"/>
    <mergeCell ref="B33:B35"/>
    <mergeCell ref="C33:C35"/>
    <mergeCell ref="D33:D35"/>
    <mergeCell ref="E33:I33"/>
    <mergeCell ref="J33:J35"/>
    <mergeCell ref="D61:F61"/>
    <mergeCell ref="G61:I61"/>
    <mergeCell ref="D25:E25"/>
    <mergeCell ref="H25:I25"/>
    <mergeCell ref="B1:R1"/>
    <mergeCell ref="B2:R2"/>
    <mergeCell ref="B3:R3"/>
    <mergeCell ref="B5:U5"/>
    <mergeCell ref="B7:B9"/>
    <mergeCell ref="C7:C9"/>
    <mergeCell ref="D7:H7"/>
    <mergeCell ref="I7:I8"/>
    <mergeCell ref="K7:T7"/>
    <mergeCell ref="U7:U9"/>
    <mergeCell ref="K8:L8"/>
    <mergeCell ref="M8:N8"/>
    <mergeCell ref="O8:P8"/>
    <mergeCell ref="E10:E13"/>
    <mergeCell ref="M10:M12"/>
    <mergeCell ref="Z7:Z9"/>
    <mergeCell ref="X8:Y8"/>
    <mergeCell ref="Q8:R8"/>
    <mergeCell ref="S8:T8"/>
    <mergeCell ref="F10:F13"/>
    <mergeCell ref="G10:G13"/>
    <mergeCell ref="H10:H13"/>
    <mergeCell ref="I10:I13"/>
    <mergeCell ref="J10:J12"/>
    <mergeCell ref="P10:P12"/>
    <mergeCell ref="O10:O12"/>
    <mergeCell ref="N10:N12"/>
    <mergeCell ref="L10:L12"/>
    <mergeCell ref="K10:K12"/>
    <mergeCell ref="W33:W35"/>
    <mergeCell ref="S10:S12"/>
    <mergeCell ref="T10:T12"/>
    <mergeCell ref="Q10:Q12"/>
    <mergeCell ref="R10:R12"/>
    <mergeCell ref="F25:G25"/>
    <mergeCell ref="T61:T63"/>
    <mergeCell ref="J24:N24"/>
    <mergeCell ref="R33:V33"/>
    <mergeCell ref="O61:S61"/>
    <mergeCell ref="J61:N61"/>
  </mergeCells>
  <pageMargins left="0.70866141732283472" right="0.70866141732283472" top="0.74803149606299213" bottom="0.74803149606299213" header="0.31496062992125984" footer="0.31496062992125984"/>
  <pageSetup paperSize="9" scale="28"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2:M79"/>
  <sheetViews>
    <sheetView showGridLines="0" view="pageBreakPreview" zoomScale="75" zoomScaleNormal="75" zoomScaleSheetLayoutView="75" workbookViewId="0">
      <pane xSplit="3" ySplit="10" topLeftCell="D11" activePane="bottomRight" state="frozen"/>
      <selection activeCell="I25" sqref="I25"/>
      <selection pane="topRight" activeCell="I25" sqref="I25"/>
      <selection pane="bottomLeft" activeCell="I25" sqref="I25"/>
      <selection pane="bottomRight" activeCell="E64" sqref="E64"/>
    </sheetView>
  </sheetViews>
  <sheetFormatPr defaultColWidth="9.36328125" defaultRowHeight="14"/>
  <cols>
    <col min="1" max="1" width="6.6328125" style="14" customWidth="1"/>
    <col min="2" max="2" width="7" style="14" customWidth="1"/>
    <col min="3" max="3" width="47.81640625" style="14" bestFit="1" customWidth="1"/>
    <col min="4" max="5" width="16.6328125" style="14" customWidth="1"/>
    <col min="6" max="7" width="14.453125" style="14" customWidth="1"/>
    <col min="8" max="13" width="18" style="14" customWidth="1"/>
    <col min="14" max="14" width="13.6328125" style="14" customWidth="1"/>
    <col min="15" max="15" width="13.54296875" style="14" customWidth="1"/>
    <col min="16" max="16384" width="9.36328125" style="14"/>
  </cols>
  <sheetData>
    <row r="2" spans="2:13">
      <c r="B2" s="1776" t="str">
        <f>Index!B2</f>
        <v xml:space="preserve">      Maharashtra State Power Generation Company Ltd.</v>
      </c>
      <c r="C2" s="1814"/>
      <c r="D2" s="1814"/>
      <c r="E2" s="1814"/>
      <c r="F2" s="1814"/>
      <c r="G2" s="1814"/>
      <c r="H2" s="1814"/>
      <c r="I2" s="704"/>
      <c r="J2" s="704"/>
      <c r="K2" s="704"/>
      <c r="L2" s="704"/>
      <c r="M2" s="704"/>
    </row>
    <row r="3" spans="2:13" s="5" customFormat="1">
      <c r="B3" s="1776" t="str">
        <f>Index!B3</f>
        <v>MYT Petition Formats for Parli 8</v>
      </c>
      <c r="C3" s="1814"/>
      <c r="D3" s="1814"/>
      <c r="E3" s="1814"/>
      <c r="F3" s="1814"/>
      <c r="G3" s="1814"/>
      <c r="H3" s="1814"/>
      <c r="I3" s="704"/>
      <c r="J3" s="704"/>
      <c r="K3" s="704"/>
      <c r="L3" s="704"/>
      <c r="M3" s="704"/>
    </row>
    <row r="4" spans="2:13" s="5" customFormat="1">
      <c r="B4" s="1777" t="s">
        <v>186</v>
      </c>
      <c r="C4" s="1814"/>
      <c r="D4" s="1814"/>
      <c r="E4" s="1814"/>
      <c r="F4" s="1814"/>
      <c r="G4" s="1814"/>
      <c r="H4" s="1814"/>
      <c r="I4" s="704"/>
      <c r="J4" s="704"/>
      <c r="K4" s="704"/>
      <c r="L4" s="704"/>
      <c r="M4" s="704"/>
    </row>
    <row r="5" spans="2:13" s="5" customFormat="1">
      <c r="C5" s="19"/>
      <c r="D5" s="19"/>
      <c r="E5" s="19"/>
      <c r="F5" s="18"/>
      <c r="G5" s="18"/>
      <c r="H5" s="18"/>
      <c r="I5" s="18"/>
      <c r="J5" s="18"/>
      <c r="K5" s="18"/>
      <c r="L5" s="18"/>
      <c r="M5" s="18"/>
    </row>
    <row r="6" spans="2:13">
      <c r="B6" s="22" t="s">
        <v>187</v>
      </c>
    </row>
    <row r="7" spans="2:13">
      <c r="H7" s="21" t="s">
        <v>10</v>
      </c>
      <c r="I7" s="21"/>
      <c r="J7" s="21"/>
      <c r="K7" s="21"/>
      <c r="L7" s="21"/>
    </row>
    <row r="8" spans="2:13" ht="12.75" customHeight="1">
      <c r="B8" s="1781" t="s">
        <v>6</v>
      </c>
      <c r="C8" s="1781" t="s">
        <v>36</v>
      </c>
      <c r="D8" s="135" t="s">
        <v>508</v>
      </c>
      <c r="E8" s="297" t="s">
        <v>509</v>
      </c>
      <c r="F8" s="1770" t="s">
        <v>510</v>
      </c>
      <c r="G8" s="1770"/>
      <c r="H8" s="1770"/>
      <c r="I8" s="57"/>
      <c r="J8" s="1903"/>
    </row>
    <row r="9" spans="2:13" ht="28">
      <c r="B9" s="1781"/>
      <c r="C9" s="1781"/>
      <c r="D9" s="135" t="s">
        <v>78</v>
      </c>
      <c r="E9" s="297" t="s">
        <v>78</v>
      </c>
      <c r="F9" s="192" t="s">
        <v>445</v>
      </c>
      <c r="G9" s="211" t="s">
        <v>448</v>
      </c>
      <c r="H9" s="135" t="s">
        <v>79</v>
      </c>
      <c r="I9" s="12"/>
      <c r="J9" s="1903"/>
    </row>
    <row r="10" spans="2:13">
      <c r="B10" s="1904"/>
      <c r="C10" s="1781"/>
      <c r="D10" s="135" t="s">
        <v>80</v>
      </c>
      <c r="E10" s="297" t="s">
        <v>81</v>
      </c>
      <c r="F10" s="135" t="s">
        <v>391</v>
      </c>
      <c r="G10" s="135" t="s">
        <v>392</v>
      </c>
      <c r="H10" s="135" t="s">
        <v>393</v>
      </c>
      <c r="I10" s="12"/>
      <c r="J10" s="1903"/>
    </row>
    <row r="11" spans="2:13">
      <c r="B11" s="99">
        <v>1</v>
      </c>
      <c r="C11" s="9" t="s">
        <v>188</v>
      </c>
      <c r="D11" s="353">
        <v>28.084456515767201</v>
      </c>
      <c r="E11" s="353">
        <v>29.547597479</v>
      </c>
      <c r="F11" s="353">
        <v>14.843935789891498</v>
      </c>
      <c r="G11" s="353">
        <v>16.838255062847381</v>
      </c>
      <c r="H11" s="313">
        <f t="shared" ref="H11:H35" si="0">F11+G11</f>
        <v>31.682190852738877</v>
      </c>
      <c r="I11" s="64"/>
      <c r="J11" s="64"/>
    </row>
    <row r="12" spans="2:13">
      <c r="B12" s="99">
        <v>2</v>
      </c>
      <c r="C12" s="9" t="s">
        <v>189</v>
      </c>
      <c r="D12" s="353">
        <v>8.7219794062560005</v>
      </c>
      <c r="E12" s="353">
        <v>9.8383741870000012</v>
      </c>
      <c r="F12" s="353">
        <v>5.4583617996837352</v>
      </c>
      <c r="G12" s="353">
        <v>6.2960748384074101</v>
      </c>
      <c r="H12" s="313">
        <f t="shared" si="0"/>
        <v>11.754436638091146</v>
      </c>
      <c r="I12" s="64"/>
      <c r="J12" s="64"/>
    </row>
    <row r="13" spans="2:13">
      <c r="B13" s="99">
        <v>3</v>
      </c>
      <c r="C13" s="24" t="s">
        <v>825</v>
      </c>
      <c r="D13" s="313">
        <v>2.7603523271308004</v>
      </c>
      <c r="E13" s="313">
        <v>2.9768034559999998</v>
      </c>
      <c r="F13" s="313">
        <v>1.3853206475201487</v>
      </c>
      <c r="G13" s="313">
        <v>2.1020286016298932</v>
      </c>
      <c r="H13" s="313">
        <f t="shared" si="0"/>
        <v>3.487349249150042</v>
      </c>
      <c r="I13" s="64"/>
      <c r="J13" s="64"/>
    </row>
    <row r="14" spans="2:13">
      <c r="B14" s="99">
        <v>4</v>
      </c>
      <c r="C14" s="9" t="s">
        <v>190</v>
      </c>
      <c r="D14" s="353"/>
      <c r="E14" s="353"/>
      <c r="F14" s="353"/>
      <c r="G14" s="353"/>
      <c r="H14" s="313">
        <f t="shared" si="0"/>
        <v>0</v>
      </c>
      <c r="I14" s="64"/>
      <c r="J14" s="64"/>
    </row>
    <row r="15" spans="2:13">
      <c r="B15" s="99">
        <v>5</v>
      </c>
      <c r="C15" s="9" t="s">
        <v>191</v>
      </c>
      <c r="D15" s="353"/>
      <c r="E15" s="353"/>
      <c r="F15" s="353"/>
      <c r="G15" s="353"/>
      <c r="H15" s="313">
        <f t="shared" si="0"/>
        <v>0</v>
      </c>
      <c r="I15" s="64"/>
      <c r="J15" s="64"/>
    </row>
    <row r="16" spans="2:13">
      <c r="B16" s="99">
        <v>6</v>
      </c>
      <c r="C16" s="24" t="s">
        <v>192</v>
      </c>
      <c r="D16" s="313">
        <v>3.8442688456193745</v>
      </c>
      <c r="E16" s="313">
        <v>9.198039805089115</v>
      </c>
      <c r="F16" s="313">
        <v>1.9752679635739998</v>
      </c>
      <c r="G16" s="313">
        <v>2.2784189434439992</v>
      </c>
      <c r="H16" s="313">
        <f t="shared" si="0"/>
        <v>4.2536869070179986</v>
      </c>
      <c r="I16" s="64"/>
      <c r="J16" s="64"/>
    </row>
    <row r="17" spans="2:10">
      <c r="B17" s="99">
        <v>7</v>
      </c>
      <c r="C17" s="9" t="s">
        <v>193</v>
      </c>
      <c r="D17" s="353"/>
      <c r="E17" s="353"/>
      <c r="F17" s="353"/>
      <c r="G17" s="353"/>
      <c r="H17" s="313">
        <f t="shared" si="0"/>
        <v>0</v>
      </c>
      <c r="I17" s="64"/>
      <c r="J17" s="64"/>
    </row>
    <row r="18" spans="2:10">
      <c r="B18" s="99">
        <v>8</v>
      </c>
      <c r="C18" s="9" t="s">
        <v>194</v>
      </c>
      <c r="D18" s="353"/>
      <c r="E18" s="353"/>
      <c r="F18" s="353"/>
      <c r="G18" s="353"/>
      <c r="H18" s="313">
        <f t="shared" si="0"/>
        <v>0</v>
      </c>
      <c r="I18" s="64"/>
      <c r="J18" s="64"/>
    </row>
    <row r="19" spans="2:10">
      <c r="B19" s="99">
        <v>9</v>
      </c>
      <c r="C19" s="9" t="s">
        <v>195</v>
      </c>
      <c r="D19" s="353"/>
      <c r="E19" s="353"/>
      <c r="F19" s="353"/>
      <c r="G19" s="353"/>
      <c r="H19" s="313">
        <f t="shared" si="0"/>
        <v>0</v>
      </c>
      <c r="I19" s="64"/>
      <c r="J19" s="64"/>
    </row>
    <row r="20" spans="2:10">
      <c r="B20" s="99">
        <v>10</v>
      </c>
      <c r="C20" s="9" t="s">
        <v>196</v>
      </c>
      <c r="D20" s="353"/>
      <c r="E20" s="353"/>
      <c r="F20" s="353"/>
      <c r="G20" s="353"/>
      <c r="H20" s="313">
        <f t="shared" si="0"/>
        <v>0</v>
      </c>
      <c r="I20" s="64"/>
      <c r="J20" s="64"/>
    </row>
    <row r="21" spans="2:10">
      <c r="B21" s="99">
        <v>11</v>
      </c>
      <c r="C21" s="9" t="s">
        <v>197</v>
      </c>
      <c r="D21" s="353"/>
      <c r="E21" s="353"/>
      <c r="F21" s="353"/>
      <c r="G21" s="353"/>
      <c r="H21" s="313">
        <f t="shared" si="0"/>
        <v>0</v>
      </c>
      <c r="I21" s="64"/>
      <c r="J21" s="64"/>
    </row>
    <row r="22" spans="2:10">
      <c r="B22" s="99">
        <v>12</v>
      </c>
      <c r="C22" s="9" t="s">
        <v>198</v>
      </c>
      <c r="D22" s="353">
        <v>1.7584617736656003</v>
      </c>
      <c r="E22" s="353">
        <v>0.90500738266666658</v>
      </c>
      <c r="F22" s="353">
        <v>0.17582267177142857</v>
      </c>
      <c r="G22" s="353">
        <v>0.71873188662857146</v>
      </c>
      <c r="H22" s="313">
        <f t="shared" si="0"/>
        <v>0.89455455840000009</v>
      </c>
      <c r="I22" s="64"/>
      <c r="J22" s="64"/>
    </row>
    <row r="23" spans="2:10">
      <c r="B23" s="99">
        <v>13</v>
      </c>
      <c r="C23" s="9" t="s">
        <v>199</v>
      </c>
      <c r="D23" s="353"/>
      <c r="E23" s="353"/>
      <c r="F23" s="353"/>
      <c r="G23" s="353"/>
      <c r="H23" s="313">
        <f t="shared" si="0"/>
        <v>0</v>
      </c>
      <c r="I23" s="64"/>
      <c r="J23" s="64"/>
    </row>
    <row r="24" spans="2:10">
      <c r="B24" s="99">
        <v>14</v>
      </c>
      <c r="C24" s="9" t="s">
        <v>200</v>
      </c>
      <c r="D24" s="353"/>
      <c r="E24" s="353"/>
      <c r="F24" s="353"/>
      <c r="G24" s="353"/>
      <c r="H24" s="313">
        <f t="shared" si="0"/>
        <v>0</v>
      </c>
      <c r="I24" s="64"/>
      <c r="J24" s="64"/>
    </row>
    <row r="25" spans="2:10">
      <c r="B25" s="99">
        <v>15</v>
      </c>
      <c r="C25" s="9" t="s">
        <v>201</v>
      </c>
      <c r="D25" s="353"/>
      <c r="E25" s="353"/>
      <c r="F25" s="353"/>
      <c r="G25" s="353"/>
      <c r="H25" s="313">
        <f t="shared" si="0"/>
        <v>0</v>
      </c>
      <c r="I25" s="64"/>
      <c r="J25" s="64"/>
    </row>
    <row r="26" spans="2:10">
      <c r="B26" s="99">
        <v>16</v>
      </c>
      <c r="C26" s="9" t="s">
        <v>202</v>
      </c>
      <c r="D26" s="353"/>
      <c r="E26" s="353"/>
      <c r="F26" s="353"/>
      <c r="G26" s="353"/>
      <c r="H26" s="313">
        <f t="shared" si="0"/>
        <v>0</v>
      </c>
      <c r="I26" s="64"/>
      <c r="J26" s="64"/>
    </row>
    <row r="27" spans="2:10">
      <c r="B27" s="99">
        <v>17</v>
      </c>
      <c r="C27" s="9" t="s">
        <v>203</v>
      </c>
      <c r="D27" s="353"/>
      <c r="E27" s="353"/>
      <c r="F27" s="353"/>
      <c r="G27" s="353"/>
      <c r="H27" s="313">
        <f t="shared" si="0"/>
        <v>0</v>
      </c>
      <c r="I27" s="64"/>
      <c r="J27" s="64"/>
    </row>
    <row r="28" spans="2:10">
      <c r="B28" s="99">
        <v>18</v>
      </c>
      <c r="C28" s="9" t="s">
        <v>204</v>
      </c>
      <c r="D28" s="353"/>
      <c r="E28" s="353"/>
      <c r="F28" s="353"/>
      <c r="G28" s="353"/>
      <c r="H28" s="313">
        <f t="shared" si="0"/>
        <v>0</v>
      </c>
      <c r="I28" s="64"/>
      <c r="J28" s="64"/>
    </row>
    <row r="29" spans="2:10">
      <c r="B29" s="99">
        <f>+B28+0.1</f>
        <v>18.100000000000001</v>
      </c>
      <c r="C29" s="9" t="s">
        <v>205</v>
      </c>
      <c r="D29" s="353">
        <v>3.6674929095599995</v>
      </c>
      <c r="E29" s="353">
        <v>3.8280544999999999</v>
      </c>
      <c r="F29" s="353">
        <v>2.0036734367999998</v>
      </c>
      <c r="G29" s="353">
        <v>2.0045755367999996</v>
      </c>
      <c r="H29" s="313">
        <f t="shared" si="0"/>
        <v>4.0082489735999989</v>
      </c>
      <c r="I29" s="64"/>
      <c r="J29" s="64"/>
    </row>
    <row r="30" spans="2:10">
      <c r="B30" s="99">
        <f>+B29+0.1</f>
        <v>18.200000000000003</v>
      </c>
      <c r="C30" s="9" t="s">
        <v>206</v>
      </c>
      <c r="D30" s="353"/>
      <c r="E30" s="353"/>
      <c r="F30" s="353"/>
      <c r="G30" s="353"/>
      <c r="H30" s="313">
        <f t="shared" si="0"/>
        <v>0</v>
      </c>
      <c r="I30" s="64"/>
      <c r="J30" s="64"/>
    </row>
    <row r="31" spans="2:10">
      <c r="B31" s="99">
        <f>+B30+0.1</f>
        <v>18.300000000000004</v>
      </c>
      <c r="C31" s="9" t="s">
        <v>207</v>
      </c>
      <c r="D31" s="451"/>
      <c r="E31" s="451"/>
      <c r="F31" s="451"/>
      <c r="G31" s="451"/>
      <c r="H31" s="326">
        <f t="shared" si="0"/>
        <v>0</v>
      </c>
      <c r="I31" s="64"/>
      <c r="J31" s="64"/>
    </row>
    <row r="32" spans="2:10">
      <c r="B32" s="99">
        <f>+B31+0.1</f>
        <v>18.400000000000006</v>
      </c>
      <c r="C32" s="9" t="s">
        <v>208</v>
      </c>
      <c r="D32" s="451">
        <v>2.7131884829799517</v>
      </c>
      <c r="E32" s="451">
        <v>7.2764467711992626</v>
      </c>
      <c r="F32" s="451">
        <v>0.49976121334999946</v>
      </c>
      <c r="G32" s="451">
        <v>2.998567280099997</v>
      </c>
      <c r="H32" s="326">
        <f t="shared" si="0"/>
        <v>3.4983284934499963</v>
      </c>
      <c r="I32" s="64"/>
      <c r="J32" s="64"/>
    </row>
    <row r="33" spans="2:10">
      <c r="B33" s="99">
        <v>19</v>
      </c>
      <c r="C33" s="9" t="s">
        <v>209</v>
      </c>
      <c r="D33" s="451">
        <v>3.1086711433811143E-2</v>
      </c>
      <c r="E33" s="451">
        <v>0</v>
      </c>
      <c r="F33" s="451">
        <v>0</v>
      </c>
      <c r="G33" s="451">
        <v>0</v>
      </c>
      <c r="H33" s="326">
        <f t="shared" si="0"/>
        <v>0</v>
      </c>
      <c r="I33" s="64"/>
      <c r="J33" s="64"/>
    </row>
    <row r="34" spans="2:10" s="322" customFormat="1">
      <c r="B34" s="243">
        <v>20</v>
      </c>
      <c r="C34" s="3" t="s">
        <v>800</v>
      </c>
      <c r="D34" s="451">
        <v>1.2205597357628002</v>
      </c>
      <c r="E34" s="451">
        <v>1.0806155479999999</v>
      </c>
      <c r="F34" s="451">
        <v>0.64085135385600012</v>
      </c>
      <c r="G34" s="451">
        <v>0.64377185385600011</v>
      </c>
      <c r="H34" s="326">
        <f t="shared" si="0"/>
        <v>1.2846232077120003</v>
      </c>
      <c r="I34" s="64"/>
      <c r="J34" s="64"/>
    </row>
    <row r="35" spans="2:10" s="322" customFormat="1">
      <c r="B35" s="243">
        <v>21</v>
      </c>
      <c r="C35" s="3" t="s">
        <v>802</v>
      </c>
      <c r="D35" s="451">
        <v>2.7257026900287444</v>
      </c>
      <c r="E35" s="451">
        <v>6.0247314585721972</v>
      </c>
      <c r="F35" s="451">
        <v>0</v>
      </c>
      <c r="G35" s="451">
        <v>0</v>
      </c>
      <c r="H35" s="326">
        <f t="shared" si="0"/>
        <v>0</v>
      </c>
      <c r="I35" s="64"/>
      <c r="J35" s="64"/>
    </row>
    <row r="36" spans="2:10" s="322" customFormat="1">
      <c r="B36" s="321">
        <f>B35+1</f>
        <v>22</v>
      </c>
      <c r="C36" s="4" t="s">
        <v>210</v>
      </c>
      <c r="D36" s="452">
        <f>SUM(D11:D35)</f>
        <v>55.527549398204279</v>
      </c>
      <c r="E36" s="452">
        <f t="shared" ref="E36:H36" si="1">SUM(E11:E35)</f>
        <v>70.675670587527236</v>
      </c>
      <c r="F36" s="452">
        <f t="shared" si="1"/>
        <v>26.98299487644681</v>
      </c>
      <c r="G36" s="452">
        <f t="shared" si="1"/>
        <v>33.880424003713252</v>
      </c>
      <c r="H36" s="452">
        <f t="shared" si="1"/>
        <v>60.863418880160062</v>
      </c>
      <c r="I36" s="64"/>
      <c r="J36" s="64"/>
    </row>
    <row r="37" spans="2:10" s="322" customFormat="1">
      <c r="B37" s="321">
        <f>B36+1</f>
        <v>23</v>
      </c>
      <c r="C37" s="3" t="s">
        <v>34</v>
      </c>
      <c r="D37" s="451"/>
      <c r="E37" s="451"/>
      <c r="F37" s="326"/>
      <c r="G37" s="326"/>
      <c r="H37" s="313">
        <f>F37+G37</f>
        <v>0</v>
      </c>
      <c r="I37" s="64"/>
      <c r="J37" s="64"/>
    </row>
    <row r="38" spans="2:10" s="322" customFormat="1">
      <c r="B38" s="321">
        <f>B37+1</f>
        <v>24</v>
      </c>
      <c r="C38" s="538" t="s">
        <v>211</v>
      </c>
      <c r="D38" s="368">
        <f t="shared" ref="D38:G38" si="2">D36-D37</f>
        <v>55.527549398204279</v>
      </c>
      <c r="E38" s="368">
        <f t="shared" si="2"/>
        <v>70.675670587527236</v>
      </c>
      <c r="F38" s="368">
        <f t="shared" si="2"/>
        <v>26.98299487644681</v>
      </c>
      <c r="G38" s="368">
        <f t="shared" si="2"/>
        <v>33.880424003713252</v>
      </c>
      <c r="H38" s="368">
        <f>H36-H37</f>
        <v>60.863418880160062</v>
      </c>
      <c r="I38" s="64"/>
      <c r="J38" s="64"/>
    </row>
    <row r="39" spans="2:10" s="322" customFormat="1">
      <c r="B39" s="627">
        <f>B38+1</f>
        <v>25</v>
      </c>
      <c r="C39" s="322" t="s">
        <v>944</v>
      </c>
      <c r="D39" s="326">
        <f>SUM('F13'!P17:P19)</f>
        <v>0</v>
      </c>
      <c r="E39" s="326">
        <f>SUM('F13'!P46:P47)</f>
        <v>0</v>
      </c>
      <c r="F39" s="326"/>
      <c r="G39" s="326"/>
      <c r="H39" s="326"/>
    </row>
    <row r="40" spans="2:10" s="322" customFormat="1">
      <c r="B40" s="321">
        <f>B39+1</f>
        <v>26</v>
      </c>
      <c r="C40" s="246" t="s">
        <v>926</v>
      </c>
      <c r="D40" s="512">
        <f>SUM(D38:D39)</f>
        <v>55.527549398204279</v>
      </c>
      <c r="E40" s="512">
        <f t="shared" ref="E40:G40" si="3">SUM(E38:E39)</f>
        <v>70.675670587527236</v>
      </c>
      <c r="F40" s="512">
        <f t="shared" si="3"/>
        <v>26.98299487644681</v>
      </c>
      <c r="G40" s="512">
        <f t="shared" si="3"/>
        <v>33.880424003713252</v>
      </c>
      <c r="H40" s="512">
        <f>SUM(H38:H39)</f>
        <v>60.863418880160062</v>
      </c>
    </row>
    <row r="41" spans="2:10" s="322" customFormat="1">
      <c r="B41" s="592"/>
      <c r="D41" s="593"/>
      <c r="E41" s="593"/>
      <c r="H41" s="593"/>
    </row>
    <row r="42" spans="2:10">
      <c r="D42" s="518"/>
      <c r="E42" s="518"/>
    </row>
    <row r="43" spans="2:10">
      <c r="B43" s="22" t="s">
        <v>212</v>
      </c>
    </row>
    <row r="44" spans="2:10">
      <c r="H44" s="22" t="s">
        <v>606</v>
      </c>
    </row>
    <row r="45" spans="2:10" ht="15" customHeight="1">
      <c r="B45" s="1781" t="s">
        <v>340</v>
      </c>
      <c r="C45" s="1781" t="s">
        <v>36</v>
      </c>
      <c r="D45" s="698" t="s">
        <v>508</v>
      </c>
      <c r="E45" s="698" t="s">
        <v>509</v>
      </c>
      <c r="F45" s="1770" t="s">
        <v>510</v>
      </c>
      <c r="G45" s="1770"/>
      <c r="H45" s="1770"/>
    </row>
    <row r="46" spans="2:10" ht="28">
      <c r="B46" s="1781"/>
      <c r="C46" s="1781"/>
      <c r="D46" s="297" t="s">
        <v>78</v>
      </c>
      <c r="E46" s="297" t="s">
        <v>78</v>
      </c>
      <c r="F46" s="297" t="s">
        <v>445</v>
      </c>
      <c r="G46" s="297" t="s">
        <v>448</v>
      </c>
      <c r="H46" s="297" t="s">
        <v>79</v>
      </c>
    </row>
    <row r="47" spans="2:10">
      <c r="B47" s="1781"/>
      <c r="C47" s="1781"/>
      <c r="D47" s="297" t="s">
        <v>80</v>
      </c>
      <c r="E47" s="297" t="s">
        <v>81</v>
      </c>
      <c r="F47" s="297" t="s">
        <v>391</v>
      </c>
      <c r="G47" s="297" t="s">
        <v>392</v>
      </c>
      <c r="H47" s="297" t="s">
        <v>393</v>
      </c>
    </row>
    <row r="48" spans="2:10">
      <c r="B48" s="24"/>
      <c r="C48" s="24"/>
      <c r="D48" s="24"/>
      <c r="E48" s="24"/>
      <c r="F48" s="24"/>
      <c r="G48" s="24"/>
      <c r="H48" s="24"/>
    </row>
    <row r="49" spans="2:8">
      <c r="B49" s="100" t="s">
        <v>171</v>
      </c>
      <c r="C49" s="27" t="s">
        <v>213</v>
      </c>
      <c r="D49" s="332"/>
      <c r="E49" s="332"/>
      <c r="F49" s="313"/>
      <c r="G49" s="313"/>
      <c r="H49" s="313">
        <f>F49+G49</f>
        <v>0</v>
      </c>
    </row>
    <row r="50" spans="2:8">
      <c r="B50" s="95">
        <v>1</v>
      </c>
      <c r="C50" s="185" t="s">
        <v>214</v>
      </c>
      <c r="D50" s="885">
        <v>5</v>
      </c>
      <c r="E50" s="885">
        <v>8</v>
      </c>
      <c r="F50" s="1307">
        <f>E50</f>
        <v>8</v>
      </c>
      <c r="G50" s="1307">
        <f>E50</f>
        <v>8</v>
      </c>
      <c r="H50" s="1307">
        <f>E50</f>
        <v>8</v>
      </c>
    </row>
    <row r="51" spans="2:8">
      <c r="B51" s="95">
        <v>2</v>
      </c>
      <c r="C51" s="185" t="s">
        <v>215</v>
      </c>
      <c r="D51" s="885">
        <v>0</v>
      </c>
      <c r="E51" s="885">
        <v>0</v>
      </c>
      <c r="F51" s="1307">
        <f t="shared" ref="F51:F78" si="4">E51</f>
        <v>0</v>
      </c>
      <c r="G51" s="1307">
        <f t="shared" ref="G51:G78" si="5">E51</f>
        <v>0</v>
      </c>
      <c r="H51" s="1307">
        <f t="shared" ref="H51:H78" si="6">E51</f>
        <v>0</v>
      </c>
    </row>
    <row r="52" spans="2:8">
      <c r="B52" s="95">
        <v>3</v>
      </c>
      <c r="C52" s="185" t="s">
        <v>216</v>
      </c>
      <c r="D52" s="885">
        <v>0</v>
      </c>
      <c r="E52" s="885">
        <v>0</v>
      </c>
      <c r="F52" s="1307">
        <f t="shared" si="4"/>
        <v>0</v>
      </c>
      <c r="G52" s="1307">
        <f t="shared" si="5"/>
        <v>0</v>
      </c>
      <c r="H52" s="1307">
        <f t="shared" si="6"/>
        <v>0</v>
      </c>
    </row>
    <row r="53" spans="2:8">
      <c r="B53" s="95">
        <v>4</v>
      </c>
      <c r="C53" s="185" t="s">
        <v>217</v>
      </c>
      <c r="D53" s="885">
        <v>7</v>
      </c>
      <c r="E53" s="885">
        <v>3</v>
      </c>
      <c r="F53" s="1307">
        <f t="shared" si="4"/>
        <v>3</v>
      </c>
      <c r="G53" s="1307">
        <f t="shared" si="5"/>
        <v>3</v>
      </c>
      <c r="H53" s="1307">
        <f t="shared" si="6"/>
        <v>3</v>
      </c>
    </row>
    <row r="54" spans="2:8">
      <c r="B54" s="95"/>
      <c r="C54" s="185"/>
      <c r="D54" s="886"/>
      <c r="E54" s="886"/>
      <c r="F54" s="1307">
        <f t="shared" si="4"/>
        <v>0</v>
      </c>
      <c r="G54" s="1307">
        <f t="shared" si="5"/>
        <v>0</v>
      </c>
      <c r="H54" s="1307">
        <f t="shared" si="6"/>
        <v>0</v>
      </c>
    </row>
    <row r="55" spans="2:8">
      <c r="B55" s="186" t="s">
        <v>184</v>
      </c>
      <c r="C55" s="148" t="s">
        <v>218</v>
      </c>
      <c r="D55" s="887"/>
      <c r="E55" s="887"/>
      <c r="F55" s="1307">
        <f t="shared" si="4"/>
        <v>0</v>
      </c>
      <c r="G55" s="1307">
        <f t="shared" si="5"/>
        <v>0</v>
      </c>
      <c r="H55" s="1307">
        <f t="shared" si="6"/>
        <v>0</v>
      </c>
    </row>
    <row r="56" spans="2:8">
      <c r="B56" s="95">
        <v>5</v>
      </c>
      <c r="C56" s="148" t="s">
        <v>214</v>
      </c>
      <c r="D56" s="885"/>
      <c r="E56" s="885"/>
      <c r="F56" s="1307">
        <f t="shared" si="4"/>
        <v>0</v>
      </c>
      <c r="G56" s="1307">
        <f t="shared" si="5"/>
        <v>0</v>
      </c>
      <c r="H56" s="1307">
        <f t="shared" si="6"/>
        <v>0</v>
      </c>
    </row>
    <row r="57" spans="2:8">
      <c r="B57" s="95">
        <f>+B56+0.1</f>
        <v>5.0999999999999996</v>
      </c>
      <c r="C57" s="185" t="s">
        <v>219</v>
      </c>
      <c r="D57" s="885">
        <v>14</v>
      </c>
      <c r="E57" s="885">
        <v>15</v>
      </c>
      <c r="F57" s="1307">
        <f t="shared" si="4"/>
        <v>15</v>
      </c>
      <c r="G57" s="1307">
        <f t="shared" si="5"/>
        <v>15</v>
      </c>
      <c r="H57" s="1307">
        <f t="shared" si="6"/>
        <v>15</v>
      </c>
    </row>
    <row r="58" spans="2:8">
      <c r="B58" s="95">
        <f>+B57+0.1</f>
        <v>5.1999999999999993</v>
      </c>
      <c r="C58" s="185" t="s">
        <v>220</v>
      </c>
      <c r="D58" s="885">
        <v>55</v>
      </c>
      <c r="E58" s="885">
        <v>52</v>
      </c>
      <c r="F58" s="1307">
        <f t="shared" si="4"/>
        <v>52</v>
      </c>
      <c r="G58" s="1307">
        <f t="shared" si="5"/>
        <v>52</v>
      </c>
      <c r="H58" s="1307">
        <f t="shared" si="6"/>
        <v>52</v>
      </c>
    </row>
    <row r="59" spans="2:8">
      <c r="B59" s="95">
        <f>+B58+0.1</f>
        <v>5.2999999999999989</v>
      </c>
      <c r="C59" s="185" t="s">
        <v>221</v>
      </c>
      <c r="D59" s="885">
        <v>192</v>
      </c>
      <c r="E59" s="885">
        <v>185</v>
      </c>
      <c r="F59" s="1307">
        <f t="shared" si="4"/>
        <v>185</v>
      </c>
      <c r="G59" s="1307">
        <f t="shared" si="5"/>
        <v>185</v>
      </c>
      <c r="H59" s="1307">
        <f t="shared" si="6"/>
        <v>185</v>
      </c>
    </row>
    <row r="60" spans="2:8">
      <c r="B60" s="95">
        <f>+B59+0.1</f>
        <v>5.3999999999999986</v>
      </c>
      <c r="C60" s="185" t="s">
        <v>222</v>
      </c>
      <c r="D60" s="886">
        <v>0</v>
      </c>
      <c r="E60" s="886">
        <v>1</v>
      </c>
      <c r="F60" s="1307">
        <f t="shared" si="4"/>
        <v>1</v>
      </c>
      <c r="G60" s="1307">
        <f t="shared" si="5"/>
        <v>1</v>
      </c>
      <c r="H60" s="1307">
        <f t="shared" si="6"/>
        <v>1</v>
      </c>
    </row>
    <row r="61" spans="2:8">
      <c r="B61" s="95"/>
      <c r="C61" s="185"/>
      <c r="D61" s="887"/>
      <c r="E61" s="887"/>
      <c r="F61" s="1307">
        <f t="shared" si="4"/>
        <v>0</v>
      </c>
      <c r="G61" s="1307">
        <f t="shared" si="5"/>
        <v>0</v>
      </c>
      <c r="H61" s="1307">
        <f t="shared" si="6"/>
        <v>0</v>
      </c>
    </row>
    <row r="62" spans="2:8">
      <c r="B62" s="95">
        <v>6</v>
      </c>
      <c r="C62" s="148" t="s">
        <v>215</v>
      </c>
      <c r="D62" s="885"/>
      <c r="E62" s="885"/>
      <c r="F62" s="1307">
        <f t="shared" si="4"/>
        <v>0</v>
      </c>
      <c r="G62" s="1307">
        <f t="shared" si="5"/>
        <v>0</v>
      </c>
      <c r="H62" s="1307">
        <f t="shared" si="6"/>
        <v>0</v>
      </c>
    </row>
    <row r="63" spans="2:8">
      <c r="B63" s="95">
        <f>+B62+0.1</f>
        <v>6.1</v>
      </c>
      <c r="C63" s="185" t="s">
        <v>219</v>
      </c>
      <c r="D63" s="885">
        <v>0</v>
      </c>
      <c r="E63" s="885">
        <v>0</v>
      </c>
      <c r="F63" s="1307">
        <f t="shared" si="4"/>
        <v>0</v>
      </c>
      <c r="G63" s="1307">
        <f t="shared" si="5"/>
        <v>0</v>
      </c>
      <c r="H63" s="1307">
        <f t="shared" si="6"/>
        <v>0</v>
      </c>
    </row>
    <row r="64" spans="2:8">
      <c r="B64" s="95">
        <f>+B63+0.1</f>
        <v>6.1999999999999993</v>
      </c>
      <c r="C64" s="185" t="s">
        <v>220</v>
      </c>
      <c r="D64" s="885">
        <v>0</v>
      </c>
      <c r="E64" s="885">
        <v>0</v>
      </c>
      <c r="F64" s="1307">
        <f t="shared" si="4"/>
        <v>0</v>
      </c>
      <c r="G64" s="1307">
        <f t="shared" si="5"/>
        <v>0</v>
      </c>
      <c r="H64" s="1307">
        <f t="shared" si="6"/>
        <v>0</v>
      </c>
    </row>
    <row r="65" spans="2:8">
      <c r="B65" s="95">
        <f>+B64+0.1</f>
        <v>6.2999999999999989</v>
      </c>
      <c r="C65" s="185" t="s">
        <v>221</v>
      </c>
      <c r="D65" s="885">
        <v>0</v>
      </c>
      <c r="E65" s="885">
        <v>0</v>
      </c>
      <c r="F65" s="1307">
        <f t="shared" si="4"/>
        <v>0</v>
      </c>
      <c r="G65" s="1307">
        <f t="shared" si="5"/>
        <v>0</v>
      </c>
      <c r="H65" s="1307">
        <f t="shared" si="6"/>
        <v>0</v>
      </c>
    </row>
    <row r="66" spans="2:8">
      <c r="B66" s="95">
        <f>+B65+0.1</f>
        <v>6.3999999999999986</v>
      </c>
      <c r="C66" s="185" t="s">
        <v>222</v>
      </c>
      <c r="D66" s="885">
        <v>0</v>
      </c>
      <c r="E66" s="885">
        <v>0</v>
      </c>
      <c r="F66" s="1307">
        <f t="shared" si="4"/>
        <v>0</v>
      </c>
      <c r="G66" s="1307">
        <f t="shared" si="5"/>
        <v>0</v>
      </c>
      <c r="H66" s="1307">
        <f t="shared" si="6"/>
        <v>0</v>
      </c>
    </row>
    <row r="67" spans="2:8">
      <c r="B67" s="95"/>
      <c r="C67" s="185"/>
      <c r="D67" s="887"/>
      <c r="E67" s="887"/>
      <c r="F67" s="1307">
        <f t="shared" si="4"/>
        <v>0</v>
      </c>
      <c r="G67" s="1307">
        <f t="shared" si="5"/>
        <v>0</v>
      </c>
      <c r="H67" s="1307">
        <f t="shared" si="6"/>
        <v>0</v>
      </c>
    </row>
    <row r="68" spans="2:8">
      <c r="B68" s="95">
        <v>7</v>
      </c>
      <c r="C68" s="148" t="s">
        <v>216</v>
      </c>
      <c r="D68" s="885"/>
      <c r="E68" s="885"/>
      <c r="F68" s="1307">
        <f t="shared" si="4"/>
        <v>0</v>
      </c>
      <c r="G68" s="1307">
        <f t="shared" si="5"/>
        <v>0</v>
      </c>
      <c r="H68" s="1307">
        <f t="shared" si="6"/>
        <v>0</v>
      </c>
    </row>
    <row r="69" spans="2:8">
      <c r="B69" s="95">
        <f>+B68+0.1</f>
        <v>7.1</v>
      </c>
      <c r="C69" s="185" t="s">
        <v>219</v>
      </c>
      <c r="D69" s="885">
        <v>0</v>
      </c>
      <c r="E69" s="885">
        <v>0</v>
      </c>
      <c r="F69" s="1307">
        <f t="shared" si="4"/>
        <v>0</v>
      </c>
      <c r="G69" s="1307">
        <f t="shared" si="5"/>
        <v>0</v>
      </c>
      <c r="H69" s="1307">
        <f t="shared" si="6"/>
        <v>0</v>
      </c>
    </row>
    <row r="70" spans="2:8">
      <c r="B70" s="95">
        <f>+B69+0.1</f>
        <v>7.1999999999999993</v>
      </c>
      <c r="C70" s="185" t="s">
        <v>220</v>
      </c>
      <c r="D70" s="885">
        <v>0</v>
      </c>
      <c r="E70" s="885">
        <v>0</v>
      </c>
      <c r="F70" s="1307">
        <f t="shared" si="4"/>
        <v>0</v>
      </c>
      <c r="G70" s="1307">
        <f t="shared" si="5"/>
        <v>0</v>
      </c>
      <c r="H70" s="1307">
        <f t="shared" si="6"/>
        <v>0</v>
      </c>
    </row>
    <row r="71" spans="2:8">
      <c r="B71" s="95">
        <f>+B70+0.1</f>
        <v>7.2999999999999989</v>
      </c>
      <c r="C71" s="185" t="s">
        <v>221</v>
      </c>
      <c r="D71" s="885">
        <v>0</v>
      </c>
      <c r="E71" s="885">
        <v>0</v>
      </c>
      <c r="F71" s="1307">
        <f t="shared" si="4"/>
        <v>0</v>
      </c>
      <c r="G71" s="1307">
        <f t="shared" si="5"/>
        <v>0</v>
      </c>
      <c r="H71" s="1307">
        <f t="shared" si="6"/>
        <v>0</v>
      </c>
    </row>
    <row r="72" spans="2:8">
      <c r="B72" s="95">
        <f>+B71+0.1</f>
        <v>7.3999999999999986</v>
      </c>
      <c r="C72" s="185" t="s">
        <v>222</v>
      </c>
      <c r="D72" s="885">
        <v>0</v>
      </c>
      <c r="E72" s="885">
        <v>0</v>
      </c>
      <c r="F72" s="1307">
        <f t="shared" si="4"/>
        <v>0</v>
      </c>
      <c r="G72" s="1307">
        <f t="shared" si="5"/>
        <v>0</v>
      </c>
      <c r="H72" s="1307">
        <f t="shared" si="6"/>
        <v>0</v>
      </c>
    </row>
    <row r="73" spans="2:8">
      <c r="B73" s="95"/>
      <c r="C73" s="185"/>
      <c r="D73" s="886"/>
      <c r="E73" s="886"/>
      <c r="F73" s="1307">
        <f t="shared" si="4"/>
        <v>0</v>
      </c>
      <c r="G73" s="1307">
        <f t="shared" si="5"/>
        <v>0</v>
      </c>
      <c r="H73" s="1307">
        <f t="shared" si="6"/>
        <v>0</v>
      </c>
    </row>
    <row r="74" spans="2:8">
      <c r="B74" s="95">
        <v>8</v>
      </c>
      <c r="C74" s="148" t="s">
        <v>223</v>
      </c>
      <c r="D74" s="887"/>
      <c r="E74" s="887"/>
      <c r="F74" s="1307">
        <f t="shared" si="4"/>
        <v>0</v>
      </c>
      <c r="G74" s="1307">
        <f t="shared" si="5"/>
        <v>0</v>
      </c>
      <c r="H74" s="1307">
        <f t="shared" si="6"/>
        <v>0</v>
      </c>
    </row>
    <row r="75" spans="2:8">
      <c r="B75" s="95">
        <f>+B74+0.1</f>
        <v>8.1</v>
      </c>
      <c r="C75" s="185" t="s">
        <v>219</v>
      </c>
      <c r="D75" s="885">
        <v>5</v>
      </c>
      <c r="E75" s="885">
        <v>3</v>
      </c>
      <c r="F75" s="1307">
        <f t="shared" si="4"/>
        <v>3</v>
      </c>
      <c r="G75" s="1307">
        <f t="shared" si="5"/>
        <v>3</v>
      </c>
      <c r="H75" s="1307">
        <f t="shared" si="6"/>
        <v>3</v>
      </c>
    </row>
    <row r="76" spans="2:8">
      <c r="B76" s="95">
        <f>+B75+0.1</f>
        <v>8.1999999999999993</v>
      </c>
      <c r="C76" s="185" t="s">
        <v>220</v>
      </c>
      <c r="D76" s="885">
        <v>20</v>
      </c>
      <c r="E76" s="885">
        <v>14</v>
      </c>
      <c r="F76" s="1307">
        <f t="shared" si="4"/>
        <v>14</v>
      </c>
      <c r="G76" s="1307">
        <f t="shared" si="5"/>
        <v>14</v>
      </c>
      <c r="H76" s="1307">
        <f t="shared" si="6"/>
        <v>14</v>
      </c>
    </row>
    <row r="77" spans="2:8">
      <c r="B77" s="95">
        <f>+B76+0.1</f>
        <v>8.2999999999999989</v>
      </c>
      <c r="C77" s="185" t="s">
        <v>221</v>
      </c>
      <c r="D77" s="885">
        <v>7</v>
      </c>
      <c r="E77" s="885">
        <v>27</v>
      </c>
      <c r="F77" s="1307">
        <f t="shared" si="4"/>
        <v>27</v>
      </c>
      <c r="G77" s="1307">
        <f t="shared" si="5"/>
        <v>27</v>
      </c>
      <c r="H77" s="1307">
        <f t="shared" si="6"/>
        <v>27</v>
      </c>
    </row>
    <row r="78" spans="2:8">
      <c r="B78" s="95">
        <f>+B77+0.1</f>
        <v>8.3999999999999986</v>
      </c>
      <c r="C78" s="185" t="s">
        <v>222</v>
      </c>
      <c r="D78" s="885">
        <v>8</v>
      </c>
      <c r="E78" s="885">
        <v>7</v>
      </c>
      <c r="F78" s="1307">
        <f t="shared" si="4"/>
        <v>7</v>
      </c>
      <c r="G78" s="1307">
        <f t="shared" si="5"/>
        <v>7</v>
      </c>
      <c r="H78" s="1307">
        <f t="shared" si="6"/>
        <v>7</v>
      </c>
    </row>
    <row r="79" spans="2:8">
      <c r="B79" s="187"/>
      <c r="C79" s="13" t="s">
        <v>224</v>
      </c>
      <c r="D79" s="888">
        <f>SUM(D57:D78)</f>
        <v>301</v>
      </c>
      <c r="E79" s="888">
        <f>SUM(E57:E78)</f>
        <v>304</v>
      </c>
      <c r="F79" s="888">
        <f t="shared" ref="F79:H79" si="7">SUM(F57:F78)</f>
        <v>304</v>
      </c>
      <c r="G79" s="888">
        <f t="shared" si="7"/>
        <v>304</v>
      </c>
      <c r="H79" s="888">
        <f t="shared" si="7"/>
        <v>304</v>
      </c>
    </row>
  </sheetData>
  <mergeCells count="10">
    <mergeCell ref="J8:J10"/>
    <mergeCell ref="B45:B47"/>
    <mergeCell ref="C45:C47"/>
    <mergeCell ref="F45:H45"/>
    <mergeCell ref="B2:H2"/>
    <mergeCell ref="B3:H3"/>
    <mergeCell ref="B4:H4"/>
    <mergeCell ref="B8:B10"/>
    <mergeCell ref="C8:C10"/>
    <mergeCell ref="F8:H8"/>
  </mergeCells>
  <pageMargins left="0.75" right="0.75" top="1" bottom="1" header="0.5" footer="0.5"/>
  <pageSetup paperSize="9" scale="65" fitToHeight="0" orientation="landscape" r:id="rId1"/>
  <headerFooter alignWithMargins="0"/>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B2:M46"/>
  <sheetViews>
    <sheetView showGridLines="0" view="pageBreakPreview" zoomScale="75" zoomScaleNormal="80" zoomScaleSheetLayoutView="90" workbookViewId="0">
      <pane xSplit="3" ySplit="9" topLeftCell="D23" activePane="bottomRight" state="frozen"/>
      <selection activeCell="I25" sqref="I25"/>
      <selection pane="topRight" activeCell="I25" sqref="I25"/>
      <selection pane="bottomLeft" activeCell="I25" sqref="I25"/>
      <selection pane="bottomRight" activeCell="K35" sqref="K35"/>
    </sheetView>
  </sheetViews>
  <sheetFormatPr defaultColWidth="9.36328125" defaultRowHeight="14"/>
  <cols>
    <col min="1" max="1" width="6.6328125" style="14" customWidth="1"/>
    <col min="2" max="2" width="7" style="98" customWidth="1"/>
    <col min="3" max="3" width="44.36328125" style="14" customWidth="1"/>
    <col min="4" max="4" width="23.81640625" style="14" customWidth="1"/>
    <col min="5" max="12" width="15.6328125" style="14" customWidth="1"/>
    <col min="13" max="13" width="14.6328125" style="14" customWidth="1"/>
    <col min="14" max="16384" width="9.36328125" style="14"/>
  </cols>
  <sheetData>
    <row r="2" spans="2:13">
      <c r="B2" s="1776" t="str">
        <f>Index!B2</f>
        <v xml:space="preserve">      Maharashtra State Power Generation Company Ltd.</v>
      </c>
      <c r="C2" s="1814"/>
      <c r="D2" s="1814"/>
      <c r="E2" s="1814"/>
      <c r="F2" s="1814"/>
      <c r="G2" s="1814"/>
      <c r="H2" s="1814"/>
      <c r="I2" s="1814"/>
      <c r="J2" s="1814"/>
      <c r="K2" s="1814"/>
      <c r="L2" s="1814"/>
      <c r="M2" s="1814"/>
    </row>
    <row r="3" spans="2:13" s="5" customFormat="1">
      <c r="B3" s="1776" t="str">
        <f>Index!B3</f>
        <v>MYT Petition Formats for Parli 8</v>
      </c>
      <c r="C3" s="1814"/>
      <c r="D3" s="1814"/>
      <c r="E3" s="1814"/>
      <c r="F3" s="1814"/>
      <c r="G3" s="1814"/>
      <c r="H3" s="1814"/>
      <c r="I3" s="1814"/>
      <c r="J3" s="1814"/>
      <c r="K3" s="1814"/>
      <c r="L3" s="1814"/>
      <c r="M3" s="1814"/>
    </row>
    <row r="4" spans="2:13" s="5" customFormat="1">
      <c r="B4" s="1777" t="s">
        <v>225</v>
      </c>
      <c r="C4" s="1814"/>
      <c r="D4" s="1814"/>
      <c r="E4" s="1814"/>
      <c r="F4" s="1814"/>
      <c r="G4" s="1814"/>
      <c r="H4" s="1814"/>
      <c r="I4" s="1814"/>
      <c r="J4" s="1814"/>
      <c r="K4" s="1814"/>
      <c r="L4" s="1814"/>
      <c r="M4" s="1814"/>
    </row>
    <row r="6" spans="2:13">
      <c r="H6" s="21" t="s">
        <v>10</v>
      </c>
    </row>
    <row r="7" spans="2:13" ht="12.75" customHeight="1">
      <c r="B7" s="1770" t="s">
        <v>340</v>
      </c>
      <c r="C7" s="1781" t="s">
        <v>36</v>
      </c>
      <c r="D7" s="297" t="s">
        <v>508</v>
      </c>
      <c r="E7" s="297" t="s">
        <v>509</v>
      </c>
      <c r="F7" s="1770" t="s">
        <v>510</v>
      </c>
      <c r="G7" s="1770"/>
      <c r="H7" s="1770"/>
    </row>
    <row r="8" spans="2:13" ht="28">
      <c r="B8" s="1770"/>
      <c r="C8" s="1781"/>
      <c r="D8" s="457" t="s">
        <v>965</v>
      </c>
      <c r="E8" s="297" t="s">
        <v>78</v>
      </c>
      <c r="F8" s="297" t="s">
        <v>445</v>
      </c>
      <c r="G8" s="297" t="s">
        <v>448</v>
      </c>
      <c r="H8" s="297" t="s">
        <v>79</v>
      </c>
    </row>
    <row r="9" spans="2:13">
      <c r="B9" s="1770"/>
      <c r="C9" s="1781"/>
      <c r="D9" s="297" t="s">
        <v>80</v>
      </c>
      <c r="E9" s="297" t="s">
        <v>81</v>
      </c>
      <c r="F9" s="297" t="s">
        <v>391</v>
      </c>
      <c r="G9" s="297" t="s">
        <v>392</v>
      </c>
      <c r="H9" s="297" t="s">
        <v>393</v>
      </c>
    </row>
    <row r="10" spans="2:13">
      <c r="B10" s="99"/>
      <c r="C10" s="24"/>
      <c r="D10" s="24"/>
      <c r="E10" s="24"/>
      <c r="F10" s="24"/>
      <c r="G10" s="24"/>
      <c r="H10" s="24"/>
    </row>
    <row r="11" spans="2:13">
      <c r="B11" s="99">
        <v>1</v>
      </c>
      <c r="C11" s="24" t="s">
        <v>828</v>
      </c>
      <c r="D11" s="313">
        <v>0</v>
      </c>
      <c r="E11" s="313">
        <v>0.5288368588561716</v>
      </c>
      <c r="F11" s="313">
        <v>0</v>
      </c>
      <c r="G11" s="313">
        <v>0</v>
      </c>
      <c r="H11" s="313">
        <f>F11+G11</f>
        <v>0</v>
      </c>
    </row>
    <row r="12" spans="2:13">
      <c r="B12" s="99">
        <f>B11+1</f>
        <v>2</v>
      </c>
      <c r="C12" s="28" t="s">
        <v>226</v>
      </c>
      <c r="D12" s="313">
        <v>0.32511499999999999</v>
      </c>
      <c r="E12" s="313">
        <v>0.31938939999999999</v>
      </c>
      <c r="F12" s="313">
        <v>4.7908410000000005E-2</v>
      </c>
      <c r="G12" s="313">
        <v>0.28745046000000002</v>
      </c>
      <c r="H12" s="313">
        <f>F12+G12</f>
        <v>0.33535887000000003</v>
      </c>
    </row>
    <row r="13" spans="2:13">
      <c r="B13" s="99">
        <f t="shared" ref="B13:B46" si="0">B12+1</f>
        <v>3</v>
      </c>
      <c r="C13" s="26" t="s">
        <v>227</v>
      </c>
      <c r="D13" s="313">
        <v>0.25903280000000001</v>
      </c>
      <c r="E13" s="313">
        <v>0.74525133333333327</v>
      </c>
      <c r="F13" s="313">
        <v>0.51079520714285709</v>
      </c>
      <c r="G13" s="313">
        <v>0.26813504285714262</v>
      </c>
      <c r="H13" s="313">
        <f>F13+G13</f>
        <v>0.77893024999999971</v>
      </c>
    </row>
    <row r="14" spans="2:13">
      <c r="B14" s="99">
        <f t="shared" si="0"/>
        <v>4</v>
      </c>
      <c r="C14" s="26" t="s">
        <v>228</v>
      </c>
      <c r="D14" s="313">
        <v>8.0024717666666689E-2</v>
      </c>
      <c r="E14" s="313">
        <v>0.10619033366666666</v>
      </c>
      <c r="F14" s="313">
        <v>2.0430815715714284E-2</v>
      </c>
      <c r="G14" s="313">
        <v>8.9064494294285701E-2</v>
      </c>
      <c r="H14" s="313">
        <f t="shared" ref="H14:H43" si="1">F14+G14</f>
        <v>0.10949531000999999</v>
      </c>
    </row>
    <row r="15" spans="2:13" s="322" customFormat="1">
      <c r="B15" s="243">
        <f t="shared" si="0"/>
        <v>5</v>
      </c>
      <c r="C15" s="59" t="s">
        <v>229</v>
      </c>
      <c r="D15" s="326">
        <v>4.0050000000000002E-2</v>
      </c>
      <c r="E15" s="326">
        <v>9.1647333333333345E-3</v>
      </c>
      <c r="F15" s="326">
        <v>4.0747099999999996E-3</v>
      </c>
      <c r="G15" s="326">
        <v>5.5482599999999976E-3</v>
      </c>
      <c r="H15" s="326">
        <f t="shared" si="1"/>
        <v>9.6229699999999981E-3</v>
      </c>
    </row>
    <row r="16" spans="2:13" s="322" customFormat="1">
      <c r="B16" s="243">
        <f t="shared" si="0"/>
        <v>6</v>
      </c>
      <c r="C16" s="59" t="s">
        <v>230</v>
      </c>
      <c r="D16" s="326">
        <v>0.79938459100000003</v>
      </c>
      <c r="E16" s="326">
        <v>0.22444967499999999</v>
      </c>
      <c r="F16" s="326">
        <v>7.0643144107142855E-2</v>
      </c>
      <c r="G16" s="326">
        <v>8.3688664642857152E-2</v>
      </c>
      <c r="H16" s="326">
        <f t="shared" si="1"/>
        <v>0.15433180875000002</v>
      </c>
    </row>
    <row r="17" spans="2:8">
      <c r="B17" s="99">
        <f t="shared" si="0"/>
        <v>7</v>
      </c>
      <c r="C17" s="26" t="s">
        <v>231</v>
      </c>
      <c r="D17" s="313">
        <v>1.4002843306666632</v>
      </c>
      <c r="E17" s="313">
        <v>2.1009503976666672</v>
      </c>
      <c r="F17" s="313">
        <v>0.75788388021904773</v>
      </c>
      <c r="G17" s="313">
        <v>1.2286635253142855</v>
      </c>
      <c r="H17" s="313">
        <f t="shared" si="1"/>
        <v>1.9865474055333332</v>
      </c>
    </row>
    <row r="18" spans="2:8">
      <c r="B18" s="99">
        <f t="shared" si="0"/>
        <v>8</v>
      </c>
      <c r="C18" s="26" t="s">
        <v>232</v>
      </c>
      <c r="D18" s="313"/>
      <c r="E18" s="313"/>
      <c r="F18" s="313"/>
      <c r="G18" s="313"/>
      <c r="H18" s="313">
        <f t="shared" si="1"/>
        <v>0</v>
      </c>
    </row>
    <row r="19" spans="2:8">
      <c r="B19" s="99">
        <f t="shared" si="0"/>
        <v>9</v>
      </c>
      <c r="C19" s="188" t="s">
        <v>233</v>
      </c>
      <c r="D19" s="313"/>
      <c r="E19" s="313"/>
      <c r="F19" s="313"/>
      <c r="G19" s="313"/>
      <c r="H19" s="313">
        <f t="shared" si="1"/>
        <v>0</v>
      </c>
    </row>
    <row r="20" spans="2:8">
      <c r="B20" s="99">
        <f t="shared" si="0"/>
        <v>10</v>
      </c>
      <c r="C20" s="26" t="s">
        <v>234</v>
      </c>
      <c r="D20" s="818">
        <v>7.0040197416666636</v>
      </c>
      <c r="E20" s="818">
        <v>4.3470894783333351</v>
      </c>
      <c r="F20" s="818">
        <v>0.75159939254999986</v>
      </c>
      <c r="G20" s="818">
        <v>3.9862868153000002</v>
      </c>
      <c r="H20" s="313">
        <f t="shared" si="1"/>
        <v>4.7378862078499999</v>
      </c>
    </row>
    <row r="21" spans="2:8">
      <c r="B21" s="99">
        <f t="shared" si="0"/>
        <v>11</v>
      </c>
      <c r="C21" s="26" t="s">
        <v>235</v>
      </c>
      <c r="D21" s="313"/>
      <c r="E21" s="313"/>
      <c r="F21" s="313"/>
      <c r="G21" s="313"/>
      <c r="H21" s="313">
        <f t="shared" si="1"/>
        <v>0</v>
      </c>
    </row>
    <row r="22" spans="2:8">
      <c r="B22" s="99">
        <f t="shared" si="0"/>
        <v>12</v>
      </c>
      <c r="C22" s="26" t="s">
        <v>236</v>
      </c>
      <c r="D22" s="313">
        <v>1.0048066666666666E-2</v>
      </c>
      <c r="E22" s="313">
        <v>0.52005485333333334</v>
      </c>
      <c r="F22" s="313">
        <v>0.50319234514285704</v>
      </c>
      <c r="G22" s="313">
        <v>4.2812750857142645E-2</v>
      </c>
      <c r="H22" s="313">
        <f t="shared" si="1"/>
        <v>0.54600509599999969</v>
      </c>
    </row>
    <row r="23" spans="2:8">
      <c r="B23" s="99">
        <f t="shared" si="0"/>
        <v>13</v>
      </c>
      <c r="C23" s="26" t="s">
        <v>237</v>
      </c>
      <c r="D23" s="313"/>
      <c r="E23" s="313"/>
      <c r="F23" s="313"/>
      <c r="G23" s="313"/>
      <c r="H23" s="313">
        <f t="shared" si="1"/>
        <v>0</v>
      </c>
    </row>
    <row r="24" spans="2:8">
      <c r="B24" s="99">
        <f t="shared" si="0"/>
        <v>14</v>
      </c>
      <c r="C24" s="26" t="s">
        <v>238</v>
      </c>
      <c r="D24" s="313">
        <v>3.1636944333333299E-2</v>
      </c>
      <c r="E24" s="313">
        <v>0.11357447033333336</v>
      </c>
      <c r="F24" s="313">
        <v>2.0763778407142851E-2</v>
      </c>
      <c r="G24" s="313">
        <v>9.4229670442857114E-2</v>
      </c>
      <c r="H24" s="313">
        <f t="shared" si="1"/>
        <v>0.11499344884999996</v>
      </c>
    </row>
    <row r="25" spans="2:8">
      <c r="B25" s="99">
        <f t="shared" si="0"/>
        <v>15</v>
      </c>
      <c r="C25" s="26" t="s">
        <v>239</v>
      </c>
      <c r="D25" s="313"/>
      <c r="E25" s="313"/>
      <c r="F25" s="313"/>
      <c r="G25" s="313"/>
      <c r="H25" s="313">
        <f t="shared" si="1"/>
        <v>0</v>
      </c>
    </row>
    <row r="26" spans="2:8">
      <c r="B26" s="99">
        <f t="shared" si="0"/>
        <v>16</v>
      </c>
      <c r="C26" s="26" t="s">
        <v>240</v>
      </c>
      <c r="D26" s="313"/>
      <c r="E26" s="313"/>
      <c r="F26" s="313"/>
      <c r="G26" s="313"/>
      <c r="H26" s="313">
        <f t="shared" si="1"/>
        <v>0</v>
      </c>
    </row>
    <row r="27" spans="2:8">
      <c r="B27" s="99">
        <f t="shared" si="0"/>
        <v>17</v>
      </c>
      <c r="C27" s="28" t="s">
        <v>241</v>
      </c>
      <c r="D27" s="313"/>
      <c r="E27" s="313"/>
      <c r="F27" s="313"/>
      <c r="G27" s="313"/>
      <c r="H27" s="313">
        <f t="shared" si="1"/>
        <v>0</v>
      </c>
    </row>
    <row r="28" spans="2:8">
      <c r="B28" s="99">
        <f t="shared" si="0"/>
        <v>18</v>
      </c>
      <c r="C28" s="28" t="s">
        <v>242</v>
      </c>
      <c r="D28" s="313"/>
      <c r="E28" s="313"/>
      <c r="F28" s="313"/>
      <c r="G28" s="313"/>
      <c r="H28" s="313">
        <f t="shared" si="1"/>
        <v>0</v>
      </c>
    </row>
    <row r="29" spans="2:8">
      <c r="B29" s="99">
        <f t="shared" si="0"/>
        <v>19</v>
      </c>
      <c r="C29" s="26" t="s">
        <v>243</v>
      </c>
      <c r="D29" s="313"/>
      <c r="E29" s="313"/>
      <c r="F29" s="313"/>
      <c r="G29" s="313"/>
      <c r="H29" s="313">
        <f t="shared" si="1"/>
        <v>0</v>
      </c>
    </row>
    <row r="30" spans="2:8">
      <c r="B30" s="99">
        <f t="shared" si="0"/>
        <v>20</v>
      </c>
      <c r="C30" s="26" t="s">
        <v>244</v>
      </c>
      <c r="D30" s="313"/>
      <c r="E30" s="313"/>
      <c r="F30" s="313"/>
      <c r="G30" s="313"/>
      <c r="H30" s="313">
        <f t="shared" si="1"/>
        <v>0</v>
      </c>
    </row>
    <row r="31" spans="2:8">
      <c r="B31" s="99">
        <f t="shared" si="0"/>
        <v>21</v>
      </c>
      <c r="C31" s="455" t="s">
        <v>1456</v>
      </c>
      <c r="D31" s="313">
        <v>0.97492616834844703</v>
      </c>
      <c r="E31" s="313">
        <v>-3.2594103679999993</v>
      </c>
      <c r="F31" s="313">
        <v>0.8793642939714279</v>
      </c>
      <c r="G31" s="313">
        <v>1.7433397638285681</v>
      </c>
      <c r="H31" s="313">
        <f t="shared" si="1"/>
        <v>2.622704057799996</v>
      </c>
    </row>
    <row r="32" spans="2:8">
      <c r="B32" s="99">
        <f t="shared" si="0"/>
        <v>22</v>
      </c>
      <c r="C32" s="26" t="s">
        <v>245</v>
      </c>
      <c r="D32" s="313"/>
      <c r="E32" s="313"/>
      <c r="F32" s="313"/>
      <c r="G32" s="313"/>
      <c r="H32" s="313">
        <f t="shared" si="1"/>
        <v>0</v>
      </c>
    </row>
    <row r="33" spans="2:8">
      <c r="B33" s="99">
        <f t="shared" si="0"/>
        <v>23</v>
      </c>
      <c r="C33" s="26" t="s">
        <v>246</v>
      </c>
      <c r="D33" s="313"/>
      <c r="E33" s="313"/>
      <c r="F33" s="313"/>
      <c r="G33" s="313"/>
      <c r="H33" s="313">
        <f t="shared" si="1"/>
        <v>0</v>
      </c>
    </row>
    <row r="34" spans="2:8">
      <c r="B34" s="99">
        <f t="shared" si="0"/>
        <v>24</v>
      </c>
      <c r="C34" s="26" t="s">
        <v>247</v>
      </c>
      <c r="D34" s="313"/>
      <c r="E34" s="313"/>
      <c r="F34" s="313"/>
      <c r="G34" s="313"/>
      <c r="H34" s="313">
        <f t="shared" si="1"/>
        <v>0</v>
      </c>
    </row>
    <row r="35" spans="2:8">
      <c r="B35" s="99">
        <f t="shared" si="0"/>
        <v>25</v>
      </c>
      <c r="C35" s="26" t="s">
        <v>248</v>
      </c>
      <c r="D35" s="313"/>
      <c r="E35" s="313"/>
      <c r="F35" s="313"/>
      <c r="G35" s="313"/>
      <c r="H35" s="313">
        <f t="shared" si="1"/>
        <v>0</v>
      </c>
    </row>
    <row r="36" spans="2:8">
      <c r="B36" s="99">
        <f t="shared" si="0"/>
        <v>26</v>
      </c>
      <c r="C36" s="26" t="s">
        <v>249</v>
      </c>
      <c r="D36" s="313"/>
      <c r="E36" s="313"/>
      <c r="F36" s="313"/>
      <c r="G36" s="313"/>
      <c r="H36" s="313">
        <f t="shared" si="1"/>
        <v>0</v>
      </c>
    </row>
    <row r="37" spans="2:8">
      <c r="B37" s="99">
        <f t="shared" si="0"/>
        <v>27</v>
      </c>
      <c r="C37" s="26" t="s">
        <v>250</v>
      </c>
      <c r="D37" s="313">
        <v>3.0650355423333306</v>
      </c>
      <c r="E37" s="313">
        <v>0</v>
      </c>
      <c r="F37" s="313">
        <v>6.7629142857142849E-5</v>
      </c>
      <c r="G37" s="313">
        <v>1.0968685714285712E-4</v>
      </c>
      <c r="H37" s="313">
        <f t="shared" si="1"/>
        <v>1.7731599999999995E-4</v>
      </c>
    </row>
    <row r="38" spans="2:8">
      <c r="B38" s="99">
        <f t="shared" si="0"/>
        <v>28</v>
      </c>
      <c r="C38" s="26" t="s">
        <v>251</v>
      </c>
      <c r="D38" s="313"/>
      <c r="E38" s="313"/>
      <c r="F38" s="313"/>
      <c r="G38" s="313"/>
      <c r="H38" s="313">
        <f t="shared" si="1"/>
        <v>0</v>
      </c>
    </row>
    <row r="39" spans="2:8">
      <c r="B39" s="99">
        <f t="shared" si="0"/>
        <v>29</v>
      </c>
      <c r="C39" s="26" t="s">
        <v>209</v>
      </c>
      <c r="D39" s="326">
        <v>0.16002074866666702</v>
      </c>
      <c r="E39" s="326">
        <v>0</v>
      </c>
      <c r="F39" s="326">
        <v>8.2259497192857189E-2</v>
      </c>
      <c r="G39" s="326">
        <v>0.28115698315714316</v>
      </c>
      <c r="H39" s="313">
        <f t="shared" si="1"/>
        <v>0.36341648035000035</v>
      </c>
    </row>
    <row r="40" spans="2:8" s="322" customFormat="1">
      <c r="B40" s="99">
        <f t="shared" si="0"/>
        <v>30</v>
      </c>
      <c r="C40" s="59" t="s">
        <v>819</v>
      </c>
      <c r="D40" s="326"/>
      <c r="E40" s="326"/>
      <c r="F40" s="326"/>
      <c r="G40" s="326"/>
      <c r="H40" s="313">
        <f t="shared" si="1"/>
        <v>0</v>
      </c>
    </row>
    <row r="41" spans="2:8" s="322" customFormat="1">
      <c r="B41" s="99">
        <f t="shared" si="0"/>
        <v>31</v>
      </c>
      <c r="C41" s="59" t="s">
        <v>807</v>
      </c>
      <c r="D41" s="326"/>
      <c r="E41" s="326"/>
      <c r="F41" s="326"/>
      <c r="G41" s="326"/>
      <c r="H41" s="313">
        <f t="shared" si="1"/>
        <v>0</v>
      </c>
    </row>
    <row r="42" spans="2:8" s="322" customFormat="1">
      <c r="B42" s="99">
        <f t="shared" si="0"/>
        <v>32</v>
      </c>
      <c r="C42" s="59" t="s">
        <v>818</v>
      </c>
      <c r="D42" s="326">
        <v>0</v>
      </c>
      <c r="E42" s="326">
        <v>0</v>
      </c>
      <c r="F42" s="326">
        <v>0</v>
      </c>
      <c r="G42" s="326">
        <v>0</v>
      </c>
      <c r="H42" s="313">
        <f t="shared" si="1"/>
        <v>0</v>
      </c>
    </row>
    <row r="43" spans="2:8" s="322" customFormat="1">
      <c r="B43" s="99">
        <f t="shared" si="0"/>
        <v>33</v>
      </c>
      <c r="C43" s="59" t="s">
        <v>801</v>
      </c>
      <c r="D43" s="326">
        <v>0.94245871284158045</v>
      </c>
      <c r="E43" s="326">
        <v>2.1298444706194606</v>
      </c>
      <c r="F43" s="326">
        <v>0</v>
      </c>
      <c r="G43" s="326">
        <v>0</v>
      </c>
      <c r="H43" s="313">
        <f t="shared" si="1"/>
        <v>0</v>
      </c>
    </row>
    <row r="44" spans="2:8" s="322" customFormat="1">
      <c r="B44" s="99">
        <f t="shared" si="0"/>
        <v>34</v>
      </c>
      <c r="C44" s="316" t="s">
        <v>252</v>
      </c>
      <c r="D44" s="368">
        <f>SUM(D11:D43)</f>
        <v>15.092037364190018</v>
      </c>
      <c r="E44" s="368">
        <f t="shared" ref="E44:H44" si="2">SUM(E11:E43)</f>
        <v>7.8853856364756343</v>
      </c>
      <c r="F44" s="368">
        <f t="shared" si="2"/>
        <v>3.6489831035919034</v>
      </c>
      <c r="G44" s="368">
        <f t="shared" si="2"/>
        <v>8.1104861175514245</v>
      </c>
      <c r="H44" s="368">
        <f t="shared" si="2"/>
        <v>11.759469221143329</v>
      </c>
    </row>
    <row r="45" spans="2:8" s="322" customFormat="1">
      <c r="B45" s="99">
        <f t="shared" si="0"/>
        <v>35</v>
      </c>
      <c r="C45" s="3" t="s">
        <v>34</v>
      </c>
      <c r="D45" s="326"/>
      <c r="E45" s="326"/>
      <c r="F45" s="326"/>
      <c r="G45" s="326"/>
      <c r="H45" s="326"/>
    </row>
    <row r="46" spans="2:8" s="322" customFormat="1">
      <c r="B46" s="99">
        <f t="shared" si="0"/>
        <v>36</v>
      </c>
      <c r="C46" s="246" t="s">
        <v>253</v>
      </c>
      <c r="D46" s="326">
        <f t="shared" ref="D46:G46" si="3">D44-D45</f>
        <v>15.092037364190018</v>
      </c>
      <c r="E46" s="326">
        <f t="shared" si="3"/>
        <v>7.8853856364756343</v>
      </c>
      <c r="F46" s="326">
        <f t="shared" si="3"/>
        <v>3.6489831035919034</v>
      </c>
      <c r="G46" s="326">
        <f t="shared" si="3"/>
        <v>8.1104861175514245</v>
      </c>
      <c r="H46" s="326">
        <f>H44-H45</f>
        <v>11.759469221143329</v>
      </c>
    </row>
  </sheetData>
  <mergeCells count="6">
    <mergeCell ref="B2:M2"/>
    <mergeCell ref="B3:M3"/>
    <mergeCell ref="B4:M4"/>
    <mergeCell ref="B7:B9"/>
    <mergeCell ref="C7:C9"/>
    <mergeCell ref="F7:H7"/>
  </mergeCells>
  <pageMargins left="0.75" right="0.75" top="1" bottom="1" header="0.5" footer="0.5"/>
  <pageSetup paperSize="9" scale="59" orientation="landscape"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B2:M25"/>
  <sheetViews>
    <sheetView showGridLines="0" view="pageBreakPreview" zoomScale="68" zoomScaleNormal="80" zoomScaleSheetLayoutView="90" workbookViewId="0">
      <selection activeCell="J11" sqref="J11"/>
    </sheetView>
  </sheetViews>
  <sheetFormatPr defaultColWidth="9.36328125" defaultRowHeight="14"/>
  <cols>
    <col min="1" max="1" width="6.6328125" style="14" customWidth="1"/>
    <col min="2" max="2" width="8.6328125" style="98" customWidth="1"/>
    <col min="3" max="3" width="45.6328125" style="14" customWidth="1"/>
    <col min="4" max="13" width="15.6328125" style="14" customWidth="1"/>
    <col min="14" max="16384" width="9.36328125" style="14"/>
  </cols>
  <sheetData>
    <row r="2" spans="2:13">
      <c r="B2" s="1776" t="str">
        <f>Index!B2</f>
        <v xml:space="preserve">      Maharashtra State Power Generation Company Ltd.</v>
      </c>
      <c r="C2" s="1814"/>
      <c r="D2" s="1814"/>
      <c r="E2" s="1814"/>
      <c r="F2" s="1814"/>
      <c r="G2" s="1814"/>
      <c r="H2" s="1814"/>
      <c r="I2" s="1814"/>
      <c r="J2" s="1814"/>
      <c r="K2" s="1814"/>
      <c r="L2" s="1814"/>
      <c r="M2" s="1814"/>
    </row>
    <row r="3" spans="2:13" s="5" customFormat="1">
      <c r="B3" s="1776" t="str">
        <f>Index!B3</f>
        <v>MYT Petition Formats for Parli 8</v>
      </c>
      <c r="C3" s="1814"/>
      <c r="D3" s="1814"/>
      <c r="E3" s="1814"/>
      <c r="F3" s="1814"/>
      <c r="G3" s="1814"/>
      <c r="H3" s="1814"/>
      <c r="I3" s="1814"/>
      <c r="J3" s="1814"/>
      <c r="K3" s="1814"/>
      <c r="L3" s="1814"/>
      <c r="M3" s="1814"/>
    </row>
    <row r="4" spans="2:13" s="5" customFormat="1">
      <c r="B4" s="1777" t="s">
        <v>254</v>
      </c>
      <c r="C4" s="1814"/>
      <c r="D4" s="1814"/>
      <c r="E4" s="1814"/>
      <c r="F4" s="1814"/>
      <c r="G4" s="1814"/>
      <c r="H4" s="1814"/>
      <c r="I4" s="1814"/>
      <c r="J4" s="1814"/>
      <c r="K4" s="1814"/>
      <c r="L4" s="1814"/>
      <c r="M4" s="1814"/>
    </row>
    <row r="6" spans="2:13">
      <c r="H6" s="21"/>
      <c r="M6" s="21" t="s">
        <v>10</v>
      </c>
    </row>
    <row r="7" spans="2:13" ht="12.75" customHeight="1">
      <c r="B7" s="1770" t="s">
        <v>340</v>
      </c>
      <c r="C7" s="1781" t="s">
        <v>36</v>
      </c>
      <c r="D7" s="297" t="s">
        <v>508</v>
      </c>
      <c r="E7" s="297" t="s">
        <v>509</v>
      </c>
      <c r="F7" s="1770" t="s">
        <v>510</v>
      </c>
      <c r="G7" s="1770"/>
      <c r="H7" s="1770"/>
      <c r="I7" s="1775" t="s">
        <v>957</v>
      </c>
      <c r="J7" s="1775"/>
      <c r="K7" s="1775"/>
      <c r="L7" s="1775"/>
      <c r="M7" s="1775"/>
    </row>
    <row r="8" spans="2:13" ht="28">
      <c r="B8" s="1770"/>
      <c r="C8" s="1781"/>
      <c r="D8" s="297" t="s">
        <v>78</v>
      </c>
      <c r="E8" s="297" t="s">
        <v>78</v>
      </c>
      <c r="F8" s="297" t="s">
        <v>445</v>
      </c>
      <c r="G8" s="297" t="s">
        <v>448</v>
      </c>
      <c r="H8" s="297" t="s">
        <v>79</v>
      </c>
      <c r="I8" s="709" t="s">
        <v>958</v>
      </c>
      <c r="J8" s="709" t="s">
        <v>959</v>
      </c>
      <c r="K8" s="709" t="s">
        <v>960</v>
      </c>
      <c r="L8" s="709" t="s">
        <v>961</v>
      </c>
      <c r="M8" s="709" t="s">
        <v>962</v>
      </c>
    </row>
    <row r="9" spans="2:13">
      <c r="B9" s="1770"/>
      <c r="C9" s="1781"/>
      <c r="D9" s="297" t="s">
        <v>80</v>
      </c>
      <c r="E9" s="297" t="s">
        <v>81</v>
      </c>
      <c r="F9" s="297" t="s">
        <v>391</v>
      </c>
      <c r="G9" s="297" t="s">
        <v>392</v>
      </c>
      <c r="H9" s="297" t="s">
        <v>393</v>
      </c>
      <c r="I9" s="698" t="s">
        <v>21</v>
      </c>
      <c r="J9" s="698" t="s">
        <v>21</v>
      </c>
      <c r="K9" s="698" t="s">
        <v>21</v>
      </c>
      <c r="L9" s="698" t="s">
        <v>21</v>
      </c>
      <c r="M9" s="698" t="s">
        <v>21</v>
      </c>
    </row>
    <row r="10" spans="2:13">
      <c r="B10" s="99">
        <v>1</v>
      </c>
      <c r="C10" s="26" t="s">
        <v>255</v>
      </c>
      <c r="D10" s="313">
        <v>30.320027851999971</v>
      </c>
      <c r="E10" s="313">
        <v>52.361296043666584</v>
      </c>
      <c r="F10" s="313">
        <v>16.497874861873793</v>
      </c>
      <c r="G10" s="313">
        <v>38.075085563242723</v>
      </c>
      <c r="H10" s="326">
        <f>F10+G10</f>
        <v>54.57296042511652</v>
      </c>
      <c r="I10" s="313"/>
      <c r="J10" s="313"/>
      <c r="K10" s="313"/>
      <c r="L10" s="313"/>
      <c r="M10" s="313"/>
    </row>
    <row r="11" spans="2:13">
      <c r="B11" s="99">
        <v>2</v>
      </c>
      <c r="C11" s="436" t="s">
        <v>826</v>
      </c>
      <c r="D11" s="313">
        <v>0</v>
      </c>
      <c r="E11" s="313">
        <v>0</v>
      </c>
      <c r="F11" s="313">
        <v>0</v>
      </c>
      <c r="G11" s="313">
        <v>0</v>
      </c>
      <c r="H11" s="326">
        <f t="shared" ref="H11:H17" si="0">F11+G11</f>
        <v>0</v>
      </c>
      <c r="I11" s="313"/>
      <c r="J11" s="313"/>
      <c r="K11" s="313"/>
      <c r="L11" s="313"/>
      <c r="M11" s="313"/>
    </row>
    <row r="12" spans="2:13">
      <c r="B12" s="99">
        <v>3</v>
      </c>
      <c r="C12" s="26" t="s">
        <v>827</v>
      </c>
      <c r="D12" s="313">
        <v>0</v>
      </c>
      <c r="E12" s="313">
        <v>0</v>
      </c>
      <c r="F12" s="313">
        <v>0</v>
      </c>
      <c r="G12" s="313">
        <v>0</v>
      </c>
      <c r="H12" s="326">
        <f t="shared" si="0"/>
        <v>0</v>
      </c>
      <c r="I12" s="313"/>
      <c r="J12" s="313"/>
      <c r="K12" s="313"/>
      <c r="L12" s="313"/>
      <c r="M12" s="313"/>
    </row>
    <row r="13" spans="2:13">
      <c r="B13" s="99">
        <v>4</v>
      </c>
      <c r="C13" s="26" t="s">
        <v>256</v>
      </c>
      <c r="D13" s="313"/>
      <c r="E13" s="313"/>
      <c r="F13" s="313"/>
      <c r="G13" s="313"/>
      <c r="H13" s="326">
        <f t="shared" si="0"/>
        <v>0</v>
      </c>
      <c r="I13" s="313"/>
      <c r="J13" s="313"/>
      <c r="K13" s="313"/>
      <c r="L13" s="313"/>
      <c r="M13" s="313"/>
    </row>
    <row r="14" spans="2:13">
      <c r="B14" s="99">
        <v>5</v>
      </c>
      <c r="C14" s="26" t="s">
        <v>257</v>
      </c>
      <c r="D14" s="313">
        <v>1.4955965E-2</v>
      </c>
      <c r="E14" s="313">
        <v>3.054338333333333E-2</v>
      </c>
      <c r="F14" s="313">
        <v>4.5815074999999957E-3</v>
      </c>
      <c r="G14" s="313">
        <v>2.7489044999999976E-2</v>
      </c>
      <c r="H14" s="326">
        <f t="shared" si="0"/>
        <v>3.2070552499999974E-2</v>
      </c>
      <c r="I14" s="313"/>
      <c r="J14" s="313"/>
      <c r="K14" s="313"/>
      <c r="L14" s="313"/>
      <c r="M14" s="313"/>
    </row>
    <row r="15" spans="2:13">
      <c r="B15" s="99">
        <v>6</v>
      </c>
      <c r="C15" s="26" t="s">
        <v>258</v>
      </c>
      <c r="D15" s="313"/>
      <c r="E15" s="313"/>
      <c r="F15" s="313"/>
      <c r="G15" s="313"/>
      <c r="H15" s="326">
        <f t="shared" si="0"/>
        <v>0</v>
      </c>
      <c r="I15" s="313"/>
      <c r="J15" s="313"/>
      <c r="K15" s="313"/>
      <c r="L15" s="313"/>
      <c r="M15" s="313"/>
    </row>
    <row r="16" spans="2:13">
      <c r="B16" s="99">
        <v>7</v>
      </c>
      <c r="C16" s="59" t="s">
        <v>259</v>
      </c>
      <c r="D16" s="326"/>
      <c r="E16" s="326"/>
      <c r="F16" s="326"/>
      <c r="G16" s="326"/>
      <c r="H16" s="326">
        <f t="shared" si="0"/>
        <v>0</v>
      </c>
      <c r="I16" s="326"/>
      <c r="J16" s="326"/>
      <c r="K16" s="326"/>
      <c r="L16" s="326"/>
      <c r="M16" s="326"/>
    </row>
    <row r="17" spans="2:13">
      <c r="B17" s="99">
        <v>8</v>
      </c>
      <c r="C17" s="59" t="s">
        <v>260</v>
      </c>
      <c r="D17" s="326"/>
      <c r="E17" s="326"/>
      <c r="F17" s="326"/>
      <c r="G17" s="326"/>
      <c r="H17" s="326">
        <f t="shared" si="0"/>
        <v>0</v>
      </c>
      <c r="I17" s="326"/>
      <c r="J17" s="326"/>
      <c r="K17" s="326"/>
      <c r="L17" s="326"/>
      <c r="M17" s="326"/>
    </row>
    <row r="18" spans="2:13">
      <c r="B18" s="99">
        <v>9</v>
      </c>
      <c r="C18" s="476" t="s">
        <v>1034</v>
      </c>
      <c r="D18" s="326">
        <v>-0.31958847156240766</v>
      </c>
      <c r="E18" s="326">
        <v>-0.24748009909831536</v>
      </c>
      <c r="F18" s="326">
        <v>0</v>
      </c>
      <c r="G18" s="326">
        <v>0</v>
      </c>
      <c r="H18" s="326"/>
      <c r="I18" s="326"/>
      <c r="J18" s="326"/>
      <c r="K18" s="326"/>
      <c r="L18" s="326"/>
      <c r="M18" s="326"/>
    </row>
    <row r="19" spans="2:13">
      <c r="B19" s="99">
        <v>10</v>
      </c>
      <c r="C19" s="476" t="s">
        <v>1033</v>
      </c>
      <c r="D19" s="326">
        <v>-2.3296625035021667E-2</v>
      </c>
      <c r="E19" s="326">
        <v>5.0314533857226791E-2</v>
      </c>
      <c r="F19" s="326">
        <v>0</v>
      </c>
      <c r="G19" s="326">
        <v>0</v>
      </c>
      <c r="H19" s="326"/>
      <c r="I19" s="326"/>
      <c r="J19" s="326"/>
      <c r="K19" s="326"/>
      <c r="L19" s="326"/>
      <c r="M19" s="326"/>
    </row>
    <row r="20" spans="2:13" s="322" customFormat="1">
      <c r="B20" s="99">
        <v>11</v>
      </c>
      <c r="C20" s="59" t="s">
        <v>801</v>
      </c>
      <c r="D20" s="326">
        <v>0.40742294902090004</v>
      </c>
      <c r="E20" s="326">
        <v>0.79315959885144061</v>
      </c>
      <c r="F20" s="326">
        <v>0</v>
      </c>
      <c r="G20" s="326">
        <v>0</v>
      </c>
      <c r="H20" s="326"/>
      <c r="I20" s="326"/>
      <c r="J20" s="326"/>
      <c r="K20" s="326"/>
      <c r="L20" s="326"/>
      <c r="M20" s="326"/>
    </row>
    <row r="21" spans="2:13" s="322" customFormat="1">
      <c r="B21" s="99">
        <v>12</v>
      </c>
      <c r="C21" s="316" t="s">
        <v>261</v>
      </c>
      <c r="D21" s="368">
        <f>SUM(D10:D20)</f>
        <v>30.399521669423439</v>
      </c>
      <c r="E21" s="368">
        <f>SUM(E10:E20)</f>
        <v>52.987833460610261</v>
      </c>
      <c r="F21" s="368">
        <f>SUM(F10:F20)</f>
        <v>16.502456369373792</v>
      </c>
      <c r="G21" s="368">
        <f>SUM(G10:G20)</f>
        <v>38.102574608242726</v>
      </c>
      <c r="H21" s="368">
        <f>SUM(H10:H20)</f>
        <v>54.605030977616522</v>
      </c>
      <c r="I21" s="368"/>
      <c r="J21" s="368"/>
      <c r="K21" s="368"/>
      <c r="L21" s="368"/>
      <c r="M21" s="368"/>
    </row>
    <row r="22" spans="2:13" s="322" customFormat="1">
      <c r="B22" s="99"/>
      <c r="C22" s="453"/>
      <c r="D22" s="326"/>
      <c r="E22" s="326"/>
      <c r="F22" s="326"/>
      <c r="G22" s="326"/>
      <c r="H22" s="326"/>
      <c r="I22" s="326"/>
      <c r="J22" s="326"/>
      <c r="K22" s="326"/>
      <c r="L22" s="326"/>
      <c r="M22" s="326"/>
    </row>
    <row r="23" spans="2:13" s="322" customFormat="1">
      <c r="B23" s="99">
        <v>14</v>
      </c>
      <c r="C23" s="454" t="s">
        <v>262</v>
      </c>
      <c r="D23" s="326">
        <f>'F5 (T)'!D31</f>
        <v>1871.0989184120281</v>
      </c>
      <c r="E23" s="326">
        <f>'F5 (T)'!I31</f>
        <v>1883.9062777390282</v>
      </c>
      <c r="F23" s="326">
        <f>'F5 (T)'!N31</f>
        <v>1962.7400312520281</v>
      </c>
      <c r="G23" s="326">
        <f>'F5 (T)'!N31</f>
        <v>1962.7400312520281</v>
      </c>
      <c r="H23" s="326">
        <f>AVERAGE(F23:G23)</f>
        <v>1962.7400312520281</v>
      </c>
      <c r="I23" s="326">
        <f>'F5 (T)'!$S$31</f>
        <v>1979.850031252028</v>
      </c>
      <c r="J23" s="326">
        <f>'F5 (T)'!$D$57</f>
        <v>2082.943364585361</v>
      </c>
      <c r="K23" s="326">
        <f>'F5 (T)'!$I$57</f>
        <v>2133.7858645853617</v>
      </c>
      <c r="L23" s="326">
        <f>'F5 (T)'!$N$57</f>
        <v>2214.5558645853612</v>
      </c>
      <c r="M23" s="326">
        <f>'F5 (T)'!$S$57</f>
        <v>2222.4158645853613</v>
      </c>
    </row>
    <row r="24" spans="2:13" s="322" customFormat="1">
      <c r="B24" s="99">
        <v>15</v>
      </c>
      <c r="C24" s="454" t="s">
        <v>263</v>
      </c>
      <c r="D24" s="366">
        <f>D21/D23</f>
        <v>1.6246881108361193E-2</v>
      </c>
      <c r="E24" s="366">
        <f t="shared" ref="E24:M24" si="1">E21/E23</f>
        <v>2.8126576192635047E-2</v>
      </c>
      <c r="F24" s="366">
        <f t="shared" si="1"/>
        <v>8.4078666082165292E-3</v>
      </c>
      <c r="G24" s="366">
        <f t="shared" si="1"/>
        <v>1.9412950264196305E-2</v>
      </c>
      <c r="H24" s="366">
        <f t="shared" si="1"/>
        <v>2.7820816872412838E-2</v>
      </c>
      <c r="I24" s="366">
        <f t="shared" si="1"/>
        <v>0</v>
      </c>
      <c r="J24" s="366">
        <f t="shared" si="1"/>
        <v>0</v>
      </c>
      <c r="K24" s="366">
        <f t="shared" si="1"/>
        <v>0</v>
      </c>
      <c r="L24" s="366">
        <f t="shared" si="1"/>
        <v>0</v>
      </c>
      <c r="M24" s="366">
        <f t="shared" si="1"/>
        <v>0</v>
      </c>
    </row>
    <row r="25" spans="2:13">
      <c r="B25" s="99"/>
      <c r="C25" s="28"/>
      <c r="D25" s="313"/>
      <c r="E25" s="313"/>
      <c r="F25" s="313"/>
      <c r="G25" s="326"/>
      <c r="H25" s="326"/>
      <c r="I25" s="331"/>
      <c r="J25" s="331"/>
      <c r="K25" s="331"/>
      <c r="L25" s="331"/>
      <c r="M25" s="331"/>
    </row>
  </sheetData>
  <mergeCells count="7">
    <mergeCell ref="B2:M2"/>
    <mergeCell ref="B3:M3"/>
    <mergeCell ref="B4:M4"/>
    <mergeCell ref="B7:B9"/>
    <mergeCell ref="C7:C9"/>
    <mergeCell ref="F7:H7"/>
    <mergeCell ref="I7:M7"/>
  </mergeCells>
  <pageMargins left="0.75" right="0.75" top="1" bottom="1" header="0.5" footer="0.5"/>
  <pageSetup paperSize="9" scale="61" orientation="landscape" r:id="rId1"/>
  <headerFooter alignWithMargins="0"/>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U17"/>
  <sheetViews>
    <sheetView showGridLines="0" view="pageBreakPreview" zoomScale="79" zoomScaleSheetLayoutView="90" workbookViewId="0">
      <selection activeCell="K12" sqref="K12"/>
    </sheetView>
  </sheetViews>
  <sheetFormatPr defaultColWidth="9.36328125" defaultRowHeight="14"/>
  <cols>
    <col min="1" max="1" width="4.36328125" style="5" customWidth="1"/>
    <col min="2" max="2" width="6.36328125" style="5" customWidth="1"/>
    <col min="3" max="3" width="30.08984375" style="5" customWidth="1"/>
    <col min="4" max="4" width="13.6328125" style="5" bestFit="1" customWidth="1"/>
    <col min="5" max="5" width="12.54296875" style="5" bestFit="1" customWidth="1"/>
    <col min="6" max="6" width="13.453125" style="5" bestFit="1" customWidth="1"/>
    <col min="7" max="9" width="13.453125" style="5" customWidth="1"/>
    <col min="10" max="10" width="13.6328125" style="5" bestFit="1" customWidth="1"/>
    <col min="11" max="11" width="12.54296875" style="5" customWidth="1"/>
    <col min="12" max="12" width="11.6328125" style="5" bestFit="1" customWidth="1"/>
    <col min="13" max="13" width="13.6328125" style="5" bestFit="1" customWidth="1"/>
    <col min="14" max="14" width="20.36328125" style="5" bestFit="1" customWidth="1"/>
    <col min="15" max="17" width="11.6328125" style="5" bestFit="1" customWidth="1"/>
    <col min="18" max="18" width="11.6328125" style="5" customWidth="1"/>
    <col min="19" max="20" width="11.6328125" style="5" bestFit="1" customWidth="1"/>
    <col min="21" max="16384" width="9.36328125" style="5"/>
  </cols>
  <sheetData>
    <row r="1" spans="1:21">
      <c r="B1" s="53"/>
    </row>
    <row r="2" spans="1:21">
      <c r="B2" s="1776" t="str">
        <f>Index!B2</f>
        <v xml:space="preserve">      Maharashtra State Power Generation Company Ltd.</v>
      </c>
      <c r="C2" s="1814"/>
      <c r="D2" s="1814"/>
      <c r="E2" s="1814"/>
      <c r="F2" s="1814"/>
      <c r="G2" s="1814"/>
      <c r="H2" s="1814"/>
      <c r="I2" s="1814"/>
      <c r="J2" s="1814"/>
      <c r="K2" s="1814"/>
      <c r="L2" s="1814"/>
      <c r="M2" s="1814"/>
      <c r="N2" s="1814"/>
      <c r="O2" s="117"/>
    </row>
    <row r="3" spans="1:21">
      <c r="B3" s="1776" t="str">
        <f>Index!B3</f>
        <v>MYT Petition Formats for Parli 8</v>
      </c>
      <c r="C3" s="1814"/>
      <c r="D3" s="1814"/>
      <c r="E3" s="1814"/>
      <c r="F3" s="1814"/>
      <c r="G3" s="1814"/>
      <c r="H3" s="1814"/>
      <c r="I3" s="1814"/>
      <c r="J3" s="1814"/>
      <c r="K3" s="1814"/>
      <c r="L3" s="1814"/>
      <c r="M3" s="1814"/>
      <c r="N3" s="1814"/>
      <c r="O3" s="65"/>
    </row>
    <row r="4" spans="1:21">
      <c r="B4" s="1777" t="s">
        <v>482</v>
      </c>
      <c r="C4" s="1814"/>
      <c r="D4" s="1814"/>
      <c r="E4" s="1814"/>
      <c r="F4" s="1814"/>
      <c r="G4" s="1814"/>
      <c r="H4" s="1814"/>
      <c r="I4" s="1814"/>
      <c r="J4" s="1814"/>
      <c r="K4" s="1814"/>
      <c r="L4" s="1814"/>
      <c r="M4" s="1814"/>
      <c r="N4" s="1814"/>
      <c r="O4" s="1814"/>
    </row>
    <row r="5" spans="1:21">
      <c r="B5" s="225"/>
      <c r="C5" s="224"/>
      <c r="D5" s="231"/>
      <c r="E5" s="231"/>
      <c r="F5" s="231"/>
      <c r="G5" s="292"/>
      <c r="H5" s="292"/>
      <c r="I5" s="292"/>
      <c r="J5" s="224"/>
      <c r="K5" s="224"/>
      <c r="L5" s="224"/>
      <c r="M5" s="224"/>
      <c r="N5" s="224"/>
      <c r="O5" s="224"/>
    </row>
    <row r="6" spans="1:21">
      <c r="T6" s="21" t="s">
        <v>10</v>
      </c>
    </row>
    <row r="7" spans="1:21" s="14" customFormat="1" ht="15" customHeight="1">
      <c r="B7" s="1778" t="s">
        <v>340</v>
      </c>
      <c r="C7" s="1781" t="s">
        <v>36</v>
      </c>
      <c r="D7" s="1880" t="s">
        <v>508</v>
      </c>
      <c r="E7" s="1881"/>
      <c r="F7" s="1882"/>
      <c r="G7" s="1880" t="s">
        <v>509</v>
      </c>
      <c r="H7" s="1881"/>
      <c r="I7" s="1882"/>
      <c r="J7" s="1880" t="s">
        <v>510</v>
      </c>
      <c r="K7" s="1881"/>
      <c r="L7" s="1881"/>
      <c r="M7" s="1881"/>
      <c r="N7" s="1882"/>
      <c r="O7" s="1775" t="s">
        <v>957</v>
      </c>
      <c r="P7" s="1775"/>
      <c r="Q7" s="1775"/>
      <c r="R7" s="1775"/>
      <c r="S7" s="1775"/>
      <c r="T7" s="1770" t="s">
        <v>26</v>
      </c>
    </row>
    <row r="8" spans="1:21" s="14" customFormat="1" ht="28">
      <c r="B8" s="1779"/>
      <c r="C8" s="1781"/>
      <c r="D8" s="306" t="s">
        <v>956</v>
      </c>
      <c r="E8" s="301" t="s">
        <v>78</v>
      </c>
      <c r="F8" s="301" t="s">
        <v>451</v>
      </c>
      <c r="G8" s="306" t="s">
        <v>956</v>
      </c>
      <c r="H8" s="301" t="s">
        <v>78</v>
      </c>
      <c r="I8" s="301" t="s">
        <v>451</v>
      </c>
      <c r="J8" s="301" t="s">
        <v>956</v>
      </c>
      <c r="K8" s="301" t="s">
        <v>444</v>
      </c>
      <c r="L8" s="301" t="s">
        <v>448</v>
      </c>
      <c r="M8" s="301" t="s">
        <v>79</v>
      </c>
      <c r="N8" s="301" t="s">
        <v>452</v>
      </c>
      <c r="O8" s="709" t="s">
        <v>958</v>
      </c>
      <c r="P8" s="709" t="s">
        <v>959</v>
      </c>
      <c r="Q8" s="709" t="s">
        <v>960</v>
      </c>
      <c r="R8" s="709" t="s">
        <v>961</v>
      </c>
      <c r="S8" s="709" t="s">
        <v>962</v>
      </c>
      <c r="T8" s="1770"/>
    </row>
    <row r="9" spans="1:21" s="14" customFormat="1">
      <c r="B9" s="1780"/>
      <c r="C9" s="1782"/>
      <c r="D9" s="301" t="s">
        <v>80</v>
      </c>
      <c r="E9" s="301" t="s">
        <v>81</v>
      </c>
      <c r="F9" s="301" t="s">
        <v>676</v>
      </c>
      <c r="G9" s="301" t="s">
        <v>391</v>
      </c>
      <c r="H9" s="301" t="s">
        <v>409</v>
      </c>
      <c r="I9" s="301" t="s">
        <v>456</v>
      </c>
      <c r="J9" s="301" t="s">
        <v>655</v>
      </c>
      <c r="K9" s="301" t="s">
        <v>592</v>
      </c>
      <c r="L9" s="301" t="s">
        <v>593</v>
      </c>
      <c r="M9" s="301" t="s">
        <v>678</v>
      </c>
      <c r="N9" s="301" t="s">
        <v>679</v>
      </c>
      <c r="O9" s="698" t="s">
        <v>21</v>
      </c>
      <c r="P9" s="698" t="s">
        <v>21</v>
      </c>
      <c r="Q9" s="698" t="s">
        <v>21</v>
      </c>
      <c r="R9" s="698" t="s">
        <v>21</v>
      </c>
      <c r="S9" s="698" t="s">
        <v>21</v>
      </c>
      <c r="T9" s="1805"/>
    </row>
    <row r="10" spans="1:21" s="90" customFormat="1">
      <c r="B10" s="180">
        <v>1</v>
      </c>
      <c r="C10" s="161" t="s">
        <v>22</v>
      </c>
      <c r="D10" s="313"/>
      <c r="E10" s="313">
        <f>'F4.2'!$U$398</f>
        <v>20.170059832999996</v>
      </c>
      <c r="F10" s="313"/>
      <c r="G10" s="313"/>
      <c r="H10" s="313">
        <f>'F4.2'!$V$398</f>
        <v>28.293387726000002</v>
      </c>
      <c r="I10" s="313"/>
      <c r="J10" s="326"/>
      <c r="K10" s="313"/>
      <c r="L10" s="313"/>
      <c r="M10" s="313">
        <f>'F4.2'!$W$398</f>
        <v>108.28000000000002</v>
      </c>
      <c r="N10" s="327"/>
      <c r="O10" s="313">
        <f>'F4.2'!X$398</f>
        <v>214.42000000000002</v>
      </c>
      <c r="P10" s="313">
        <f>'F4.2'!Y$398</f>
        <v>195.37</v>
      </c>
      <c r="Q10" s="313">
        <f>'F4.2'!Z$398</f>
        <v>161.54</v>
      </c>
      <c r="R10" s="313">
        <f>'F4.2'!AA$398</f>
        <v>11.79</v>
      </c>
      <c r="S10" s="313">
        <f>'F4.2'!AB$398</f>
        <v>65.290000000000006</v>
      </c>
      <c r="T10" s="327"/>
      <c r="U10" s="328"/>
    </row>
    <row r="11" spans="1:21" s="90" customFormat="1">
      <c r="B11" s="180"/>
      <c r="C11" s="161"/>
      <c r="D11" s="313"/>
      <c r="E11" s="313"/>
      <c r="F11" s="313"/>
      <c r="G11" s="313"/>
      <c r="H11" s="313"/>
      <c r="I11" s="313"/>
      <c r="J11" s="326"/>
      <c r="K11" s="327"/>
      <c r="L11" s="327"/>
      <c r="M11" s="327"/>
      <c r="N11" s="327"/>
      <c r="O11" s="327"/>
      <c r="P11" s="327"/>
      <c r="Q11" s="327"/>
      <c r="R11" s="327"/>
      <c r="S11" s="327"/>
      <c r="T11" s="327"/>
      <c r="U11" s="328"/>
    </row>
    <row r="12" spans="1:21" s="90" customFormat="1">
      <c r="B12" s="180">
        <f>B10+1</f>
        <v>2</v>
      </c>
      <c r="C12" s="91" t="s">
        <v>18</v>
      </c>
      <c r="D12" s="329">
        <v>103.65525509999999</v>
      </c>
      <c r="E12" s="329">
        <f>'F5'!E31</f>
        <v>12.807359327</v>
      </c>
      <c r="F12" s="313">
        <f>E12-D12</f>
        <v>-90.847895772999991</v>
      </c>
      <c r="G12" s="871">
        <v>7.57</v>
      </c>
      <c r="H12" s="329">
        <f>'F5'!J31</f>
        <v>78.833753513000005</v>
      </c>
      <c r="I12" s="872">
        <f>H12-G12</f>
        <v>71.263753513000012</v>
      </c>
      <c r="J12" s="873">
        <v>89.240000000000009</v>
      </c>
      <c r="K12" s="329">
        <v>0</v>
      </c>
      <c r="L12" s="329">
        <v>17.11</v>
      </c>
      <c r="M12" s="327">
        <f>K12+L12</f>
        <v>17.11</v>
      </c>
      <c r="N12" s="327">
        <f>M12-J12</f>
        <v>-72.13000000000001</v>
      </c>
      <c r="O12" s="329">
        <f>'F5 (T)'!$T$31</f>
        <v>103.09333333333331</v>
      </c>
      <c r="P12" s="329">
        <f>'F5 (T)'!$E$57</f>
        <v>50.842499999999994</v>
      </c>
      <c r="Q12" s="329">
        <f>'F5 (T)'!$J$57</f>
        <v>80.77</v>
      </c>
      <c r="R12" s="329">
        <f>'F5 (T)'!$O$57</f>
        <v>7.86</v>
      </c>
      <c r="S12" s="329">
        <f>'F5 (T)'!$T$57</f>
        <v>65.289999999999992</v>
      </c>
      <c r="T12" s="329"/>
      <c r="U12" s="328"/>
    </row>
    <row r="13" spans="1:21" s="90" customFormat="1">
      <c r="B13" s="180">
        <f>B12+1</f>
        <v>3</v>
      </c>
      <c r="C13" s="91" t="s">
        <v>414</v>
      </c>
      <c r="D13" s="329"/>
      <c r="E13" s="329"/>
      <c r="F13" s="313">
        <f>E13-D13</f>
        <v>0</v>
      </c>
      <c r="G13" s="329"/>
      <c r="H13" s="329"/>
      <c r="I13" s="313">
        <f>H13-G13</f>
        <v>0</v>
      </c>
      <c r="J13" s="330"/>
      <c r="K13" s="329"/>
      <c r="L13" s="329"/>
      <c r="M13" s="327">
        <f>K13+L13</f>
        <v>0</v>
      </c>
      <c r="N13" s="327">
        <f>M13-J13</f>
        <v>0</v>
      </c>
      <c r="O13" s="329"/>
      <c r="P13" s="329"/>
      <c r="Q13" s="329"/>
      <c r="R13" s="329"/>
      <c r="S13" s="329"/>
      <c r="T13" s="329"/>
      <c r="U13" s="328"/>
    </row>
    <row r="14" spans="1:21" s="92" customFormat="1">
      <c r="B14" s="180">
        <f>B13+1</f>
        <v>4</v>
      </c>
      <c r="C14" s="91" t="s">
        <v>483</v>
      </c>
      <c r="D14" s="329">
        <f>D12+D13</f>
        <v>103.65525509999999</v>
      </c>
      <c r="E14" s="329">
        <f>E12+E13</f>
        <v>12.807359327</v>
      </c>
      <c r="F14" s="329">
        <f t="shared" ref="F14:S14" si="0">F12+F13</f>
        <v>-90.847895772999991</v>
      </c>
      <c r="G14" s="329">
        <f t="shared" si="0"/>
        <v>7.57</v>
      </c>
      <c r="H14" s="329">
        <f t="shared" si="0"/>
        <v>78.833753513000005</v>
      </c>
      <c r="I14" s="329">
        <f t="shared" si="0"/>
        <v>71.263753513000012</v>
      </c>
      <c r="J14" s="329">
        <f t="shared" si="0"/>
        <v>89.240000000000009</v>
      </c>
      <c r="K14" s="329">
        <f t="shared" si="0"/>
        <v>0</v>
      </c>
      <c r="L14" s="329">
        <f t="shared" si="0"/>
        <v>17.11</v>
      </c>
      <c r="M14" s="329">
        <f>M12+M13</f>
        <v>17.11</v>
      </c>
      <c r="N14" s="329">
        <f t="shared" si="0"/>
        <v>-72.13000000000001</v>
      </c>
      <c r="O14" s="329">
        <f t="shared" si="0"/>
        <v>103.09333333333331</v>
      </c>
      <c r="P14" s="329">
        <f t="shared" si="0"/>
        <v>50.842499999999994</v>
      </c>
      <c r="Q14" s="329">
        <f t="shared" si="0"/>
        <v>80.77</v>
      </c>
      <c r="R14" s="329">
        <f t="shared" si="0"/>
        <v>7.86</v>
      </c>
      <c r="S14" s="329">
        <f t="shared" si="0"/>
        <v>65.289999999999992</v>
      </c>
      <c r="T14" s="329"/>
      <c r="U14" s="331"/>
    </row>
    <row r="15" spans="1:21" s="931" customFormat="1">
      <c r="B15" s="1461"/>
      <c r="C15" s="1462"/>
      <c r="D15" s="1462"/>
      <c r="E15" s="1463">
        <f>'F5 (T)'!E31-E14</f>
        <v>0</v>
      </c>
      <c r="F15" s="1462"/>
      <c r="G15" s="1462"/>
      <c r="H15" s="1463">
        <f>'F5 (T)'!J31-H14</f>
        <v>0</v>
      </c>
      <c r="I15" s="1462"/>
      <c r="J15" s="1464"/>
      <c r="K15" s="1464"/>
      <c r="L15" s="1464"/>
      <c r="M15" s="1465">
        <f>'F5 (T)'!O31-M14</f>
        <v>0</v>
      </c>
      <c r="N15" s="1464"/>
      <c r="O15" s="1465">
        <f>'F5 (T)'!$T$31-O14</f>
        <v>0</v>
      </c>
      <c r="P15" s="1466">
        <f>'F5 (T)'!$E$57-P14</f>
        <v>0</v>
      </c>
      <c r="Q15" s="1466">
        <f>'F5 (T)'!$J$57-Q14</f>
        <v>0</v>
      </c>
      <c r="R15" s="1466">
        <f>'F5 (T)'!$O$57-R14</f>
        <v>0</v>
      </c>
      <c r="S15" s="1466">
        <f>'F5 (T)'!$T$57-S14</f>
        <v>0</v>
      </c>
    </row>
    <row r="16" spans="1:21" s="1" customFormat="1">
      <c r="A16" s="5"/>
      <c r="B16" s="14" t="s">
        <v>966</v>
      </c>
      <c r="K16" s="5"/>
      <c r="L16" s="5"/>
      <c r="M16" s="5"/>
      <c r="N16" s="5"/>
      <c r="O16" s="5"/>
    </row>
    <row r="17" spans="1:15" s="1" customFormat="1">
      <c r="A17" s="5"/>
      <c r="B17" s="14"/>
      <c r="C17" s="1" t="s">
        <v>636</v>
      </c>
      <c r="K17" s="5"/>
      <c r="L17" s="5"/>
      <c r="M17" s="5"/>
      <c r="N17" s="5"/>
      <c r="O17" s="5"/>
    </row>
  </sheetData>
  <mergeCells count="10">
    <mergeCell ref="B2:N2"/>
    <mergeCell ref="B3:N3"/>
    <mergeCell ref="T7:T9"/>
    <mergeCell ref="B4:O4"/>
    <mergeCell ref="B7:B9"/>
    <mergeCell ref="C7:C9"/>
    <mergeCell ref="J7:N7"/>
    <mergeCell ref="D7:F7"/>
    <mergeCell ref="G7:I7"/>
    <mergeCell ref="O7:S7"/>
  </mergeCells>
  <pageMargins left="1.02" right="0.25" top="1" bottom="1" header="0.25" footer="0.25"/>
  <pageSetup paperSize="9" scale="51" orientation="landscape" r:id="rId1"/>
  <headerFooter alignWithMargins="0">
    <oddHeader>&amp;F</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S16"/>
  <sheetViews>
    <sheetView view="pageBreakPreview" zoomScale="80" zoomScaleNormal="70" zoomScaleSheetLayoutView="80" workbookViewId="0">
      <pane xSplit="2" ySplit="6" topLeftCell="D7" activePane="bottomRight" state="frozen"/>
      <selection activeCell="N12" sqref="N12"/>
      <selection pane="topRight" activeCell="N12" sqref="N12"/>
      <selection pane="bottomLeft" activeCell="N12" sqref="N12"/>
      <selection pane="bottomRight" activeCell="D1" sqref="A1:XFD1048576"/>
    </sheetView>
  </sheetViews>
  <sheetFormatPr defaultColWidth="9.1796875" defaultRowHeight="14.5"/>
  <cols>
    <col min="1" max="1" width="7.26953125" style="1747" customWidth="1"/>
    <col min="2" max="2" width="50.81640625" style="1748" customWidth="1"/>
    <col min="3" max="3" width="9.54296875" style="1748" customWidth="1"/>
    <col min="4" max="4" width="30.7265625" style="1748" customWidth="1"/>
    <col min="5" max="5" width="11.54296875" style="1749" customWidth="1"/>
    <col min="6" max="6" width="54.1796875" style="1389" customWidth="1"/>
    <col min="7" max="7" width="12.1796875" style="1750" bestFit="1" customWidth="1"/>
    <col min="8" max="8" width="9.1796875" style="1750" bestFit="1" customWidth="1"/>
    <col min="9" max="9" width="11.453125" style="1750" customWidth="1"/>
    <col min="10" max="10" width="11.26953125" style="1750" customWidth="1"/>
    <col min="11" max="11" width="7.7265625" style="1750" customWidth="1"/>
    <col min="12" max="12" width="11.453125" style="1750" customWidth="1"/>
    <col min="13" max="13" width="10.1796875" style="1389" bestFit="1" customWidth="1"/>
    <col min="14" max="14" width="25.81640625" style="1389" bestFit="1" customWidth="1"/>
    <col min="15" max="15" width="10" style="1389" customWidth="1"/>
    <col min="16" max="16" width="8.7265625" style="1389" customWidth="1"/>
    <col min="17" max="17" width="6.54296875" style="1389" customWidth="1"/>
    <col min="18" max="18" width="9.7265625" style="1389" customWidth="1"/>
    <col min="19" max="19" width="10.26953125" style="1748" customWidth="1"/>
    <col min="20" max="20" width="12.7265625" style="1389" customWidth="1"/>
    <col min="21" max="21" width="14" style="1389" customWidth="1"/>
    <col min="22" max="24" width="12.7265625" style="1389" customWidth="1"/>
    <col min="25" max="25" width="15.26953125" style="1389" customWidth="1"/>
    <col min="26" max="26" width="12.54296875" style="1389" customWidth="1"/>
    <col min="27" max="27" width="13.453125" style="1389" customWidth="1"/>
    <col min="28" max="28" width="13.54296875" style="1389" customWidth="1"/>
    <col min="29" max="16384" width="9.1796875" style="1389"/>
  </cols>
  <sheetData>
    <row r="1" spans="1:45">
      <c r="D1" s="1308" t="s">
        <v>1552</v>
      </c>
    </row>
    <row r="2" spans="1:45">
      <c r="D2" s="1555" t="s">
        <v>928</v>
      </c>
    </row>
    <row r="3" spans="1:45">
      <c r="B3" s="1751" t="s">
        <v>0</v>
      </c>
      <c r="D3" s="1556" t="s">
        <v>502</v>
      </c>
      <c r="F3" s="1752"/>
      <c r="G3" s="1753"/>
      <c r="H3" s="1753"/>
      <c r="I3" s="1753"/>
      <c r="J3" s="1753"/>
      <c r="K3" s="1753"/>
      <c r="L3" s="1753"/>
      <c r="M3" s="1752"/>
      <c r="N3" s="1752"/>
      <c r="O3" s="1752"/>
      <c r="P3" s="1752"/>
      <c r="Q3" s="1752"/>
      <c r="R3" s="1752"/>
      <c r="S3" s="1754" t="s">
        <v>10</v>
      </c>
      <c r="T3" s="1752"/>
      <c r="U3" s="1752"/>
      <c r="V3" s="1752"/>
      <c r="W3" s="1752"/>
      <c r="X3" s="1752"/>
      <c r="Y3" s="1752"/>
      <c r="Z3" s="1752"/>
      <c r="AA3" s="1752"/>
      <c r="AB3" s="1752"/>
    </row>
    <row r="4" spans="1:45" s="1316" customFormat="1" ht="14.5" customHeight="1">
      <c r="A4" s="1914" t="s">
        <v>340</v>
      </c>
      <c r="B4" s="1915" t="s">
        <v>16</v>
      </c>
      <c r="C4" s="1915" t="s">
        <v>1</v>
      </c>
      <c r="D4" s="1915" t="s">
        <v>490</v>
      </c>
      <c r="E4" s="1916" t="s">
        <v>491</v>
      </c>
      <c r="F4" s="1910" t="s">
        <v>4</v>
      </c>
      <c r="G4" s="1907" t="s">
        <v>2</v>
      </c>
      <c r="H4" s="1908"/>
      <c r="I4" s="1909"/>
      <c r="J4" s="1907" t="s">
        <v>8</v>
      </c>
      <c r="K4" s="1908"/>
      <c r="L4" s="1909"/>
      <c r="M4" s="1910" t="s">
        <v>492</v>
      </c>
      <c r="N4" s="1910"/>
      <c r="O4" s="1910"/>
      <c r="P4" s="1910"/>
      <c r="Q4" s="1910"/>
      <c r="R4" s="1910"/>
      <c r="S4" s="1910"/>
    </row>
    <row r="5" spans="1:45" s="1316" customFormat="1" ht="14.5" customHeight="1">
      <c r="A5" s="1914"/>
      <c r="B5" s="1915"/>
      <c r="C5" s="1915"/>
      <c r="D5" s="1915"/>
      <c r="E5" s="1916"/>
      <c r="F5" s="1910"/>
      <c r="G5" s="1911" t="s">
        <v>11</v>
      </c>
      <c r="H5" s="1911" t="s">
        <v>9</v>
      </c>
      <c r="I5" s="1911" t="s">
        <v>493</v>
      </c>
      <c r="J5" s="1911" t="s">
        <v>11</v>
      </c>
      <c r="K5" s="1911" t="s">
        <v>9</v>
      </c>
      <c r="L5" s="1911" t="s">
        <v>7</v>
      </c>
      <c r="M5" s="1913" t="s">
        <v>24</v>
      </c>
      <c r="N5" s="1905" t="s">
        <v>494</v>
      </c>
      <c r="O5" s="1906" t="s">
        <v>668</v>
      </c>
      <c r="P5" s="1906"/>
      <c r="Q5" s="1906"/>
      <c r="R5" s="1906"/>
      <c r="S5" s="1906"/>
    </row>
    <row r="6" spans="1:45" ht="43.5">
      <c r="A6" s="1914"/>
      <c r="B6" s="1915"/>
      <c r="C6" s="1915"/>
      <c r="D6" s="1915"/>
      <c r="E6" s="1916"/>
      <c r="F6" s="1910"/>
      <c r="G6" s="1912"/>
      <c r="H6" s="1912"/>
      <c r="I6" s="1912"/>
      <c r="J6" s="1912"/>
      <c r="K6" s="1912"/>
      <c r="L6" s="1912"/>
      <c r="M6" s="1913"/>
      <c r="N6" s="1905"/>
      <c r="O6" s="1476" t="s">
        <v>673</v>
      </c>
      <c r="P6" s="1476" t="s">
        <v>669</v>
      </c>
      <c r="Q6" s="1476" t="s">
        <v>670</v>
      </c>
      <c r="R6" s="1476" t="s">
        <v>671</v>
      </c>
      <c r="S6" s="1485" t="s">
        <v>672</v>
      </c>
    </row>
    <row r="7" spans="1:45">
      <c r="A7" s="1755"/>
      <c r="B7" s="1756"/>
      <c r="C7" s="1756"/>
      <c r="D7" s="1756"/>
      <c r="E7" s="1757"/>
      <c r="F7" s="1309"/>
      <c r="G7" s="1310"/>
      <c r="H7" s="1310"/>
      <c r="I7" s="1310"/>
      <c r="J7" s="1310"/>
      <c r="K7" s="1310"/>
      <c r="L7" s="1310"/>
      <c r="M7" s="1311"/>
      <c r="N7" s="1476"/>
      <c r="O7" s="1476"/>
      <c r="P7" s="1476"/>
      <c r="Q7" s="1476"/>
      <c r="R7" s="1476"/>
      <c r="S7" s="1485"/>
    </row>
    <row r="8" spans="1:45" s="1316" customFormat="1" ht="15.5" customHeight="1">
      <c r="A8" s="1533">
        <v>22</v>
      </c>
      <c r="B8" s="1534" t="s">
        <v>1832</v>
      </c>
      <c r="C8" s="1533" t="s">
        <v>929</v>
      </c>
      <c r="D8" s="1533" t="s">
        <v>1833</v>
      </c>
      <c r="E8" s="1676">
        <v>44739</v>
      </c>
      <c r="F8" s="1533">
        <v>0</v>
      </c>
      <c r="G8" s="1676">
        <f>E8</f>
        <v>44739</v>
      </c>
      <c r="H8" s="1312"/>
      <c r="I8" s="1676" t="s">
        <v>1566</v>
      </c>
      <c r="J8" s="1676" t="s">
        <v>1566</v>
      </c>
      <c r="K8" s="1313"/>
      <c r="L8" s="1676" t="s">
        <v>1566</v>
      </c>
      <c r="M8" s="1314">
        <v>0</v>
      </c>
      <c r="N8" s="1314">
        <v>0</v>
      </c>
      <c r="O8" s="1315"/>
      <c r="P8" s="1678">
        <f>M8-N8</f>
        <v>0</v>
      </c>
      <c r="Q8" s="1678"/>
      <c r="R8" s="1679"/>
      <c r="S8" s="1679">
        <f>IF(SUM(O8:R8)=0,M8-N8,SUM(O8:R8))</f>
        <v>0</v>
      </c>
      <c r="T8" s="1584"/>
      <c r="U8" s="1679"/>
      <c r="V8" s="1679"/>
      <c r="W8" s="1679"/>
      <c r="X8" s="1680"/>
      <c r="Y8" s="1680"/>
      <c r="Z8" s="1681"/>
      <c r="AA8" s="1681"/>
      <c r="AB8" s="1681"/>
      <c r="AC8" s="1681"/>
      <c r="AD8" s="1681"/>
      <c r="AE8" s="1678"/>
      <c r="AF8" s="1678"/>
      <c r="AG8" s="1679"/>
      <c r="AH8" s="1679"/>
      <c r="AI8" s="1584"/>
      <c r="AJ8" s="1679"/>
      <c r="AK8" s="1679"/>
      <c r="AL8" s="1679"/>
      <c r="AM8" s="1679"/>
      <c r="AN8" s="161"/>
      <c r="AO8" s="1758"/>
      <c r="AP8" s="1684"/>
      <c r="AQ8" s="1684"/>
      <c r="AS8" s="1317"/>
    </row>
    <row r="9" spans="1:45">
      <c r="A9" s="1491">
        <v>22.1</v>
      </c>
      <c r="B9" s="1530" t="s">
        <v>1832</v>
      </c>
      <c r="C9" s="1667" t="s">
        <v>936</v>
      </c>
      <c r="D9" s="1491" t="s">
        <v>1833</v>
      </c>
      <c r="E9" s="1759">
        <v>44739</v>
      </c>
      <c r="F9" s="1319">
        <v>0</v>
      </c>
      <c r="G9" s="1649">
        <f t="shared" ref="G9:G12" si="0">E9</f>
        <v>44739</v>
      </c>
      <c r="H9" s="1649"/>
      <c r="I9" s="1649" t="s">
        <v>1566</v>
      </c>
      <c r="J9" s="1649" t="s">
        <v>1566</v>
      </c>
      <c r="K9" s="1649"/>
      <c r="L9" s="1649" t="s">
        <v>1566</v>
      </c>
      <c r="M9" s="1318">
        <v>85.2</v>
      </c>
      <c r="N9" s="1314">
        <v>4.0999999999999996</v>
      </c>
      <c r="O9" s="1319"/>
      <c r="P9" s="1320">
        <f t="shared" ref="P9:P12" si="1">M9-N9</f>
        <v>81.100000000000009</v>
      </c>
      <c r="Q9" s="1319"/>
      <c r="R9" s="1319"/>
      <c r="S9" s="1321">
        <f t="shared" ref="S9:S12" si="2">IF(SUM(O9:R9)=0,M9-N9,SUM(O9:R9))</f>
        <v>81.100000000000009</v>
      </c>
    </row>
    <row r="10" spans="1:45">
      <c r="A10" s="1491">
        <v>0</v>
      </c>
      <c r="B10" s="1530" t="s">
        <v>414</v>
      </c>
      <c r="C10" s="1667" t="s">
        <v>414</v>
      </c>
      <c r="D10" s="1491" t="s">
        <v>1833</v>
      </c>
      <c r="E10" s="1759">
        <v>44739</v>
      </c>
      <c r="F10" s="1319">
        <v>0</v>
      </c>
      <c r="G10" s="1649">
        <f t="shared" si="0"/>
        <v>44739</v>
      </c>
      <c r="H10" s="1649"/>
      <c r="I10" s="1649" t="s">
        <v>1566</v>
      </c>
      <c r="J10" s="1649" t="s">
        <v>1566</v>
      </c>
      <c r="K10" s="1649"/>
      <c r="L10" s="1649" t="s">
        <v>1566</v>
      </c>
      <c r="M10" s="1318">
        <v>4.04</v>
      </c>
      <c r="N10" s="1314">
        <v>0.49</v>
      </c>
      <c r="O10" s="1319"/>
      <c r="P10" s="1320">
        <f t="shared" si="1"/>
        <v>3.55</v>
      </c>
      <c r="Q10" s="1319"/>
      <c r="R10" s="1319"/>
      <c r="S10" s="1321">
        <f t="shared" si="2"/>
        <v>3.55</v>
      </c>
    </row>
    <row r="11" spans="1:45" s="1316" customFormat="1" ht="31" customHeight="1">
      <c r="A11" s="1533" t="s">
        <v>1835</v>
      </c>
      <c r="B11" s="1534" t="s">
        <v>1836</v>
      </c>
      <c r="C11" s="1533" t="s">
        <v>929</v>
      </c>
      <c r="D11" s="1533" t="s">
        <v>1837</v>
      </c>
      <c r="E11" s="1676">
        <v>44604</v>
      </c>
      <c r="F11" s="1533">
        <v>0</v>
      </c>
      <c r="G11" s="1676">
        <f t="shared" si="0"/>
        <v>44604</v>
      </c>
      <c r="H11" s="1312"/>
      <c r="I11" s="1676" t="s">
        <v>1566</v>
      </c>
      <c r="J11" s="1676" t="s">
        <v>1566</v>
      </c>
      <c r="K11" s="1313"/>
      <c r="L11" s="1676" t="s">
        <v>1566</v>
      </c>
      <c r="M11" s="1314">
        <v>0</v>
      </c>
      <c r="N11" s="1314">
        <v>0</v>
      </c>
      <c r="O11" s="1315"/>
      <c r="P11" s="1678">
        <f t="shared" si="1"/>
        <v>0</v>
      </c>
      <c r="Q11" s="1678"/>
      <c r="R11" s="1679"/>
      <c r="S11" s="1679">
        <f t="shared" si="2"/>
        <v>0</v>
      </c>
      <c r="T11" s="1584"/>
      <c r="U11" s="1679"/>
      <c r="V11" s="1679"/>
      <c r="W11" s="1679"/>
      <c r="X11" s="1680"/>
      <c r="Y11" s="1680"/>
      <c r="Z11" s="1681"/>
      <c r="AA11" s="1681"/>
      <c r="AB11" s="1681"/>
      <c r="AC11" s="1681"/>
      <c r="AD11" s="1681"/>
      <c r="AE11" s="1678"/>
      <c r="AF11" s="1678"/>
      <c r="AG11" s="1679"/>
      <c r="AH11" s="1679"/>
      <c r="AI11" s="1584"/>
      <c r="AJ11" s="1679"/>
      <c r="AK11" s="1679"/>
      <c r="AL11" s="1679"/>
      <c r="AM11" s="1679"/>
      <c r="AN11" s="161"/>
      <c r="AO11" s="1758"/>
      <c r="AP11" s="1684"/>
      <c r="AQ11" s="1684"/>
      <c r="AS11" s="1317"/>
    </row>
    <row r="12" spans="1:45" ht="43.5">
      <c r="A12" s="1491" t="s">
        <v>1838</v>
      </c>
      <c r="B12" s="1530" t="s">
        <v>1836</v>
      </c>
      <c r="C12" s="1667" t="s">
        <v>936</v>
      </c>
      <c r="D12" s="1491" t="s">
        <v>1837</v>
      </c>
      <c r="E12" s="1759">
        <v>44604</v>
      </c>
      <c r="F12" s="1319">
        <v>0</v>
      </c>
      <c r="G12" s="1649">
        <f t="shared" si="0"/>
        <v>44604</v>
      </c>
      <c r="H12" s="1649"/>
      <c r="I12" s="1649" t="s">
        <v>1566</v>
      </c>
      <c r="J12" s="1649" t="s">
        <v>1566</v>
      </c>
      <c r="K12" s="1649"/>
      <c r="L12" s="1649" t="s">
        <v>1566</v>
      </c>
      <c r="M12" s="1318">
        <v>54.24</v>
      </c>
      <c r="N12" s="1314">
        <v>0</v>
      </c>
      <c r="O12" s="1319"/>
      <c r="P12" s="1320">
        <f t="shared" si="1"/>
        <v>54.24</v>
      </c>
      <c r="Q12" s="1319"/>
      <c r="R12" s="1319"/>
      <c r="S12" s="1321">
        <f t="shared" si="2"/>
        <v>54.24</v>
      </c>
    </row>
    <row r="13" spans="1:45" ht="29">
      <c r="A13" s="1491">
        <v>0</v>
      </c>
      <c r="B13" s="1530" t="s">
        <v>414</v>
      </c>
      <c r="C13" s="1667" t="s">
        <v>414</v>
      </c>
      <c r="D13" s="1491" t="s">
        <v>1837</v>
      </c>
      <c r="E13" s="1759">
        <v>44604</v>
      </c>
      <c r="F13" s="1319">
        <v>0</v>
      </c>
      <c r="G13" s="1649">
        <f>E13</f>
        <v>44604</v>
      </c>
      <c r="H13" s="1649"/>
      <c r="I13" s="1649" t="s">
        <v>1566</v>
      </c>
      <c r="J13" s="1649" t="s">
        <v>1566</v>
      </c>
      <c r="K13" s="1649"/>
      <c r="L13" s="1649" t="s">
        <v>1566</v>
      </c>
      <c r="M13" s="1318">
        <v>2.76</v>
      </c>
      <c r="N13" s="1314">
        <v>0</v>
      </c>
      <c r="O13" s="1319"/>
      <c r="P13" s="1320">
        <f>M13-N13</f>
        <v>2.76</v>
      </c>
      <c r="Q13" s="1319"/>
      <c r="R13" s="1319"/>
      <c r="S13" s="1321">
        <f>IF(SUM(O13:R13)=0,M13-N13,SUM(O13:R13))</f>
        <v>2.76</v>
      </c>
    </row>
    <row r="14" spans="1:45" s="1316" customFormat="1" ht="31" customHeight="1">
      <c r="A14" s="1533" t="s">
        <v>1839</v>
      </c>
      <c r="B14" s="1534" t="s">
        <v>1840</v>
      </c>
      <c r="C14" s="1533" t="s">
        <v>929</v>
      </c>
      <c r="D14" s="1533" t="s">
        <v>1841</v>
      </c>
      <c r="E14" s="1676">
        <v>45232</v>
      </c>
      <c r="F14" s="1533">
        <v>0</v>
      </c>
      <c r="G14" s="1676">
        <f t="shared" ref="G14:G16" si="3">E14</f>
        <v>45232</v>
      </c>
      <c r="H14" s="1312"/>
      <c r="I14" s="1676" t="s">
        <v>1566</v>
      </c>
      <c r="J14" s="1676" t="s">
        <v>1566</v>
      </c>
      <c r="K14" s="1313"/>
      <c r="L14" s="1676" t="s">
        <v>1566</v>
      </c>
      <c r="M14" s="1314">
        <v>0</v>
      </c>
      <c r="N14" s="1314">
        <v>0</v>
      </c>
      <c r="O14" s="1315"/>
      <c r="P14" s="1678">
        <f t="shared" ref="P14:P16" si="4">M14-N14</f>
        <v>0</v>
      </c>
      <c r="Q14" s="1678"/>
      <c r="R14" s="1679"/>
      <c r="S14" s="1679">
        <f t="shared" ref="S14:S16" si="5">IF(SUM(O14:R14)=0,M14-N14,SUM(O14:R14))</f>
        <v>0</v>
      </c>
      <c r="T14" s="1584"/>
      <c r="U14" s="1679"/>
      <c r="V14" s="1679"/>
      <c r="W14" s="1679"/>
      <c r="X14" s="1680"/>
      <c r="Y14" s="1680"/>
      <c r="Z14" s="1681"/>
      <c r="AA14" s="1681"/>
      <c r="AB14" s="1681"/>
      <c r="AC14" s="1681"/>
      <c r="AD14" s="1681"/>
      <c r="AE14" s="1678"/>
      <c r="AF14" s="1678"/>
      <c r="AG14" s="1679"/>
      <c r="AH14" s="1679"/>
      <c r="AI14" s="1584"/>
      <c r="AJ14" s="1679"/>
      <c r="AK14" s="1679"/>
      <c r="AL14" s="1679"/>
      <c r="AM14" s="1679"/>
      <c r="AN14" s="161"/>
      <c r="AO14" s="1758"/>
      <c r="AP14" s="1684"/>
      <c r="AQ14" s="1684"/>
      <c r="AS14" s="1317"/>
    </row>
    <row r="15" spans="1:45" ht="43.5">
      <c r="A15" s="1491" t="s">
        <v>1842</v>
      </c>
      <c r="B15" s="1530" t="s">
        <v>1840</v>
      </c>
      <c r="C15" s="1667" t="s">
        <v>936</v>
      </c>
      <c r="D15" s="1491" t="s">
        <v>1841</v>
      </c>
      <c r="E15" s="1759">
        <v>45232</v>
      </c>
      <c r="F15" s="1319">
        <v>0</v>
      </c>
      <c r="G15" s="1649">
        <f t="shared" si="3"/>
        <v>45232</v>
      </c>
      <c r="H15" s="1649"/>
      <c r="I15" s="1649" t="s">
        <v>1566</v>
      </c>
      <c r="J15" s="1649" t="s">
        <v>1566</v>
      </c>
      <c r="K15" s="1649"/>
      <c r="L15" s="1649" t="s">
        <v>1566</v>
      </c>
      <c r="M15" s="1318">
        <v>66.009</v>
      </c>
      <c r="N15" s="1314">
        <v>0</v>
      </c>
      <c r="O15" s="1319"/>
      <c r="P15" s="1320">
        <f t="shared" si="4"/>
        <v>66.009</v>
      </c>
      <c r="Q15" s="1319"/>
      <c r="R15" s="1319"/>
      <c r="S15" s="1321">
        <f t="shared" si="5"/>
        <v>66.009</v>
      </c>
    </row>
    <row r="16" spans="1:45" ht="29">
      <c r="A16" s="1491">
        <v>0</v>
      </c>
      <c r="B16" s="1530" t="s">
        <v>414</v>
      </c>
      <c r="C16" s="1667" t="s">
        <v>414</v>
      </c>
      <c r="D16" s="1491" t="s">
        <v>1841</v>
      </c>
      <c r="E16" s="1759">
        <v>45232</v>
      </c>
      <c r="F16" s="1319">
        <v>0</v>
      </c>
      <c r="G16" s="1649">
        <f t="shared" si="3"/>
        <v>45232</v>
      </c>
      <c r="H16" s="1649"/>
      <c r="I16" s="1649" t="s">
        <v>1566</v>
      </c>
      <c r="J16" s="1649" t="s">
        <v>1566</v>
      </c>
      <c r="K16" s="1649"/>
      <c r="L16" s="1649" t="s">
        <v>1566</v>
      </c>
      <c r="M16" s="1318">
        <v>3.3</v>
      </c>
      <c r="N16" s="1314">
        <v>0</v>
      </c>
      <c r="O16" s="1319"/>
      <c r="P16" s="1320">
        <f t="shared" si="4"/>
        <v>3.3</v>
      </c>
      <c r="Q16" s="1319"/>
      <c r="R16" s="1319"/>
      <c r="S16" s="1321">
        <f t="shared" si="5"/>
        <v>3.3</v>
      </c>
    </row>
  </sheetData>
  <mergeCells count="18">
    <mergeCell ref="F4:F6"/>
    <mergeCell ref="A4:A6"/>
    <mergeCell ref="B4:B6"/>
    <mergeCell ref="C4:C6"/>
    <mergeCell ref="D4:D6"/>
    <mergeCell ref="E4:E6"/>
    <mergeCell ref="N5:N6"/>
    <mergeCell ref="O5:S5"/>
    <mergeCell ref="G4:I4"/>
    <mergeCell ref="J4:L4"/>
    <mergeCell ref="M4:S4"/>
    <mergeCell ref="G5:G6"/>
    <mergeCell ref="H5:H6"/>
    <mergeCell ref="I5:I6"/>
    <mergeCell ref="J5:J6"/>
    <mergeCell ref="K5:K6"/>
    <mergeCell ref="L5:L6"/>
    <mergeCell ref="M5:M6"/>
  </mergeCells>
  <conditionalFormatting sqref="D8:E16">
    <cfRule type="containsText" dxfId="510" priority="15" operator="containsText" text="DPR not submitted">
      <formula>NOT(ISERROR(SEARCH("DPR not submitted",D8)))</formula>
    </cfRule>
    <cfRule type="containsText" dxfId="509" priority="16" operator="containsText" text="Yet to be approved">
      <formula>NOT(ISERROR(SEARCH("Yet to be approved",D8)))</formula>
    </cfRule>
  </conditionalFormatting>
  <conditionalFormatting sqref="G8">
    <cfRule type="containsText" dxfId="508" priority="35" operator="containsText" text="DPR not submitted">
      <formula>NOT(ISERROR(SEARCH("DPR not submitted",G8)))</formula>
    </cfRule>
    <cfRule type="containsText" dxfId="507" priority="36" operator="containsText" text="Yet to be approved">
      <formula>NOT(ISERROR(SEARCH("Yet to be approved",G8)))</formula>
    </cfRule>
  </conditionalFormatting>
  <conditionalFormatting sqref="G11">
    <cfRule type="containsText" dxfId="506" priority="21" operator="containsText" text="DPR not submitted">
      <formula>NOT(ISERROR(SEARCH("DPR not submitted",G11)))</formula>
    </cfRule>
    <cfRule type="containsText" dxfId="505" priority="22" operator="containsText" text="Yet to be approved">
      <formula>NOT(ISERROR(SEARCH("Yet to be approved",G11)))</formula>
    </cfRule>
  </conditionalFormatting>
  <conditionalFormatting sqref="G14">
    <cfRule type="containsText" dxfId="504" priority="5" operator="containsText" text="DPR not submitted">
      <formula>NOT(ISERROR(SEARCH("DPR not submitted",G14)))</formula>
    </cfRule>
    <cfRule type="containsText" dxfId="503" priority="6" operator="containsText" text="Yet to be approved">
      <formula>NOT(ISERROR(SEARCH("Yet to be approved",G14)))</formula>
    </cfRule>
  </conditionalFormatting>
  <conditionalFormatting sqref="G9:L10 G12:L13 G15:L16">
    <cfRule type="containsText" dxfId="502" priority="46" operator="containsText" text="DPR not submitted">
      <formula>NOT(ISERROR(SEARCH("DPR not submitted",G9)))</formula>
    </cfRule>
    <cfRule type="containsText" dxfId="501" priority="47" operator="containsText" text="Yet to be approved">
      <formula>NOT(ISERROR(SEARCH("Yet to be approved",G9)))</formula>
    </cfRule>
  </conditionalFormatting>
  <conditionalFormatting sqref="I8:J8">
    <cfRule type="containsText" dxfId="500" priority="33" operator="containsText" text="DPR not submitted">
      <formula>NOT(ISERROR(SEARCH("DPR not submitted",I8)))</formula>
    </cfRule>
    <cfRule type="containsText" dxfId="499" priority="34" operator="containsText" text="Yet to be approved">
      <formula>NOT(ISERROR(SEARCH("Yet to be approved",I8)))</formula>
    </cfRule>
  </conditionalFormatting>
  <conditionalFormatting sqref="I11:J11">
    <cfRule type="containsText" dxfId="498" priority="19" operator="containsText" text="DPR not submitted">
      <formula>NOT(ISERROR(SEARCH("DPR not submitted",I11)))</formula>
    </cfRule>
    <cfRule type="containsText" dxfId="497" priority="20" operator="containsText" text="Yet to be approved">
      <formula>NOT(ISERROR(SEARCH("Yet to be approved",I11)))</formula>
    </cfRule>
  </conditionalFormatting>
  <conditionalFormatting sqref="I14:J14">
    <cfRule type="containsText" dxfId="496" priority="3" operator="containsText" text="DPR not submitted">
      <formula>NOT(ISERROR(SEARCH("DPR not submitted",I14)))</formula>
    </cfRule>
    <cfRule type="containsText" dxfId="495" priority="4" operator="containsText" text="Yet to be approved">
      <formula>NOT(ISERROR(SEARCH("Yet to be approved",I14)))</formula>
    </cfRule>
  </conditionalFormatting>
  <conditionalFormatting sqref="L8">
    <cfRule type="containsText" dxfId="494" priority="31" operator="containsText" text="DPR not submitted">
      <formula>NOT(ISERROR(SEARCH("DPR not submitted",L8)))</formula>
    </cfRule>
    <cfRule type="containsText" dxfId="493" priority="32" operator="containsText" text="Yet to be approved">
      <formula>NOT(ISERROR(SEARCH("Yet to be approved",L8)))</formula>
    </cfRule>
  </conditionalFormatting>
  <conditionalFormatting sqref="L11">
    <cfRule type="containsText" dxfId="492" priority="17" operator="containsText" text="DPR not submitted">
      <formula>NOT(ISERROR(SEARCH("DPR not submitted",L11)))</formula>
    </cfRule>
    <cfRule type="containsText" dxfId="491" priority="18" operator="containsText" text="Yet to be approved">
      <formula>NOT(ISERROR(SEARCH("Yet to be approved",L11)))</formula>
    </cfRule>
  </conditionalFormatting>
  <conditionalFormatting sqref="L14">
    <cfRule type="containsText" dxfId="490" priority="1" operator="containsText" text="DPR not submitted">
      <formula>NOT(ISERROR(SEARCH("DPR not submitted",L14)))</formula>
    </cfRule>
    <cfRule type="containsText" dxfId="489" priority="2" operator="containsText" text="Yet to be approved">
      <formula>NOT(ISERROR(SEARCH("Yet to be approved",L14)))</formula>
    </cfRule>
  </conditionalFormatting>
  <conditionalFormatting sqref="S1:S7">
    <cfRule type="cellIs" dxfId="488" priority="48" operator="lessThan">
      <formula>0</formula>
    </cfRule>
  </conditionalFormatting>
  <conditionalFormatting sqref="S9:S10 S12:S13 S15:S1048576">
    <cfRule type="cellIs" dxfId="487" priority="45" operator="lessThan">
      <formula>0</formula>
    </cfRule>
  </conditionalFormatting>
  <pageMargins left="0.47152777777777799" right="0.196527777777778" top="0.39305555555555599" bottom="0.35416666666666702" header="0.235416666666667" footer="0.235416666666667"/>
  <pageSetup paperSize="9" scale="36" fitToWidth="2" fitToHeight="0" orientation="landscape" r:id="rId1"/>
  <headerFooter alignWithMargins="0">
    <oddHeader>&amp;C&amp;F</oddHeader>
  </headerFooter>
  <extLst>
    <ext xmlns:x14="http://schemas.microsoft.com/office/spreadsheetml/2009/9/main" uri="{78C0D931-6437-407d-A8EE-F0AAD7539E65}">
      <x14:conditionalFormattings>
        <x14:conditionalFormatting xmlns:xm="http://schemas.microsoft.com/office/excel/2006/main">
          <x14:cfRule type="containsText" priority="37" operator="containsText" id="{4B28356F-A7B3-400D-B8C2-59A05A2C95A6}">
            <xm:f>NOT(ISERROR(SEARCH($AS$8,AO8)))</xm:f>
            <xm:f>$AS$8</xm:f>
            <x14:dxf>
              <font>
                <b val="0"/>
                <i/>
                <color rgb="FFFF0000"/>
              </font>
              <fill>
                <patternFill patternType="none"/>
              </fill>
            </x14:dxf>
          </x14:cfRule>
          <x14:cfRule type="containsText" priority="38" operator="containsText" id="{354F2B0B-A8C2-4C83-B641-C114B4FE160D}">
            <xm:f>NOT(ISERROR(SEARCH($AS$7,AO8)))</xm:f>
            <xm:f>$AS$7</xm:f>
            <x14:dxf>
              <fill>
                <patternFill patternType="solid">
                  <bgColor theme="0" tint="-0.34998626667073579"/>
                </patternFill>
              </fill>
            </x14:dxf>
          </x14:cfRule>
          <x14:cfRule type="containsText" priority="39" operator="containsText" id="{E31FB743-9324-4B43-8CEC-23B8988A7810}">
            <xm:f>NOT(ISERROR(SEARCH($AS$6,AO8)))</xm:f>
            <xm:f>$AS$6</xm:f>
            <x14:dxf>
              <font>
                <color rgb="FF9C0006"/>
              </font>
              <fill>
                <patternFill patternType="solid">
                  <bgColor rgb="FFFFC7CE"/>
                </patternFill>
              </fill>
            </x14:dxf>
          </x14:cfRule>
          <x14:cfRule type="containsText" priority="40" operator="containsText" id="{421B6749-D3DF-470F-A54D-807E21BA6D54}">
            <xm:f>NOT(ISERROR(SEARCH($AS$5,AO8)))</xm:f>
            <xm:f>$AS$5</xm:f>
            <x14:dxf>
              <font>
                <color rgb="FF9C0006"/>
              </font>
              <fill>
                <patternFill patternType="solid">
                  <bgColor rgb="FFFFC7CE"/>
                </patternFill>
              </fill>
            </x14:dxf>
          </x14:cfRule>
          <x14:cfRule type="containsText" priority="41" operator="containsText" id="{D8D435ED-4ED3-410D-B2EF-D52C40158482}">
            <xm:f>NOT(ISERROR(SEARCH($AS$4,AO8)))</xm:f>
            <xm:f>$AS$4</xm:f>
            <x14:dxf>
              <font>
                <color rgb="FF006100"/>
              </font>
              <fill>
                <patternFill patternType="solid">
                  <bgColor rgb="FFC6EFCE"/>
                </patternFill>
              </fill>
            </x14:dxf>
          </x14:cfRule>
          <x14:cfRule type="containsText" priority="42" operator="containsText" id="{35AF9BA8-53A1-4ED2-B4C2-15C554AEA648}">
            <xm:f>NOT(ISERROR(SEARCH($AS$3,AO8)))</xm:f>
            <xm:f>$AS$3</xm:f>
            <x14:dxf>
              <font>
                <color rgb="FF00B050"/>
              </font>
            </x14:dxf>
          </x14:cfRule>
          <x14:cfRule type="containsText" priority="43" operator="containsText" id="{0A77426E-790A-41B5-AFC4-3CB306E98125}">
            <xm:f>NOT(ISERROR(SEARCH($AS$2,AO8)))</xm:f>
            <xm:f>$AS$2</xm:f>
            <x14:dxf>
              <font>
                <color rgb="FF9C6500"/>
              </font>
              <fill>
                <patternFill patternType="solid">
                  <bgColor rgb="FFFFEB9C"/>
                </patternFill>
              </fill>
            </x14:dxf>
          </x14:cfRule>
          <x14:cfRule type="containsText" priority="44" operator="containsText" id="{AC1C5FC1-1315-404D-9539-1AC35EBE9BE8}">
            <xm:f>NOT(ISERROR(SEARCH($AS$1,AO8)))</xm:f>
            <xm:f>$AS$1</xm:f>
            <x14:dxf>
              <font>
                <color rgb="FF00B0F0"/>
              </font>
            </x14:dxf>
          </x14:cfRule>
          <xm:sqref>AO8</xm:sqref>
        </x14:conditionalFormatting>
        <x14:conditionalFormatting xmlns:xm="http://schemas.microsoft.com/office/excel/2006/main">
          <x14:cfRule type="containsText" priority="23" operator="containsText" id="{2EF52D77-E43D-4E82-9D6B-A3077F760731}">
            <xm:f>NOT(ISERROR(SEARCH($AS$8,AO11)))</xm:f>
            <xm:f>$AS$8</xm:f>
            <x14:dxf>
              <font>
                <b val="0"/>
                <i/>
                <color rgb="FFFF0000"/>
              </font>
              <fill>
                <patternFill patternType="none"/>
              </fill>
            </x14:dxf>
          </x14:cfRule>
          <x14:cfRule type="containsText" priority="24" operator="containsText" id="{91E3DC45-CF0D-4131-A492-03D9A0EF7159}">
            <xm:f>NOT(ISERROR(SEARCH($AS$7,AO11)))</xm:f>
            <xm:f>$AS$7</xm:f>
            <x14:dxf>
              <fill>
                <patternFill patternType="solid">
                  <bgColor theme="0" tint="-0.34998626667073579"/>
                </patternFill>
              </fill>
            </x14:dxf>
          </x14:cfRule>
          <x14:cfRule type="containsText" priority="25" operator="containsText" id="{D14BE016-F4E2-4F45-B39D-EE03D509BB07}">
            <xm:f>NOT(ISERROR(SEARCH($AS$6,AO11)))</xm:f>
            <xm:f>$AS$6</xm:f>
            <x14:dxf>
              <font>
                <color rgb="FF9C0006"/>
              </font>
              <fill>
                <patternFill patternType="solid">
                  <bgColor rgb="FFFFC7CE"/>
                </patternFill>
              </fill>
            </x14:dxf>
          </x14:cfRule>
          <x14:cfRule type="containsText" priority="26" operator="containsText" id="{78E7B54A-8312-443F-9AF0-1F0FD8D3B73D}">
            <xm:f>NOT(ISERROR(SEARCH($AS$5,AO11)))</xm:f>
            <xm:f>$AS$5</xm:f>
            <x14:dxf>
              <font>
                <color rgb="FF9C0006"/>
              </font>
              <fill>
                <patternFill patternType="solid">
                  <bgColor rgb="FFFFC7CE"/>
                </patternFill>
              </fill>
            </x14:dxf>
          </x14:cfRule>
          <x14:cfRule type="containsText" priority="27" operator="containsText" id="{7D11231F-ECF9-4EAE-9065-25B529701D04}">
            <xm:f>NOT(ISERROR(SEARCH($AS$4,AO11)))</xm:f>
            <xm:f>$AS$4</xm:f>
            <x14:dxf>
              <font>
                <color rgb="FF006100"/>
              </font>
              <fill>
                <patternFill patternType="solid">
                  <bgColor rgb="FFC6EFCE"/>
                </patternFill>
              </fill>
            </x14:dxf>
          </x14:cfRule>
          <x14:cfRule type="containsText" priority="28" operator="containsText" id="{7AB1915D-BA3E-48D2-94C0-C9322BC34EB2}">
            <xm:f>NOT(ISERROR(SEARCH($AS$3,AO11)))</xm:f>
            <xm:f>$AS$3</xm:f>
            <x14:dxf>
              <font>
                <color rgb="FF00B050"/>
              </font>
            </x14:dxf>
          </x14:cfRule>
          <x14:cfRule type="containsText" priority="29" operator="containsText" id="{165CDDF2-2C0D-45D3-8435-538AC8C3BB2E}">
            <xm:f>NOT(ISERROR(SEARCH($AS$2,AO11)))</xm:f>
            <xm:f>$AS$2</xm:f>
            <x14:dxf>
              <font>
                <color rgb="FF9C6500"/>
              </font>
              <fill>
                <patternFill patternType="solid">
                  <bgColor rgb="FFFFEB9C"/>
                </patternFill>
              </fill>
            </x14:dxf>
          </x14:cfRule>
          <x14:cfRule type="containsText" priority="30" operator="containsText" id="{6FAFE403-30C3-45F7-AEC4-9156410DEB27}">
            <xm:f>NOT(ISERROR(SEARCH($AS$1,AO11)))</xm:f>
            <xm:f>$AS$1</xm:f>
            <x14:dxf>
              <font>
                <color rgb="FF00B0F0"/>
              </font>
            </x14:dxf>
          </x14:cfRule>
          <xm:sqref>AO11</xm:sqref>
        </x14:conditionalFormatting>
        <x14:conditionalFormatting xmlns:xm="http://schemas.microsoft.com/office/excel/2006/main">
          <x14:cfRule type="containsText" priority="7" operator="containsText" id="{D25123B6-E840-4387-8CC6-413F612AEB1F}">
            <xm:f>NOT(ISERROR(SEARCH($AS$8,AO14)))</xm:f>
            <xm:f>$AS$8</xm:f>
            <x14:dxf>
              <font>
                <b val="0"/>
                <i/>
                <color rgb="FFFF0000"/>
              </font>
              <fill>
                <patternFill patternType="none"/>
              </fill>
            </x14:dxf>
          </x14:cfRule>
          <x14:cfRule type="containsText" priority="8" operator="containsText" id="{5F554A27-80FE-4530-B6D2-B796F47CE072}">
            <xm:f>NOT(ISERROR(SEARCH($AS$7,AO14)))</xm:f>
            <xm:f>$AS$7</xm:f>
            <x14:dxf>
              <fill>
                <patternFill patternType="solid">
                  <bgColor theme="0" tint="-0.34998626667073579"/>
                </patternFill>
              </fill>
            </x14:dxf>
          </x14:cfRule>
          <x14:cfRule type="containsText" priority="9" operator="containsText" id="{F65416AF-BC2B-453B-896F-DC7A452B466C}">
            <xm:f>NOT(ISERROR(SEARCH($AS$6,AO14)))</xm:f>
            <xm:f>$AS$6</xm:f>
            <x14:dxf>
              <font>
                <color rgb="FF9C0006"/>
              </font>
              <fill>
                <patternFill patternType="solid">
                  <bgColor rgb="FFFFC7CE"/>
                </patternFill>
              </fill>
            </x14:dxf>
          </x14:cfRule>
          <x14:cfRule type="containsText" priority="10" operator="containsText" id="{0334C7DA-418C-4089-8A12-435FB671CFD8}">
            <xm:f>NOT(ISERROR(SEARCH($AS$5,AO14)))</xm:f>
            <xm:f>$AS$5</xm:f>
            <x14:dxf>
              <font>
                <color rgb="FF9C0006"/>
              </font>
              <fill>
                <patternFill patternType="solid">
                  <bgColor rgb="FFFFC7CE"/>
                </patternFill>
              </fill>
            </x14:dxf>
          </x14:cfRule>
          <x14:cfRule type="containsText" priority="11" operator="containsText" id="{8BE4CEF9-0E00-4E59-958E-7D2AF69BC6CA}">
            <xm:f>NOT(ISERROR(SEARCH($AS$4,AO14)))</xm:f>
            <xm:f>$AS$4</xm:f>
            <x14:dxf>
              <font>
                <color rgb="FF006100"/>
              </font>
              <fill>
                <patternFill patternType="solid">
                  <bgColor rgb="FFC6EFCE"/>
                </patternFill>
              </fill>
            </x14:dxf>
          </x14:cfRule>
          <x14:cfRule type="containsText" priority="12" operator="containsText" id="{4AB2B4C0-10DE-41EE-871C-F100A61239F8}">
            <xm:f>NOT(ISERROR(SEARCH($AS$3,AO14)))</xm:f>
            <xm:f>$AS$3</xm:f>
            <x14:dxf>
              <font>
                <color rgb="FF00B050"/>
              </font>
            </x14:dxf>
          </x14:cfRule>
          <x14:cfRule type="containsText" priority="13" operator="containsText" id="{411295D5-7256-4EAA-913F-2283F0FE9498}">
            <xm:f>NOT(ISERROR(SEARCH($AS$2,AO14)))</xm:f>
            <xm:f>$AS$2</xm:f>
            <x14:dxf>
              <font>
                <color rgb="FF9C6500"/>
              </font>
              <fill>
                <patternFill patternType="solid">
                  <bgColor rgb="FFFFEB9C"/>
                </patternFill>
              </fill>
            </x14:dxf>
          </x14:cfRule>
          <x14:cfRule type="containsText" priority="14" operator="containsText" id="{89C12D2E-C5D2-4704-9A7A-F84C2880365F}">
            <xm:f>NOT(ISERROR(SEARCH($AS$1,AO14)))</xm:f>
            <xm:f>$AS$1</xm:f>
            <x14:dxf>
              <font>
                <color rgb="FF00B0F0"/>
              </font>
            </x14:dxf>
          </x14:cfRule>
          <xm:sqref>AO14</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P71"/>
  <sheetViews>
    <sheetView showGridLines="0" zoomScale="80" zoomScaleNormal="80" workbookViewId="0">
      <selection activeCell="E8" sqref="E8"/>
    </sheetView>
  </sheetViews>
  <sheetFormatPr defaultColWidth="8.81640625" defaultRowHeight="13"/>
  <cols>
    <col min="1" max="1" width="8.81640625" style="531"/>
    <col min="2" max="2" width="46.453125" style="532" customWidth="1"/>
    <col min="3" max="8" width="8.81640625" style="531"/>
    <col min="9" max="9" width="12.81640625" style="531" customWidth="1"/>
    <col min="10" max="10" width="14.1796875" style="531" customWidth="1"/>
    <col min="11" max="11" width="12.36328125" style="531" customWidth="1"/>
    <col min="12" max="12" width="8.81640625" style="531"/>
    <col min="13" max="13" width="13.90625" style="531" customWidth="1"/>
    <col min="14" max="14" width="14.08984375" style="531" customWidth="1"/>
    <col min="15" max="15" width="13.90625" style="531" customWidth="1"/>
    <col min="16" max="16" width="16.08984375" style="531" customWidth="1"/>
    <col min="17" max="16384" width="8.81640625" style="531"/>
  </cols>
  <sheetData>
    <row r="1" spans="2:7">
      <c r="B1" s="1769" t="s">
        <v>925</v>
      </c>
      <c r="C1" s="1769"/>
      <c r="D1" s="1769"/>
      <c r="E1" s="1769"/>
      <c r="F1" s="1769"/>
    </row>
    <row r="2" spans="2:7">
      <c r="B2" s="810" t="s">
        <v>36</v>
      </c>
      <c r="C2" s="811" t="s">
        <v>921</v>
      </c>
      <c r="D2" s="811" t="s">
        <v>922</v>
      </c>
      <c r="E2" s="811" t="s">
        <v>923</v>
      </c>
      <c r="F2" s="811" t="s">
        <v>924</v>
      </c>
      <c r="G2" s="806"/>
    </row>
    <row r="3" spans="2:7">
      <c r="B3" s="533" t="s">
        <v>915</v>
      </c>
      <c r="C3" s="807" t="s">
        <v>98</v>
      </c>
      <c r="D3" s="630">
        <f>'F2.1'!$G$15</f>
        <v>0.85</v>
      </c>
      <c r="E3" s="630">
        <f>'F2.1'!$J$15</f>
        <v>0.85</v>
      </c>
      <c r="F3" s="630">
        <f>'F2.1'!$N$15</f>
        <v>0.85</v>
      </c>
      <c r="G3" s="806"/>
    </row>
    <row r="4" spans="2:7">
      <c r="B4" s="533" t="s">
        <v>682</v>
      </c>
      <c r="C4" s="807" t="s">
        <v>98</v>
      </c>
      <c r="D4" s="630">
        <f>'F2.1'!$G$16</f>
        <v>0.54910000000000003</v>
      </c>
      <c r="E4" s="630">
        <f>'F2.1'!$K$16</f>
        <v>0.74302000000000001</v>
      </c>
      <c r="F4" s="630">
        <f>'F2.1'!$Q$16</f>
        <v>0.72324163421732934</v>
      </c>
      <c r="G4" s="806"/>
    </row>
    <row r="5" spans="2:7">
      <c r="B5" s="534" t="s">
        <v>916</v>
      </c>
      <c r="C5" s="807" t="s">
        <v>442</v>
      </c>
      <c r="D5" s="1292">
        <f>'F1'!$F13+'F1'!$G15+'F1'!$F16+'F1'!$G17+'F1'!$G18+'F1'!$F19+'F1'!$F21+'F1'!$G24+'F1'!$G25-'F1'!$G26</f>
        <v>370.16738829352516</v>
      </c>
      <c r="E5" s="1292">
        <f>'F1'!$J13+'F1'!$K15+'F1'!$J16+'F1'!$K17+'F1'!$K18+'F1'!$J19+'F1'!$J21+'F1'!$K24+'F1'!$K25-'F1'!$K26</f>
        <v>401.00509031520994</v>
      </c>
      <c r="F5" s="1292">
        <f ca="1">'F1'!$N13+'F1'!$Q15+'F1'!$N16+'F1'!$Q17+'F1'!$Q18+'F1'!$N19+'F1'!$N21+'F1'!$Q24+'F1'!$Q25-'F1'!$Q26</f>
        <v>416.20191671094392</v>
      </c>
      <c r="G5" s="806"/>
    </row>
    <row r="6" spans="2:7">
      <c r="B6" s="534" t="s">
        <v>917</v>
      </c>
      <c r="C6" s="807" t="s">
        <v>442</v>
      </c>
      <c r="D6" s="629">
        <f>+'F3.1'!$E$27</f>
        <v>8.7347056900263649</v>
      </c>
      <c r="E6" s="629">
        <f>+'F3.1'!$G$27</f>
        <v>20.028461671000002</v>
      </c>
      <c r="F6" s="629">
        <f>+'F3.1'!$I$27</f>
        <v>20.028461671000002</v>
      </c>
      <c r="G6" s="806"/>
    </row>
    <row r="7" spans="2:7">
      <c r="B7" s="534" t="s">
        <v>949</v>
      </c>
      <c r="C7" s="807" t="s">
        <v>442</v>
      </c>
      <c r="D7" s="629">
        <f>D5-D6</f>
        <v>361.43268260349879</v>
      </c>
      <c r="E7" s="629">
        <f t="shared" ref="E7:F7" si="0">E5-E6</f>
        <v>380.97662864420994</v>
      </c>
      <c r="F7" s="629">
        <f t="shared" ca="1" si="0"/>
        <v>396.17345503994392</v>
      </c>
      <c r="G7" s="806"/>
    </row>
    <row r="8" spans="2:7">
      <c r="B8" s="536" t="s">
        <v>918</v>
      </c>
      <c r="C8" s="805" t="s">
        <v>442</v>
      </c>
      <c r="D8" s="842">
        <f>D48</f>
        <v>127.97034385481729</v>
      </c>
      <c r="E8" s="842">
        <f>E48</f>
        <v>48.064459677551952</v>
      </c>
      <c r="F8" s="842">
        <f ca="1">F48</f>
        <v>2.0400602502468814</v>
      </c>
      <c r="G8" s="806"/>
    </row>
    <row r="9" spans="2:7">
      <c r="B9" s="534" t="s">
        <v>919</v>
      </c>
      <c r="C9" s="807" t="s">
        <v>442</v>
      </c>
      <c r="D9" s="828">
        <f>D7-D8</f>
        <v>233.4623387486815</v>
      </c>
      <c r="E9" s="828">
        <f>E7-E8</f>
        <v>332.91216896665799</v>
      </c>
      <c r="F9" s="828">
        <f ca="1">F7-F8</f>
        <v>394.13339478969704</v>
      </c>
      <c r="G9" s="806"/>
    </row>
    <row r="10" spans="2:7">
      <c r="B10" s="536" t="s">
        <v>920</v>
      </c>
      <c r="C10" s="805" t="s">
        <v>442</v>
      </c>
      <c r="D10" s="808">
        <f>D9+D6</f>
        <v>242.19704443870788</v>
      </c>
      <c r="E10" s="808">
        <f>E9+E6</f>
        <v>352.94063063765799</v>
      </c>
      <c r="F10" s="808">
        <f ca="1">F9+F6</f>
        <v>414.16185646069704</v>
      </c>
      <c r="G10" s="806"/>
    </row>
    <row r="11" spans="2:7">
      <c r="B11" s="809"/>
      <c r="C11" s="806"/>
      <c r="D11" s="806"/>
      <c r="E11" s="806"/>
      <c r="F11" s="806"/>
      <c r="G11" s="806"/>
    </row>
    <row r="12" spans="2:7">
      <c r="B12" s="537" t="s">
        <v>955</v>
      </c>
    </row>
    <row r="13" spans="2:7">
      <c r="B13" s="799" t="s">
        <v>951</v>
      </c>
      <c r="C13" s="535" t="s">
        <v>98</v>
      </c>
      <c r="D13" s="693">
        <v>0.52010999999999996</v>
      </c>
      <c r="E13" s="693">
        <v>0.77103999999999995</v>
      </c>
      <c r="F13" s="693">
        <v>0.88953499999999996</v>
      </c>
    </row>
    <row r="14" spans="2:7">
      <c r="B14" s="799" t="s">
        <v>952</v>
      </c>
      <c r="C14" s="535" t="s">
        <v>98</v>
      </c>
      <c r="D14" s="693">
        <v>0.52734999999999999</v>
      </c>
      <c r="E14" s="693">
        <v>0.78324000000000005</v>
      </c>
      <c r="F14" s="693">
        <v>0.87614999999999998</v>
      </c>
    </row>
    <row r="15" spans="2:7">
      <c r="B15" s="799" t="s">
        <v>953</v>
      </c>
      <c r="C15" s="535" t="s">
        <v>98</v>
      </c>
      <c r="D15" s="693">
        <v>0.55755999999999994</v>
      </c>
      <c r="E15" s="693">
        <v>0.72750000000000004</v>
      </c>
      <c r="F15" s="693">
        <v>0.8492599999999999</v>
      </c>
    </row>
    <row r="16" spans="2:7">
      <c r="B16" s="799" t="s">
        <v>954</v>
      </c>
      <c r="C16" s="535" t="s">
        <v>98</v>
      </c>
      <c r="D16" s="693">
        <v>0.55656000000000005</v>
      </c>
      <c r="E16" s="693">
        <v>0.73072999999999999</v>
      </c>
      <c r="F16" s="693">
        <v>0.84288999999999992</v>
      </c>
    </row>
    <row r="18" spans="2:6">
      <c r="B18" s="800" t="s">
        <v>1022</v>
      </c>
    </row>
    <row r="19" spans="2:6">
      <c r="B19" s="799" t="s">
        <v>1023</v>
      </c>
      <c r="C19" s="689" t="s">
        <v>442</v>
      </c>
      <c r="D19" s="829">
        <f>D7*1/4*20%</f>
        <v>18.071634130174939</v>
      </c>
      <c r="E19" s="1288">
        <f t="shared" ref="E19" si="1">E7*1/4*20%</f>
        <v>19.048831432210498</v>
      </c>
      <c r="F19" s="1288">
        <f t="shared" ref="F19" ca="1" si="2">F7*1/4*20%</f>
        <v>19.808672751997197</v>
      </c>
    </row>
    <row r="20" spans="2:6">
      <c r="B20" s="799" t="s">
        <v>1024</v>
      </c>
      <c r="C20" s="689" t="s">
        <v>442</v>
      </c>
      <c r="D20" s="830">
        <f>D7*1/4*80%</f>
        <v>72.286536520699755</v>
      </c>
      <c r="E20" s="1289">
        <f t="shared" ref="E20" si="3">E7*1/4*80%</f>
        <v>76.195325728841993</v>
      </c>
      <c r="F20" s="1289">
        <f t="shared" ref="F20" ca="1" si="4">F7*1/4*80%</f>
        <v>79.234691007988786</v>
      </c>
    </row>
    <row r="21" spans="2:6">
      <c r="B21" s="799" t="s">
        <v>1025</v>
      </c>
      <c r="C21" s="689" t="s">
        <v>442</v>
      </c>
      <c r="D21" s="829">
        <f>D7*3/4*20%</f>
        <v>54.214902390524827</v>
      </c>
      <c r="E21" s="1288">
        <f t="shared" ref="E21" si="5">E7*3/4*20%</f>
        <v>57.146494296631488</v>
      </c>
      <c r="F21" s="1288">
        <f t="shared" ref="F21" ca="1" si="6">F7*3/4*20%</f>
        <v>59.426018255991586</v>
      </c>
    </row>
    <row r="22" spans="2:6">
      <c r="B22" s="799" t="s">
        <v>1026</v>
      </c>
      <c r="C22" s="689" t="s">
        <v>442</v>
      </c>
      <c r="D22" s="830">
        <f>D7*3/4*80%</f>
        <v>216.85960956209931</v>
      </c>
      <c r="E22" s="1289">
        <f t="shared" ref="E22" si="7">E7*3/4*80%</f>
        <v>228.58597718652595</v>
      </c>
      <c r="F22" s="1289">
        <f t="shared" ref="F22" ca="1" si="8">F7*3/4*80%</f>
        <v>237.70407302396634</v>
      </c>
    </row>
    <row r="23" spans="2:6">
      <c r="B23" s="801"/>
      <c r="C23" s="689"/>
      <c r="D23" s="690"/>
      <c r="E23" s="1289"/>
      <c r="F23" s="1289"/>
    </row>
    <row r="24" spans="2:6" ht="26">
      <c r="B24" s="802" t="s">
        <v>1027</v>
      </c>
      <c r="C24" s="689"/>
      <c r="D24" s="690"/>
      <c r="E24" s="1289"/>
      <c r="F24" s="1289"/>
    </row>
    <row r="25" spans="2:6">
      <c r="B25" s="799" t="s">
        <v>1023</v>
      </c>
      <c r="C25" s="689" t="s">
        <v>442</v>
      </c>
      <c r="D25" s="843">
        <f>MIN(D13/$D$3,1)*D19</f>
        <v>11.057926620523867</v>
      </c>
      <c r="E25" s="1289">
        <f t="shared" ref="E25:F28" si="9">MIN(E13/E$3,1)*E19</f>
        <v>17.279307044107743</v>
      </c>
      <c r="F25" s="1289">
        <f t="shared" ca="1" si="9"/>
        <v>19.808672751997197</v>
      </c>
    </row>
    <row r="26" spans="2:6">
      <c r="B26" s="799" t="s">
        <v>1024</v>
      </c>
      <c r="C26" s="689" t="s">
        <v>442</v>
      </c>
      <c r="D26" s="843">
        <f t="shared" ref="D26:D28" si="10">MIN(D14/$D$3,1)*D20</f>
        <v>44.847417687283546</v>
      </c>
      <c r="E26" s="1289">
        <f t="shared" si="9"/>
        <v>70.210855204539072</v>
      </c>
      <c r="F26" s="1289">
        <f t="shared" ca="1" si="9"/>
        <v>79.234691007988786</v>
      </c>
    </row>
    <row r="27" spans="2:6">
      <c r="B27" s="799" t="s">
        <v>1025</v>
      </c>
      <c r="C27" s="689" t="s">
        <v>442</v>
      </c>
      <c r="D27" s="843">
        <f t="shared" si="10"/>
        <v>35.562424678660022</v>
      </c>
      <c r="E27" s="1289">
        <f t="shared" si="9"/>
        <v>48.910676000940484</v>
      </c>
      <c r="F27" s="1289">
        <f t="shared" ca="1" si="9"/>
        <v>59.37428266362754</v>
      </c>
    </row>
    <row r="28" spans="2:6">
      <c r="B28" s="799" t="s">
        <v>1026</v>
      </c>
      <c r="C28" s="689" t="s">
        <v>442</v>
      </c>
      <c r="D28" s="843">
        <f t="shared" si="10"/>
        <v>141.99456976221413</v>
      </c>
      <c r="E28" s="1289">
        <f t="shared" si="9"/>
        <v>196.51133071707071</v>
      </c>
      <c r="F28" s="1289">
        <f t="shared" ca="1" si="9"/>
        <v>235.71574836608349</v>
      </c>
    </row>
    <row r="29" spans="2:6">
      <c r="B29" s="803"/>
      <c r="C29" s="691"/>
      <c r="D29" s="692"/>
      <c r="E29" s="1290"/>
      <c r="F29" s="1290"/>
    </row>
    <row r="30" spans="2:6">
      <c r="B30" s="802" t="s">
        <v>1028</v>
      </c>
      <c r="C30" s="689"/>
      <c r="D30" s="690"/>
      <c r="E30" s="1289"/>
      <c r="F30" s="1289"/>
    </row>
    <row r="31" spans="2:6">
      <c r="B31" s="799" t="s">
        <v>1023</v>
      </c>
      <c r="C31" s="689" t="s">
        <v>442</v>
      </c>
      <c r="D31" s="690"/>
      <c r="E31" s="1289"/>
      <c r="F31" s="1289"/>
    </row>
    <row r="32" spans="2:6">
      <c r="B32" s="799" t="s">
        <v>1024</v>
      </c>
      <c r="C32" s="689" t="s">
        <v>442</v>
      </c>
      <c r="D32" s="830">
        <f>D26-D20</f>
        <v>-27.439118833416209</v>
      </c>
      <c r="E32" s="1289">
        <f t="shared" ref="E32" si="11">E26-E20</f>
        <v>-5.984470524302921</v>
      </c>
      <c r="F32" s="1289">
        <f t="shared" ref="F32" ca="1" si="12">F26-F20</f>
        <v>0</v>
      </c>
    </row>
    <row r="33" spans="2:16">
      <c r="B33" s="799" t="s">
        <v>1025</v>
      </c>
      <c r="C33" s="689" t="s">
        <v>442</v>
      </c>
      <c r="D33" s="690"/>
      <c r="E33" s="1289"/>
      <c r="F33" s="1289"/>
    </row>
    <row r="34" spans="2:16">
      <c r="B34" s="799" t="s">
        <v>1026</v>
      </c>
      <c r="C34" s="689" t="s">
        <v>442</v>
      </c>
      <c r="D34" s="804">
        <f>D28-D22</f>
        <v>-74.865039799885182</v>
      </c>
      <c r="E34" s="1289">
        <f t="shared" ref="E34" si="13">E28-E22</f>
        <v>-32.074646469455246</v>
      </c>
      <c r="F34" s="1289">
        <f t="shared" ref="F34" ca="1" si="14">F28-F22</f>
        <v>-1.9883246578828562</v>
      </c>
    </row>
    <row r="35" spans="2:16">
      <c r="B35" s="801"/>
      <c r="C35" s="689"/>
      <c r="D35" s="690"/>
      <c r="E35" s="1289"/>
      <c r="F35" s="1289"/>
    </row>
    <row r="36" spans="2:16">
      <c r="B36" s="802" t="s">
        <v>1029</v>
      </c>
      <c r="C36" s="689"/>
      <c r="D36" s="690"/>
      <c r="E36" s="1289"/>
      <c r="F36" s="1289"/>
    </row>
    <row r="37" spans="2:16">
      <c r="B37" s="801" t="s">
        <v>1023</v>
      </c>
      <c r="C37" s="689" t="s">
        <v>442</v>
      </c>
      <c r="D37" s="804">
        <f>D13/D3*D19-D25</f>
        <v>0</v>
      </c>
      <c r="E37" s="1289">
        <f t="shared" ref="E37" si="15">E13/E3*E19-E25</f>
        <v>0</v>
      </c>
      <c r="F37" s="1289">
        <f t="shared" ref="F37" ca="1" si="16">F13/F3*F19-F25</f>
        <v>0.92133632617671779</v>
      </c>
    </row>
    <row r="38" spans="2:16">
      <c r="B38" s="801" t="s">
        <v>1024</v>
      </c>
      <c r="C38" s="689" t="s">
        <v>442</v>
      </c>
      <c r="D38" s="690"/>
      <c r="E38" s="1289"/>
      <c r="F38" s="1289"/>
    </row>
    <row r="39" spans="2:16">
      <c r="B39" s="801" t="s">
        <v>1025</v>
      </c>
      <c r="C39" s="689" t="s">
        <v>442</v>
      </c>
      <c r="D39" s="804">
        <f>D15/D3*D21-D27</f>
        <v>0</v>
      </c>
      <c r="E39" s="1289">
        <f t="shared" ref="E39" si="17">E15/E3*E21-E27</f>
        <v>0</v>
      </c>
      <c r="F39" s="1289">
        <f t="shared" ref="F39" ca="1" si="18">F15/F3*F21-F27</f>
        <v>0</v>
      </c>
    </row>
    <row r="40" spans="2:16">
      <c r="B40" s="801" t="s">
        <v>1026</v>
      </c>
      <c r="C40" s="689" t="s">
        <v>442</v>
      </c>
      <c r="D40" s="690"/>
      <c r="E40" s="1289"/>
      <c r="F40" s="1289"/>
    </row>
    <row r="41" spans="2:16">
      <c r="B41" s="801"/>
      <c r="C41" s="689"/>
      <c r="D41" s="690"/>
      <c r="E41" s="1289"/>
      <c r="F41" s="1289"/>
    </row>
    <row r="42" spans="2:16">
      <c r="B42" s="802" t="s">
        <v>1030</v>
      </c>
      <c r="C42" s="689"/>
      <c r="D42" s="690"/>
      <c r="E42" s="1289"/>
      <c r="F42" s="1289"/>
    </row>
    <row r="43" spans="2:16">
      <c r="B43" s="801" t="s">
        <v>1023</v>
      </c>
      <c r="C43" s="689" t="s">
        <v>442</v>
      </c>
      <c r="D43" s="690"/>
      <c r="E43" s="1289"/>
      <c r="F43" s="1289"/>
    </row>
    <row r="44" spans="2:16" ht="14">
      <c r="B44" s="801" t="s">
        <v>1024</v>
      </c>
      <c r="C44" s="689" t="s">
        <v>442</v>
      </c>
      <c r="D44" s="690">
        <f>IF(D32&lt;0,MIN(D37,-D32),0)</f>
        <v>0</v>
      </c>
      <c r="E44" s="1289">
        <f t="shared" ref="E44" si="19">IF(E32&lt;0,MIN(E37,-E32),0)</f>
        <v>0</v>
      </c>
      <c r="F44" s="1289">
        <f t="shared" ref="F44" ca="1" si="20">IF(F32&lt;0,MIN(F37,-F32),0)</f>
        <v>0</v>
      </c>
      <c r="I44" s="191" t="s">
        <v>905</v>
      </c>
      <c r="J44" s="33"/>
      <c r="K44" s="14"/>
      <c r="L44" s="14"/>
      <c r="M44" s="14"/>
      <c r="N44" s="14"/>
      <c r="O44" s="14"/>
      <c r="P44" s="14"/>
    </row>
    <row r="45" spans="2:16" ht="56">
      <c r="B45" s="801" t="s">
        <v>1025</v>
      </c>
      <c r="C45" s="689" t="s">
        <v>442</v>
      </c>
      <c r="D45" s="690"/>
      <c r="E45" s="1289"/>
      <c r="F45" s="1289"/>
      <c r="I45" s="797" t="s">
        <v>906</v>
      </c>
      <c r="J45" s="798" t="s">
        <v>907</v>
      </c>
      <c r="K45" s="798" t="s">
        <v>908</v>
      </c>
      <c r="L45" s="798" t="s">
        <v>909</v>
      </c>
      <c r="M45" s="798" t="s">
        <v>910</v>
      </c>
      <c r="N45" s="798" t="s">
        <v>911</v>
      </c>
      <c r="O45" s="798" t="s">
        <v>912</v>
      </c>
      <c r="P45" s="798" t="s">
        <v>913</v>
      </c>
    </row>
    <row r="46" spans="2:16" ht="15.5">
      <c r="B46" s="801" t="s">
        <v>1026</v>
      </c>
      <c r="C46" s="689" t="s">
        <v>442</v>
      </c>
      <c r="D46" s="690">
        <f>IF(D34&lt;0,MIN(D39,-D34),0)</f>
        <v>0</v>
      </c>
      <c r="E46" s="1289">
        <f t="shared" ref="E46" si="21">IF(E34&lt;0,MIN(E39,-E34),0)</f>
        <v>0</v>
      </c>
      <c r="F46" s="1289">
        <f t="shared" ref="F46" ca="1" si="22">IF(F34&lt;0,MIN(F39,-F34),0)</f>
        <v>0</v>
      </c>
      <c r="I46" s="119" t="s">
        <v>546</v>
      </c>
      <c r="J46" s="504">
        <f>'F2.1'!G30</f>
        <v>1133.1310000000001</v>
      </c>
      <c r="K46" s="794">
        <f>'F2.1'!$G$34</f>
        <v>9.1400000000000009E-2</v>
      </c>
      <c r="L46" s="595">
        <v>0.13523679080353462</v>
      </c>
      <c r="M46" s="504">
        <f>(L46-K46)*J46</f>
        <v>49.672826599999986</v>
      </c>
      <c r="N46" s="848">
        <f>'F2.2'!F157</f>
        <v>4.7880920648839931</v>
      </c>
      <c r="O46" s="504">
        <f>M46*N46/10</f>
        <v>23.783806688381848</v>
      </c>
      <c r="P46" s="796">
        <f>IF(O46&lt;0,2/3,1/3)*O46</f>
        <v>7.927935562793949</v>
      </c>
    </row>
    <row r="47" spans="2:16" ht="15.5">
      <c r="B47" s="801"/>
      <c r="C47" s="689"/>
      <c r="D47" s="690"/>
      <c r="E47" s="1289"/>
      <c r="F47" s="1289"/>
      <c r="I47" s="119" t="s">
        <v>547</v>
      </c>
      <c r="J47" s="504">
        <f>'F2.1'!$K$30</f>
        <v>1294.99</v>
      </c>
      <c r="K47" s="794">
        <f>'F2.1'!$K$34</f>
        <v>9.1399999999999995E-2</v>
      </c>
      <c r="L47" s="595">
        <v>0.1187097969868493</v>
      </c>
      <c r="M47" s="504">
        <f>(L47-K47)*J47</f>
        <v>35.365913999999982</v>
      </c>
      <c r="N47" s="795">
        <f>'F2.2'!J157</f>
        <v>5.4198533594472087</v>
      </c>
      <c r="O47" s="504">
        <f>M47*N47/10</f>
        <v>19.167806780282099</v>
      </c>
      <c r="P47" s="796">
        <f>IF(O47&lt;0,2/3,1/3)*O47</f>
        <v>6.3892689267606997</v>
      </c>
    </row>
    <row r="48" spans="2:16" ht="15.5">
      <c r="B48" s="803" t="s">
        <v>918</v>
      </c>
      <c r="C48" s="689" t="s">
        <v>442</v>
      </c>
      <c r="D48" s="690">
        <f>SUM(D19:D22)-SUM(D25:D28)+SUM(D43:D46)</f>
        <v>127.97034385481729</v>
      </c>
      <c r="E48" s="1289">
        <f t="shared" ref="E48" si="23">SUM(E19:E22)-SUM(E25:E28)+SUM(E43:E46)</f>
        <v>48.064459677551952</v>
      </c>
      <c r="F48" s="1289">
        <f t="shared" ref="F48" ca="1" si="24">SUM(F19:F22)-SUM(F25:F28)+SUM(F43:F46)</f>
        <v>2.0400602502468814</v>
      </c>
      <c r="I48" s="1278"/>
      <c r="J48" s="1279"/>
      <c r="K48" s="1280"/>
      <c r="L48" s="1281"/>
      <c r="M48" s="1279"/>
      <c r="N48" s="1282"/>
      <c r="O48" s="1279"/>
      <c r="P48" s="1283"/>
    </row>
    <row r="49" spans="4:16" ht="14">
      <c r="E49" s="1291"/>
      <c r="F49" s="1291"/>
      <c r="I49" s="119"/>
      <c r="J49" s="504"/>
      <c r="K49" s="418"/>
      <c r="L49" s="119"/>
      <c r="M49" s="119"/>
      <c r="N49" s="119"/>
      <c r="O49" s="119"/>
      <c r="P49" s="119"/>
    </row>
    <row r="50" spans="4:16">
      <c r="E50" s="1291"/>
      <c r="F50" s="1291"/>
    </row>
    <row r="51" spans="4:16">
      <c r="E51" s="1291"/>
      <c r="F51" s="1291"/>
    </row>
    <row r="52" spans="4:16">
      <c r="E52" s="1291"/>
      <c r="F52" s="1291"/>
    </row>
    <row r="53" spans="4:16">
      <c r="E53" s="1291"/>
      <c r="F53" s="1291"/>
    </row>
    <row r="54" spans="4:16">
      <c r="E54" s="1291"/>
      <c r="F54" s="1291"/>
    </row>
    <row r="55" spans="4:16">
      <c r="E55" s="1291"/>
      <c r="F55" s="1291"/>
    </row>
    <row r="56" spans="4:16">
      <c r="E56" s="1291"/>
      <c r="F56" s="1291"/>
    </row>
    <row r="57" spans="4:16">
      <c r="D57" s="806"/>
      <c r="E57" s="1291"/>
      <c r="F57" s="1291"/>
    </row>
    <row r="58" spans="4:16">
      <c r="E58" s="1291"/>
      <c r="F58" s="1291"/>
    </row>
    <row r="59" spans="4:16">
      <c r="E59" s="1291"/>
      <c r="F59" s="1291"/>
    </row>
    <row r="60" spans="4:16">
      <c r="E60" s="1291"/>
      <c r="F60" s="1291"/>
    </row>
    <row r="61" spans="4:16">
      <c r="E61" s="1291"/>
      <c r="F61" s="1291"/>
    </row>
    <row r="62" spans="4:16">
      <c r="E62" s="1291"/>
      <c r="F62" s="1291"/>
    </row>
    <row r="63" spans="4:16">
      <c r="E63" s="1291"/>
      <c r="F63" s="1291"/>
    </row>
    <row r="64" spans="4:16">
      <c r="E64" s="1291"/>
      <c r="F64" s="1291"/>
    </row>
    <row r="65" spans="5:6">
      <c r="E65" s="1291"/>
      <c r="F65" s="1291"/>
    </row>
    <row r="66" spans="5:6">
      <c r="E66" s="1291"/>
      <c r="F66" s="1291"/>
    </row>
    <row r="67" spans="5:6">
      <c r="E67" s="1291"/>
      <c r="F67" s="1291"/>
    </row>
    <row r="68" spans="5:6">
      <c r="E68" s="1291"/>
      <c r="F68" s="1291"/>
    </row>
    <row r="69" spans="5:6">
      <c r="E69" s="1291"/>
      <c r="F69" s="1291"/>
    </row>
    <row r="70" spans="5:6">
      <c r="E70" s="1291"/>
      <c r="F70" s="1291"/>
    </row>
    <row r="71" spans="5:6">
      <c r="E71" s="1291"/>
      <c r="F71" s="1291"/>
    </row>
  </sheetData>
  <mergeCells count="1">
    <mergeCell ref="B1:F1"/>
  </mergeCell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V401"/>
  <sheetViews>
    <sheetView view="pageBreakPreview" zoomScale="80" zoomScaleNormal="80" zoomScaleSheetLayoutView="80" workbookViewId="0">
      <pane xSplit="2" ySplit="10" topLeftCell="K396" activePane="bottomRight" state="frozen"/>
      <selection activeCell="N12" sqref="N12"/>
      <selection pane="topRight" activeCell="N12" sqref="N12"/>
      <selection pane="bottomLeft" activeCell="N12" sqref="N12"/>
      <selection pane="bottomRight" activeCell="U402" sqref="U402"/>
    </sheetView>
  </sheetViews>
  <sheetFormatPr defaultColWidth="9.1796875" defaultRowHeight="14.5" outlineLevelRow="1" outlineLevelCol="1"/>
  <cols>
    <col min="1" max="1" width="9.81640625" style="1547" customWidth="1"/>
    <col min="2" max="2" width="65.7265625" style="1316" customWidth="1"/>
    <col min="3" max="3" width="19.26953125" style="1547" customWidth="1" outlineLevel="1"/>
    <col min="4" max="4" width="39" style="1547" customWidth="1" outlineLevel="1"/>
    <col min="5" max="5" width="15.81640625" style="1548" customWidth="1" outlineLevel="1"/>
    <col min="6" max="6" width="15.26953125" style="1549" customWidth="1" outlineLevel="1"/>
    <col min="7" max="7" width="11" style="1316" customWidth="1" outlineLevel="1"/>
    <col min="8" max="8" width="12.26953125" style="1316" customWidth="1"/>
    <col min="9" max="9" width="12" style="1316" customWidth="1" outlineLevel="1"/>
    <col min="10" max="10" width="10.54296875" style="1316" customWidth="1" outlineLevel="1"/>
    <col min="11" max="11" width="13.26953125" style="1548" customWidth="1" outlineLevel="1"/>
    <col min="12" max="12" width="12.81640625" style="1316" customWidth="1" outlineLevel="1"/>
    <col min="13" max="13" width="15.81640625" style="1316" customWidth="1" outlineLevel="1"/>
    <col min="14" max="14" width="12.7265625" style="1434" customWidth="1" outlineLevel="1"/>
    <col min="15" max="15" width="52.1796875" style="1316" customWidth="1"/>
    <col min="16" max="16" width="15.54296875" style="1550" hidden="1" customWidth="1"/>
    <col min="17" max="19" width="10.453125" style="1551" hidden="1" customWidth="1"/>
    <col min="20" max="22" width="10.453125" style="1551" customWidth="1" outlineLevel="1"/>
    <col min="23" max="27" width="10.7265625" style="1551" customWidth="1" outlineLevel="1"/>
    <col min="28" max="28" width="10.7265625" style="1551" customWidth="1"/>
    <col min="29" max="29" width="16.26953125" style="1552" customWidth="1" outlineLevel="1"/>
    <col min="30" max="39" width="10" style="1552" customWidth="1" outlineLevel="1"/>
    <col min="40" max="40" width="10.54296875" style="1552" customWidth="1"/>
    <col min="41" max="41" width="19.26953125" style="1553" hidden="1" customWidth="1"/>
    <col min="42" max="42" width="12.1796875" style="1554" hidden="1" customWidth="1"/>
    <col min="43" max="43" width="14.54296875" style="1554" hidden="1" customWidth="1"/>
    <col min="44" max="44" width="13.1796875" style="1554" hidden="1" customWidth="1"/>
    <col min="45" max="45" width="13.1796875" style="1554" customWidth="1" outlineLevel="1"/>
    <col min="46" max="46" width="13.453125" style="1554" customWidth="1" outlineLevel="1"/>
    <col min="47" max="47" width="10.453125" style="1554" customWidth="1" outlineLevel="1"/>
    <col min="48" max="53" width="10.7265625" style="1554" customWidth="1" outlineLevel="1"/>
    <col min="54" max="54" width="17.81640625" style="1554" customWidth="1" outlineLevel="1"/>
    <col min="55" max="55" width="109.26953125" style="1316" customWidth="1"/>
    <col min="56" max="56" width="15.26953125" style="1547" customWidth="1"/>
    <col min="57" max="57" width="27.7265625" style="1316" customWidth="1"/>
    <col min="58" max="58" width="12.7265625" style="1316" customWidth="1"/>
    <col min="59" max="59" width="15.26953125" style="1316" customWidth="1"/>
    <col min="60" max="60" width="12.54296875" style="1316" customWidth="1"/>
    <col min="61" max="61" width="13.453125" style="1316" customWidth="1"/>
    <col min="62" max="62" width="13.54296875" style="1316" customWidth="1"/>
    <col min="63" max="65" width="9.1796875" style="1316"/>
    <col min="66" max="66" width="11.26953125" style="1316" customWidth="1"/>
    <col min="67" max="16384" width="9.1796875" style="1316"/>
  </cols>
  <sheetData>
    <row r="1" spans="1:60">
      <c r="D1" s="1308" t="s">
        <v>1552</v>
      </c>
      <c r="BG1" s="1547" t="s">
        <v>929</v>
      </c>
      <c r="BH1" s="1316" t="s">
        <v>935</v>
      </c>
    </row>
    <row r="2" spans="1:60">
      <c r="D2" s="1555" t="s">
        <v>928</v>
      </c>
      <c r="BG2" s="1547" t="s">
        <v>936</v>
      </c>
      <c r="BH2" s="1316" t="s">
        <v>937</v>
      </c>
    </row>
    <row r="3" spans="1:60">
      <c r="A3" s="1322"/>
      <c r="B3" s="1323" t="s">
        <v>0</v>
      </c>
      <c r="C3" s="1324"/>
      <c r="D3" s="1556" t="s">
        <v>637</v>
      </c>
      <c r="E3" s="1325"/>
      <c r="F3" s="1326"/>
      <c r="G3" s="1327"/>
      <c r="H3" s="1327"/>
      <c r="I3" s="1327"/>
      <c r="J3" s="1327"/>
      <c r="K3" s="1325"/>
      <c r="L3" s="1327"/>
      <c r="M3" s="1327"/>
      <c r="N3" s="1328"/>
      <c r="O3" s="1329"/>
      <c r="P3" s="1557"/>
      <c r="Q3" s="1558"/>
      <c r="R3" s="1558"/>
      <c r="S3" s="1558"/>
      <c r="T3" s="1558"/>
      <c r="U3" s="1558"/>
      <c r="V3" s="1558"/>
      <c r="W3" s="1559" t="s">
        <v>10</v>
      </c>
      <c r="X3" s="1559"/>
      <c r="Y3" s="1559"/>
      <c r="Z3" s="1559"/>
      <c r="AA3" s="1559"/>
      <c r="AB3" s="1559"/>
      <c r="AC3" s="1560"/>
      <c r="AD3" s="1560"/>
      <c r="AE3" s="1560"/>
      <c r="AF3" s="1560"/>
      <c r="AG3" s="1560"/>
      <c r="AH3" s="1560"/>
      <c r="AI3" s="1561"/>
      <c r="AO3" s="1484"/>
      <c r="AP3" s="1562"/>
      <c r="AQ3" s="1563"/>
      <c r="AT3" s="1563"/>
      <c r="AU3" s="1563"/>
      <c r="AV3" s="1564" t="s">
        <v>10</v>
      </c>
      <c r="AW3" s="1564"/>
      <c r="AX3" s="1564"/>
      <c r="AY3" s="1564"/>
      <c r="AZ3" s="1564"/>
      <c r="BA3" s="1564"/>
      <c r="BB3" s="1564"/>
      <c r="BC3" s="1330"/>
      <c r="BD3" s="1331"/>
      <c r="BE3" s="1565">
        <v>10000000</v>
      </c>
      <c r="BF3" s="1555"/>
      <c r="BG3" s="1547" t="s">
        <v>414</v>
      </c>
      <c r="BH3" s="1316" t="s">
        <v>1553</v>
      </c>
    </row>
    <row r="4" spans="1:60">
      <c r="A4" s="1910" t="s">
        <v>340</v>
      </c>
      <c r="B4" s="1910" t="s">
        <v>16</v>
      </c>
      <c r="C4" s="1910" t="s">
        <v>929</v>
      </c>
      <c r="D4" s="1910" t="s">
        <v>490</v>
      </c>
      <c r="E4" s="1923" t="s">
        <v>930</v>
      </c>
      <c r="F4" s="1923" t="s">
        <v>491</v>
      </c>
      <c r="G4" s="1910" t="s">
        <v>931</v>
      </c>
      <c r="H4" s="1910" t="s">
        <v>495</v>
      </c>
      <c r="I4" s="1905" t="s">
        <v>19</v>
      </c>
      <c r="J4" s="1905" t="s">
        <v>588</v>
      </c>
      <c r="K4" s="1923" t="s">
        <v>496</v>
      </c>
      <c r="L4" s="1910" t="s">
        <v>497</v>
      </c>
      <c r="M4" s="1910" t="s">
        <v>498</v>
      </c>
      <c r="N4" s="1910" t="s">
        <v>499</v>
      </c>
      <c r="O4" s="1910" t="s">
        <v>17</v>
      </c>
      <c r="P4" s="1927" t="s">
        <v>22</v>
      </c>
      <c r="Q4" s="1927"/>
      <c r="R4" s="1927"/>
      <c r="S4" s="1927"/>
      <c r="T4" s="1927"/>
      <c r="U4" s="1927"/>
      <c r="V4" s="1927"/>
      <c r="W4" s="1927"/>
      <c r="X4" s="1485"/>
      <c r="Y4" s="1485"/>
      <c r="Z4" s="1485"/>
      <c r="AA4" s="1485"/>
      <c r="AB4" s="1485"/>
      <c r="AC4" s="1928" t="s">
        <v>20</v>
      </c>
      <c r="AD4" s="1928"/>
      <c r="AE4" s="1928"/>
      <c r="AF4" s="1928"/>
      <c r="AG4" s="1928"/>
      <c r="AH4" s="1928"/>
      <c r="AI4" s="1928"/>
      <c r="AJ4" s="1566"/>
      <c r="AK4" s="1566"/>
      <c r="AL4" s="1566"/>
      <c r="AM4" s="1566"/>
      <c r="AN4" s="1566"/>
      <c r="AO4" s="1927" t="s">
        <v>18</v>
      </c>
      <c r="AP4" s="1927"/>
      <c r="AQ4" s="1927"/>
      <c r="AR4" s="1927"/>
      <c r="AS4" s="1927"/>
      <c r="AT4" s="1927"/>
      <c r="AU4" s="1927"/>
      <c r="AV4" s="1927"/>
      <c r="AW4" s="1567"/>
      <c r="AX4" s="1567"/>
      <c r="AY4" s="1567"/>
      <c r="AZ4" s="1567"/>
      <c r="BA4" s="1567"/>
      <c r="BB4" s="1929" t="s">
        <v>932</v>
      </c>
      <c r="BC4" s="1924" t="s">
        <v>26</v>
      </c>
      <c r="BD4" s="1905" t="s">
        <v>933</v>
      </c>
      <c r="BE4" s="1924" t="s">
        <v>1554</v>
      </c>
      <c r="BG4" s="1547" t="s">
        <v>938</v>
      </c>
      <c r="BH4" s="1317" t="s">
        <v>939</v>
      </c>
    </row>
    <row r="5" spans="1:60" ht="15" customHeight="1">
      <c r="A5" s="1910"/>
      <c r="B5" s="1910"/>
      <c r="C5" s="1910"/>
      <c r="D5" s="1910"/>
      <c r="E5" s="1923"/>
      <c r="F5" s="1923"/>
      <c r="G5" s="1910"/>
      <c r="H5" s="1910"/>
      <c r="I5" s="1905"/>
      <c r="J5" s="1905"/>
      <c r="K5" s="1923"/>
      <c r="L5" s="1910"/>
      <c r="M5" s="1910"/>
      <c r="N5" s="1910"/>
      <c r="O5" s="1910"/>
      <c r="P5" s="1927" t="s">
        <v>711</v>
      </c>
      <c r="Q5" s="1485" t="s">
        <v>7</v>
      </c>
      <c r="R5" s="1485" t="s">
        <v>7</v>
      </c>
      <c r="S5" s="1485" t="s">
        <v>7</v>
      </c>
      <c r="T5" s="1927" t="s">
        <v>1555</v>
      </c>
      <c r="U5" s="1485" t="s">
        <v>1556</v>
      </c>
      <c r="V5" s="1485" t="s">
        <v>1556</v>
      </c>
      <c r="W5" s="1485" t="s">
        <v>1557</v>
      </c>
      <c r="X5" s="1485" t="s">
        <v>1558</v>
      </c>
      <c r="Y5" s="1485" t="s">
        <v>1558</v>
      </c>
      <c r="Z5" s="1485" t="s">
        <v>1558</v>
      </c>
      <c r="AA5" s="1485" t="s">
        <v>1558</v>
      </c>
      <c r="AB5" s="1485" t="s">
        <v>1558</v>
      </c>
      <c r="AC5" s="1928" t="s">
        <v>713</v>
      </c>
      <c r="AD5" s="1566" t="s">
        <v>7</v>
      </c>
      <c r="AE5" s="1566" t="s">
        <v>7</v>
      </c>
      <c r="AF5" s="1566" t="s">
        <v>7</v>
      </c>
      <c r="AG5" s="1566" t="s">
        <v>1556</v>
      </c>
      <c r="AH5" s="1566" t="s">
        <v>1556</v>
      </c>
      <c r="AI5" s="1566" t="s">
        <v>1557</v>
      </c>
      <c r="AJ5" s="1566" t="s">
        <v>1558</v>
      </c>
      <c r="AK5" s="1566" t="s">
        <v>1558</v>
      </c>
      <c r="AL5" s="1566" t="s">
        <v>1558</v>
      </c>
      <c r="AM5" s="1566" t="s">
        <v>1558</v>
      </c>
      <c r="AN5" s="1566" t="s">
        <v>1558</v>
      </c>
      <c r="AO5" s="1927" t="s">
        <v>714</v>
      </c>
      <c r="AP5" s="1485" t="s">
        <v>7</v>
      </c>
      <c r="AQ5" s="1485" t="s">
        <v>7</v>
      </c>
      <c r="AR5" s="1485" t="s">
        <v>7</v>
      </c>
      <c r="AS5" s="1927" t="s">
        <v>1559</v>
      </c>
      <c r="AT5" s="1485" t="s">
        <v>1556</v>
      </c>
      <c r="AU5" s="1485" t="s">
        <v>1556</v>
      </c>
      <c r="AV5" s="1485" t="s">
        <v>1557</v>
      </c>
      <c r="AW5" s="1485" t="s">
        <v>1558</v>
      </c>
      <c r="AX5" s="1485" t="s">
        <v>1558</v>
      </c>
      <c r="AY5" s="1485" t="s">
        <v>1558</v>
      </c>
      <c r="AZ5" s="1485" t="s">
        <v>1558</v>
      </c>
      <c r="BA5" s="1485" t="s">
        <v>1558</v>
      </c>
      <c r="BB5" s="1930"/>
      <c r="BC5" s="1925"/>
      <c r="BD5" s="1905"/>
      <c r="BE5" s="1925"/>
      <c r="BH5" s="1317" t="s">
        <v>940</v>
      </c>
    </row>
    <row r="6" spans="1:60" ht="43.5">
      <c r="A6" s="1910"/>
      <c r="B6" s="1910"/>
      <c r="C6" s="1910"/>
      <c r="D6" s="1910"/>
      <c r="E6" s="1923"/>
      <c r="F6" s="1923"/>
      <c r="G6" s="1910"/>
      <c r="H6" s="1910"/>
      <c r="I6" s="1905"/>
      <c r="J6" s="1905"/>
      <c r="K6" s="1923"/>
      <c r="L6" s="1910"/>
      <c r="M6" s="1910"/>
      <c r="N6" s="1910"/>
      <c r="O6" s="1910"/>
      <c r="P6" s="1927"/>
      <c r="Q6" s="1485" t="s">
        <v>325</v>
      </c>
      <c r="R6" s="1485" t="s">
        <v>506</v>
      </c>
      <c r="S6" s="1485" t="s">
        <v>507</v>
      </c>
      <c r="T6" s="1927"/>
      <c r="U6" s="1485" t="s">
        <v>508</v>
      </c>
      <c r="V6" s="1485" t="s">
        <v>509</v>
      </c>
      <c r="W6" s="1485" t="s">
        <v>510</v>
      </c>
      <c r="X6" s="1485" t="s">
        <v>958</v>
      </c>
      <c r="Y6" s="1485" t="s">
        <v>959</v>
      </c>
      <c r="Z6" s="1485" t="s">
        <v>960</v>
      </c>
      <c r="AA6" s="1485" t="s">
        <v>961</v>
      </c>
      <c r="AB6" s="1485" t="s">
        <v>962</v>
      </c>
      <c r="AC6" s="1928"/>
      <c r="AD6" s="1566" t="s">
        <v>325</v>
      </c>
      <c r="AE6" s="1566" t="s">
        <v>506</v>
      </c>
      <c r="AF6" s="1566" t="s">
        <v>507</v>
      </c>
      <c r="AG6" s="1566" t="s">
        <v>508</v>
      </c>
      <c r="AH6" s="1566" t="s">
        <v>509</v>
      </c>
      <c r="AI6" s="1566" t="s">
        <v>510</v>
      </c>
      <c r="AJ6" s="1566" t="s">
        <v>958</v>
      </c>
      <c r="AK6" s="1566" t="s">
        <v>959</v>
      </c>
      <c r="AL6" s="1566" t="s">
        <v>960</v>
      </c>
      <c r="AM6" s="1566" t="s">
        <v>961</v>
      </c>
      <c r="AN6" s="1566" t="s">
        <v>962</v>
      </c>
      <c r="AO6" s="1927"/>
      <c r="AP6" s="1485" t="s">
        <v>325</v>
      </c>
      <c r="AQ6" s="1485" t="s">
        <v>506</v>
      </c>
      <c r="AR6" s="1485" t="s">
        <v>507</v>
      </c>
      <c r="AS6" s="1927"/>
      <c r="AT6" s="1485" t="s">
        <v>508</v>
      </c>
      <c r="AU6" s="1485" t="s">
        <v>509</v>
      </c>
      <c r="AV6" s="1485" t="s">
        <v>510</v>
      </c>
      <c r="AW6" s="1485" t="s">
        <v>958</v>
      </c>
      <c r="AX6" s="1485" t="s">
        <v>959</v>
      </c>
      <c r="AY6" s="1485" t="s">
        <v>960</v>
      </c>
      <c r="AZ6" s="1485" t="s">
        <v>961</v>
      </c>
      <c r="BA6" s="1485" t="s">
        <v>962</v>
      </c>
      <c r="BB6" s="1931"/>
      <c r="BC6" s="1926"/>
      <c r="BD6" s="1905"/>
      <c r="BE6" s="1926"/>
      <c r="BF6" s="1568" t="s">
        <v>1560</v>
      </c>
      <c r="BG6" s="1569" t="s">
        <v>1561</v>
      </c>
      <c r="BH6" s="1317" t="s">
        <v>941</v>
      </c>
    </row>
    <row r="7" spans="1:60">
      <c r="A7" s="1487"/>
      <c r="B7" s="1332" t="s">
        <v>1562</v>
      </c>
      <c r="C7" s="1488"/>
      <c r="D7" s="1488"/>
      <c r="E7" s="1570"/>
      <c r="F7" s="1489"/>
      <c r="G7" s="1490"/>
      <c r="H7" s="1490"/>
      <c r="I7" s="1490"/>
      <c r="J7" s="1490"/>
      <c r="K7" s="1570"/>
      <c r="L7" s="1490"/>
      <c r="M7" s="1490"/>
      <c r="N7" s="1571"/>
      <c r="O7" s="1490"/>
      <c r="P7" s="1572"/>
      <c r="Q7" s="1573"/>
      <c r="R7" s="1573"/>
      <c r="S7" s="1573"/>
      <c r="T7" s="1573"/>
      <c r="U7" s="1573"/>
      <c r="V7" s="1573"/>
      <c r="W7" s="1573"/>
      <c r="X7" s="1573"/>
      <c r="Y7" s="1573"/>
      <c r="Z7" s="1573"/>
      <c r="AA7" s="1573"/>
      <c r="AB7" s="1573"/>
      <c r="AC7" s="1574"/>
      <c r="AD7" s="1574"/>
      <c r="AE7" s="1574"/>
      <c r="AF7" s="1574"/>
      <c r="AG7" s="1574"/>
      <c r="AH7" s="1574"/>
      <c r="AI7" s="1574"/>
      <c r="AJ7" s="1574"/>
      <c r="AK7" s="1574"/>
      <c r="AL7" s="1574"/>
      <c r="AM7" s="1574"/>
      <c r="AN7" s="1574"/>
      <c r="AO7" s="1572"/>
      <c r="AP7" s="1575"/>
      <c r="AQ7" s="1575"/>
      <c r="AR7" s="1575"/>
      <c r="AS7" s="1575"/>
      <c r="AT7" s="1576"/>
      <c r="AU7" s="1576"/>
      <c r="AV7" s="1576"/>
      <c r="AW7" s="1576"/>
      <c r="AX7" s="1576"/>
      <c r="AY7" s="1576"/>
      <c r="AZ7" s="1576"/>
      <c r="BA7" s="1576"/>
      <c r="BB7" s="1577"/>
      <c r="BC7" s="1490"/>
      <c r="BD7" s="1488" t="s">
        <v>934</v>
      </c>
      <c r="BE7" s="1332"/>
      <c r="BH7" s="1316" t="s">
        <v>942</v>
      </c>
    </row>
    <row r="8" spans="1:60" ht="17.5">
      <c r="A8" s="1491" t="s">
        <v>171</v>
      </c>
      <c r="B8" s="1333" t="s">
        <v>1563</v>
      </c>
      <c r="C8" s="1578"/>
      <c r="D8" s="1492" t="str">
        <f>D118</f>
        <v>Add Cap (As per 296 of 2019)</v>
      </c>
      <c r="E8" s="1579"/>
      <c r="F8" s="1334"/>
      <c r="G8" s="1335"/>
      <c r="H8" s="1335"/>
      <c r="I8" s="1336"/>
      <c r="J8" s="1336"/>
      <c r="K8" s="1334" t="str">
        <f t="shared" ref="K8" si="0">IF(F8=0,"-",F8)</f>
        <v>-</v>
      </c>
      <c r="L8" s="1337"/>
      <c r="M8" s="1338"/>
      <c r="N8" s="1339"/>
      <c r="O8" s="1340"/>
      <c r="P8" s="1572"/>
      <c r="Q8" s="1573"/>
      <c r="R8" s="1573"/>
      <c r="S8" s="1573"/>
      <c r="T8" s="1573"/>
      <c r="U8" s="1573"/>
      <c r="V8" s="1573"/>
      <c r="W8" s="1573"/>
      <c r="X8" s="1573"/>
      <c r="Y8" s="1573"/>
      <c r="Z8" s="1573"/>
      <c r="AA8" s="1573"/>
      <c r="AB8" s="1573"/>
      <c r="AC8" s="1580"/>
      <c r="AD8" s="1580"/>
      <c r="AE8" s="1580"/>
      <c r="AF8" s="1580"/>
      <c r="AG8" s="1580"/>
      <c r="AH8" s="1580"/>
      <c r="AI8" s="1580"/>
      <c r="AJ8" s="1580"/>
      <c r="AK8" s="1580"/>
      <c r="AL8" s="1580"/>
      <c r="AM8" s="1580"/>
      <c r="AN8" s="1580"/>
      <c r="AO8" s="1572"/>
      <c r="AP8" s="1575"/>
      <c r="AQ8" s="1575"/>
      <c r="AR8" s="1575"/>
      <c r="AS8" s="1575"/>
      <c r="AT8" s="1576"/>
      <c r="AU8" s="1576"/>
      <c r="AV8" s="1576"/>
      <c r="AW8" s="1576"/>
      <c r="AX8" s="1576"/>
      <c r="AY8" s="1576"/>
      <c r="AZ8" s="1576"/>
      <c r="BA8" s="1576"/>
      <c r="BB8" s="1576"/>
      <c r="BC8" s="1336"/>
      <c r="BD8" s="1581"/>
      <c r="BE8" s="1333"/>
    </row>
    <row r="9" spans="1:60" s="1589" customFormat="1" ht="15.5">
      <c r="A9" s="1493">
        <v>1</v>
      </c>
      <c r="B9" s="1494" t="s">
        <v>1564</v>
      </c>
      <c r="C9" s="1582" t="s">
        <v>936</v>
      </c>
      <c r="D9" s="1495" t="str">
        <f t="shared" ref="D9:D53" si="1">D8</f>
        <v>Add Cap (As per 296 of 2019)</v>
      </c>
      <c r="E9" s="1583" t="s">
        <v>1565</v>
      </c>
      <c r="F9" s="1341"/>
      <c r="G9" s="1342"/>
      <c r="H9" s="1496">
        <v>7.2</v>
      </c>
      <c r="I9" s="1343"/>
      <c r="J9" s="1343"/>
      <c r="K9" s="1344" t="s">
        <v>1566</v>
      </c>
      <c r="L9" s="1345"/>
      <c r="M9" s="1346"/>
      <c r="N9" s="1347"/>
      <c r="O9" s="1348"/>
      <c r="P9" s="1584"/>
      <c r="Q9" s="1584"/>
      <c r="R9" s="1584"/>
      <c r="S9" s="1584"/>
      <c r="T9" s="1584"/>
      <c r="U9" s="1584"/>
      <c r="V9" s="1584"/>
      <c r="W9" s="1584"/>
      <c r="X9" s="1584"/>
      <c r="Y9" s="1584"/>
      <c r="Z9" s="1584"/>
      <c r="AA9" s="1584"/>
      <c r="AB9" s="1584"/>
      <c r="AC9" s="1585"/>
      <c r="AD9" s="1585"/>
      <c r="AE9" s="1585"/>
      <c r="AF9" s="1585"/>
      <c r="AG9" s="1585"/>
      <c r="AH9" s="1585"/>
      <c r="AI9" s="1585"/>
      <c r="AJ9" s="1585"/>
      <c r="AK9" s="1585"/>
      <c r="AL9" s="1585"/>
      <c r="AM9" s="1585"/>
      <c r="AN9" s="1585"/>
      <c r="AO9" s="1584"/>
      <c r="AP9" s="1584"/>
      <c r="AQ9" s="1584"/>
      <c r="AR9" s="1584"/>
      <c r="AS9" s="1584"/>
      <c r="AT9" s="1584"/>
      <c r="AU9" s="1584"/>
      <c r="AV9" s="1584"/>
      <c r="AW9" s="1584"/>
      <c r="AX9" s="1584"/>
      <c r="AY9" s="1584"/>
      <c r="AZ9" s="1584"/>
      <c r="BA9" s="1584"/>
      <c r="BB9" s="1586"/>
      <c r="BC9" s="1349"/>
      <c r="BD9" s="1587"/>
      <c r="BE9" s="1588"/>
    </row>
    <row r="10" spans="1:60" ht="70" outlineLevel="1">
      <c r="A10" s="1491">
        <v>1</v>
      </c>
      <c r="B10" s="1497" t="s">
        <v>1567</v>
      </c>
      <c r="C10" s="1578" t="s">
        <v>936</v>
      </c>
      <c r="D10" s="1492" t="str">
        <f t="shared" si="1"/>
        <v>Add Cap (As per 296 of 2019)</v>
      </c>
      <c r="E10" s="1579" t="s">
        <v>1565</v>
      </c>
      <c r="F10" s="1334"/>
      <c r="G10" s="1335"/>
      <c r="H10" s="1498"/>
      <c r="I10" s="1350"/>
      <c r="J10" s="1350"/>
      <c r="K10" s="1351" t="s">
        <v>1566</v>
      </c>
      <c r="L10" s="1352" t="s">
        <v>1568</v>
      </c>
      <c r="M10" s="1353" t="s">
        <v>1569</v>
      </c>
      <c r="N10" s="1354" t="s">
        <v>934</v>
      </c>
      <c r="O10" s="1355" t="s">
        <v>1570</v>
      </c>
      <c r="P10" s="1572">
        <v>0</v>
      </c>
      <c r="Q10" s="1573">
        <v>0</v>
      </c>
      <c r="R10" s="1573">
        <v>0</v>
      </c>
      <c r="S10" s="1573">
        <v>0</v>
      </c>
      <c r="T10" s="1572">
        <f>SUM(P10:S10)</f>
        <v>0</v>
      </c>
      <c r="U10" s="1573">
        <v>1.35</v>
      </c>
      <c r="V10" s="1573">
        <v>0</v>
      </c>
      <c r="W10" s="1573">
        <v>0</v>
      </c>
      <c r="X10" s="1573"/>
      <c r="Y10" s="1573"/>
      <c r="Z10" s="1573"/>
      <c r="AA10" s="1573"/>
      <c r="AB10" s="1573"/>
      <c r="AC10" s="1580">
        <v>0</v>
      </c>
      <c r="AD10" s="1580">
        <v>0</v>
      </c>
      <c r="AE10" s="1580">
        <v>0.2</v>
      </c>
      <c r="AF10" s="1580">
        <v>0.4</v>
      </c>
      <c r="AG10" s="1580">
        <v>1</v>
      </c>
      <c r="AH10" s="1590">
        <v>0</v>
      </c>
      <c r="AI10" s="1590">
        <v>0</v>
      </c>
      <c r="AJ10" s="1590"/>
      <c r="AK10" s="1590"/>
      <c r="AL10" s="1590"/>
      <c r="AM10" s="1590"/>
      <c r="AN10" s="1590"/>
      <c r="AO10" s="1572">
        <v>0</v>
      </c>
      <c r="AP10" s="1575">
        <v>0</v>
      </c>
      <c r="AQ10" s="1575">
        <v>0</v>
      </c>
      <c r="AR10" s="1575">
        <v>0</v>
      </c>
      <c r="AS10" s="1572">
        <f>SUM(AO10:AR10)</f>
        <v>0</v>
      </c>
      <c r="AT10" s="1591">
        <v>1.35</v>
      </c>
      <c r="AU10" s="1592">
        <v>0</v>
      </c>
      <c r="AV10" s="1592">
        <v>0</v>
      </c>
      <c r="AW10" s="1592">
        <v>0</v>
      </c>
      <c r="AX10" s="1592">
        <v>0</v>
      </c>
      <c r="AY10" s="1592">
        <v>0</v>
      </c>
      <c r="AZ10" s="1592">
        <v>0</v>
      </c>
      <c r="BA10" s="1592">
        <v>0</v>
      </c>
      <c r="BB10" s="1593"/>
      <c r="BC10" s="1594" t="s">
        <v>1571</v>
      </c>
      <c r="BD10" s="1595" t="s">
        <v>939</v>
      </c>
      <c r="BE10" s="1596">
        <v>4385000438</v>
      </c>
    </row>
    <row r="11" spans="1:60" ht="38.15" customHeight="1" outlineLevel="1">
      <c r="A11" s="1491">
        <v>2</v>
      </c>
      <c r="B11" s="1497" t="s">
        <v>1572</v>
      </c>
      <c r="C11" s="1578" t="s">
        <v>936</v>
      </c>
      <c r="D11" s="1492" t="str">
        <f t="shared" si="1"/>
        <v>Add Cap (As per 296 of 2019)</v>
      </c>
      <c r="E11" s="1579" t="s">
        <v>1565</v>
      </c>
      <c r="F11" s="1334"/>
      <c r="G11" s="1335"/>
      <c r="H11" s="1498"/>
      <c r="I11" s="1350"/>
      <c r="J11" s="1350"/>
      <c r="K11" s="1351" t="s">
        <v>1566</v>
      </c>
      <c r="L11" s="1352" t="s">
        <v>1573</v>
      </c>
      <c r="M11" s="1353" t="s">
        <v>1569</v>
      </c>
      <c r="N11" s="1356" t="s">
        <v>1574</v>
      </c>
      <c r="O11" s="1597" t="s">
        <v>1575</v>
      </c>
      <c r="P11" s="1572">
        <v>0</v>
      </c>
      <c r="Q11" s="1573">
        <f t="shared" ref="Q11:S13" si="2">AP11</f>
        <v>0</v>
      </c>
      <c r="R11" s="1573">
        <f t="shared" si="2"/>
        <v>0.33134400000000003</v>
      </c>
      <c r="S11" s="1573">
        <f t="shared" si="2"/>
        <v>0</v>
      </c>
      <c r="T11" s="1572">
        <f t="shared" ref="T11:T74" si="3">SUM(P11:S11)</f>
        <v>0.33134400000000003</v>
      </c>
      <c r="U11" s="1598">
        <v>0</v>
      </c>
      <c r="V11" s="1573">
        <v>0</v>
      </c>
      <c r="W11" s="1573">
        <v>0</v>
      </c>
      <c r="X11" s="1573"/>
      <c r="Y11" s="1573"/>
      <c r="Z11" s="1573"/>
      <c r="AA11" s="1573"/>
      <c r="AB11" s="1573"/>
      <c r="AC11" s="1580">
        <v>0</v>
      </c>
      <c r="AD11" s="1580">
        <v>0</v>
      </c>
      <c r="AE11" s="1580">
        <v>1</v>
      </c>
      <c r="AF11" s="1580">
        <v>0</v>
      </c>
      <c r="AG11" s="1580">
        <v>0</v>
      </c>
      <c r="AH11" s="1590">
        <v>0</v>
      </c>
      <c r="AI11" s="1590">
        <v>0</v>
      </c>
      <c r="AJ11" s="1590"/>
      <c r="AK11" s="1590"/>
      <c r="AL11" s="1590"/>
      <c r="AM11" s="1590"/>
      <c r="AN11" s="1590"/>
      <c r="AO11" s="1572">
        <v>0</v>
      </c>
      <c r="AP11" s="1575">
        <v>0</v>
      </c>
      <c r="AQ11" s="1575">
        <v>0.33134400000000003</v>
      </c>
      <c r="AR11" s="1575">
        <v>0</v>
      </c>
      <c r="AS11" s="1572">
        <f t="shared" ref="AS11:AS74" si="4">SUM(AO11:AR11)</f>
        <v>0.33134400000000003</v>
      </c>
      <c r="AT11" s="1592">
        <v>0</v>
      </c>
      <c r="AU11" s="1592">
        <v>0</v>
      </c>
      <c r="AV11" s="1592">
        <v>0</v>
      </c>
      <c r="AW11" s="1592">
        <v>0</v>
      </c>
      <c r="AX11" s="1592">
        <v>0</v>
      </c>
      <c r="AY11" s="1592">
        <v>0</v>
      </c>
      <c r="AZ11" s="1592">
        <v>0</v>
      </c>
      <c r="BA11" s="1592">
        <v>0</v>
      </c>
      <c r="BB11" s="1593"/>
      <c r="BC11" s="1599" t="s">
        <v>1576</v>
      </c>
      <c r="BD11" s="1600" t="s">
        <v>939</v>
      </c>
      <c r="BE11" s="1596">
        <v>4370002552</v>
      </c>
      <c r="BF11" s="1316">
        <v>1501008371</v>
      </c>
      <c r="BG11" s="1316" t="s">
        <v>1574</v>
      </c>
    </row>
    <row r="12" spans="1:60" ht="40" customHeight="1" outlineLevel="1">
      <c r="A12" s="1491">
        <v>3</v>
      </c>
      <c r="B12" s="1497" t="s">
        <v>1577</v>
      </c>
      <c r="C12" s="1578" t="s">
        <v>936</v>
      </c>
      <c r="D12" s="1492" t="str">
        <f t="shared" si="1"/>
        <v>Add Cap (As per 296 of 2019)</v>
      </c>
      <c r="E12" s="1579" t="s">
        <v>1565</v>
      </c>
      <c r="F12" s="1334"/>
      <c r="G12" s="1335"/>
      <c r="H12" s="1498"/>
      <c r="I12" s="1350"/>
      <c r="J12" s="1350"/>
      <c r="K12" s="1351" t="s">
        <v>1566</v>
      </c>
      <c r="L12" s="1352" t="s">
        <v>1578</v>
      </c>
      <c r="M12" s="1353" t="s">
        <v>1569</v>
      </c>
      <c r="N12" s="1354" t="s">
        <v>1579</v>
      </c>
      <c r="O12" s="1597" t="s">
        <v>1575</v>
      </c>
      <c r="P12" s="1572">
        <v>0</v>
      </c>
      <c r="Q12" s="1573">
        <f t="shared" si="2"/>
        <v>0</v>
      </c>
      <c r="R12" s="1573">
        <f t="shared" si="2"/>
        <v>0</v>
      </c>
      <c r="S12" s="1573">
        <f t="shared" si="2"/>
        <v>0.33134400000000003</v>
      </c>
      <c r="T12" s="1572">
        <f t="shared" si="3"/>
        <v>0.33134400000000003</v>
      </c>
      <c r="U12" s="1598">
        <v>0</v>
      </c>
      <c r="V12" s="1573">
        <v>0</v>
      </c>
      <c r="W12" s="1573">
        <v>0</v>
      </c>
      <c r="X12" s="1573"/>
      <c r="Y12" s="1573"/>
      <c r="Z12" s="1573"/>
      <c r="AA12" s="1573"/>
      <c r="AB12" s="1573"/>
      <c r="AC12" s="1580">
        <v>0</v>
      </c>
      <c r="AD12" s="1580">
        <v>0</v>
      </c>
      <c r="AE12" s="1580">
        <v>0.2</v>
      </c>
      <c r="AF12" s="1580">
        <v>1</v>
      </c>
      <c r="AG12" s="1580">
        <v>0</v>
      </c>
      <c r="AH12" s="1590">
        <v>0</v>
      </c>
      <c r="AI12" s="1590">
        <v>0</v>
      </c>
      <c r="AJ12" s="1590"/>
      <c r="AK12" s="1590"/>
      <c r="AL12" s="1590"/>
      <c r="AM12" s="1590"/>
      <c r="AN12" s="1590"/>
      <c r="AO12" s="1572">
        <v>0</v>
      </c>
      <c r="AP12" s="1575">
        <v>0</v>
      </c>
      <c r="AQ12" s="1575">
        <v>0</v>
      </c>
      <c r="AR12" s="1575">
        <v>0.33134400000000003</v>
      </c>
      <c r="AS12" s="1572">
        <f t="shared" si="4"/>
        <v>0.33134400000000003</v>
      </c>
      <c r="AT12" s="1592">
        <v>0</v>
      </c>
      <c r="AU12" s="1592">
        <v>0</v>
      </c>
      <c r="AV12" s="1592">
        <v>0</v>
      </c>
      <c r="AW12" s="1592">
        <v>0</v>
      </c>
      <c r="AX12" s="1592">
        <v>0</v>
      </c>
      <c r="AY12" s="1592">
        <v>0</v>
      </c>
      <c r="AZ12" s="1592">
        <v>0</v>
      </c>
      <c r="BA12" s="1592">
        <v>0</v>
      </c>
      <c r="BB12" s="1593"/>
      <c r="BC12" s="1599" t="s">
        <v>1580</v>
      </c>
      <c r="BD12" s="1600" t="s">
        <v>939</v>
      </c>
      <c r="BE12" s="1596">
        <v>4385000408</v>
      </c>
      <c r="BF12" s="1316">
        <v>1501008519</v>
      </c>
      <c r="BG12" s="1316" t="s">
        <v>1579</v>
      </c>
    </row>
    <row r="13" spans="1:60" ht="31" outlineLevel="1">
      <c r="A13" s="1491">
        <v>4</v>
      </c>
      <c r="B13" s="1497" t="s">
        <v>1581</v>
      </c>
      <c r="C13" s="1578" t="s">
        <v>936</v>
      </c>
      <c r="D13" s="1492" t="str">
        <f t="shared" si="1"/>
        <v>Add Cap (As per 296 of 2019)</v>
      </c>
      <c r="E13" s="1579" t="s">
        <v>1565</v>
      </c>
      <c r="F13" s="1334"/>
      <c r="G13" s="1335"/>
      <c r="H13" s="1498"/>
      <c r="I13" s="1350"/>
      <c r="J13" s="1350"/>
      <c r="K13" s="1351" t="s">
        <v>1566</v>
      </c>
      <c r="L13" s="1357">
        <v>44113</v>
      </c>
      <c r="M13" s="1353" t="s">
        <v>1569</v>
      </c>
      <c r="N13" s="1354" t="s">
        <v>1582</v>
      </c>
      <c r="O13" s="1597" t="s">
        <v>1575</v>
      </c>
      <c r="P13" s="1572">
        <v>0</v>
      </c>
      <c r="Q13" s="1573">
        <f t="shared" si="2"/>
        <v>0</v>
      </c>
      <c r="R13" s="1573">
        <f t="shared" si="2"/>
        <v>0</v>
      </c>
      <c r="S13" s="1573">
        <f t="shared" si="2"/>
        <v>0.73326380000000002</v>
      </c>
      <c r="T13" s="1572">
        <f t="shared" si="3"/>
        <v>0.73326380000000002</v>
      </c>
      <c r="U13" s="1598">
        <v>0</v>
      </c>
      <c r="V13" s="1573">
        <v>0</v>
      </c>
      <c r="W13" s="1573">
        <v>0</v>
      </c>
      <c r="X13" s="1573"/>
      <c r="Y13" s="1573"/>
      <c r="Z13" s="1573"/>
      <c r="AA13" s="1573"/>
      <c r="AB13" s="1573"/>
      <c r="AC13" s="1580">
        <v>0</v>
      </c>
      <c r="AD13" s="1580">
        <v>0</v>
      </c>
      <c r="AE13" s="1580">
        <v>0.2</v>
      </c>
      <c r="AF13" s="1580">
        <v>1</v>
      </c>
      <c r="AG13" s="1580">
        <v>0</v>
      </c>
      <c r="AH13" s="1590">
        <v>0</v>
      </c>
      <c r="AI13" s="1590">
        <v>0</v>
      </c>
      <c r="AJ13" s="1590"/>
      <c r="AK13" s="1590"/>
      <c r="AL13" s="1590"/>
      <c r="AM13" s="1590"/>
      <c r="AN13" s="1590"/>
      <c r="AO13" s="1572">
        <v>0</v>
      </c>
      <c r="AP13" s="1575">
        <v>0</v>
      </c>
      <c r="AQ13" s="1575">
        <v>0</v>
      </c>
      <c r="AR13" s="1575">
        <v>0.73326380000000002</v>
      </c>
      <c r="AS13" s="1572">
        <f t="shared" si="4"/>
        <v>0.73326380000000002</v>
      </c>
      <c r="AT13" s="1592">
        <v>0</v>
      </c>
      <c r="AU13" s="1592">
        <v>0</v>
      </c>
      <c r="AV13" s="1592">
        <v>0</v>
      </c>
      <c r="AW13" s="1592">
        <v>0</v>
      </c>
      <c r="AX13" s="1592">
        <v>0</v>
      </c>
      <c r="AY13" s="1592">
        <v>0</v>
      </c>
      <c r="AZ13" s="1592">
        <v>0</v>
      </c>
      <c r="BA13" s="1592">
        <v>0</v>
      </c>
      <c r="BB13" s="1593"/>
      <c r="BC13" s="1599" t="s">
        <v>1583</v>
      </c>
      <c r="BD13" s="1600" t="s">
        <v>939</v>
      </c>
      <c r="BE13" s="1596">
        <v>4385000483</v>
      </c>
      <c r="BF13" s="1316">
        <v>1501008572</v>
      </c>
      <c r="BG13" s="1316" t="s">
        <v>1582</v>
      </c>
    </row>
    <row r="14" spans="1:60" s="1430" customFormat="1" ht="31" customHeight="1" outlineLevel="1">
      <c r="A14" s="1491">
        <v>5</v>
      </c>
      <c r="B14" s="1497" t="s">
        <v>1584</v>
      </c>
      <c r="C14" s="1578" t="s">
        <v>936</v>
      </c>
      <c r="D14" s="1492" t="str">
        <f t="shared" si="1"/>
        <v>Add Cap (As per 296 of 2019)</v>
      </c>
      <c r="E14" s="1579" t="s">
        <v>1565</v>
      </c>
      <c r="F14" s="1334"/>
      <c r="G14" s="1358"/>
      <c r="H14" s="1358"/>
      <c r="I14" s="1350"/>
      <c r="J14" s="1350"/>
      <c r="K14" s="1351" t="s">
        <v>1566</v>
      </c>
      <c r="L14" s="1352" t="s">
        <v>1585</v>
      </c>
      <c r="M14" s="1353" t="s">
        <v>1569</v>
      </c>
      <c r="N14" s="1354"/>
      <c r="O14" s="1597" t="s">
        <v>1575</v>
      </c>
      <c r="P14" s="1572">
        <v>0</v>
      </c>
      <c r="Q14" s="1573">
        <v>0</v>
      </c>
      <c r="R14" s="1573">
        <v>0</v>
      </c>
      <c r="S14" s="1573">
        <v>0</v>
      </c>
      <c r="T14" s="1572">
        <f t="shared" si="3"/>
        <v>0</v>
      </c>
      <c r="U14" s="1573">
        <v>0.52329999999999999</v>
      </c>
      <c r="V14" s="1573">
        <v>0</v>
      </c>
      <c r="W14" s="1573">
        <v>0</v>
      </c>
      <c r="X14" s="1573"/>
      <c r="Y14" s="1573"/>
      <c r="Z14" s="1573"/>
      <c r="AA14" s="1573"/>
      <c r="AB14" s="1573"/>
      <c r="AC14" s="1580">
        <v>0</v>
      </c>
      <c r="AD14" s="1580">
        <v>0</v>
      </c>
      <c r="AE14" s="1580">
        <v>0.2</v>
      </c>
      <c r="AF14" s="1580">
        <v>0.4</v>
      </c>
      <c r="AG14" s="1580">
        <v>1</v>
      </c>
      <c r="AH14" s="1590">
        <v>0</v>
      </c>
      <c r="AI14" s="1590">
        <v>0</v>
      </c>
      <c r="AJ14" s="1590"/>
      <c r="AK14" s="1590"/>
      <c r="AL14" s="1590"/>
      <c r="AM14" s="1590"/>
      <c r="AN14" s="1590"/>
      <c r="AO14" s="1572">
        <v>0</v>
      </c>
      <c r="AP14" s="1575">
        <v>0</v>
      </c>
      <c r="AQ14" s="1575">
        <v>0</v>
      </c>
      <c r="AR14" s="1575">
        <v>0</v>
      </c>
      <c r="AS14" s="1572">
        <f t="shared" si="4"/>
        <v>0</v>
      </c>
      <c r="AT14" s="1593">
        <v>0.52329999999999999</v>
      </c>
      <c r="AU14" s="1592">
        <v>0</v>
      </c>
      <c r="AV14" s="1592">
        <v>0</v>
      </c>
      <c r="AW14" s="1592">
        <v>0</v>
      </c>
      <c r="AX14" s="1592">
        <v>0</v>
      </c>
      <c r="AY14" s="1592">
        <v>0</v>
      </c>
      <c r="AZ14" s="1592">
        <v>0</v>
      </c>
      <c r="BA14" s="1592">
        <v>0</v>
      </c>
      <c r="BB14" s="1593"/>
      <c r="BC14" s="1599" t="s">
        <v>1586</v>
      </c>
      <c r="BD14" s="1595" t="s">
        <v>939</v>
      </c>
      <c r="BE14" s="1596">
        <v>4385000384</v>
      </c>
      <c r="BF14" s="1316"/>
      <c r="BG14" s="1316"/>
    </row>
    <row r="15" spans="1:60" s="1430" customFormat="1" ht="50.15" customHeight="1" outlineLevel="1">
      <c r="A15" s="1491">
        <v>6</v>
      </c>
      <c r="B15" s="1497" t="s">
        <v>1587</v>
      </c>
      <c r="C15" s="1578" t="s">
        <v>936</v>
      </c>
      <c r="D15" s="1492" t="str">
        <f t="shared" si="1"/>
        <v>Add Cap (As per 296 of 2019)</v>
      </c>
      <c r="E15" s="1579" t="s">
        <v>1565</v>
      </c>
      <c r="F15" s="1334"/>
      <c r="G15" s="1358"/>
      <c r="H15" s="1358"/>
      <c r="I15" s="1350"/>
      <c r="J15" s="1350"/>
      <c r="K15" s="1351" t="s">
        <v>1566</v>
      </c>
      <c r="L15" s="1352" t="s">
        <v>1585</v>
      </c>
      <c r="M15" s="1353" t="s">
        <v>1569</v>
      </c>
      <c r="N15" s="1354"/>
      <c r="O15" s="1597" t="s">
        <v>1575</v>
      </c>
      <c r="P15" s="1572">
        <v>0</v>
      </c>
      <c r="Q15" s="1573">
        <f t="shared" ref="Q15:S22" si="5">AP15</f>
        <v>0</v>
      </c>
      <c r="R15" s="1573">
        <f t="shared" si="5"/>
        <v>0</v>
      </c>
      <c r="S15" s="1573">
        <f t="shared" si="5"/>
        <v>0</v>
      </c>
      <c r="T15" s="1572">
        <f t="shared" si="3"/>
        <v>0</v>
      </c>
      <c r="U15" s="1573">
        <v>0.19409999999999999</v>
      </c>
      <c r="V15" s="1573">
        <v>0</v>
      </c>
      <c r="W15" s="1573">
        <v>0</v>
      </c>
      <c r="X15" s="1573"/>
      <c r="Y15" s="1573"/>
      <c r="Z15" s="1573"/>
      <c r="AA15" s="1573"/>
      <c r="AB15" s="1573"/>
      <c r="AC15" s="1580">
        <v>0</v>
      </c>
      <c r="AD15" s="1580">
        <v>0</v>
      </c>
      <c r="AE15" s="1580">
        <v>0.2</v>
      </c>
      <c r="AF15" s="1580">
        <v>0.2</v>
      </c>
      <c r="AG15" s="1580">
        <v>1</v>
      </c>
      <c r="AH15" s="1590">
        <v>0</v>
      </c>
      <c r="AI15" s="1590">
        <v>0</v>
      </c>
      <c r="AJ15" s="1590"/>
      <c r="AK15" s="1590"/>
      <c r="AL15" s="1590"/>
      <c r="AM15" s="1590"/>
      <c r="AN15" s="1590"/>
      <c r="AO15" s="1572">
        <v>0</v>
      </c>
      <c r="AP15" s="1575">
        <v>0</v>
      </c>
      <c r="AQ15" s="1575">
        <v>0</v>
      </c>
      <c r="AR15" s="1575">
        <v>0</v>
      </c>
      <c r="AS15" s="1572">
        <f t="shared" si="4"/>
        <v>0</v>
      </c>
      <c r="AT15" s="1593">
        <v>0.19409999999999999</v>
      </c>
      <c r="AU15" s="1592">
        <v>0</v>
      </c>
      <c r="AV15" s="1592">
        <v>0</v>
      </c>
      <c r="AW15" s="1592">
        <v>0</v>
      </c>
      <c r="AX15" s="1592">
        <v>0</v>
      </c>
      <c r="AY15" s="1592">
        <v>0</v>
      </c>
      <c r="AZ15" s="1592">
        <v>0</v>
      </c>
      <c r="BA15" s="1592">
        <v>0</v>
      </c>
      <c r="BB15" s="1593"/>
      <c r="BC15" s="1599" t="s">
        <v>1588</v>
      </c>
      <c r="BD15" s="1595" t="s">
        <v>939</v>
      </c>
      <c r="BE15" s="1596">
        <v>4385000569</v>
      </c>
    </row>
    <row r="16" spans="1:60" s="1430" customFormat="1" ht="52" customHeight="1" outlineLevel="1">
      <c r="A16" s="1491">
        <v>7</v>
      </c>
      <c r="B16" s="1497" t="s">
        <v>1589</v>
      </c>
      <c r="C16" s="1578" t="s">
        <v>936</v>
      </c>
      <c r="D16" s="1492" t="str">
        <f t="shared" si="1"/>
        <v>Add Cap (As per 296 of 2019)</v>
      </c>
      <c r="E16" s="1579" t="s">
        <v>1565</v>
      </c>
      <c r="F16" s="1334"/>
      <c r="G16" s="1359"/>
      <c r="H16" s="1359"/>
      <c r="I16" s="1350"/>
      <c r="J16" s="1350"/>
      <c r="K16" s="1351" t="s">
        <v>1566</v>
      </c>
      <c r="L16" s="1352" t="s">
        <v>1585</v>
      </c>
      <c r="M16" s="1353" t="s">
        <v>1569</v>
      </c>
      <c r="N16" s="1354" t="s">
        <v>1590</v>
      </c>
      <c r="O16" s="1597" t="s">
        <v>1575</v>
      </c>
      <c r="P16" s="1601">
        <v>0</v>
      </c>
      <c r="Q16" s="1573">
        <f t="shared" si="5"/>
        <v>0</v>
      </c>
      <c r="R16" s="1573">
        <f t="shared" si="5"/>
        <v>0</v>
      </c>
      <c r="S16" s="1573">
        <f t="shared" si="5"/>
        <v>0.53521083000000003</v>
      </c>
      <c r="T16" s="1601">
        <f t="shared" si="3"/>
        <v>0.53521083000000003</v>
      </c>
      <c r="U16" s="1602">
        <v>0</v>
      </c>
      <c r="V16" s="1601">
        <v>0</v>
      </c>
      <c r="W16" s="1601">
        <v>0</v>
      </c>
      <c r="X16" s="1601"/>
      <c r="Y16" s="1601"/>
      <c r="Z16" s="1601"/>
      <c r="AA16" s="1601"/>
      <c r="AB16" s="1601"/>
      <c r="AC16" s="1580">
        <v>0</v>
      </c>
      <c r="AD16" s="1580">
        <v>0</v>
      </c>
      <c r="AE16" s="1580">
        <v>0.2</v>
      </c>
      <c r="AF16" s="1580">
        <v>1</v>
      </c>
      <c r="AG16" s="1580">
        <v>0</v>
      </c>
      <c r="AH16" s="1590">
        <v>0</v>
      </c>
      <c r="AI16" s="1590">
        <v>0</v>
      </c>
      <c r="AJ16" s="1590"/>
      <c r="AK16" s="1590"/>
      <c r="AL16" s="1590"/>
      <c r="AM16" s="1590"/>
      <c r="AN16" s="1590"/>
      <c r="AO16" s="1601">
        <v>0</v>
      </c>
      <c r="AP16" s="1575">
        <v>0</v>
      </c>
      <c r="AQ16" s="1575">
        <v>0</v>
      </c>
      <c r="AR16" s="1575">
        <v>0.53521083000000003</v>
      </c>
      <c r="AS16" s="1601">
        <f t="shared" si="4"/>
        <v>0.53521083000000003</v>
      </c>
      <c r="AT16" s="1603">
        <v>0</v>
      </c>
      <c r="AU16" s="1603">
        <v>0</v>
      </c>
      <c r="AV16" s="1603">
        <v>0</v>
      </c>
      <c r="AW16" s="1592">
        <v>0</v>
      </c>
      <c r="AX16" s="1592">
        <v>0</v>
      </c>
      <c r="AY16" s="1592">
        <v>0</v>
      </c>
      <c r="AZ16" s="1592">
        <v>0</v>
      </c>
      <c r="BA16" s="1592">
        <v>0</v>
      </c>
      <c r="BB16" s="1604"/>
      <c r="BC16" s="1599" t="s">
        <v>1591</v>
      </c>
      <c r="BD16" s="1600" t="s">
        <v>939</v>
      </c>
      <c r="BE16" s="1596">
        <v>4385000383</v>
      </c>
      <c r="BF16" s="1316">
        <v>1501008573</v>
      </c>
      <c r="BG16" s="1316" t="s">
        <v>1590</v>
      </c>
    </row>
    <row r="17" spans="1:59" s="1430" customFormat="1" ht="38.15" customHeight="1" outlineLevel="1">
      <c r="A17" s="1491">
        <v>8</v>
      </c>
      <c r="B17" s="1497" t="s">
        <v>1592</v>
      </c>
      <c r="C17" s="1578" t="s">
        <v>936</v>
      </c>
      <c r="D17" s="1492" t="str">
        <f t="shared" si="1"/>
        <v>Add Cap (As per 296 of 2019)</v>
      </c>
      <c r="E17" s="1579" t="s">
        <v>1565</v>
      </c>
      <c r="F17" s="1334"/>
      <c r="G17" s="1358"/>
      <c r="H17" s="1358"/>
      <c r="I17" s="1350"/>
      <c r="J17" s="1350"/>
      <c r="K17" s="1351" t="s">
        <v>1566</v>
      </c>
      <c r="L17" s="1360">
        <v>44115</v>
      </c>
      <c r="M17" s="1353" t="s">
        <v>1569</v>
      </c>
      <c r="N17" s="1356" t="s">
        <v>1593</v>
      </c>
      <c r="O17" s="1597" t="s">
        <v>1575</v>
      </c>
      <c r="P17" s="1605">
        <v>0</v>
      </c>
      <c r="Q17" s="1573">
        <f t="shared" si="5"/>
        <v>0</v>
      </c>
      <c r="R17" s="1573">
        <f t="shared" si="5"/>
        <v>0.56971689999999997</v>
      </c>
      <c r="S17" s="1573">
        <f t="shared" si="5"/>
        <v>0</v>
      </c>
      <c r="T17" s="1605">
        <f t="shared" si="3"/>
        <v>0.56971689999999997</v>
      </c>
      <c r="U17" s="1598">
        <v>0</v>
      </c>
      <c r="V17" s="1573">
        <v>0</v>
      </c>
      <c r="W17" s="1573">
        <v>0</v>
      </c>
      <c r="X17" s="1573"/>
      <c r="Y17" s="1573"/>
      <c r="Z17" s="1573"/>
      <c r="AA17" s="1573"/>
      <c r="AB17" s="1573"/>
      <c r="AC17" s="1580">
        <v>0</v>
      </c>
      <c r="AD17" s="1580">
        <v>0</v>
      </c>
      <c r="AE17" s="1580">
        <v>0.1</v>
      </c>
      <c r="AF17" s="1580">
        <v>0</v>
      </c>
      <c r="AG17" s="1580">
        <v>0</v>
      </c>
      <c r="AH17" s="1590">
        <v>0</v>
      </c>
      <c r="AI17" s="1590">
        <v>0</v>
      </c>
      <c r="AJ17" s="1590"/>
      <c r="AK17" s="1590"/>
      <c r="AL17" s="1590"/>
      <c r="AM17" s="1590"/>
      <c r="AN17" s="1590"/>
      <c r="AO17" s="1605">
        <v>0</v>
      </c>
      <c r="AP17" s="1575">
        <v>0</v>
      </c>
      <c r="AQ17" s="1575">
        <v>0.56971689999999997</v>
      </c>
      <c r="AR17" s="1575">
        <v>0</v>
      </c>
      <c r="AS17" s="1605">
        <f t="shared" si="4"/>
        <v>0.56971689999999997</v>
      </c>
      <c r="AT17" s="1592">
        <v>0</v>
      </c>
      <c r="AU17" s="1592">
        <v>0</v>
      </c>
      <c r="AV17" s="1592">
        <v>0</v>
      </c>
      <c r="AW17" s="1592">
        <v>0</v>
      </c>
      <c r="AX17" s="1592">
        <v>0</v>
      </c>
      <c r="AY17" s="1592">
        <v>0</v>
      </c>
      <c r="AZ17" s="1592">
        <v>0</v>
      </c>
      <c r="BA17" s="1592">
        <v>0</v>
      </c>
      <c r="BB17" s="1593"/>
      <c r="BC17" s="1599" t="s">
        <v>1594</v>
      </c>
      <c r="BD17" s="1600" t="s">
        <v>939</v>
      </c>
      <c r="BE17" s="1596">
        <v>4370002571</v>
      </c>
      <c r="BF17" s="1316">
        <v>1501008372</v>
      </c>
      <c r="BG17" s="1316" t="s">
        <v>1593</v>
      </c>
    </row>
    <row r="18" spans="1:59" s="1430" customFormat="1" ht="37" customHeight="1" outlineLevel="1">
      <c r="A18" s="1491">
        <v>9</v>
      </c>
      <c r="B18" s="1497" t="s">
        <v>1595</v>
      </c>
      <c r="C18" s="1578" t="s">
        <v>936</v>
      </c>
      <c r="D18" s="1492" t="str">
        <f t="shared" si="1"/>
        <v>Add Cap (As per 296 of 2019)</v>
      </c>
      <c r="E18" s="1579" t="s">
        <v>1565</v>
      </c>
      <c r="F18" s="1334"/>
      <c r="G18" s="1358"/>
      <c r="H18" s="1358"/>
      <c r="I18" s="1350"/>
      <c r="J18" s="1350"/>
      <c r="K18" s="1351" t="s">
        <v>1566</v>
      </c>
      <c r="L18" s="1360">
        <v>44176</v>
      </c>
      <c r="M18" s="1353" t="s">
        <v>1569</v>
      </c>
      <c r="N18" s="1354" t="s">
        <v>1596</v>
      </c>
      <c r="O18" s="1597" t="s">
        <v>1575</v>
      </c>
      <c r="P18" s="1605">
        <v>0</v>
      </c>
      <c r="Q18" s="1573">
        <f t="shared" si="5"/>
        <v>0</v>
      </c>
      <c r="R18" s="1573">
        <f t="shared" si="5"/>
        <v>0</v>
      </c>
      <c r="S18" s="1573">
        <f t="shared" si="5"/>
        <v>0.42568995599999998</v>
      </c>
      <c r="T18" s="1605">
        <f t="shared" si="3"/>
        <v>0.42568995599999998</v>
      </c>
      <c r="U18" s="1598">
        <v>0</v>
      </c>
      <c r="V18" s="1573">
        <v>0</v>
      </c>
      <c r="W18" s="1573">
        <v>0</v>
      </c>
      <c r="X18" s="1573"/>
      <c r="Y18" s="1573"/>
      <c r="Z18" s="1573"/>
      <c r="AA18" s="1573"/>
      <c r="AB18" s="1573"/>
      <c r="AC18" s="1580">
        <v>0</v>
      </c>
      <c r="AD18" s="1580">
        <v>0</v>
      </c>
      <c r="AE18" s="1580">
        <v>0.4</v>
      </c>
      <c r="AF18" s="1580"/>
      <c r="AG18" s="1580">
        <v>0</v>
      </c>
      <c r="AH18" s="1590">
        <v>0</v>
      </c>
      <c r="AI18" s="1590">
        <v>0</v>
      </c>
      <c r="AJ18" s="1590"/>
      <c r="AK18" s="1590"/>
      <c r="AL18" s="1590"/>
      <c r="AM18" s="1590"/>
      <c r="AN18" s="1590"/>
      <c r="AO18" s="1605">
        <v>0</v>
      </c>
      <c r="AP18" s="1575">
        <v>0</v>
      </c>
      <c r="AQ18" s="1575">
        <v>0</v>
      </c>
      <c r="AR18" s="1575">
        <v>0.42568995599999998</v>
      </c>
      <c r="AS18" s="1605">
        <f t="shared" si="4"/>
        <v>0.42568995599999998</v>
      </c>
      <c r="AT18" s="1592">
        <v>0</v>
      </c>
      <c r="AU18" s="1592">
        <v>0</v>
      </c>
      <c r="AV18" s="1592">
        <v>0</v>
      </c>
      <c r="AW18" s="1592">
        <v>0</v>
      </c>
      <c r="AX18" s="1592">
        <v>0</v>
      </c>
      <c r="AY18" s="1592">
        <v>0</v>
      </c>
      <c r="AZ18" s="1592">
        <v>0</v>
      </c>
      <c r="BA18" s="1592">
        <v>0</v>
      </c>
      <c r="BB18" s="1593"/>
      <c r="BC18" s="1599" t="s">
        <v>1597</v>
      </c>
      <c r="BD18" s="1600" t="s">
        <v>939</v>
      </c>
      <c r="BE18" s="1596">
        <v>4385000389</v>
      </c>
      <c r="BF18" s="1316">
        <v>1501008520</v>
      </c>
      <c r="BG18" s="1316" t="s">
        <v>1596</v>
      </c>
    </row>
    <row r="19" spans="1:59" s="1430" customFormat="1" ht="51" customHeight="1" outlineLevel="1">
      <c r="A19" s="1491">
        <v>10</v>
      </c>
      <c r="B19" s="1497" t="s">
        <v>1598</v>
      </c>
      <c r="C19" s="1578" t="s">
        <v>936</v>
      </c>
      <c r="D19" s="1492" t="str">
        <f t="shared" si="1"/>
        <v>Add Cap (As per 296 of 2019)</v>
      </c>
      <c r="E19" s="1579" t="s">
        <v>1565</v>
      </c>
      <c r="F19" s="1334"/>
      <c r="G19" s="1358"/>
      <c r="H19" s="1358"/>
      <c r="I19" s="1350"/>
      <c r="J19" s="1350"/>
      <c r="K19" s="1351" t="s">
        <v>1566</v>
      </c>
      <c r="L19" s="1360">
        <v>44115</v>
      </c>
      <c r="M19" s="1353" t="s">
        <v>1569</v>
      </c>
      <c r="N19" s="1354" t="s">
        <v>1599</v>
      </c>
      <c r="O19" s="1597" t="s">
        <v>1575</v>
      </c>
      <c r="P19" s="1605">
        <v>0</v>
      </c>
      <c r="Q19" s="1573">
        <f t="shared" si="5"/>
        <v>0</v>
      </c>
      <c r="R19" s="1573">
        <f t="shared" si="5"/>
        <v>0.27832896000000001</v>
      </c>
      <c r="S19" s="1573">
        <f t="shared" si="5"/>
        <v>0</v>
      </c>
      <c r="T19" s="1605">
        <f t="shared" si="3"/>
        <v>0.27832896000000001</v>
      </c>
      <c r="U19" s="1598">
        <v>0</v>
      </c>
      <c r="V19" s="1573">
        <v>0</v>
      </c>
      <c r="W19" s="1573">
        <v>0</v>
      </c>
      <c r="X19" s="1573"/>
      <c r="Y19" s="1573"/>
      <c r="Z19" s="1573"/>
      <c r="AA19" s="1573"/>
      <c r="AB19" s="1573"/>
      <c r="AC19" s="1580">
        <v>0</v>
      </c>
      <c r="AD19" s="1580">
        <v>0</v>
      </c>
      <c r="AE19" s="1580">
        <v>1</v>
      </c>
      <c r="AF19" s="1580">
        <v>0</v>
      </c>
      <c r="AG19" s="1580">
        <v>0</v>
      </c>
      <c r="AH19" s="1590">
        <v>0</v>
      </c>
      <c r="AI19" s="1590">
        <v>0</v>
      </c>
      <c r="AJ19" s="1590"/>
      <c r="AK19" s="1590"/>
      <c r="AL19" s="1590"/>
      <c r="AM19" s="1590"/>
      <c r="AN19" s="1590"/>
      <c r="AO19" s="1605">
        <v>0</v>
      </c>
      <c r="AP19" s="1575">
        <v>0</v>
      </c>
      <c r="AQ19" s="1575">
        <v>0.27832896000000001</v>
      </c>
      <c r="AR19" s="1575">
        <v>0</v>
      </c>
      <c r="AS19" s="1605">
        <f t="shared" si="4"/>
        <v>0.27832896000000001</v>
      </c>
      <c r="AT19" s="1592">
        <v>0</v>
      </c>
      <c r="AU19" s="1592">
        <v>0</v>
      </c>
      <c r="AV19" s="1592">
        <v>0</v>
      </c>
      <c r="AW19" s="1592">
        <v>0</v>
      </c>
      <c r="AX19" s="1592">
        <v>0</v>
      </c>
      <c r="AY19" s="1592">
        <v>0</v>
      </c>
      <c r="AZ19" s="1592">
        <v>0</v>
      </c>
      <c r="BA19" s="1592">
        <v>0</v>
      </c>
      <c r="BB19" s="1593"/>
      <c r="BC19" s="1599" t="s">
        <v>1600</v>
      </c>
      <c r="BD19" s="1600" t="s">
        <v>939</v>
      </c>
      <c r="BE19" s="1596">
        <v>4385000387</v>
      </c>
      <c r="BF19" s="1316">
        <v>1501008369</v>
      </c>
      <c r="BG19" s="1316" t="s">
        <v>1599</v>
      </c>
    </row>
    <row r="20" spans="1:59" s="1430" customFormat="1" ht="42" customHeight="1" outlineLevel="1">
      <c r="A20" s="1491">
        <v>11</v>
      </c>
      <c r="B20" s="1497" t="s">
        <v>1601</v>
      </c>
      <c r="C20" s="1578" t="s">
        <v>936</v>
      </c>
      <c r="D20" s="1492" t="str">
        <f t="shared" si="1"/>
        <v>Add Cap (As per 296 of 2019)</v>
      </c>
      <c r="E20" s="1579" t="s">
        <v>1565</v>
      </c>
      <c r="F20" s="1334"/>
      <c r="G20" s="1359"/>
      <c r="H20" s="1359"/>
      <c r="I20" s="1350"/>
      <c r="J20" s="1350"/>
      <c r="K20" s="1351" t="s">
        <v>1566</v>
      </c>
      <c r="L20" s="1360">
        <v>43963</v>
      </c>
      <c r="M20" s="1353" t="s">
        <v>1569</v>
      </c>
      <c r="N20" s="1354" t="s">
        <v>1599</v>
      </c>
      <c r="O20" s="1597" t="s">
        <v>1575</v>
      </c>
      <c r="P20" s="1601">
        <v>0</v>
      </c>
      <c r="Q20" s="1573">
        <f t="shared" si="5"/>
        <v>0</v>
      </c>
      <c r="R20" s="1573">
        <f t="shared" si="5"/>
        <v>0.26431690000000002</v>
      </c>
      <c r="S20" s="1573">
        <f t="shared" si="5"/>
        <v>0</v>
      </c>
      <c r="T20" s="1601">
        <f t="shared" si="3"/>
        <v>0.26431690000000002</v>
      </c>
      <c r="U20" s="1602">
        <v>0</v>
      </c>
      <c r="V20" s="1601">
        <v>0</v>
      </c>
      <c r="W20" s="1601">
        <v>0</v>
      </c>
      <c r="X20" s="1601"/>
      <c r="Y20" s="1601"/>
      <c r="Z20" s="1601"/>
      <c r="AA20" s="1601"/>
      <c r="AB20" s="1601"/>
      <c r="AC20" s="1580">
        <v>0</v>
      </c>
      <c r="AD20" s="1580">
        <v>0</v>
      </c>
      <c r="AE20" s="1580">
        <v>1</v>
      </c>
      <c r="AF20" s="1580">
        <v>0</v>
      </c>
      <c r="AG20" s="1580">
        <v>0</v>
      </c>
      <c r="AH20" s="1590">
        <v>0</v>
      </c>
      <c r="AI20" s="1590">
        <v>0</v>
      </c>
      <c r="AJ20" s="1590"/>
      <c r="AK20" s="1590"/>
      <c r="AL20" s="1590"/>
      <c r="AM20" s="1590"/>
      <c r="AN20" s="1590"/>
      <c r="AO20" s="1601">
        <v>0</v>
      </c>
      <c r="AP20" s="1575">
        <v>0</v>
      </c>
      <c r="AQ20" s="1575">
        <v>0.26431690000000002</v>
      </c>
      <c r="AR20" s="1575">
        <v>0</v>
      </c>
      <c r="AS20" s="1601">
        <f t="shared" si="4"/>
        <v>0.26431690000000002</v>
      </c>
      <c r="AT20" s="1603">
        <v>0</v>
      </c>
      <c r="AU20" s="1603">
        <v>0</v>
      </c>
      <c r="AV20" s="1603">
        <v>0</v>
      </c>
      <c r="AW20" s="1592">
        <v>0</v>
      </c>
      <c r="AX20" s="1592">
        <v>0</v>
      </c>
      <c r="AY20" s="1592">
        <v>0</v>
      </c>
      <c r="AZ20" s="1592">
        <v>0</v>
      </c>
      <c r="BA20" s="1592">
        <v>0</v>
      </c>
      <c r="BB20" s="1604"/>
      <c r="BC20" s="1599" t="s">
        <v>1602</v>
      </c>
      <c r="BD20" s="1600" t="s">
        <v>939</v>
      </c>
      <c r="BE20" s="1596">
        <v>4385000404</v>
      </c>
      <c r="BF20" s="1316">
        <v>1501008370</v>
      </c>
      <c r="BG20" s="1316" t="s">
        <v>1599</v>
      </c>
    </row>
    <row r="21" spans="1:59" s="1430" customFormat="1" ht="31" outlineLevel="1">
      <c r="A21" s="1491">
        <v>12</v>
      </c>
      <c r="B21" s="1497" t="s">
        <v>1603</v>
      </c>
      <c r="C21" s="1578" t="s">
        <v>936</v>
      </c>
      <c r="D21" s="1492" t="str">
        <f t="shared" si="1"/>
        <v>Add Cap (As per 296 of 2019)</v>
      </c>
      <c r="E21" s="1579" t="s">
        <v>1565</v>
      </c>
      <c r="F21" s="1334"/>
      <c r="G21" s="1358"/>
      <c r="H21" s="1358"/>
      <c r="I21" s="1350"/>
      <c r="J21" s="1350"/>
      <c r="K21" s="1351" t="s">
        <v>1566</v>
      </c>
      <c r="L21" s="1360">
        <v>44410</v>
      </c>
      <c r="M21" s="1353" t="s">
        <v>1569</v>
      </c>
      <c r="N21" s="1356"/>
      <c r="O21" s="1597" t="s">
        <v>1575</v>
      </c>
      <c r="P21" s="1605">
        <v>0</v>
      </c>
      <c r="Q21" s="1573">
        <f t="shared" si="5"/>
        <v>0</v>
      </c>
      <c r="R21" s="1573">
        <f t="shared" si="5"/>
        <v>0</v>
      </c>
      <c r="S21" s="1573">
        <f t="shared" si="5"/>
        <v>0</v>
      </c>
      <c r="T21" s="1605">
        <f t="shared" si="3"/>
        <v>0</v>
      </c>
      <c r="U21" s="1602">
        <v>0</v>
      </c>
      <c r="V21" s="1601">
        <v>0</v>
      </c>
      <c r="W21" s="1601">
        <v>0</v>
      </c>
      <c r="X21" s="1601"/>
      <c r="Y21" s="1601"/>
      <c r="Z21" s="1601"/>
      <c r="AA21" s="1601"/>
      <c r="AB21" s="1601"/>
      <c r="AC21" s="1580">
        <v>0</v>
      </c>
      <c r="AD21" s="1580">
        <v>0</v>
      </c>
      <c r="AE21" s="1580">
        <v>0.4</v>
      </c>
      <c r="AF21" s="1580"/>
      <c r="AG21" s="1580">
        <v>0</v>
      </c>
      <c r="AH21" s="1590">
        <v>0</v>
      </c>
      <c r="AI21" s="1590">
        <v>0</v>
      </c>
      <c r="AJ21" s="1590"/>
      <c r="AK21" s="1590"/>
      <c r="AL21" s="1590"/>
      <c r="AM21" s="1590"/>
      <c r="AN21" s="1590"/>
      <c r="AO21" s="1605">
        <v>0</v>
      </c>
      <c r="AP21" s="1575">
        <v>0</v>
      </c>
      <c r="AQ21" s="1575">
        <v>0</v>
      </c>
      <c r="AR21" s="1575">
        <v>0</v>
      </c>
      <c r="AS21" s="1605">
        <f t="shared" si="4"/>
        <v>0</v>
      </c>
      <c r="AT21" s="1603">
        <v>0</v>
      </c>
      <c r="AU21" s="1603">
        <v>0</v>
      </c>
      <c r="AV21" s="1591">
        <v>0</v>
      </c>
      <c r="AW21" s="1592">
        <v>0</v>
      </c>
      <c r="AX21" s="1592">
        <v>0</v>
      </c>
      <c r="AY21" s="1592">
        <v>0</v>
      </c>
      <c r="AZ21" s="1592">
        <v>0</v>
      </c>
      <c r="BA21" s="1592">
        <v>0</v>
      </c>
      <c r="BB21" s="1593">
        <v>0</v>
      </c>
      <c r="BC21" s="1599" t="s">
        <v>1604</v>
      </c>
      <c r="BD21" s="1361" t="s">
        <v>937</v>
      </c>
      <c r="BE21" s="1606" t="s">
        <v>1605</v>
      </c>
    </row>
    <row r="22" spans="1:59" s="1430" customFormat="1" ht="39" customHeight="1" outlineLevel="1">
      <c r="A22" s="1491">
        <v>13</v>
      </c>
      <c r="B22" s="1497" t="s">
        <v>1606</v>
      </c>
      <c r="C22" s="1578" t="s">
        <v>936</v>
      </c>
      <c r="D22" s="1492" t="str">
        <f t="shared" si="1"/>
        <v>Add Cap (As per 296 of 2019)</v>
      </c>
      <c r="E22" s="1579" t="s">
        <v>1565</v>
      </c>
      <c r="F22" s="1334"/>
      <c r="G22" s="1358"/>
      <c r="H22" s="1358"/>
      <c r="I22" s="1350"/>
      <c r="J22" s="1350"/>
      <c r="K22" s="1351" t="s">
        <v>1566</v>
      </c>
      <c r="L22" s="1360"/>
      <c r="M22" s="1353" t="s">
        <v>1569</v>
      </c>
      <c r="N22" s="1356"/>
      <c r="O22" s="1597" t="s">
        <v>1575</v>
      </c>
      <c r="P22" s="1605">
        <v>0</v>
      </c>
      <c r="Q22" s="1573">
        <f t="shared" si="5"/>
        <v>0</v>
      </c>
      <c r="R22" s="1573">
        <f t="shared" si="5"/>
        <v>0</v>
      </c>
      <c r="S22" s="1573">
        <f t="shared" si="5"/>
        <v>0</v>
      </c>
      <c r="T22" s="1605">
        <f t="shared" si="3"/>
        <v>0</v>
      </c>
      <c r="U22" s="1602">
        <v>0</v>
      </c>
      <c r="V22" s="1601">
        <v>0</v>
      </c>
      <c r="W22" s="1601">
        <v>0</v>
      </c>
      <c r="X22" s="1601"/>
      <c r="Y22" s="1601"/>
      <c r="Z22" s="1601"/>
      <c r="AA22" s="1601"/>
      <c r="AB22" s="1601"/>
      <c r="AC22" s="1580">
        <v>0</v>
      </c>
      <c r="AD22" s="1580"/>
      <c r="AE22" s="1580"/>
      <c r="AF22" s="1580"/>
      <c r="AG22" s="1580">
        <v>1</v>
      </c>
      <c r="AH22" s="1590">
        <v>0</v>
      </c>
      <c r="AI22" s="1590">
        <v>0</v>
      </c>
      <c r="AJ22" s="1590"/>
      <c r="AK22" s="1590"/>
      <c r="AL22" s="1590"/>
      <c r="AM22" s="1590"/>
      <c r="AN22" s="1590"/>
      <c r="AO22" s="1605">
        <v>0</v>
      </c>
      <c r="AP22" s="1573">
        <v>0</v>
      </c>
      <c r="AQ22" s="1573">
        <v>0</v>
      </c>
      <c r="AR22" s="1573">
        <v>0</v>
      </c>
      <c r="AS22" s="1605">
        <f t="shared" si="4"/>
        <v>0</v>
      </c>
      <c r="AT22" s="1603">
        <v>0</v>
      </c>
      <c r="AU22" s="1603">
        <v>0</v>
      </c>
      <c r="AV22" s="1591">
        <v>0</v>
      </c>
      <c r="AW22" s="1592">
        <v>0</v>
      </c>
      <c r="AX22" s="1592">
        <v>0</v>
      </c>
      <c r="AY22" s="1592">
        <v>0</v>
      </c>
      <c r="AZ22" s="1592">
        <v>0</v>
      </c>
      <c r="BA22" s="1592">
        <v>0</v>
      </c>
      <c r="BB22" s="1593"/>
      <c r="BC22" s="1599" t="s">
        <v>1605</v>
      </c>
      <c r="BD22" s="1361" t="s">
        <v>937</v>
      </c>
      <c r="BE22" s="1606"/>
    </row>
    <row r="23" spans="1:59" s="1589" customFormat="1" ht="15.5">
      <c r="A23" s="1493">
        <v>2</v>
      </c>
      <c r="B23" s="1494" t="s">
        <v>1607</v>
      </c>
      <c r="C23" s="1582" t="s">
        <v>936</v>
      </c>
      <c r="D23" s="1495" t="str">
        <f t="shared" si="1"/>
        <v>Add Cap (As per 296 of 2019)</v>
      </c>
      <c r="E23" s="1583" t="s">
        <v>1565</v>
      </c>
      <c r="F23" s="1341"/>
      <c r="G23" s="1342"/>
      <c r="H23" s="1496">
        <v>4.3</v>
      </c>
      <c r="I23" s="1343"/>
      <c r="J23" s="1343"/>
      <c r="K23" s="1344" t="s">
        <v>1566</v>
      </c>
      <c r="L23" s="1345"/>
      <c r="M23" s="1346" t="s">
        <v>1569</v>
      </c>
      <c r="N23" s="1347"/>
      <c r="O23" s="1348"/>
      <c r="P23" s="1584"/>
      <c r="Q23" s="1584"/>
      <c r="R23" s="1584"/>
      <c r="S23" s="1584"/>
      <c r="T23" s="1584">
        <f t="shared" si="3"/>
        <v>0</v>
      </c>
      <c r="U23" s="1607"/>
      <c r="V23" s="1584"/>
      <c r="W23" s="1584"/>
      <c r="X23" s="1584"/>
      <c r="Y23" s="1584"/>
      <c r="Z23" s="1584"/>
      <c r="AA23" s="1584"/>
      <c r="AB23" s="1584"/>
      <c r="AC23" s="1585"/>
      <c r="AD23" s="1585"/>
      <c r="AE23" s="1585"/>
      <c r="AF23" s="1585"/>
      <c r="AG23" s="1585"/>
      <c r="AH23" s="1585"/>
      <c r="AI23" s="1585"/>
      <c r="AJ23" s="1585"/>
      <c r="AK23" s="1585"/>
      <c r="AL23" s="1585"/>
      <c r="AM23" s="1585"/>
      <c r="AN23" s="1585"/>
      <c r="AO23" s="1584"/>
      <c r="AP23" s="1584"/>
      <c r="AQ23" s="1584"/>
      <c r="AR23" s="1584"/>
      <c r="AS23" s="1584">
        <f t="shared" si="4"/>
        <v>0</v>
      </c>
      <c r="AT23" s="1608"/>
      <c r="AU23" s="1608"/>
      <c r="AV23" s="1608"/>
      <c r="AW23" s="1592">
        <v>0</v>
      </c>
      <c r="AX23" s="1592">
        <v>0</v>
      </c>
      <c r="AY23" s="1592">
        <v>0</v>
      </c>
      <c r="AZ23" s="1592">
        <v>0</v>
      </c>
      <c r="BA23" s="1592">
        <v>0</v>
      </c>
      <c r="BB23" s="1609"/>
      <c r="BC23" s="1362"/>
      <c r="BD23" s="1610"/>
      <c r="BE23" s="1588"/>
    </row>
    <row r="24" spans="1:59" s="1430" customFormat="1" ht="46.5" outlineLevel="1">
      <c r="A24" s="1499">
        <v>1</v>
      </c>
      <c r="B24" s="1497" t="s">
        <v>1608</v>
      </c>
      <c r="C24" s="1578" t="s">
        <v>936</v>
      </c>
      <c r="D24" s="1492" t="str">
        <f t="shared" si="1"/>
        <v>Add Cap (As per 296 of 2019)</v>
      </c>
      <c r="E24" s="1579" t="s">
        <v>1565</v>
      </c>
      <c r="F24" s="1334"/>
      <c r="G24" s="1358"/>
      <c r="H24" s="1358"/>
      <c r="I24" s="1350"/>
      <c r="J24" s="1350"/>
      <c r="K24" s="1351" t="s">
        <v>1566</v>
      </c>
      <c r="L24" s="1352" t="s">
        <v>1609</v>
      </c>
      <c r="M24" s="1353" t="s">
        <v>1569</v>
      </c>
      <c r="N24" s="1354" t="s">
        <v>1610</v>
      </c>
      <c r="O24" s="1597" t="s">
        <v>1575</v>
      </c>
      <c r="P24" s="1605">
        <v>0</v>
      </c>
      <c r="Q24" s="1573">
        <f t="shared" ref="Q24:S32" si="6">AP24</f>
        <v>0</v>
      </c>
      <c r="R24" s="1573">
        <f t="shared" si="6"/>
        <v>0</v>
      </c>
      <c r="S24" s="1573">
        <f t="shared" si="6"/>
        <v>0.51811829399999998</v>
      </c>
      <c r="T24" s="1605">
        <f t="shared" si="3"/>
        <v>0.51811829399999998</v>
      </c>
      <c r="U24" s="1598">
        <v>0</v>
      </c>
      <c r="V24" s="1573">
        <v>0</v>
      </c>
      <c r="W24" s="1573">
        <v>0</v>
      </c>
      <c r="X24" s="1573"/>
      <c r="Y24" s="1573"/>
      <c r="Z24" s="1573"/>
      <c r="AA24" s="1573"/>
      <c r="AB24" s="1573"/>
      <c r="AC24" s="1580">
        <v>0</v>
      </c>
      <c r="AD24" s="1580">
        <v>0</v>
      </c>
      <c r="AE24" s="1580">
        <v>0.2</v>
      </c>
      <c r="AF24" s="1580"/>
      <c r="AG24" s="1580">
        <v>0</v>
      </c>
      <c r="AH24" s="1590">
        <v>0</v>
      </c>
      <c r="AI24" s="1590">
        <v>0</v>
      </c>
      <c r="AJ24" s="1590"/>
      <c r="AK24" s="1590"/>
      <c r="AL24" s="1590"/>
      <c r="AM24" s="1590"/>
      <c r="AN24" s="1590"/>
      <c r="AO24" s="1572">
        <v>0</v>
      </c>
      <c r="AP24" s="1575">
        <v>0</v>
      </c>
      <c r="AQ24" s="1575">
        <v>0</v>
      </c>
      <c r="AR24" s="1575">
        <v>0.51811829399999998</v>
      </c>
      <c r="AS24" s="1572">
        <f t="shared" si="4"/>
        <v>0.51811829399999998</v>
      </c>
      <c r="AT24" s="1592">
        <v>0</v>
      </c>
      <c r="AU24" s="1592">
        <v>0</v>
      </c>
      <c r="AV24" s="1592">
        <v>0</v>
      </c>
      <c r="AW24" s="1592">
        <v>0</v>
      </c>
      <c r="AX24" s="1592">
        <v>0</v>
      </c>
      <c r="AY24" s="1592">
        <v>0</v>
      </c>
      <c r="AZ24" s="1592">
        <v>0</v>
      </c>
      <c r="BA24" s="1592">
        <v>0</v>
      </c>
      <c r="BB24" s="1593"/>
      <c r="BC24" s="1599" t="s">
        <v>1611</v>
      </c>
      <c r="BD24" s="1600" t="s">
        <v>939</v>
      </c>
      <c r="BE24" s="1611">
        <v>4500114242</v>
      </c>
      <c r="BF24" s="1316">
        <v>1501008517</v>
      </c>
      <c r="BG24" s="1316" t="s">
        <v>1610</v>
      </c>
    </row>
    <row r="25" spans="1:59" s="1430" customFormat="1" ht="35.15" customHeight="1" outlineLevel="1">
      <c r="A25" s="1499">
        <v>2</v>
      </c>
      <c r="B25" s="1497" t="s">
        <v>1612</v>
      </c>
      <c r="C25" s="1578" t="s">
        <v>936</v>
      </c>
      <c r="D25" s="1492" t="str">
        <f t="shared" si="1"/>
        <v>Add Cap (As per 296 of 2019)</v>
      </c>
      <c r="E25" s="1579" t="s">
        <v>1565</v>
      </c>
      <c r="F25" s="1334"/>
      <c r="G25" s="1359"/>
      <c r="H25" s="1359"/>
      <c r="I25" s="1350"/>
      <c r="J25" s="1350"/>
      <c r="K25" s="1351" t="s">
        <v>1566</v>
      </c>
      <c r="L25" s="1360">
        <v>44053</v>
      </c>
      <c r="M25" s="1353" t="s">
        <v>1569</v>
      </c>
      <c r="N25" s="1354" t="s">
        <v>1613</v>
      </c>
      <c r="O25" s="1597" t="s">
        <v>1575</v>
      </c>
      <c r="P25" s="1601">
        <v>0</v>
      </c>
      <c r="Q25" s="1573">
        <f t="shared" si="6"/>
        <v>0</v>
      </c>
      <c r="R25" s="1573">
        <f t="shared" si="6"/>
        <v>0</v>
      </c>
      <c r="S25" s="1573">
        <f t="shared" si="6"/>
        <v>0.37712800000000002</v>
      </c>
      <c r="T25" s="1601">
        <f t="shared" si="3"/>
        <v>0.37712800000000002</v>
      </c>
      <c r="U25" s="1602">
        <v>0</v>
      </c>
      <c r="V25" s="1601">
        <v>0</v>
      </c>
      <c r="W25" s="1601">
        <v>0</v>
      </c>
      <c r="X25" s="1601"/>
      <c r="Y25" s="1601"/>
      <c r="Z25" s="1601"/>
      <c r="AA25" s="1601"/>
      <c r="AB25" s="1601"/>
      <c r="AC25" s="1580">
        <v>0</v>
      </c>
      <c r="AD25" s="1580">
        <v>0</v>
      </c>
      <c r="AE25" s="1580">
        <v>0.4</v>
      </c>
      <c r="AF25" s="1580"/>
      <c r="AG25" s="1580">
        <v>0</v>
      </c>
      <c r="AH25" s="1590">
        <v>0</v>
      </c>
      <c r="AI25" s="1590">
        <v>0</v>
      </c>
      <c r="AJ25" s="1590"/>
      <c r="AK25" s="1590"/>
      <c r="AL25" s="1590"/>
      <c r="AM25" s="1590"/>
      <c r="AN25" s="1590"/>
      <c r="AO25" s="1572">
        <v>0</v>
      </c>
      <c r="AP25" s="1575">
        <v>0</v>
      </c>
      <c r="AQ25" s="1575">
        <v>0</v>
      </c>
      <c r="AR25" s="1575">
        <v>0.37712800000000002</v>
      </c>
      <c r="AS25" s="1572">
        <f t="shared" si="4"/>
        <v>0.37712800000000002</v>
      </c>
      <c r="AT25" s="1592">
        <v>0</v>
      </c>
      <c r="AU25" s="1592">
        <v>0</v>
      </c>
      <c r="AV25" s="1592">
        <v>0</v>
      </c>
      <c r="AW25" s="1592">
        <v>0</v>
      </c>
      <c r="AX25" s="1592">
        <v>0</v>
      </c>
      <c r="AY25" s="1592">
        <v>0</v>
      </c>
      <c r="AZ25" s="1592">
        <v>0</v>
      </c>
      <c r="BA25" s="1592">
        <v>0</v>
      </c>
      <c r="BB25" s="1604"/>
      <c r="BC25" s="1599" t="s">
        <v>1614</v>
      </c>
      <c r="BD25" s="1600" t="s">
        <v>939</v>
      </c>
      <c r="BE25" s="1611">
        <v>4385000340</v>
      </c>
      <c r="BF25" s="1316">
        <v>1501008613</v>
      </c>
      <c r="BG25" s="1316" t="s">
        <v>1613</v>
      </c>
    </row>
    <row r="26" spans="1:59" s="1430" customFormat="1" ht="33" customHeight="1" outlineLevel="1">
      <c r="A26" s="1499">
        <v>3</v>
      </c>
      <c r="B26" s="1497" t="s">
        <v>1615</v>
      </c>
      <c r="C26" s="1578" t="s">
        <v>936</v>
      </c>
      <c r="D26" s="1492" t="str">
        <f t="shared" si="1"/>
        <v>Add Cap (As per 296 of 2019)</v>
      </c>
      <c r="E26" s="1579" t="s">
        <v>1565</v>
      </c>
      <c r="F26" s="1334"/>
      <c r="G26" s="1358"/>
      <c r="H26" s="1358"/>
      <c r="I26" s="1350"/>
      <c r="J26" s="1350"/>
      <c r="K26" s="1351" t="s">
        <v>1566</v>
      </c>
      <c r="L26" s="1363" t="s">
        <v>1616</v>
      </c>
      <c r="M26" s="1353" t="s">
        <v>1569</v>
      </c>
      <c r="N26" s="1356" t="s">
        <v>1617</v>
      </c>
      <c r="O26" s="1597" t="s">
        <v>1575</v>
      </c>
      <c r="P26" s="1572">
        <v>0</v>
      </c>
      <c r="Q26" s="1573">
        <f t="shared" si="6"/>
        <v>0</v>
      </c>
      <c r="R26" s="1573">
        <f t="shared" si="6"/>
        <v>0.27501740000000002</v>
      </c>
      <c r="S26" s="1573">
        <f t="shared" si="6"/>
        <v>0</v>
      </c>
      <c r="T26" s="1572">
        <f t="shared" si="3"/>
        <v>0.27501740000000002</v>
      </c>
      <c r="U26" s="1598">
        <v>0</v>
      </c>
      <c r="V26" s="1573">
        <v>0</v>
      </c>
      <c r="W26" s="1573">
        <v>0</v>
      </c>
      <c r="X26" s="1573"/>
      <c r="Y26" s="1573"/>
      <c r="Z26" s="1573"/>
      <c r="AA26" s="1573"/>
      <c r="AB26" s="1573"/>
      <c r="AC26" s="1580">
        <v>0</v>
      </c>
      <c r="AD26" s="1580">
        <v>0</v>
      </c>
      <c r="AE26" s="1580">
        <v>1</v>
      </c>
      <c r="AF26" s="1580">
        <v>0</v>
      </c>
      <c r="AG26" s="1580">
        <v>0</v>
      </c>
      <c r="AH26" s="1590">
        <v>0</v>
      </c>
      <c r="AI26" s="1590">
        <v>0</v>
      </c>
      <c r="AJ26" s="1590"/>
      <c r="AK26" s="1590"/>
      <c r="AL26" s="1590"/>
      <c r="AM26" s="1590"/>
      <c r="AN26" s="1590"/>
      <c r="AO26" s="1572">
        <v>0</v>
      </c>
      <c r="AP26" s="1575">
        <v>0</v>
      </c>
      <c r="AQ26" s="1575">
        <v>0.27501740000000002</v>
      </c>
      <c r="AR26" s="1575">
        <v>0</v>
      </c>
      <c r="AS26" s="1572">
        <f t="shared" si="4"/>
        <v>0.27501740000000002</v>
      </c>
      <c r="AT26" s="1592">
        <v>0</v>
      </c>
      <c r="AU26" s="1592">
        <v>0</v>
      </c>
      <c r="AV26" s="1592">
        <v>0</v>
      </c>
      <c r="AW26" s="1592">
        <v>0</v>
      </c>
      <c r="AX26" s="1592">
        <v>0</v>
      </c>
      <c r="AY26" s="1592">
        <v>0</v>
      </c>
      <c r="AZ26" s="1592">
        <v>0</v>
      </c>
      <c r="BA26" s="1592">
        <v>0</v>
      </c>
      <c r="BB26" s="1593"/>
      <c r="BC26" s="1599" t="s">
        <v>1618</v>
      </c>
      <c r="BD26" s="1600" t="s">
        <v>939</v>
      </c>
      <c r="BE26" s="1611">
        <v>4385000390</v>
      </c>
      <c r="BF26" s="1316">
        <v>1501008385</v>
      </c>
      <c r="BG26" s="1316" t="s">
        <v>1617</v>
      </c>
    </row>
    <row r="27" spans="1:59" s="1430" customFormat="1" ht="46.5" outlineLevel="1">
      <c r="A27" s="1499">
        <v>4</v>
      </c>
      <c r="B27" s="1497" t="s">
        <v>1619</v>
      </c>
      <c r="C27" s="1578" t="s">
        <v>936</v>
      </c>
      <c r="D27" s="1492" t="str">
        <f t="shared" si="1"/>
        <v>Add Cap (As per 296 of 2019)</v>
      </c>
      <c r="E27" s="1579" t="s">
        <v>1565</v>
      </c>
      <c r="F27" s="1334"/>
      <c r="G27" s="1358"/>
      <c r="H27" s="1358"/>
      <c r="I27" s="1350"/>
      <c r="J27" s="1350"/>
      <c r="K27" s="1351" t="s">
        <v>1566</v>
      </c>
      <c r="L27" s="1363">
        <v>44197</v>
      </c>
      <c r="M27" s="1353" t="s">
        <v>1569</v>
      </c>
      <c r="N27" s="1356" t="s">
        <v>1599</v>
      </c>
      <c r="O27" s="1597" t="s">
        <v>1575</v>
      </c>
      <c r="P27" s="1612">
        <v>0</v>
      </c>
      <c r="Q27" s="1573">
        <f t="shared" si="6"/>
        <v>0</v>
      </c>
      <c r="R27" s="1573">
        <f t="shared" si="6"/>
        <v>0.42522480000000001</v>
      </c>
      <c r="S27" s="1573">
        <f t="shared" si="6"/>
        <v>0</v>
      </c>
      <c r="T27" s="1612">
        <f t="shared" si="3"/>
        <v>0.42522480000000001</v>
      </c>
      <c r="U27" s="1613">
        <v>0</v>
      </c>
      <c r="V27" s="1612">
        <v>0</v>
      </c>
      <c r="W27" s="1612">
        <v>0</v>
      </c>
      <c r="X27" s="1612"/>
      <c r="Y27" s="1612"/>
      <c r="Z27" s="1612"/>
      <c r="AA27" s="1612"/>
      <c r="AB27" s="1612"/>
      <c r="AC27" s="1580">
        <v>0</v>
      </c>
      <c r="AD27" s="1580">
        <v>0</v>
      </c>
      <c r="AE27" s="1580">
        <v>1</v>
      </c>
      <c r="AF27" s="1580">
        <v>0</v>
      </c>
      <c r="AG27" s="1580">
        <v>0</v>
      </c>
      <c r="AH27" s="1590">
        <v>0</v>
      </c>
      <c r="AI27" s="1590">
        <v>0</v>
      </c>
      <c r="AJ27" s="1590"/>
      <c r="AK27" s="1590"/>
      <c r="AL27" s="1590"/>
      <c r="AM27" s="1590"/>
      <c r="AN27" s="1590"/>
      <c r="AO27" s="1572">
        <v>0</v>
      </c>
      <c r="AP27" s="1575">
        <v>0</v>
      </c>
      <c r="AQ27" s="1575">
        <v>0.42522480000000001</v>
      </c>
      <c r="AR27" s="1575">
        <v>0</v>
      </c>
      <c r="AS27" s="1572">
        <f t="shared" si="4"/>
        <v>0.42522480000000001</v>
      </c>
      <c r="AT27" s="1592">
        <v>0</v>
      </c>
      <c r="AU27" s="1592">
        <v>0</v>
      </c>
      <c r="AV27" s="1592">
        <v>0</v>
      </c>
      <c r="AW27" s="1592">
        <v>0</v>
      </c>
      <c r="AX27" s="1592">
        <v>0</v>
      </c>
      <c r="AY27" s="1592">
        <v>0</v>
      </c>
      <c r="AZ27" s="1592">
        <v>0</v>
      </c>
      <c r="BA27" s="1592">
        <v>0</v>
      </c>
      <c r="BB27" s="1614"/>
      <c r="BC27" s="1599" t="s">
        <v>1620</v>
      </c>
      <c r="BD27" s="1600" t="s">
        <v>939</v>
      </c>
      <c r="BE27" s="1611">
        <v>4385000354</v>
      </c>
      <c r="BF27" s="1316">
        <v>130100798</v>
      </c>
      <c r="BG27" s="1316" t="s">
        <v>1599</v>
      </c>
    </row>
    <row r="28" spans="1:59" s="1430" customFormat="1" ht="46.5" outlineLevel="1">
      <c r="A28" s="1499">
        <v>5</v>
      </c>
      <c r="B28" s="1497" t="s">
        <v>1621</v>
      </c>
      <c r="C28" s="1578" t="s">
        <v>936</v>
      </c>
      <c r="D28" s="1492" t="str">
        <f t="shared" si="1"/>
        <v>Add Cap (As per 296 of 2019)</v>
      </c>
      <c r="E28" s="1579" t="s">
        <v>1565</v>
      </c>
      <c r="F28" s="1334"/>
      <c r="G28" s="1358"/>
      <c r="H28" s="1358"/>
      <c r="I28" s="1350"/>
      <c r="J28" s="1350"/>
      <c r="K28" s="1351" t="s">
        <v>1566</v>
      </c>
      <c r="L28" s="1364" t="s">
        <v>1622</v>
      </c>
      <c r="M28" s="1353" t="s">
        <v>1569</v>
      </c>
      <c r="N28" s="1365" t="s">
        <v>1623</v>
      </c>
      <c r="O28" s="1597" t="s">
        <v>1575</v>
      </c>
      <c r="P28" s="1572">
        <v>0</v>
      </c>
      <c r="Q28" s="1573">
        <f t="shared" si="6"/>
        <v>0</v>
      </c>
      <c r="R28" s="1573">
        <f t="shared" si="6"/>
        <v>0</v>
      </c>
      <c r="S28" s="1573">
        <f t="shared" si="6"/>
        <v>0.54787163999999999</v>
      </c>
      <c r="T28" s="1572">
        <f t="shared" si="3"/>
        <v>0.54787163999999999</v>
      </c>
      <c r="U28" s="1598">
        <v>0</v>
      </c>
      <c r="V28" s="1573">
        <v>0</v>
      </c>
      <c r="W28" s="1573">
        <v>0</v>
      </c>
      <c r="X28" s="1573"/>
      <c r="Y28" s="1573"/>
      <c r="Z28" s="1573"/>
      <c r="AA28" s="1573"/>
      <c r="AB28" s="1573"/>
      <c r="AC28" s="1580">
        <v>0</v>
      </c>
      <c r="AD28" s="1580">
        <v>0</v>
      </c>
      <c r="AE28" s="1580">
        <v>0.4</v>
      </c>
      <c r="AF28" s="1580">
        <v>1</v>
      </c>
      <c r="AG28" s="1580">
        <v>0</v>
      </c>
      <c r="AH28" s="1590">
        <v>0</v>
      </c>
      <c r="AI28" s="1590">
        <v>0</v>
      </c>
      <c r="AJ28" s="1590"/>
      <c r="AK28" s="1590"/>
      <c r="AL28" s="1590"/>
      <c r="AM28" s="1590"/>
      <c r="AN28" s="1590"/>
      <c r="AO28" s="1572">
        <v>0</v>
      </c>
      <c r="AP28" s="1575">
        <v>0</v>
      </c>
      <c r="AQ28" s="1575">
        <v>0</v>
      </c>
      <c r="AR28" s="1575">
        <v>0.54787163999999999</v>
      </c>
      <c r="AS28" s="1572">
        <f t="shared" si="4"/>
        <v>0.54787163999999999</v>
      </c>
      <c r="AT28" s="1592">
        <v>0</v>
      </c>
      <c r="AU28" s="1592">
        <v>0</v>
      </c>
      <c r="AV28" s="1592">
        <v>0</v>
      </c>
      <c r="AW28" s="1592">
        <v>0</v>
      </c>
      <c r="AX28" s="1592">
        <v>0</v>
      </c>
      <c r="AY28" s="1592">
        <v>0</v>
      </c>
      <c r="AZ28" s="1592">
        <v>0</v>
      </c>
      <c r="BA28" s="1592">
        <v>0</v>
      </c>
      <c r="BB28" s="1593"/>
      <c r="BC28" s="1599" t="s">
        <v>1624</v>
      </c>
      <c r="BD28" s="1600" t="s">
        <v>939</v>
      </c>
      <c r="BE28" s="1611">
        <v>4550008448</v>
      </c>
      <c r="BF28" s="1316">
        <v>1501008601</v>
      </c>
      <c r="BG28" s="1316" t="s">
        <v>1623</v>
      </c>
    </row>
    <row r="29" spans="1:59" s="1430" customFormat="1" ht="32.15" customHeight="1" outlineLevel="1">
      <c r="A29" s="1499">
        <v>6</v>
      </c>
      <c r="B29" s="1497" t="s">
        <v>1625</v>
      </c>
      <c r="C29" s="1578" t="s">
        <v>936</v>
      </c>
      <c r="D29" s="1492" t="str">
        <f t="shared" si="1"/>
        <v>Add Cap (As per 296 of 2019)</v>
      </c>
      <c r="E29" s="1579" t="s">
        <v>1565</v>
      </c>
      <c r="F29" s="1334"/>
      <c r="G29" s="1358"/>
      <c r="H29" s="1358"/>
      <c r="I29" s="1350"/>
      <c r="J29" s="1350"/>
      <c r="K29" s="1351" t="s">
        <v>1566</v>
      </c>
      <c r="L29" s="1364" t="s">
        <v>1626</v>
      </c>
      <c r="M29" s="1353" t="s">
        <v>1569</v>
      </c>
      <c r="N29" s="1365" t="s">
        <v>1627</v>
      </c>
      <c r="O29" s="1597" t="s">
        <v>1575</v>
      </c>
      <c r="P29" s="1572">
        <v>0</v>
      </c>
      <c r="Q29" s="1573">
        <f t="shared" si="6"/>
        <v>0</v>
      </c>
      <c r="R29" s="1573">
        <f>2038568/10000000</f>
        <v>0.2038568</v>
      </c>
      <c r="S29" s="1573">
        <f>AR29-(2038568/10000000)</f>
        <v>0.37859119999999996</v>
      </c>
      <c r="T29" s="1572">
        <f t="shared" si="3"/>
        <v>0.58244799999999997</v>
      </c>
      <c r="U29" s="1598">
        <v>0</v>
      </c>
      <c r="V29" s="1573">
        <v>0</v>
      </c>
      <c r="W29" s="1573">
        <v>0</v>
      </c>
      <c r="X29" s="1573"/>
      <c r="Y29" s="1573"/>
      <c r="Z29" s="1573"/>
      <c r="AA29" s="1573"/>
      <c r="AB29" s="1573"/>
      <c r="AC29" s="1580">
        <v>0</v>
      </c>
      <c r="AD29" s="1580">
        <v>0</v>
      </c>
      <c r="AE29" s="1580">
        <v>0.4</v>
      </c>
      <c r="AF29" s="1580">
        <v>1</v>
      </c>
      <c r="AG29" s="1580">
        <v>0</v>
      </c>
      <c r="AH29" s="1590">
        <v>0</v>
      </c>
      <c r="AI29" s="1590">
        <v>0</v>
      </c>
      <c r="AJ29" s="1590"/>
      <c r="AK29" s="1590"/>
      <c r="AL29" s="1590"/>
      <c r="AM29" s="1590"/>
      <c r="AN29" s="1590"/>
      <c r="AO29" s="1572">
        <v>0</v>
      </c>
      <c r="AP29" s="1575"/>
      <c r="AQ29" s="1575"/>
      <c r="AR29" s="1575">
        <f>(2912240+2912240)/10000000</f>
        <v>0.58244799999999997</v>
      </c>
      <c r="AS29" s="1572">
        <f t="shared" si="4"/>
        <v>0.58244799999999997</v>
      </c>
      <c r="AT29" s="1592">
        <v>0</v>
      </c>
      <c r="AU29" s="1592">
        <v>0</v>
      </c>
      <c r="AV29" s="1592">
        <v>0</v>
      </c>
      <c r="AW29" s="1592">
        <v>0</v>
      </c>
      <c r="AX29" s="1592">
        <v>0</v>
      </c>
      <c r="AY29" s="1592">
        <v>0</v>
      </c>
      <c r="AZ29" s="1592">
        <v>0</v>
      </c>
      <c r="BA29" s="1592">
        <v>0</v>
      </c>
      <c r="BB29" s="1593"/>
      <c r="BC29" s="1599" t="s">
        <v>1628</v>
      </c>
      <c r="BD29" s="1600" t="s">
        <v>939</v>
      </c>
      <c r="BE29" s="1611" t="s">
        <v>1629</v>
      </c>
      <c r="BF29" s="1434" t="s">
        <v>1630</v>
      </c>
      <c r="BG29" s="1434" t="s">
        <v>1627</v>
      </c>
    </row>
    <row r="30" spans="1:59" s="1430" customFormat="1" ht="31" outlineLevel="1">
      <c r="A30" s="1499">
        <v>7</v>
      </c>
      <c r="B30" s="1497" t="s">
        <v>1631</v>
      </c>
      <c r="C30" s="1578" t="s">
        <v>936</v>
      </c>
      <c r="D30" s="1492" t="str">
        <f t="shared" si="1"/>
        <v>Add Cap (As per 296 of 2019)</v>
      </c>
      <c r="E30" s="1579" t="s">
        <v>1565</v>
      </c>
      <c r="F30" s="1334"/>
      <c r="G30" s="1358"/>
      <c r="H30" s="1358"/>
      <c r="I30" s="1350"/>
      <c r="J30" s="1350"/>
      <c r="K30" s="1351" t="s">
        <v>1566</v>
      </c>
      <c r="L30" s="1351" t="s">
        <v>1632</v>
      </c>
      <c r="M30" s="1353" t="s">
        <v>1569</v>
      </c>
      <c r="N30" s="1351" t="s">
        <v>1633</v>
      </c>
      <c r="O30" s="1597" t="s">
        <v>1575</v>
      </c>
      <c r="P30" s="1572">
        <v>0</v>
      </c>
      <c r="Q30" s="1573">
        <f t="shared" si="6"/>
        <v>0</v>
      </c>
      <c r="R30" s="1573">
        <f t="shared" si="6"/>
        <v>0</v>
      </c>
      <c r="S30" s="1573">
        <f t="shared" si="6"/>
        <v>0.42338399999999998</v>
      </c>
      <c r="T30" s="1572">
        <f t="shared" si="3"/>
        <v>0.42338399999999998</v>
      </c>
      <c r="U30" s="1598">
        <v>0</v>
      </c>
      <c r="V30" s="1573">
        <v>0</v>
      </c>
      <c r="W30" s="1573">
        <v>0</v>
      </c>
      <c r="X30" s="1573"/>
      <c r="Y30" s="1573"/>
      <c r="Z30" s="1573"/>
      <c r="AA30" s="1573"/>
      <c r="AB30" s="1573"/>
      <c r="AC30" s="1580">
        <v>0</v>
      </c>
      <c r="AD30" s="1580">
        <v>0</v>
      </c>
      <c r="AE30" s="1580">
        <v>0.4</v>
      </c>
      <c r="AF30" s="1580">
        <v>1</v>
      </c>
      <c r="AG30" s="1580">
        <v>0</v>
      </c>
      <c r="AH30" s="1590">
        <v>0</v>
      </c>
      <c r="AI30" s="1590">
        <v>0</v>
      </c>
      <c r="AJ30" s="1590"/>
      <c r="AK30" s="1590"/>
      <c r="AL30" s="1590"/>
      <c r="AM30" s="1590"/>
      <c r="AN30" s="1590"/>
      <c r="AO30" s="1572">
        <v>0</v>
      </c>
      <c r="AP30" s="1575">
        <v>0</v>
      </c>
      <c r="AQ30" s="1575">
        <v>0</v>
      </c>
      <c r="AR30" s="1575">
        <v>0.42338399999999998</v>
      </c>
      <c r="AS30" s="1572">
        <f t="shared" si="4"/>
        <v>0.42338399999999998</v>
      </c>
      <c r="AT30" s="1592">
        <v>0</v>
      </c>
      <c r="AU30" s="1592">
        <v>0</v>
      </c>
      <c r="AV30" s="1592">
        <v>0</v>
      </c>
      <c r="AW30" s="1592">
        <v>0</v>
      </c>
      <c r="AX30" s="1592">
        <v>0</v>
      </c>
      <c r="AY30" s="1592">
        <v>0</v>
      </c>
      <c r="AZ30" s="1592">
        <v>0</v>
      </c>
      <c r="BA30" s="1592">
        <v>0</v>
      </c>
      <c r="BB30" s="1593"/>
      <c r="BC30" s="1599" t="s">
        <v>1634</v>
      </c>
      <c r="BD30" s="1600" t="s">
        <v>939</v>
      </c>
      <c r="BE30" s="1611">
        <v>4550008413</v>
      </c>
      <c r="BF30" s="1316">
        <v>1501008518</v>
      </c>
      <c r="BG30" s="1316" t="s">
        <v>1633</v>
      </c>
    </row>
    <row r="31" spans="1:59" s="1430" customFormat="1" ht="31" outlineLevel="1">
      <c r="A31" s="1499">
        <v>8</v>
      </c>
      <c r="B31" s="1497" t="s">
        <v>1635</v>
      </c>
      <c r="C31" s="1578" t="s">
        <v>936</v>
      </c>
      <c r="D31" s="1492" t="str">
        <f t="shared" si="1"/>
        <v>Add Cap (As per 296 of 2019)</v>
      </c>
      <c r="E31" s="1579" t="s">
        <v>1565</v>
      </c>
      <c r="F31" s="1334"/>
      <c r="G31" s="1359"/>
      <c r="H31" s="1359"/>
      <c r="I31" s="1350"/>
      <c r="J31" s="1350"/>
      <c r="K31" s="1351" t="s">
        <v>1566</v>
      </c>
      <c r="L31" s="1360">
        <v>44177</v>
      </c>
      <c r="M31" s="1353" t="s">
        <v>1569</v>
      </c>
      <c r="N31" s="1354" t="s">
        <v>1636</v>
      </c>
      <c r="O31" s="1597" t="s">
        <v>1575</v>
      </c>
      <c r="P31" s="1601">
        <v>0</v>
      </c>
      <c r="Q31" s="1573">
        <f t="shared" si="6"/>
        <v>0</v>
      </c>
      <c r="R31" s="1573">
        <f t="shared" si="6"/>
        <v>0</v>
      </c>
      <c r="S31" s="1573">
        <f t="shared" si="6"/>
        <v>0.49233139999999997</v>
      </c>
      <c r="T31" s="1601">
        <f t="shared" si="3"/>
        <v>0.49233139999999997</v>
      </c>
      <c r="U31" s="1602">
        <v>0</v>
      </c>
      <c r="V31" s="1601">
        <v>0</v>
      </c>
      <c r="W31" s="1601">
        <v>0</v>
      </c>
      <c r="X31" s="1601"/>
      <c r="Y31" s="1601"/>
      <c r="Z31" s="1601"/>
      <c r="AA31" s="1601"/>
      <c r="AB31" s="1601"/>
      <c r="AC31" s="1580">
        <v>0</v>
      </c>
      <c r="AD31" s="1580">
        <v>0</v>
      </c>
      <c r="AE31" s="1580">
        <v>0.4</v>
      </c>
      <c r="AF31" s="1580">
        <v>1</v>
      </c>
      <c r="AG31" s="1580">
        <v>0</v>
      </c>
      <c r="AH31" s="1590">
        <v>0</v>
      </c>
      <c r="AI31" s="1590">
        <v>0</v>
      </c>
      <c r="AJ31" s="1590"/>
      <c r="AK31" s="1590"/>
      <c r="AL31" s="1590"/>
      <c r="AM31" s="1590"/>
      <c r="AN31" s="1590"/>
      <c r="AO31" s="1572">
        <v>0</v>
      </c>
      <c r="AP31" s="1575">
        <v>0</v>
      </c>
      <c r="AQ31" s="1575">
        <v>0</v>
      </c>
      <c r="AR31" s="1575">
        <v>0.49233139999999997</v>
      </c>
      <c r="AS31" s="1572">
        <f t="shared" si="4"/>
        <v>0.49233139999999997</v>
      </c>
      <c r="AT31" s="1592">
        <v>0</v>
      </c>
      <c r="AU31" s="1592">
        <v>0</v>
      </c>
      <c r="AV31" s="1592">
        <v>0</v>
      </c>
      <c r="AW31" s="1592">
        <v>0</v>
      </c>
      <c r="AX31" s="1592">
        <v>0</v>
      </c>
      <c r="AY31" s="1592">
        <v>0</v>
      </c>
      <c r="AZ31" s="1592">
        <v>0</v>
      </c>
      <c r="BA31" s="1592">
        <v>0</v>
      </c>
      <c r="BB31" s="1604"/>
      <c r="BC31" s="1599" t="s">
        <v>1637</v>
      </c>
      <c r="BD31" s="1600" t="s">
        <v>939</v>
      </c>
      <c r="BE31" s="1611">
        <v>4550008451</v>
      </c>
      <c r="BF31" s="1316">
        <v>1501008602</v>
      </c>
      <c r="BG31" s="1316" t="s">
        <v>1636</v>
      </c>
    </row>
    <row r="32" spans="1:59" s="1430" customFormat="1" ht="32.15" customHeight="1" outlineLevel="1">
      <c r="A32" s="1499">
        <v>9</v>
      </c>
      <c r="B32" s="1497" t="s">
        <v>1638</v>
      </c>
      <c r="C32" s="1578" t="s">
        <v>936</v>
      </c>
      <c r="D32" s="1492" t="str">
        <f t="shared" si="1"/>
        <v>Add Cap (As per 296 of 2019)</v>
      </c>
      <c r="E32" s="1579" t="s">
        <v>1565</v>
      </c>
      <c r="F32" s="1334"/>
      <c r="G32" s="1366"/>
      <c r="H32" s="1366"/>
      <c r="I32" s="1350"/>
      <c r="J32" s="1350"/>
      <c r="K32" s="1351" t="s">
        <v>1566</v>
      </c>
      <c r="L32" s="1363" t="s">
        <v>1639</v>
      </c>
      <c r="M32" s="1353" t="s">
        <v>1569</v>
      </c>
      <c r="N32" s="1365" t="s">
        <v>1640</v>
      </c>
      <c r="O32" s="1597" t="s">
        <v>1575</v>
      </c>
      <c r="P32" s="1572">
        <v>0</v>
      </c>
      <c r="Q32" s="1573">
        <f t="shared" si="6"/>
        <v>0</v>
      </c>
      <c r="R32" s="1573">
        <f t="shared" si="6"/>
        <v>0</v>
      </c>
      <c r="S32" s="1573">
        <f t="shared" si="6"/>
        <v>0.52905441600000003</v>
      </c>
      <c r="T32" s="1572">
        <f t="shared" si="3"/>
        <v>0.52905441600000003</v>
      </c>
      <c r="U32" s="1598">
        <v>0</v>
      </c>
      <c r="V32" s="1573">
        <v>0</v>
      </c>
      <c r="W32" s="1573">
        <v>0</v>
      </c>
      <c r="X32" s="1573"/>
      <c r="Y32" s="1573"/>
      <c r="Z32" s="1573"/>
      <c r="AA32" s="1573"/>
      <c r="AB32" s="1573"/>
      <c r="AC32" s="1580">
        <v>0</v>
      </c>
      <c r="AD32" s="1580">
        <v>0</v>
      </c>
      <c r="AE32" s="1580">
        <v>0.4</v>
      </c>
      <c r="AF32" s="1580">
        <v>1</v>
      </c>
      <c r="AG32" s="1580">
        <v>0</v>
      </c>
      <c r="AH32" s="1590">
        <v>0</v>
      </c>
      <c r="AI32" s="1590">
        <v>0</v>
      </c>
      <c r="AJ32" s="1590"/>
      <c r="AK32" s="1590"/>
      <c r="AL32" s="1590"/>
      <c r="AM32" s="1590"/>
      <c r="AN32" s="1590"/>
      <c r="AO32" s="1572">
        <v>0</v>
      </c>
      <c r="AP32" s="1575">
        <v>0</v>
      </c>
      <c r="AQ32" s="1575">
        <v>0</v>
      </c>
      <c r="AR32" s="1575">
        <v>0.52905441600000003</v>
      </c>
      <c r="AS32" s="1572">
        <f t="shared" si="4"/>
        <v>0.52905441600000003</v>
      </c>
      <c r="AT32" s="1592">
        <v>0</v>
      </c>
      <c r="AU32" s="1592">
        <v>0</v>
      </c>
      <c r="AV32" s="1592">
        <v>0</v>
      </c>
      <c r="AW32" s="1592">
        <v>0</v>
      </c>
      <c r="AX32" s="1592">
        <v>0</v>
      </c>
      <c r="AY32" s="1592">
        <v>0</v>
      </c>
      <c r="AZ32" s="1592">
        <v>0</v>
      </c>
      <c r="BA32" s="1592">
        <v>0</v>
      </c>
      <c r="BB32" s="1593"/>
      <c r="BC32" s="1599" t="s">
        <v>1641</v>
      </c>
      <c r="BD32" s="1600" t="s">
        <v>939</v>
      </c>
      <c r="BE32" s="1611">
        <v>4550008396</v>
      </c>
      <c r="BF32" s="1316">
        <v>1501008600</v>
      </c>
      <c r="BG32" s="1316" t="s">
        <v>1640</v>
      </c>
    </row>
    <row r="33" spans="1:59" s="1589" customFormat="1" ht="15.5">
      <c r="A33" s="1493">
        <v>3</v>
      </c>
      <c r="B33" s="1494" t="s">
        <v>1642</v>
      </c>
      <c r="C33" s="1582" t="s">
        <v>936</v>
      </c>
      <c r="D33" s="1495" t="str">
        <f t="shared" si="1"/>
        <v>Add Cap (As per 296 of 2019)</v>
      </c>
      <c r="E33" s="1583" t="s">
        <v>1565</v>
      </c>
      <c r="F33" s="1341"/>
      <c r="G33" s="1342"/>
      <c r="H33" s="1496">
        <v>6.1</v>
      </c>
      <c r="I33" s="1343"/>
      <c r="J33" s="1343"/>
      <c r="K33" s="1344" t="s">
        <v>1566</v>
      </c>
      <c r="L33" s="1345"/>
      <c r="M33" s="1346" t="s">
        <v>1569</v>
      </c>
      <c r="N33" s="1347"/>
      <c r="O33" s="1348"/>
      <c r="P33" s="1584"/>
      <c r="Q33" s="1584"/>
      <c r="R33" s="1584"/>
      <c r="S33" s="1584"/>
      <c r="T33" s="1584">
        <f t="shared" si="3"/>
        <v>0</v>
      </c>
      <c r="U33" s="1615"/>
      <c r="V33" s="1584"/>
      <c r="W33" s="1584"/>
      <c r="X33" s="1584"/>
      <c r="Y33" s="1584"/>
      <c r="Z33" s="1584"/>
      <c r="AA33" s="1584"/>
      <c r="AB33" s="1584"/>
      <c r="AC33" s="1585"/>
      <c r="AD33" s="1585"/>
      <c r="AE33" s="1585"/>
      <c r="AF33" s="1585"/>
      <c r="AG33" s="1585"/>
      <c r="AH33" s="1585"/>
      <c r="AI33" s="1585"/>
      <c r="AJ33" s="1585"/>
      <c r="AK33" s="1585"/>
      <c r="AL33" s="1585"/>
      <c r="AM33" s="1585"/>
      <c r="AN33" s="1585"/>
      <c r="AO33" s="1584"/>
      <c r="AP33" s="1584"/>
      <c r="AQ33" s="1584"/>
      <c r="AR33" s="1584"/>
      <c r="AS33" s="1584">
        <f t="shared" si="4"/>
        <v>0</v>
      </c>
      <c r="AT33" s="1616"/>
      <c r="AU33" s="1616"/>
      <c r="AV33" s="1616"/>
      <c r="AW33" s="1592">
        <v>0</v>
      </c>
      <c r="AX33" s="1592">
        <v>0</v>
      </c>
      <c r="AY33" s="1592">
        <v>0</v>
      </c>
      <c r="AZ33" s="1592">
        <v>0</v>
      </c>
      <c r="BA33" s="1592">
        <v>0</v>
      </c>
      <c r="BB33" s="1617"/>
      <c r="BC33" s="1362"/>
      <c r="BD33" s="1610"/>
      <c r="BE33" s="1588"/>
    </row>
    <row r="34" spans="1:59" s="1430" customFormat="1" ht="36" customHeight="1" outlineLevel="1">
      <c r="A34" s="1499">
        <v>1</v>
      </c>
      <c r="B34" s="1500" t="s">
        <v>1643</v>
      </c>
      <c r="C34" s="1578" t="s">
        <v>936</v>
      </c>
      <c r="D34" s="1492" t="str">
        <f t="shared" si="1"/>
        <v>Add Cap (As per 296 of 2019)</v>
      </c>
      <c r="E34" s="1579" t="s">
        <v>1565</v>
      </c>
      <c r="F34" s="1334"/>
      <c r="G34" s="1366"/>
      <c r="H34" s="1366"/>
      <c r="I34" s="1350"/>
      <c r="J34" s="1350"/>
      <c r="K34" s="1351" t="s">
        <v>1566</v>
      </c>
      <c r="L34" s="1363">
        <v>43929</v>
      </c>
      <c r="M34" s="1353" t="s">
        <v>1569</v>
      </c>
      <c r="N34" s="1365" t="s">
        <v>1644</v>
      </c>
      <c r="O34" s="1597" t="s">
        <v>1575</v>
      </c>
      <c r="P34" s="1572">
        <v>0</v>
      </c>
      <c r="Q34" s="1573">
        <f t="shared" ref="Q34:S43" si="7">AP34</f>
        <v>0</v>
      </c>
      <c r="R34" s="1573">
        <f t="shared" si="7"/>
        <v>0</v>
      </c>
      <c r="S34" s="1573">
        <f t="shared" si="7"/>
        <v>1.9614571240000001</v>
      </c>
      <c r="T34" s="1572">
        <f t="shared" si="3"/>
        <v>1.9614571240000001</v>
      </c>
      <c r="U34" s="1618">
        <v>0</v>
      </c>
      <c r="V34" s="1573">
        <v>0</v>
      </c>
      <c r="W34" s="1573">
        <v>0</v>
      </c>
      <c r="X34" s="1573"/>
      <c r="Y34" s="1573"/>
      <c r="Z34" s="1573"/>
      <c r="AA34" s="1573"/>
      <c r="AB34" s="1573"/>
      <c r="AC34" s="1580">
        <v>0</v>
      </c>
      <c r="AD34" s="1580">
        <v>0</v>
      </c>
      <c r="AE34" s="1580">
        <v>0.2</v>
      </c>
      <c r="AF34" s="1580">
        <v>1</v>
      </c>
      <c r="AG34" s="1580">
        <v>0</v>
      </c>
      <c r="AH34" s="1590">
        <v>0</v>
      </c>
      <c r="AI34" s="1590">
        <v>0</v>
      </c>
      <c r="AJ34" s="1590"/>
      <c r="AK34" s="1590"/>
      <c r="AL34" s="1590"/>
      <c r="AM34" s="1590"/>
      <c r="AN34" s="1590"/>
      <c r="AO34" s="1575">
        <v>0</v>
      </c>
      <c r="AP34" s="1575">
        <v>0</v>
      </c>
      <c r="AQ34" s="1575">
        <v>0</v>
      </c>
      <c r="AR34" s="1575">
        <v>1.9614571240000001</v>
      </c>
      <c r="AS34" s="1575">
        <f t="shared" si="4"/>
        <v>1.9614571240000001</v>
      </c>
      <c r="AT34" s="1619">
        <v>0</v>
      </c>
      <c r="AU34" s="1619">
        <v>0</v>
      </c>
      <c r="AV34" s="1619">
        <v>0</v>
      </c>
      <c r="AW34" s="1592">
        <v>0</v>
      </c>
      <c r="AX34" s="1592">
        <v>0</v>
      </c>
      <c r="AY34" s="1592">
        <v>0</v>
      </c>
      <c r="AZ34" s="1592">
        <v>0</v>
      </c>
      <c r="BA34" s="1592">
        <v>0</v>
      </c>
      <c r="BB34" s="1593"/>
      <c r="BC34" s="1599" t="s">
        <v>1645</v>
      </c>
      <c r="BD34" s="1600" t="s">
        <v>939</v>
      </c>
      <c r="BE34" s="1620">
        <v>4385000495</v>
      </c>
      <c r="BF34" s="1316">
        <v>1501008607</v>
      </c>
      <c r="BG34" s="1316" t="s">
        <v>1644</v>
      </c>
    </row>
    <row r="35" spans="1:59" s="1430" customFormat="1" ht="31" outlineLevel="1">
      <c r="A35" s="1499">
        <v>2</v>
      </c>
      <c r="B35" s="1501" t="s">
        <v>1646</v>
      </c>
      <c r="C35" s="1578" t="s">
        <v>936</v>
      </c>
      <c r="D35" s="1492" t="str">
        <f t="shared" si="1"/>
        <v>Add Cap (As per 296 of 2019)</v>
      </c>
      <c r="E35" s="1579" t="s">
        <v>1565</v>
      </c>
      <c r="F35" s="1334"/>
      <c r="G35" s="1366"/>
      <c r="H35" s="1366"/>
      <c r="I35" s="1350"/>
      <c r="J35" s="1350"/>
      <c r="K35" s="1351" t="s">
        <v>1566</v>
      </c>
      <c r="L35" s="1352" t="s">
        <v>1647</v>
      </c>
      <c r="M35" s="1353" t="s">
        <v>1569</v>
      </c>
      <c r="N35" s="1354" t="s">
        <v>1648</v>
      </c>
      <c r="O35" s="1597" t="s">
        <v>1575</v>
      </c>
      <c r="P35" s="1572">
        <v>0</v>
      </c>
      <c r="Q35" s="1573">
        <f t="shared" si="7"/>
        <v>0</v>
      </c>
      <c r="R35" s="1573">
        <f t="shared" si="7"/>
        <v>0</v>
      </c>
      <c r="S35" s="1573">
        <f t="shared" si="7"/>
        <v>0.47613</v>
      </c>
      <c r="T35" s="1572">
        <f t="shared" si="3"/>
        <v>0.47613</v>
      </c>
      <c r="U35" s="1598">
        <v>0</v>
      </c>
      <c r="V35" s="1573">
        <v>0</v>
      </c>
      <c r="W35" s="1573">
        <v>0</v>
      </c>
      <c r="X35" s="1573"/>
      <c r="Y35" s="1573"/>
      <c r="Z35" s="1573"/>
      <c r="AA35" s="1573"/>
      <c r="AB35" s="1573"/>
      <c r="AC35" s="1580">
        <v>0</v>
      </c>
      <c r="AD35" s="1580">
        <v>0</v>
      </c>
      <c r="AE35" s="1580">
        <v>0.2</v>
      </c>
      <c r="AF35" s="1580">
        <v>1</v>
      </c>
      <c r="AG35" s="1580">
        <v>0</v>
      </c>
      <c r="AH35" s="1590">
        <v>0</v>
      </c>
      <c r="AI35" s="1590">
        <v>0</v>
      </c>
      <c r="AJ35" s="1590"/>
      <c r="AK35" s="1590"/>
      <c r="AL35" s="1590"/>
      <c r="AM35" s="1590"/>
      <c r="AN35" s="1590"/>
      <c r="AO35" s="1575">
        <v>0</v>
      </c>
      <c r="AP35" s="1575">
        <v>0</v>
      </c>
      <c r="AQ35" s="1575">
        <v>0</v>
      </c>
      <c r="AR35" s="1575">
        <v>0.47613</v>
      </c>
      <c r="AS35" s="1575">
        <f t="shared" si="4"/>
        <v>0.47613</v>
      </c>
      <c r="AT35" s="1619">
        <v>0</v>
      </c>
      <c r="AU35" s="1619">
        <v>0</v>
      </c>
      <c r="AV35" s="1619">
        <v>0</v>
      </c>
      <c r="AW35" s="1592">
        <v>0</v>
      </c>
      <c r="AX35" s="1592">
        <v>0</v>
      </c>
      <c r="AY35" s="1592">
        <v>0</v>
      </c>
      <c r="AZ35" s="1592">
        <v>0</v>
      </c>
      <c r="BA35" s="1592">
        <v>0</v>
      </c>
      <c r="BB35" s="1593"/>
      <c r="BC35" s="1599" t="s">
        <v>1649</v>
      </c>
      <c r="BD35" s="1600" t="s">
        <v>939</v>
      </c>
      <c r="BE35" s="1620">
        <v>4385000511</v>
      </c>
      <c r="BF35" s="1316">
        <v>1501008604</v>
      </c>
      <c r="BG35" s="1316" t="s">
        <v>1648</v>
      </c>
    </row>
    <row r="36" spans="1:59" s="1430" customFormat="1" ht="31" outlineLevel="1">
      <c r="A36" s="1502">
        <v>3</v>
      </c>
      <c r="B36" s="1501" t="s">
        <v>1650</v>
      </c>
      <c r="C36" s="1578" t="s">
        <v>936</v>
      </c>
      <c r="D36" s="1492" t="str">
        <f t="shared" si="1"/>
        <v>Add Cap (As per 296 of 2019)</v>
      </c>
      <c r="E36" s="1579" t="s">
        <v>1565</v>
      </c>
      <c r="F36" s="1334"/>
      <c r="G36" s="1359"/>
      <c r="H36" s="1359"/>
      <c r="I36" s="1350"/>
      <c r="J36" s="1350"/>
      <c r="K36" s="1351" t="s">
        <v>1566</v>
      </c>
      <c r="L36" s="1352" t="s">
        <v>1651</v>
      </c>
      <c r="M36" s="1353" t="s">
        <v>1569</v>
      </c>
      <c r="N36" s="1354" t="s">
        <v>1652</v>
      </c>
      <c r="O36" s="1597" t="s">
        <v>1575</v>
      </c>
      <c r="P36" s="1601">
        <v>0</v>
      </c>
      <c r="Q36" s="1573">
        <f t="shared" si="7"/>
        <v>0</v>
      </c>
      <c r="R36" s="1573">
        <f t="shared" si="7"/>
        <v>0</v>
      </c>
      <c r="S36" s="1573">
        <f t="shared" si="7"/>
        <v>0.23365298000000001</v>
      </c>
      <c r="T36" s="1601">
        <f t="shared" si="3"/>
        <v>0.23365298000000001</v>
      </c>
      <c r="U36" s="1602">
        <v>0</v>
      </c>
      <c r="V36" s="1601">
        <v>0</v>
      </c>
      <c r="W36" s="1601">
        <v>0</v>
      </c>
      <c r="X36" s="1601"/>
      <c r="Y36" s="1601"/>
      <c r="Z36" s="1601"/>
      <c r="AA36" s="1601"/>
      <c r="AB36" s="1601"/>
      <c r="AC36" s="1580">
        <v>0</v>
      </c>
      <c r="AD36" s="1580">
        <v>0</v>
      </c>
      <c r="AE36" s="1580">
        <v>0.2</v>
      </c>
      <c r="AF36" s="1580">
        <v>1</v>
      </c>
      <c r="AG36" s="1580">
        <v>0</v>
      </c>
      <c r="AH36" s="1590">
        <v>0</v>
      </c>
      <c r="AI36" s="1590">
        <v>0</v>
      </c>
      <c r="AJ36" s="1590"/>
      <c r="AK36" s="1590"/>
      <c r="AL36" s="1590"/>
      <c r="AM36" s="1590"/>
      <c r="AN36" s="1590"/>
      <c r="AO36" s="1575">
        <v>0</v>
      </c>
      <c r="AP36" s="1575">
        <v>0</v>
      </c>
      <c r="AQ36" s="1575">
        <v>0</v>
      </c>
      <c r="AR36" s="1575">
        <v>0.23365298000000001</v>
      </c>
      <c r="AS36" s="1575">
        <f t="shared" si="4"/>
        <v>0.23365298000000001</v>
      </c>
      <c r="AT36" s="1619">
        <v>0</v>
      </c>
      <c r="AU36" s="1619">
        <v>0</v>
      </c>
      <c r="AV36" s="1619">
        <v>0</v>
      </c>
      <c r="AW36" s="1592">
        <v>0</v>
      </c>
      <c r="AX36" s="1592">
        <v>0</v>
      </c>
      <c r="AY36" s="1592">
        <v>0</v>
      </c>
      <c r="AZ36" s="1592">
        <v>0</v>
      </c>
      <c r="BA36" s="1592">
        <v>0</v>
      </c>
      <c r="BB36" s="1604"/>
      <c r="BC36" s="1599" t="s">
        <v>1653</v>
      </c>
      <c r="BD36" s="1600" t="s">
        <v>939</v>
      </c>
      <c r="BE36" s="1620">
        <v>4385000459</v>
      </c>
      <c r="BF36" s="1316">
        <v>1501008605</v>
      </c>
      <c r="BG36" s="1316" t="s">
        <v>1652</v>
      </c>
    </row>
    <row r="37" spans="1:59" s="1430" customFormat="1" ht="31" outlineLevel="1">
      <c r="A37" s="1502">
        <v>4</v>
      </c>
      <c r="B37" s="1501" t="s">
        <v>1654</v>
      </c>
      <c r="C37" s="1578" t="s">
        <v>936</v>
      </c>
      <c r="D37" s="1492" t="str">
        <f t="shared" si="1"/>
        <v>Add Cap (As per 296 of 2019)</v>
      </c>
      <c r="E37" s="1579" t="s">
        <v>1565</v>
      </c>
      <c r="F37" s="1334"/>
      <c r="G37" s="1358"/>
      <c r="H37" s="1358"/>
      <c r="I37" s="1350"/>
      <c r="J37" s="1350"/>
      <c r="K37" s="1351" t="s">
        <v>1566</v>
      </c>
      <c r="L37" s="1352" t="s">
        <v>1655</v>
      </c>
      <c r="M37" s="1353" t="s">
        <v>1569</v>
      </c>
      <c r="N37" s="1354" t="s">
        <v>1656</v>
      </c>
      <c r="O37" s="1597" t="s">
        <v>1575</v>
      </c>
      <c r="P37" s="1572">
        <v>0</v>
      </c>
      <c r="Q37" s="1573">
        <f t="shared" si="7"/>
        <v>0</v>
      </c>
      <c r="R37" s="1573">
        <f t="shared" si="7"/>
        <v>0</v>
      </c>
      <c r="S37" s="1573">
        <f t="shared" si="7"/>
        <v>0.16464893999999999</v>
      </c>
      <c r="T37" s="1572">
        <f t="shared" si="3"/>
        <v>0.16464893999999999</v>
      </c>
      <c r="U37" s="1573">
        <v>0.06</v>
      </c>
      <c r="V37" s="1573">
        <v>0</v>
      </c>
      <c r="W37" s="1573">
        <v>0</v>
      </c>
      <c r="X37" s="1573"/>
      <c r="Y37" s="1573"/>
      <c r="Z37" s="1573"/>
      <c r="AA37" s="1573"/>
      <c r="AB37" s="1573"/>
      <c r="AC37" s="1580">
        <v>0</v>
      </c>
      <c r="AD37" s="1580">
        <v>0</v>
      </c>
      <c r="AE37" s="1580">
        <v>0.2</v>
      </c>
      <c r="AF37" s="1580">
        <v>1</v>
      </c>
      <c r="AG37" s="1580">
        <v>0</v>
      </c>
      <c r="AH37" s="1590">
        <v>0</v>
      </c>
      <c r="AI37" s="1590">
        <v>0</v>
      </c>
      <c r="AJ37" s="1590"/>
      <c r="AK37" s="1590"/>
      <c r="AL37" s="1590"/>
      <c r="AM37" s="1590"/>
      <c r="AN37" s="1590"/>
      <c r="AO37" s="1575">
        <v>0</v>
      </c>
      <c r="AP37" s="1575">
        <v>0</v>
      </c>
      <c r="AQ37" s="1575">
        <v>0</v>
      </c>
      <c r="AR37" s="1575">
        <v>0.16464893999999999</v>
      </c>
      <c r="AS37" s="1575">
        <f t="shared" si="4"/>
        <v>0.16464893999999999</v>
      </c>
      <c r="AT37" s="1621">
        <v>0.06</v>
      </c>
      <c r="AU37" s="1619">
        <v>0</v>
      </c>
      <c r="AV37" s="1619">
        <v>0</v>
      </c>
      <c r="AW37" s="1592">
        <v>0</v>
      </c>
      <c r="AX37" s="1592">
        <v>0</v>
      </c>
      <c r="AY37" s="1592">
        <v>0</v>
      </c>
      <c r="AZ37" s="1592">
        <v>0</v>
      </c>
      <c r="BA37" s="1592">
        <v>0</v>
      </c>
      <c r="BB37" s="1593"/>
      <c r="BC37" s="1599" t="s">
        <v>1657</v>
      </c>
      <c r="BD37" s="1600" t="s">
        <v>939</v>
      </c>
      <c r="BE37" s="1620">
        <v>4385000345</v>
      </c>
      <c r="BF37" s="1316">
        <v>1501008611</v>
      </c>
      <c r="BG37" s="1316" t="s">
        <v>1656</v>
      </c>
    </row>
    <row r="38" spans="1:59" s="1430" customFormat="1" ht="31" outlineLevel="1">
      <c r="A38" s="1499">
        <v>5</v>
      </c>
      <c r="B38" s="1501" t="s">
        <v>1658</v>
      </c>
      <c r="C38" s="1578" t="s">
        <v>936</v>
      </c>
      <c r="D38" s="1492" t="str">
        <f t="shared" si="1"/>
        <v>Add Cap (As per 296 of 2019)</v>
      </c>
      <c r="E38" s="1579" t="s">
        <v>1565</v>
      </c>
      <c r="F38" s="1334"/>
      <c r="G38" s="1358"/>
      <c r="H38" s="1358"/>
      <c r="I38" s="1350"/>
      <c r="J38" s="1350"/>
      <c r="K38" s="1351" t="s">
        <v>1566</v>
      </c>
      <c r="L38" s="1352" t="s">
        <v>1659</v>
      </c>
      <c r="M38" s="1353" t="s">
        <v>1569</v>
      </c>
      <c r="N38" s="1354" t="s">
        <v>1660</v>
      </c>
      <c r="O38" s="1597" t="s">
        <v>1575</v>
      </c>
      <c r="P38" s="1572">
        <v>0</v>
      </c>
      <c r="Q38" s="1573">
        <f t="shared" si="7"/>
        <v>0</v>
      </c>
      <c r="R38" s="1573">
        <f t="shared" si="7"/>
        <v>0</v>
      </c>
      <c r="S38" s="1573">
        <f t="shared" si="7"/>
        <v>0.19186271399999999</v>
      </c>
      <c r="T38" s="1572">
        <f t="shared" si="3"/>
        <v>0.19186271399999999</v>
      </c>
      <c r="U38" s="1598">
        <v>0</v>
      </c>
      <c r="V38" s="1573">
        <v>0</v>
      </c>
      <c r="W38" s="1573">
        <v>0</v>
      </c>
      <c r="X38" s="1573"/>
      <c r="Y38" s="1573"/>
      <c r="Z38" s="1573"/>
      <c r="AA38" s="1573"/>
      <c r="AB38" s="1573"/>
      <c r="AC38" s="1580">
        <v>0</v>
      </c>
      <c r="AD38" s="1580">
        <v>0</v>
      </c>
      <c r="AE38" s="1580">
        <v>0.2</v>
      </c>
      <c r="AF38" s="1590">
        <v>1</v>
      </c>
      <c r="AG38" s="1580">
        <v>0</v>
      </c>
      <c r="AH38" s="1590">
        <v>0</v>
      </c>
      <c r="AI38" s="1590">
        <v>0</v>
      </c>
      <c r="AJ38" s="1590"/>
      <c r="AK38" s="1590"/>
      <c r="AL38" s="1590"/>
      <c r="AM38" s="1590"/>
      <c r="AN38" s="1590"/>
      <c r="AO38" s="1575">
        <v>0</v>
      </c>
      <c r="AP38" s="1575">
        <v>0</v>
      </c>
      <c r="AQ38" s="1575">
        <v>0</v>
      </c>
      <c r="AR38" s="1575">
        <v>0.19186271399999999</v>
      </c>
      <c r="AS38" s="1575">
        <f t="shared" si="4"/>
        <v>0.19186271399999999</v>
      </c>
      <c r="AT38" s="1619">
        <v>0</v>
      </c>
      <c r="AU38" s="1619">
        <v>0</v>
      </c>
      <c r="AV38" s="1619">
        <v>0</v>
      </c>
      <c r="AW38" s="1592">
        <v>0</v>
      </c>
      <c r="AX38" s="1592">
        <v>0</v>
      </c>
      <c r="AY38" s="1592">
        <v>0</v>
      </c>
      <c r="AZ38" s="1592">
        <v>0</v>
      </c>
      <c r="BA38" s="1592">
        <v>0</v>
      </c>
      <c r="BB38" s="1593"/>
      <c r="BC38" s="1599" t="s">
        <v>1661</v>
      </c>
      <c r="BD38" s="1600" t="s">
        <v>939</v>
      </c>
      <c r="BE38" s="1620">
        <v>4385000352</v>
      </c>
      <c r="BF38" s="1316">
        <v>1501008547</v>
      </c>
      <c r="BG38" s="1316" t="s">
        <v>1660</v>
      </c>
    </row>
    <row r="39" spans="1:59" s="1430" customFormat="1" ht="62" outlineLevel="1">
      <c r="A39" s="1502">
        <v>6</v>
      </c>
      <c r="B39" s="1501" t="s">
        <v>1662</v>
      </c>
      <c r="C39" s="1578" t="s">
        <v>936</v>
      </c>
      <c r="D39" s="1492" t="str">
        <f t="shared" si="1"/>
        <v>Add Cap (As per 296 of 2019)</v>
      </c>
      <c r="E39" s="1579" t="s">
        <v>1565</v>
      </c>
      <c r="F39" s="1334"/>
      <c r="G39" s="1359"/>
      <c r="H39" s="1359"/>
      <c r="I39" s="1350"/>
      <c r="J39" s="1350"/>
      <c r="K39" s="1351" t="s">
        <v>1566</v>
      </c>
      <c r="L39" s="1352" t="s">
        <v>1655</v>
      </c>
      <c r="M39" s="1353" t="s">
        <v>1569</v>
      </c>
      <c r="N39" s="1354" t="s">
        <v>1663</v>
      </c>
      <c r="O39" s="1597" t="s">
        <v>1575</v>
      </c>
      <c r="P39" s="1601">
        <v>0</v>
      </c>
      <c r="Q39" s="1573">
        <f t="shared" si="7"/>
        <v>0</v>
      </c>
      <c r="R39" s="1573">
        <f t="shared" si="7"/>
        <v>0</v>
      </c>
      <c r="S39" s="1573">
        <f t="shared" si="7"/>
        <v>0.6734502</v>
      </c>
      <c r="T39" s="1601">
        <f t="shared" si="3"/>
        <v>0.6734502</v>
      </c>
      <c r="U39" s="1602">
        <v>0</v>
      </c>
      <c r="V39" s="1601">
        <v>0</v>
      </c>
      <c r="W39" s="1601">
        <v>0</v>
      </c>
      <c r="X39" s="1601"/>
      <c r="Y39" s="1601"/>
      <c r="Z39" s="1601"/>
      <c r="AA39" s="1601"/>
      <c r="AB39" s="1601"/>
      <c r="AC39" s="1580">
        <v>0</v>
      </c>
      <c r="AD39" s="1580">
        <v>0</v>
      </c>
      <c r="AE39" s="1580">
        <v>0.4</v>
      </c>
      <c r="AF39" s="1580">
        <v>1</v>
      </c>
      <c r="AG39" s="1580">
        <v>0</v>
      </c>
      <c r="AH39" s="1590">
        <v>0</v>
      </c>
      <c r="AI39" s="1590">
        <v>0</v>
      </c>
      <c r="AJ39" s="1590"/>
      <c r="AK39" s="1590"/>
      <c r="AL39" s="1590"/>
      <c r="AM39" s="1590"/>
      <c r="AN39" s="1590"/>
      <c r="AO39" s="1575">
        <v>0</v>
      </c>
      <c r="AP39" s="1575"/>
      <c r="AQ39" s="1575"/>
      <c r="AR39" s="1575">
        <f>(4907367+1827135)/10000000</f>
        <v>0.6734502</v>
      </c>
      <c r="AS39" s="1575">
        <f t="shared" si="4"/>
        <v>0.6734502</v>
      </c>
      <c r="AT39" s="1619">
        <v>0</v>
      </c>
      <c r="AU39" s="1619">
        <v>0</v>
      </c>
      <c r="AV39" s="1619">
        <v>0</v>
      </c>
      <c r="AW39" s="1592">
        <v>0</v>
      </c>
      <c r="AX39" s="1592">
        <v>0</v>
      </c>
      <c r="AY39" s="1592">
        <v>0</v>
      </c>
      <c r="AZ39" s="1592">
        <v>0</v>
      </c>
      <c r="BA39" s="1592">
        <v>0</v>
      </c>
      <c r="BB39" s="1604"/>
      <c r="BC39" s="1599" t="s">
        <v>1664</v>
      </c>
      <c r="BD39" s="1600" t="s">
        <v>939</v>
      </c>
      <c r="BE39" s="1620" t="s">
        <v>1665</v>
      </c>
      <c r="BF39" s="1434" t="s">
        <v>1666</v>
      </c>
      <c r="BG39" s="1434" t="s">
        <v>1663</v>
      </c>
    </row>
    <row r="40" spans="1:59" s="1430" customFormat="1" ht="39" customHeight="1" outlineLevel="1">
      <c r="A40" s="1499">
        <v>7</v>
      </c>
      <c r="B40" s="1501" t="s">
        <v>1667</v>
      </c>
      <c r="C40" s="1578" t="s">
        <v>936</v>
      </c>
      <c r="D40" s="1492" t="str">
        <f t="shared" si="1"/>
        <v>Add Cap (As per 296 of 2019)</v>
      </c>
      <c r="E40" s="1579" t="s">
        <v>1565</v>
      </c>
      <c r="F40" s="1334"/>
      <c r="G40" s="1367"/>
      <c r="H40" s="1367"/>
      <c r="I40" s="1350"/>
      <c r="J40" s="1350"/>
      <c r="K40" s="1351" t="s">
        <v>1566</v>
      </c>
      <c r="L40" s="1360">
        <v>44294</v>
      </c>
      <c r="M40" s="1353" t="s">
        <v>1569</v>
      </c>
      <c r="N40" s="1354" t="s">
        <v>1648</v>
      </c>
      <c r="O40" s="1597" t="s">
        <v>1575</v>
      </c>
      <c r="P40" s="1622">
        <v>0</v>
      </c>
      <c r="Q40" s="1573">
        <f t="shared" si="7"/>
        <v>0</v>
      </c>
      <c r="R40" s="1573">
        <f t="shared" si="7"/>
        <v>0</v>
      </c>
      <c r="S40" s="1573">
        <f t="shared" si="7"/>
        <v>0.118629766</v>
      </c>
      <c r="T40" s="1622">
        <f t="shared" si="3"/>
        <v>0.118629766</v>
      </c>
      <c r="U40" s="1598">
        <v>0</v>
      </c>
      <c r="V40" s="1573">
        <v>0</v>
      </c>
      <c r="W40" s="1573">
        <v>0</v>
      </c>
      <c r="X40" s="1573"/>
      <c r="Y40" s="1573"/>
      <c r="Z40" s="1573"/>
      <c r="AA40" s="1573"/>
      <c r="AB40" s="1573"/>
      <c r="AC40" s="1580">
        <v>0</v>
      </c>
      <c r="AD40" s="1580">
        <v>0</v>
      </c>
      <c r="AE40" s="1580">
        <v>0.2</v>
      </c>
      <c r="AF40" s="1580">
        <v>1</v>
      </c>
      <c r="AG40" s="1580">
        <v>0</v>
      </c>
      <c r="AH40" s="1590">
        <v>0</v>
      </c>
      <c r="AI40" s="1590">
        <v>0</v>
      </c>
      <c r="AJ40" s="1590"/>
      <c r="AK40" s="1590"/>
      <c r="AL40" s="1590"/>
      <c r="AM40" s="1590"/>
      <c r="AN40" s="1590"/>
      <c r="AO40" s="1575">
        <v>0</v>
      </c>
      <c r="AP40" s="1575">
        <v>0</v>
      </c>
      <c r="AQ40" s="1575">
        <v>0</v>
      </c>
      <c r="AR40" s="1575">
        <v>0.118629766</v>
      </c>
      <c r="AS40" s="1575">
        <f t="shared" si="4"/>
        <v>0.118629766</v>
      </c>
      <c r="AT40" s="1619">
        <v>0</v>
      </c>
      <c r="AU40" s="1619">
        <v>0</v>
      </c>
      <c r="AV40" s="1619">
        <v>0</v>
      </c>
      <c r="AW40" s="1592">
        <v>0</v>
      </c>
      <c r="AX40" s="1592">
        <v>0</v>
      </c>
      <c r="AY40" s="1592">
        <v>0</v>
      </c>
      <c r="AZ40" s="1592">
        <v>0</v>
      </c>
      <c r="BA40" s="1592">
        <v>0</v>
      </c>
      <c r="BB40" s="1593"/>
      <c r="BC40" s="1599" t="s">
        <v>1668</v>
      </c>
      <c r="BD40" s="1600" t="s">
        <v>939</v>
      </c>
      <c r="BE40" s="1620">
        <v>4385000534</v>
      </c>
      <c r="BF40" s="1316">
        <v>1501008603</v>
      </c>
      <c r="BG40" s="1316" t="s">
        <v>1648</v>
      </c>
    </row>
    <row r="41" spans="1:59" s="1430" customFormat="1" ht="46.5" outlineLevel="1">
      <c r="A41" s="1502">
        <v>8</v>
      </c>
      <c r="B41" s="1503" t="s">
        <v>1669</v>
      </c>
      <c r="C41" s="1578" t="s">
        <v>936</v>
      </c>
      <c r="D41" s="1492" t="str">
        <f t="shared" si="1"/>
        <v>Add Cap (As per 296 of 2019)</v>
      </c>
      <c r="E41" s="1579" t="s">
        <v>1565</v>
      </c>
      <c r="F41" s="1334"/>
      <c r="G41" s="1359"/>
      <c r="H41" s="1359"/>
      <c r="I41" s="1350"/>
      <c r="J41" s="1350"/>
      <c r="K41" s="1351" t="s">
        <v>1566</v>
      </c>
      <c r="L41" s="1360">
        <v>44021</v>
      </c>
      <c r="M41" s="1353" t="s">
        <v>1569</v>
      </c>
      <c r="N41" s="1354"/>
      <c r="O41" s="1597" t="s">
        <v>1575</v>
      </c>
      <c r="P41" s="1601">
        <v>0</v>
      </c>
      <c r="Q41" s="1573">
        <f t="shared" si="7"/>
        <v>0</v>
      </c>
      <c r="R41" s="1573">
        <f t="shared" si="7"/>
        <v>0</v>
      </c>
      <c r="S41" s="1573">
        <f t="shared" si="7"/>
        <v>0</v>
      </c>
      <c r="T41" s="1601">
        <f t="shared" si="3"/>
        <v>0</v>
      </c>
      <c r="U41" s="1602">
        <v>0</v>
      </c>
      <c r="V41" s="1601">
        <v>0</v>
      </c>
      <c r="W41" s="1601">
        <v>0</v>
      </c>
      <c r="X41" s="1601"/>
      <c r="Y41" s="1601"/>
      <c r="Z41" s="1601"/>
      <c r="AA41" s="1601"/>
      <c r="AB41" s="1601"/>
      <c r="AC41" s="1580">
        <v>0</v>
      </c>
      <c r="AD41" s="1580">
        <v>0</v>
      </c>
      <c r="AE41" s="1580">
        <v>0.2</v>
      </c>
      <c r="AF41" s="1580">
        <v>0.2</v>
      </c>
      <c r="AG41" s="1580"/>
      <c r="AH41" s="1590">
        <v>0</v>
      </c>
      <c r="AI41" s="1590">
        <v>0</v>
      </c>
      <c r="AJ41" s="1590"/>
      <c r="AK41" s="1590"/>
      <c r="AL41" s="1590"/>
      <c r="AM41" s="1590"/>
      <c r="AN41" s="1590"/>
      <c r="AO41" s="1575">
        <v>0</v>
      </c>
      <c r="AP41" s="1575">
        <v>0</v>
      </c>
      <c r="AQ41" s="1575">
        <v>0</v>
      </c>
      <c r="AR41" s="1575">
        <v>0</v>
      </c>
      <c r="AS41" s="1575">
        <f t="shared" si="4"/>
        <v>0</v>
      </c>
      <c r="AT41" s="1603">
        <v>0</v>
      </c>
      <c r="AU41" s="1619">
        <v>0</v>
      </c>
      <c r="AV41" s="1619">
        <v>0</v>
      </c>
      <c r="AW41" s="1592">
        <v>0</v>
      </c>
      <c r="AX41" s="1592">
        <v>0</v>
      </c>
      <c r="AY41" s="1592">
        <v>0</v>
      </c>
      <c r="AZ41" s="1592">
        <v>0</v>
      </c>
      <c r="BA41" s="1592">
        <v>0</v>
      </c>
      <c r="BB41" s="1604"/>
      <c r="BC41" s="1623" t="s">
        <v>1670</v>
      </c>
      <c r="BD41" s="1595" t="s">
        <v>941</v>
      </c>
      <c r="BE41" s="1606" t="s">
        <v>1605</v>
      </c>
    </row>
    <row r="42" spans="1:59" s="1430" customFormat="1" ht="60" customHeight="1" outlineLevel="1">
      <c r="A42" s="1499">
        <v>9</v>
      </c>
      <c r="B42" s="1503" t="s">
        <v>1671</v>
      </c>
      <c r="C42" s="1578" t="s">
        <v>936</v>
      </c>
      <c r="D42" s="1492" t="str">
        <f t="shared" si="1"/>
        <v>Add Cap (As per 296 of 2019)</v>
      </c>
      <c r="E42" s="1579" t="s">
        <v>1565</v>
      </c>
      <c r="F42" s="1334"/>
      <c r="G42" s="1368"/>
      <c r="H42" s="1368"/>
      <c r="I42" s="1350"/>
      <c r="J42" s="1350"/>
      <c r="K42" s="1351" t="s">
        <v>1566</v>
      </c>
      <c r="L42" s="1360">
        <v>44113</v>
      </c>
      <c r="M42" s="1353" t="s">
        <v>1569</v>
      </c>
      <c r="N42" s="1354"/>
      <c r="O42" s="1597" t="s">
        <v>1575</v>
      </c>
      <c r="P42" s="1572">
        <v>0</v>
      </c>
      <c r="Q42" s="1573">
        <f t="shared" si="7"/>
        <v>0</v>
      </c>
      <c r="R42" s="1573">
        <f t="shared" si="7"/>
        <v>0</v>
      </c>
      <c r="S42" s="1573">
        <f t="shared" si="7"/>
        <v>0</v>
      </c>
      <c r="T42" s="1572">
        <f t="shared" si="3"/>
        <v>0</v>
      </c>
      <c r="U42" s="1598">
        <v>0</v>
      </c>
      <c r="V42" s="1573">
        <v>0</v>
      </c>
      <c r="W42" s="1573">
        <v>0</v>
      </c>
      <c r="X42" s="1573"/>
      <c r="Y42" s="1573"/>
      <c r="Z42" s="1573"/>
      <c r="AA42" s="1573"/>
      <c r="AB42" s="1573"/>
      <c r="AC42" s="1580">
        <v>0</v>
      </c>
      <c r="AD42" s="1580">
        <v>0</v>
      </c>
      <c r="AE42" s="1580">
        <v>0.2</v>
      </c>
      <c r="AF42" s="1580">
        <v>0.2</v>
      </c>
      <c r="AG42" s="1580"/>
      <c r="AH42" s="1590">
        <v>0</v>
      </c>
      <c r="AI42" s="1590">
        <v>0</v>
      </c>
      <c r="AJ42" s="1590"/>
      <c r="AK42" s="1590"/>
      <c r="AL42" s="1590"/>
      <c r="AM42" s="1590"/>
      <c r="AN42" s="1590"/>
      <c r="AO42" s="1575">
        <v>0</v>
      </c>
      <c r="AP42" s="1575">
        <v>0</v>
      </c>
      <c r="AQ42" s="1575">
        <v>0</v>
      </c>
      <c r="AR42" s="1575">
        <v>0</v>
      </c>
      <c r="AS42" s="1575">
        <f t="shared" si="4"/>
        <v>0</v>
      </c>
      <c r="AT42" s="1624">
        <v>0</v>
      </c>
      <c r="AU42" s="1619">
        <v>0</v>
      </c>
      <c r="AV42" s="1619">
        <v>0</v>
      </c>
      <c r="AW42" s="1592">
        <v>0</v>
      </c>
      <c r="AX42" s="1592">
        <v>0</v>
      </c>
      <c r="AY42" s="1592">
        <v>0</v>
      </c>
      <c r="AZ42" s="1592">
        <v>0</v>
      </c>
      <c r="BA42" s="1592">
        <v>0</v>
      </c>
      <c r="BB42" s="1593"/>
      <c r="BC42" s="1623" t="s">
        <v>1670</v>
      </c>
      <c r="BD42" s="1595" t="s">
        <v>941</v>
      </c>
      <c r="BE42" s="1606" t="s">
        <v>1605</v>
      </c>
    </row>
    <row r="43" spans="1:59" s="1430" customFormat="1" ht="46.5" outlineLevel="1">
      <c r="A43" s="1502">
        <v>10</v>
      </c>
      <c r="B43" s="1501" t="s">
        <v>1672</v>
      </c>
      <c r="C43" s="1578" t="s">
        <v>936</v>
      </c>
      <c r="D43" s="1492" t="str">
        <f t="shared" si="1"/>
        <v>Add Cap (As per 296 of 2019)</v>
      </c>
      <c r="E43" s="1579" t="s">
        <v>1565</v>
      </c>
      <c r="F43" s="1334"/>
      <c r="G43" s="1359"/>
      <c r="H43" s="1359"/>
      <c r="I43" s="1350"/>
      <c r="J43" s="1350"/>
      <c r="K43" s="1351" t="s">
        <v>1566</v>
      </c>
      <c r="L43" s="1352" t="s">
        <v>1673</v>
      </c>
      <c r="M43" s="1353" t="s">
        <v>1569</v>
      </c>
      <c r="N43" s="1354" t="s">
        <v>1674</v>
      </c>
      <c r="O43" s="1597" t="s">
        <v>1575</v>
      </c>
      <c r="P43" s="1601">
        <v>0</v>
      </c>
      <c r="Q43" s="1573">
        <f t="shared" si="7"/>
        <v>0</v>
      </c>
      <c r="R43" s="1573">
        <f t="shared" si="7"/>
        <v>0</v>
      </c>
      <c r="S43" s="1573">
        <f t="shared" si="7"/>
        <v>0.38585999999999998</v>
      </c>
      <c r="T43" s="1601">
        <f t="shared" si="3"/>
        <v>0.38585999999999998</v>
      </c>
      <c r="U43" s="1602">
        <v>0</v>
      </c>
      <c r="V43" s="1601">
        <v>0</v>
      </c>
      <c r="W43" s="1601">
        <v>0</v>
      </c>
      <c r="X43" s="1601"/>
      <c r="Y43" s="1601"/>
      <c r="Z43" s="1601"/>
      <c r="AA43" s="1601"/>
      <c r="AB43" s="1601"/>
      <c r="AC43" s="1580">
        <v>0</v>
      </c>
      <c r="AD43" s="1580">
        <v>0</v>
      </c>
      <c r="AE43" s="1580">
        <v>0</v>
      </c>
      <c r="AF43" s="1580">
        <v>1</v>
      </c>
      <c r="AG43" s="1580">
        <v>0</v>
      </c>
      <c r="AH43" s="1590">
        <v>0</v>
      </c>
      <c r="AI43" s="1590">
        <v>0</v>
      </c>
      <c r="AJ43" s="1590"/>
      <c r="AK43" s="1590"/>
      <c r="AL43" s="1590"/>
      <c r="AM43" s="1590"/>
      <c r="AN43" s="1590"/>
      <c r="AO43" s="1575">
        <v>0</v>
      </c>
      <c r="AP43" s="1575">
        <v>0</v>
      </c>
      <c r="AQ43" s="1575">
        <v>0</v>
      </c>
      <c r="AR43" s="1575">
        <v>0.38585999999999998</v>
      </c>
      <c r="AS43" s="1575">
        <f t="shared" si="4"/>
        <v>0.38585999999999998</v>
      </c>
      <c r="AT43" s="1619">
        <v>0</v>
      </c>
      <c r="AU43" s="1619">
        <v>0</v>
      </c>
      <c r="AV43" s="1619">
        <v>0</v>
      </c>
      <c r="AW43" s="1592">
        <v>0</v>
      </c>
      <c r="AX43" s="1592">
        <v>0</v>
      </c>
      <c r="AY43" s="1592">
        <v>0</v>
      </c>
      <c r="AZ43" s="1592">
        <v>0</v>
      </c>
      <c r="BA43" s="1592">
        <v>0</v>
      </c>
      <c r="BB43" s="1604"/>
      <c r="BC43" s="1599" t="s">
        <v>1675</v>
      </c>
      <c r="BD43" s="1600" t="s">
        <v>939</v>
      </c>
      <c r="BE43" s="1625">
        <v>4385000471</v>
      </c>
      <c r="BF43" s="1316">
        <v>1501008566</v>
      </c>
      <c r="BG43" s="1316" t="s">
        <v>1674</v>
      </c>
    </row>
    <row r="44" spans="1:59" s="1589" customFormat="1" ht="15.5">
      <c r="A44" s="1493">
        <v>4</v>
      </c>
      <c r="B44" s="1494" t="s">
        <v>1676</v>
      </c>
      <c r="C44" s="1582" t="s">
        <v>936</v>
      </c>
      <c r="D44" s="1495" t="str">
        <f t="shared" si="1"/>
        <v>Add Cap (As per 296 of 2019)</v>
      </c>
      <c r="E44" s="1583" t="s">
        <v>1565</v>
      </c>
      <c r="F44" s="1341"/>
      <c r="G44" s="1342"/>
      <c r="H44" s="1496">
        <v>6.64</v>
      </c>
      <c r="I44" s="1343"/>
      <c r="J44" s="1343"/>
      <c r="K44" s="1344" t="s">
        <v>1566</v>
      </c>
      <c r="L44" s="1345"/>
      <c r="M44" s="1346" t="s">
        <v>1569</v>
      </c>
      <c r="N44" s="1347"/>
      <c r="O44" s="1348"/>
      <c r="P44" s="1584"/>
      <c r="Q44" s="1584"/>
      <c r="R44" s="1584"/>
      <c r="S44" s="1584"/>
      <c r="T44" s="1584">
        <f t="shared" si="3"/>
        <v>0</v>
      </c>
      <c r="U44" s="1615"/>
      <c r="V44" s="1584"/>
      <c r="W44" s="1584"/>
      <c r="X44" s="1584"/>
      <c r="Y44" s="1584"/>
      <c r="Z44" s="1584"/>
      <c r="AA44" s="1584"/>
      <c r="AB44" s="1584"/>
      <c r="AC44" s="1585"/>
      <c r="AD44" s="1585"/>
      <c r="AE44" s="1585"/>
      <c r="AF44" s="1585"/>
      <c r="AG44" s="1585"/>
      <c r="AH44" s="1585"/>
      <c r="AI44" s="1585"/>
      <c r="AJ44" s="1585"/>
      <c r="AK44" s="1585"/>
      <c r="AL44" s="1585"/>
      <c r="AM44" s="1585"/>
      <c r="AN44" s="1585"/>
      <c r="AO44" s="1584"/>
      <c r="AP44" s="1584"/>
      <c r="AQ44" s="1584"/>
      <c r="AR44" s="1584"/>
      <c r="AS44" s="1584">
        <f t="shared" si="4"/>
        <v>0</v>
      </c>
      <c r="AT44" s="1616"/>
      <c r="AU44" s="1616"/>
      <c r="AV44" s="1616"/>
      <c r="AW44" s="1592">
        <v>0</v>
      </c>
      <c r="AX44" s="1592">
        <v>0</v>
      </c>
      <c r="AY44" s="1592">
        <v>0</v>
      </c>
      <c r="AZ44" s="1592">
        <v>0</v>
      </c>
      <c r="BA44" s="1592">
        <v>0</v>
      </c>
      <c r="BB44" s="1617"/>
      <c r="BC44" s="1362"/>
      <c r="BD44" s="1610"/>
      <c r="BE44" s="1588"/>
    </row>
    <row r="45" spans="1:59" s="1430" customFormat="1" ht="32.15" customHeight="1" outlineLevel="1">
      <c r="A45" s="1504">
        <v>1</v>
      </c>
      <c r="B45" s="1497" t="s">
        <v>1677</v>
      </c>
      <c r="C45" s="1578" t="s">
        <v>936</v>
      </c>
      <c r="D45" s="1492" t="str">
        <f t="shared" si="1"/>
        <v>Add Cap (As per 296 of 2019)</v>
      </c>
      <c r="E45" s="1579" t="s">
        <v>1565</v>
      </c>
      <c r="F45" s="1334"/>
      <c r="G45" s="1359"/>
      <c r="H45" s="1359"/>
      <c r="I45" s="1350"/>
      <c r="J45" s="1350"/>
      <c r="K45" s="1351" t="s">
        <v>1566</v>
      </c>
      <c r="L45" s="1352" t="s">
        <v>1678</v>
      </c>
      <c r="M45" s="1353" t="s">
        <v>1569</v>
      </c>
      <c r="N45" s="1354" t="s">
        <v>1679</v>
      </c>
      <c r="O45" s="1597" t="s">
        <v>1575</v>
      </c>
      <c r="P45" s="1601">
        <v>0</v>
      </c>
      <c r="Q45" s="1573">
        <f t="shared" ref="Q45:S53" si="8">AP45</f>
        <v>0</v>
      </c>
      <c r="R45" s="1573">
        <f t="shared" si="8"/>
        <v>0</v>
      </c>
      <c r="S45" s="1573">
        <f t="shared" si="8"/>
        <v>1.6232788</v>
      </c>
      <c r="T45" s="1601">
        <f t="shared" si="3"/>
        <v>1.6232788</v>
      </c>
      <c r="U45" s="1602">
        <v>0</v>
      </c>
      <c r="V45" s="1601">
        <v>0</v>
      </c>
      <c r="W45" s="1601">
        <v>0</v>
      </c>
      <c r="X45" s="1601"/>
      <c r="Y45" s="1601"/>
      <c r="Z45" s="1601"/>
      <c r="AA45" s="1601"/>
      <c r="AB45" s="1601"/>
      <c r="AC45" s="1580">
        <v>0</v>
      </c>
      <c r="AD45" s="1580">
        <v>0</v>
      </c>
      <c r="AE45" s="1580">
        <v>0.2</v>
      </c>
      <c r="AF45" s="1580">
        <v>1</v>
      </c>
      <c r="AG45" s="1580">
        <v>0</v>
      </c>
      <c r="AH45" s="1590">
        <v>0</v>
      </c>
      <c r="AI45" s="1590">
        <v>0</v>
      </c>
      <c r="AJ45" s="1590"/>
      <c r="AK45" s="1590"/>
      <c r="AL45" s="1590"/>
      <c r="AM45" s="1590"/>
      <c r="AN45" s="1590"/>
      <c r="AO45" s="1601">
        <v>0</v>
      </c>
      <c r="AP45" s="1575">
        <v>0</v>
      </c>
      <c r="AQ45" s="1575">
        <v>0</v>
      </c>
      <c r="AR45" s="1575">
        <v>1.6232788</v>
      </c>
      <c r="AS45" s="1601">
        <f t="shared" si="4"/>
        <v>1.6232788</v>
      </c>
      <c r="AT45" s="1603">
        <v>0</v>
      </c>
      <c r="AU45" s="1603">
        <v>0</v>
      </c>
      <c r="AV45" s="1603">
        <v>0</v>
      </c>
      <c r="AW45" s="1592">
        <v>0</v>
      </c>
      <c r="AX45" s="1592">
        <v>0</v>
      </c>
      <c r="AY45" s="1592">
        <v>0</v>
      </c>
      <c r="AZ45" s="1592">
        <v>0</v>
      </c>
      <c r="BA45" s="1592">
        <v>0</v>
      </c>
      <c r="BB45" s="1604"/>
      <c r="BC45" s="1626" t="s">
        <v>1680</v>
      </c>
      <c r="BD45" s="1600" t="s">
        <v>939</v>
      </c>
      <c r="BE45" s="1611">
        <v>4385000415</v>
      </c>
      <c r="BF45" s="1316">
        <v>1501008510</v>
      </c>
      <c r="BG45" s="1316" t="s">
        <v>1679</v>
      </c>
    </row>
    <row r="46" spans="1:59" s="1430" customFormat="1" ht="33" customHeight="1" outlineLevel="1">
      <c r="A46" s="1504">
        <v>2</v>
      </c>
      <c r="B46" s="1497" t="s">
        <v>1681</v>
      </c>
      <c r="C46" s="1578" t="s">
        <v>936</v>
      </c>
      <c r="D46" s="1492" t="str">
        <f t="shared" si="1"/>
        <v>Add Cap (As per 296 of 2019)</v>
      </c>
      <c r="E46" s="1579" t="s">
        <v>1565</v>
      </c>
      <c r="F46" s="1334"/>
      <c r="G46" s="1368"/>
      <c r="H46" s="1368"/>
      <c r="I46" s="1350"/>
      <c r="J46" s="1350"/>
      <c r="K46" s="1351" t="s">
        <v>1566</v>
      </c>
      <c r="L46" s="1352" t="s">
        <v>1682</v>
      </c>
      <c r="M46" s="1353" t="s">
        <v>1569</v>
      </c>
      <c r="N46" s="1354" t="s">
        <v>1683</v>
      </c>
      <c r="O46" s="1597" t="s">
        <v>1575</v>
      </c>
      <c r="P46" s="1572">
        <v>0</v>
      </c>
      <c r="Q46" s="1573">
        <f t="shared" si="8"/>
        <v>0</v>
      </c>
      <c r="R46" s="1573">
        <f t="shared" si="8"/>
        <v>0</v>
      </c>
      <c r="S46" s="1573">
        <f t="shared" si="8"/>
        <v>0.54529209999999995</v>
      </c>
      <c r="T46" s="1572">
        <f t="shared" si="3"/>
        <v>0.54529209999999995</v>
      </c>
      <c r="U46" s="1602">
        <v>0</v>
      </c>
      <c r="V46" s="1601">
        <v>0</v>
      </c>
      <c r="W46" s="1601">
        <v>0</v>
      </c>
      <c r="X46" s="1601"/>
      <c r="Y46" s="1601"/>
      <c r="Z46" s="1601"/>
      <c r="AA46" s="1601"/>
      <c r="AB46" s="1601"/>
      <c r="AC46" s="1580">
        <v>0</v>
      </c>
      <c r="AD46" s="1580">
        <v>0</v>
      </c>
      <c r="AE46" s="1580">
        <v>0.4</v>
      </c>
      <c r="AF46" s="1580">
        <v>1</v>
      </c>
      <c r="AG46" s="1580">
        <v>0</v>
      </c>
      <c r="AH46" s="1590">
        <v>0</v>
      </c>
      <c r="AI46" s="1590">
        <v>0</v>
      </c>
      <c r="AJ46" s="1590"/>
      <c r="AK46" s="1590"/>
      <c r="AL46" s="1590"/>
      <c r="AM46" s="1590"/>
      <c r="AN46" s="1590"/>
      <c r="AO46" s="1601">
        <v>0</v>
      </c>
      <c r="AP46" s="1575">
        <v>0</v>
      </c>
      <c r="AQ46" s="1575">
        <v>0</v>
      </c>
      <c r="AR46" s="1575">
        <f>(2715793+2737128)/10000000</f>
        <v>0.54529209999999995</v>
      </c>
      <c r="AS46" s="1601">
        <f t="shared" si="4"/>
        <v>0.54529209999999995</v>
      </c>
      <c r="AT46" s="1603">
        <v>0</v>
      </c>
      <c r="AU46" s="1603">
        <v>0</v>
      </c>
      <c r="AV46" s="1603">
        <v>0</v>
      </c>
      <c r="AW46" s="1592">
        <v>0</v>
      </c>
      <c r="AX46" s="1592">
        <v>0</v>
      </c>
      <c r="AY46" s="1592">
        <v>0</v>
      </c>
      <c r="AZ46" s="1592">
        <v>0</v>
      </c>
      <c r="BA46" s="1592">
        <v>0</v>
      </c>
      <c r="BB46" s="1593"/>
      <c r="BC46" s="1626" t="s">
        <v>1684</v>
      </c>
      <c r="BD46" s="1600" t="s">
        <v>939</v>
      </c>
      <c r="BE46" s="1620" t="s">
        <v>1685</v>
      </c>
      <c r="BF46" s="1434" t="s">
        <v>1686</v>
      </c>
      <c r="BG46" s="1434" t="s">
        <v>1683</v>
      </c>
    </row>
    <row r="47" spans="1:59" s="1430" customFormat="1" ht="37" customHeight="1" outlineLevel="1">
      <c r="A47" s="1504">
        <v>3</v>
      </c>
      <c r="B47" s="1497" t="s">
        <v>1687</v>
      </c>
      <c r="C47" s="1578" t="s">
        <v>936</v>
      </c>
      <c r="D47" s="1492" t="str">
        <f t="shared" si="1"/>
        <v>Add Cap (As per 296 of 2019)</v>
      </c>
      <c r="E47" s="1579" t="s">
        <v>1565</v>
      </c>
      <c r="F47" s="1334"/>
      <c r="G47" s="1368"/>
      <c r="H47" s="1368"/>
      <c r="I47" s="1350"/>
      <c r="J47" s="1350"/>
      <c r="K47" s="1351" t="s">
        <v>1566</v>
      </c>
      <c r="L47" s="1352" t="s">
        <v>1678</v>
      </c>
      <c r="M47" s="1353" t="s">
        <v>1569</v>
      </c>
      <c r="N47" s="1354" t="s">
        <v>1688</v>
      </c>
      <c r="O47" s="1597" t="s">
        <v>1575</v>
      </c>
      <c r="P47" s="1572">
        <v>0</v>
      </c>
      <c r="Q47" s="1573">
        <f t="shared" si="8"/>
        <v>0</v>
      </c>
      <c r="R47" s="1573">
        <f>5480180/10000000</f>
        <v>0.54801800000000001</v>
      </c>
      <c r="S47" s="1573">
        <f>AR47-(5480180/10000000)</f>
        <v>-3.9999999978945766E-8</v>
      </c>
      <c r="T47" s="1572">
        <f t="shared" si="3"/>
        <v>0.54801796000000003</v>
      </c>
      <c r="U47" s="1602">
        <v>0</v>
      </c>
      <c r="V47" s="1601">
        <v>0</v>
      </c>
      <c r="W47" s="1601">
        <v>0</v>
      </c>
      <c r="X47" s="1601"/>
      <c r="Y47" s="1601"/>
      <c r="Z47" s="1601"/>
      <c r="AA47" s="1601"/>
      <c r="AB47" s="1601"/>
      <c r="AC47" s="1580">
        <v>0</v>
      </c>
      <c r="AD47" s="1580">
        <v>0</v>
      </c>
      <c r="AE47" s="1580">
        <v>0.4</v>
      </c>
      <c r="AF47" s="1580">
        <v>1</v>
      </c>
      <c r="AG47" s="1580">
        <v>0</v>
      </c>
      <c r="AH47" s="1590">
        <v>0</v>
      </c>
      <c r="AI47" s="1590">
        <v>0</v>
      </c>
      <c r="AJ47" s="1590"/>
      <c r="AK47" s="1590"/>
      <c r="AL47" s="1590"/>
      <c r="AM47" s="1590"/>
      <c r="AN47" s="1590"/>
      <c r="AO47" s="1601">
        <v>0</v>
      </c>
      <c r="AP47" s="1575">
        <v>0</v>
      </c>
      <c r="AQ47" s="1575">
        <v>0</v>
      </c>
      <c r="AR47" s="1575">
        <v>0.54801796000000003</v>
      </c>
      <c r="AS47" s="1601">
        <f t="shared" si="4"/>
        <v>0.54801796000000003</v>
      </c>
      <c r="AT47" s="1603">
        <v>0</v>
      </c>
      <c r="AU47" s="1603">
        <v>0</v>
      </c>
      <c r="AV47" s="1603">
        <v>0</v>
      </c>
      <c r="AW47" s="1592">
        <v>0</v>
      </c>
      <c r="AX47" s="1592">
        <v>0</v>
      </c>
      <c r="AY47" s="1592">
        <v>0</v>
      </c>
      <c r="AZ47" s="1592">
        <v>0</v>
      </c>
      <c r="BA47" s="1592">
        <v>0</v>
      </c>
      <c r="BB47" s="1593"/>
      <c r="BC47" s="1626" t="s">
        <v>1689</v>
      </c>
      <c r="BD47" s="1600" t="s">
        <v>939</v>
      </c>
      <c r="BE47" s="1620">
        <v>4385000347</v>
      </c>
      <c r="BF47" s="1316">
        <v>1501008516</v>
      </c>
      <c r="BG47" s="1316" t="s">
        <v>1688</v>
      </c>
    </row>
    <row r="48" spans="1:59" s="1430" customFormat="1" ht="31" outlineLevel="1">
      <c r="A48" s="1504">
        <v>4</v>
      </c>
      <c r="B48" s="1497" t="s">
        <v>1690</v>
      </c>
      <c r="C48" s="1578" t="s">
        <v>936</v>
      </c>
      <c r="D48" s="1492" t="str">
        <f t="shared" si="1"/>
        <v>Add Cap (As per 296 of 2019)</v>
      </c>
      <c r="E48" s="1579" t="s">
        <v>1565</v>
      </c>
      <c r="F48" s="1334"/>
      <c r="G48" s="1318"/>
      <c r="H48" s="1318"/>
      <c r="I48" s="1350"/>
      <c r="J48" s="1350"/>
      <c r="K48" s="1351" t="s">
        <v>1566</v>
      </c>
      <c r="L48" s="1352" t="s">
        <v>1691</v>
      </c>
      <c r="M48" s="1353" t="s">
        <v>1569</v>
      </c>
      <c r="N48" s="1354" t="s">
        <v>1692</v>
      </c>
      <c r="O48" s="1597" t="s">
        <v>1575</v>
      </c>
      <c r="P48" s="1572">
        <v>0</v>
      </c>
      <c r="Q48" s="1573">
        <f t="shared" si="8"/>
        <v>0</v>
      </c>
      <c r="R48" s="1573">
        <f t="shared" si="8"/>
        <v>0</v>
      </c>
      <c r="S48" s="1573">
        <f t="shared" si="8"/>
        <v>0.39579560000000003</v>
      </c>
      <c r="T48" s="1572">
        <f t="shared" si="3"/>
        <v>0.39579560000000003</v>
      </c>
      <c r="U48" s="1602">
        <v>0</v>
      </c>
      <c r="V48" s="1601">
        <v>0</v>
      </c>
      <c r="W48" s="1601">
        <v>0</v>
      </c>
      <c r="X48" s="1601"/>
      <c r="Y48" s="1601"/>
      <c r="Z48" s="1601"/>
      <c r="AA48" s="1601"/>
      <c r="AB48" s="1601"/>
      <c r="AC48" s="1580">
        <v>0</v>
      </c>
      <c r="AD48" s="1580">
        <v>0</v>
      </c>
      <c r="AE48" s="1580">
        <v>0.2</v>
      </c>
      <c r="AF48" s="1580">
        <v>1</v>
      </c>
      <c r="AG48" s="1580">
        <v>0</v>
      </c>
      <c r="AH48" s="1590">
        <v>0</v>
      </c>
      <c r="AI48" s="1590">
        <v>0</v>
      </c>
      <c r="AJ48" s="1590"/>
      <c r="AK48" s="1590"/>
      <c r="AL48" s="1590"/>
      <c r="AM48" s="1590"/>
      <c r="AN48" s="1590"/>
      <c r="AO48" s="1601">
        <v>0</v>
      </c>
      <c r="AP48" s="1575">
        <v>0</v>
      </c>
      <c r="AQ48" s="1575">
        <v>0</v>
      </c>
      <c r="AR48" s="1575">
        <v>0.39579560000000003</v>
      </c>
      <c r="AS48" s="1601">
        <f t="shared" si="4"/>
        <v>0.39579560000000003</v>
      </c>
      <c r="AT48" s="1603">
        <v>0</v>
      </c>
      <c r="AU48" s="1603">
        <v>0</v>
      </c>
      <c r="AV48" s="1603">
        <v>0</v>
      </c>
      <c r="AW48" s="1592">
        <v>0</v>
      </c>
      <c r="AX48" s="1592">
        <v>0</v>
      </c>
      <c r="AY48" s="1592">
        <v>0</v>
      </c>
      <c r="AZ48" s="1592">
        <v>0</v>
      </c>
      <c r="BA48" s="1592">
        <v>0</v>
      </c>
      <c r="BB48" s="1593"/>
      <c r="BC48" s="1599" t="s">
        <v>1693</v>
      </c>
      <c r="BD48" s="1600" t="s">
        <v>939</v>
      </c>
      <c r="BE48" s="1620">
        <v>4385000417</v>
      </c>
      <c r="BF48" s="1316">
        <v>1501008512</v>
      </c>
      <c r="BG48" s="1316" t="s">
        <v>1692</v>
      </c>
    </row>
    <row r="49" spans="1:59" s="1430" customFormat="1" ht="39" customHeight="1" outlineLevel="1">
      <c r="A49" s="1504">
        <v>5</v>
      </c>
      <c r="B49" s="1501" t="s">
        <v>1694</v>
      </c>
      <c r="C49" s="1578" t="s">
        <v>936</v>
      </c>
      <c r="D49" s="1492" t="str">
        <f t="shared" si="1"/>
        <v>Add Cap (As per 296 of 2019)</v>
      </c>
      <c r="E49" s="1579" t="s">
        <v>1565</v>
      </c>
      <c r="F49" s="1334"/>
      <c r="G49" s="1359"/>
      <c r="H49" s="1359"/>
      <c r="I49" s="1350"/>
      <c r="J49" s="1350"/>
      <c r="K49" s="1351" t="s">
        <v>1566</v>
      </c>
      <c r="L49" s="1360">
        <v>43838</v>
      </c>
      <c r="M49" s="1353" t="s">
        <v>1569</v>
      </c>
      <c r="N49" s="1354" t="s">
        <v>1695</v>
      </c>
      <c r="O49" s="1627" t="s">
        <v>1575</v>
      </c>
      <c r="P49" s="1601">
        <v>0</v>
      </c>
      <c r="Q49" s="1573">
        <f t="shared" si="8"/>
        <v>0</v>
      </c>
      <c r="R49" s="1573">
        <f t="shared" si="8"/>
        <v>0</v>
      </c>
      <c r="S49" s="1573">
        <f t="shared" si="8"/>
        <v>1.757524804</v>
      </c>
      <c r="T49" s="1601">
        <f t="shared" si="3"/>
        <v>1.757524804</v>
      </c>
      <c r="U49" s="1573">
        <v>1.2459E-2</v>
      </c>
      <c r="V49" s="1601">
        <v>0</v>
      </c>
      <c r="W49" s="1601">
        <v>0</v>
      </c>
      <c r="X49" s="1601"/>
      <c r="Y49" s="1601"/>
      <c r="Z49" s="1601"/>
      <c r="AA49" s="1601"/>
      <c r="AB49" s="1601"/>
      <c r="AC49" s="1580">
        <v>0</v>
      </c>
      <c r="AD49" s="1580">
        <v>0</v>
      </c>
      <c r="AE49" s="1580">
        <v>0.2</v>
      </c>
      <c r="AF49" s="1580">
        <v>0.95</v>
      </c>
      <c r="AG49" s="1580">
        <v>1</v>
      </c>
      <c r="AH49" s="1590">
        <v>0</v>
      </c>
      <c r="AI49" s="1590">
        <v>0</v>
      </c>
      <c r="AJ49" s="1590"/>
      <c r="AK49" s="1590"/>
      <c r="AL49" s="1590"/>
      <c r="AM49" s="1590"/>
      <c r="AN49" s="1590"/>
      <c r="AO49" s="1601">
        <v>0</v>
      </c>
      <c r="AP49" s="1575">
        <v>0</v>
      </c>
      <c r="AQ49" s="1575">
        <v>0</v>
      </c>
      <c r="AR49" s="1575">
        <v>1.757524804</v>
      </c>
      <c r="AS49" s="1601">
        <f t="shared" si="4"/>
        <v>1.757524804</v>
      </c>
      <c r="AT49" s="1591">
        <v>1.2459E-2</v>
      </c>
      <c r="AU49" s="1603">
        <v>0</v>
      </c>
      <c r="AV49" s="1603">
        <v>0</v>
      </c>
      <c r="AW49" s="1592">
        <v>0</v>
      </c>
      <c r="AX49" s="1592">
        <v>0</v>
      </c>
      <c r="AY49" s="1592">
        <v>0</v>
      </c>
      <c r="AZ49" s="1592">
        <v>0</v>
      </c>
      <c r="BA49" s="1592">
        <v>0</v>
      </c>
      <c r="BB49" s="1604"/>
      <c r="BC49" s="1599" t="s">
        <v>1696</v>
      </c>
      <c r="BD49" s="1600" t="s">
        <v>939</v>
      </c>
      <c r="BE49" s="1620">
        <v>4385000477</v>
      </c>
      <c r="BF49" s="1316">
        <v>1501008615</v>
      </c>
      <c r="BG49" s="1316" t="s">
        <v>1695</v>
      </c>
    </row>
    <row r="50" spans="1:59" s="1430" customFormat="1" ht="30" customHeight="1" outlineLevel="1">
      <c r="A50" s="1504">
        <v>6</v>
      </c>
      <c r="B50" s="1501" t="s">
        <v>1697</v>
      </c>
      <c r="C50" s="1578" t="s">
        <v>936</v>
      </c>
      <c r="D50" s="1492" t="str">
        <f t="shared" si="1"/>
        <v>Add Cap (As per 296 of 2019)</v>
      </c>
      <c r="E50" s="1579" t="s">
        <v>1565</v>
      </c>
      <c r="F50" s="1334"/>
      <c r="G50" s="1368"/>
      <c r="H50" s="1368"/>
      <c r="I50" s="1350"/>
      <c r="J50" s="1350"/>
      <c r="K50" s="1351" t="s">
        <v>1566</v>
      </c>
      <c r="L50" s="1352" t="s">
        <v>1698</v>
      </c>
      <c r="M50" s="1353" t="s">
        <v>1569</v>
      </c>
      <c r="N50" s="1354" t="s">
        <v>1699</v>
      </c>
      <c r="O50" s="1627" t="s">
        <v>1575</v>
      </c>
      <c r="P50" s="1572">
        <v>0</v>
      </c>
      <c r="Q50" s="1573">
        <f t="shared" si="8"/>
        <v>0</v>
      </c>
      <c r="R50" s="1573">
        <f t="shared" si="8"/>
        <v>0</v>
      </c>
      <c r="S50" s="1573">
        <f t="shared" si="8"/>
        <v>0.229104904</v>
      </c>
      <c r="T50" s="1572">
        <f t="shared" si="3"/>
        <v>0.229104904</v>
      </c>
      <c r="U50" s="1602">
        <v>0</v>
      </c>
      <c r="V50" s="1601">
        <v>0</v>
      </c>
      <c r="W50" s="1601">
        <v>0</v>
      </c>
      <c r="X50" s="1601"/>
      <c r="Y50" s="1601"/>
      <c r="Z50" s="1601"/>
      <c r="AA50" s="1601"/>
      <c r="AB50" s="1601"/>
      <c r="AC50" s="1580">
        <v>0</v>
      </c>
      <c r="AD50" s="1580">
        <v>0</v>
      </c>
      <c r="AE50" s="1580">
        <v>0.2</v>
      </c>
      <c r="AF50" s="1580">
        <v>1</v>
      </c>
      <c r="AG50" s="1580">
        <v>0</v>
      </c>
      <c r="AH50" s="1590">
        <v>0</v>
      </c>
      <c r="AI50" s="1590">
        <v>0</v>
      </c>
      <c r="AJ50" s="1590"/>
      <c r="AK50" s="1590"/>
      <c r="AL50" s="1590"/>
      <c r="AM50" s="1590"/>
      <c r="AN50" s="1590"/>
      <c r="AO50" s="1601">
        <v>0</v>
      </c>
      <c r="AP50" s="1575">
        <v>0</v>
      </c>
      <c r="AQ50" s="1575">
        <v>0</v>
      </c>
      <c r="AR50" s="1575">
        <v>0.229104904</v>
      </c>
      <c r="AS50" s="1601">
        <f t="shared" si="4"/>
        <v>0.229104904</v>
      </c>
      <c r="AT50" s="1604">
        <v>0</v>
      </c>
      <c r="AU50" s="1603">
        <v>0</v>
      </c>
      <c r="AV50" s="1603">
        <v>0</v>
      </c>
      <c r="AW50" s="1592">
        <v>0</v>
      </c>
      <c r="AX50" s="1592">
        <v>0</v>
      </c>
      <c r="AY50" s="1592">
        <v>0</v>
      </c>
      <c r="AZ50" s="1592">
        <v>0</v>
      </c>
      <c r="BA50" s="1592">
        <v>0</v>
      </c>
      <c r="BB50" s="1593"/>
      <c r="BC50" s="1599" t="s">
        <v>1700</v>
      </c>
      <c r="BD50" s="1600" t="s">
        <v>939</v>
      </c>
      <c r="BE50" s="1620">
        <v>4385000411</v>
      </c>
      <c r="BF50" s="1316">
        <v>1501008506</v>
      </c>
      <c r="BG50" s="1316" t="s">
        <v>1699</v>
      </c>
    </row>
    <row r="51" spans="1:59" s="1430" customFormat="1" ht="35.15" customHeight="1" outlineLevel="1">
      <c r="A51" s="1504">
        <v>7</v>
      </c>
      <c r="B51" s="1501" t="s">
        <v>1701</v>
      </c>
      <c r="C51" s="1578" t="s">
        <v>936</v>
      </c>
      <c r="D51" s="1492" t="str">
        <f t="shared" si="1"/>
        <v>Add Cap (As per 296 of 2019)</v>
      </c>
      <c r="E51" s="1579" t="s">
        <v>1565</v>
      </c>
      <c r="F51" s="1334"/>
      <c r="G51" s="1359"/>
      <c r="H51" s="1359"/>
      <c r="I51" s="1350"/>
      <c r="J51" s="1350"/>
      <c r="K51" s="1351" t="s">
        <v>1566</v>
      </c>
      <c r="L51" s="1352" t="s">
        <v>1702</v>
      </c>
      <c r="M51" s="1353" t="s">
        <v>1569</v>
      </c>
      <c r="N51" s="1354" t="s">
        <v>1703</v>
      </c>
      <c r="O51" s="1627" t="s">
        <v>1575</v>
      </c>
      <c r="P51" s="1601">
        <v>0</v>
      </c>
      <c r="Q51" s="1573">
        <f t="shared" si="8"/>
        <v>0</v>
      </c>
      <c r="R51" s="1573">
        <f t="shared" si="8"/>
        <v>0</v>
      </c>
      <c r="S51" s="1573">
        <f t="shared" si="8"/>
        <v>0.11795988</v>
      </c>
      <c r="T51" s="1601">
        <f t="shared" si="3"/>
        <v>0.11795988</v>
      </c>
      <c r="U51" s="1602">
        <v>0</v>
      </c>
      <c r="V51" s="1601">
        <v>0</v>
      </c>
      <c r="W51" s="1601">
        <v>0</v>
      </c>
      <c r="X51" s="1601"/>
      <c r="Y51" s="1601"/>
      <c r="Z51" s="1601"/>
      <c r="AA51" s="1601"/>
      <c r="AB51" s="1601"/>
      <c r="AC51" s="1580">
        <v>0</v>
      </c>
      <c r="AD51" s="1580">
        <v>0</v>
      </c>
      <c r="AE51" s="1580">
        <v>0.2</v>
      </c>
      <c r="AF51" s="1580">
        <v>1</v>
      </c>
      <c r="AG51" s="1580">
        <v>0</v>
      </c>
      <c r="AH51" s="1590">
        <v>0</v>
      </c>
      <c r="AI51" s="1590">
        <v>0</v>
      </c>
      <c r="AJ51" s="1590"/>
      <c r="AK51" s="1590"/>
      <c r="AL51" s="1590"/>
      <c r="AM51" s="1590"/>
      <c r="AN51" s="1590"/>
      <c r="AO51" s="1601">
        <v>0</v>
      </c>
      <c r="AP51" s="1575">
        <v>0</v>
      </c>
      <c r="AQ51" s="1575">
        <v>0</v>
      </c>
      <c r="AR51" s="1575">
        <v>0.11795988</v>
      </c>
      <c r="AS51" s="1601">
        <f t="shared" si="4"/>
        <v>0.11795988</v>
      </c>
      <c r="AT51" s="1604">
        <v>0</v>
      </c>
      <c r="AU51" s="1603">
        <v>0</v>
      </c>
      <c r="AV51" s="1603">
        <v>0</v>
      </c>
      <c r="AW51" s="1592">
        <v>0</v>
      </c>
      <c r="AX51" s="1592">
        <v>0</v>
      </c>
      <c r="AY51" s="1592">
        <v>0</v>
      </c>
      <c r="AZ51" s="1592">
        <v>0</v>
      </c>
      <c r="BA51" s="1592">
        <v>0</v>
      </c>
      <c r="BB51" s="1604"/>
      <c r="BC51" s="1599" t="s">
        <v>1704</v>
      </c>
      <c r="BD51" s="1600" t="s">
        <v>939</v>
      </c>
      <c r="BE51" s="1620">
        <v>4385000407</v>
      </c>
      <c r="BF51" s="1316">
        <v>1501008608</v>
      </c>
      <c r="BG51" s="1316" t="s">
        <v>1703</v>
      </c>
    </row>
    <row r="52" spans="1:59" s="1430" customFormat="1" ht="32.15" customHeight="1" outlineLevel="1">
      <c r="A52" s="1504">
        <v>8</v>
      </c>
      <c r="B52" s="1501" t="s">
        <v>1705</v>
      </c>
      <c r="C52" s="1578" t="s">
        <v>936</v>
      </c>
      <c r="D52" s="1492" t="str">
        <f t="shared" si="1"/>
        <v>Add Cap (As per 296 of 2019)</v>
      </c>
      <c r="E52" s="1579" t="s">
        <v>1565</v>
      </c>
      <c r="F52" s="1334"/>
      <c r="G52" s="1368"/>
      <c r="H52" s="1368"/>
      <c r="I52" s="1350"/>
      <c r="J52" s="1350"/>
      <c r="K52" s="1351" t="s">
        <v>1566</v>
      </c>
      <c r="L52" s="1352" t="s">
        <v>1706</v>
      </c>
      <c r="M52" s="1353" t="s">
        <v>1569</v>
      </c>
      <c r="N52" s="1354" t="s">
        <v>1565</v>
      </c>
      <c r="O52" s="1627" t="s">
        <v>1575</v>
      </c>
      <c r="P52" s="1572">
        <v>0</v>
      </c>
      <c r="Q52" s="1573">
        <f t="shared" si="8"/>
        <v>0</v>
      </c>
      <c r="R52" s="1573">
        <f t="shared" si="8"/>
        <v>0</v>
      </c>
      <c r="S52" s="1573">
        <f t="shared" si="8"/>
        <v>0</v>
      </c>
      <c r="T52" s="1572">
        <f t="shared" si="3"/>
        <v>0</v>
      </c>
      <c r="U52" s="1602">
        <v>0</v>
      </c>
      <c r="V52" s="1601">
        <v>0</v>
      </c>
      <c r="W52" s="1601">
        <v>0</v>
      </c>
      <c r="X52" s="1601"/>
      <c r="Y52" s="1601"/>
      <c r="Z52" s="1601"/>
      <c r="AA52" s="1601"/>
      <c r="AB52" s="1601"/>
      <c r="AC52" s="1580">
        <v>0</v>
      </c>
      <c r="AD52" s="1580">
        <v>0</v>
      </c>
      <c r="AE52" s="1580">
        <v>0.2</v>
      </c>
      <c r="AF52" s="1580">
        <v>0.2</v>
      </c>
      <c r="AG52" s="1580">
        <v>1</v>
      </c>
      <c r="AH52" s="1590">
        <v>0</v>
      </c>
      <c r="AI52" s="1590">
        <v>0</v>
      </c>
      <c r="AJ52" s="1590"/>
      <c r="AK52" s="1590"/>
      <c r="AL52" s="1590"/>
      <c r="AM52" s="1590"/>
      <c r="AN52" s="1590"/>
      <c r="AO52" s="1601">
        <v>0</v>
      </c>
      <c r="AP52" s="1575">
        <v>0</v>
      </c>
      <c r="AQ52" s="1575">
        <v>0</v>
      </c>
      <c r="AR52" s="1575">
        <v>0</v>
      </c>
      <c r="AS52" s="1601">
        <f t="shared" si="4"/>
        <v>0</v>
      </c>
      <c r="AT52" s="1603">
        <v>0</v>
      </c>
      <c r="AU52" s="1603">
        <v>0</v>
      </c>
      <c r="AV52" s="1591">
        <v>0</v>
      </c>
      <c r="AW52" s="1592">
        <v>0</v>
      </c>
      <c r="AX52" s="1592">
        <v>0</v>
      </c>
      <c r="AY52" s="1592">
        <v>0</v>
      </c>
      <c r="AZ52" s="1592">
        <v>0</v>
      </c>
      <c r="BA52" s="1592">
        <v>0</v>
      </c>
      <c r="BB52" s="1593"/>
      <c r="BC52" s="1599" t="s">
        <v>1707</v>
      </c>
      <c r="BD52" s="1595" t="s">
        <v>937</v>
      </c>
      <c r="BE52" s="1606" t="s">
        <v>1605</v>
      </c>
    </row>
    <row r="53" spans="1:59" s="1430" customFormat="1" ht="30" customHeight="1" outlineLevel="1">
      <c r="A53" s="1504">
        <v>9</v>
      </c>
      <c r="B53" s="1501" t="s">
        <v>1708</v>
      </c>
      <c r="C53" s="1578" t="s">
        <v>936</v>
      </c>
      <c r="D53" s="1492" t="str">
        <f t="shared" si="1"/>
        <v>Add Cap (As per 296 of 2019)</v>
      </c>
      <c r="E53" s="1579" t="s">
        <v>1565</v>
      </c>
      <c r="F53" s="1334"/>
      <c r="G53" s="1368"/>
      <c r="H53" s="1368"/>
      <c r="I53" s="1350"/>
      <c r="J53" s="1350"/>
      <c r="K53" s="1351" t="s">
        <v>1566</v>
      </c>
      <c r="L53" s="1360">
        <v>44116</v>
      </c>
      <c r="M53" s="1353" t="s">
        <v>1569</v>
      </c>
      <c r="N53" s="1354"/>
      <c r="O53" s="1627" t="s">
        <v>1575</v>
      </c>
      <c r="P53" s="1572">
        <v>0</v>
      </c>
      <c r="Q53" s="1573">
        <f t="shared" si="8"/>
        <v>0</v>
      </c>
      <c r="R53" s="1573">
        <f t="shared" si="8"/>
        <v>0</v>
      </c>
      <c r="S53" s="1573">
        <f t="shared" si="8"/>
        <v>0</v>
      </c>
      <c r="T53" s="1572">
        <f t="shared" si="3"/>
        <v>0</v>
      </c>
      <c r="U53" s="1573">
        <f>1233369/10000000</f>
        <v>0.1233369</v>
      </c>
      <c r="V53" s="1573">
        <v>0</v>
      </c>
      <c r="W53" s="1573">
        <v>0</v>
      </c>
      <c r="X53" s="1573"/>
      <c r="Y53" s="1573"/>
      <c r="Z53" s="1573"/>
      <c r="AA53" s="1573"/>
      <c r="AB53" s="1573"/>
      <c r="AC53" s="1580">
        <v>0</v>
      </c>
      <c r="AD53" s="1580">
        <v>0</v>
      </c>
      <c r="AE53" s="1580">
        <v>0.2</v>
      </c>
      <c r="AF53" s="1580">
        <v>0.4</v>
      </c>
      <c r="AG53" s="1580">
        <v>1</v>
      </c>
      <c r="AH53" s="1590">
        <v>0</v>
      </c>
      <c r="AI53" s="1590">
        <v>0</v>
      </c>
      <c r="AJ53" s="1590"/>
      <c r="AK53" s="1590"/>
      <c r="AL53" s="1590"/>
      <c r="AM53" s="1590"/>
      <c r="AN53" s="1590"/>
      <c r="AO53" s="1601">
        <v>0</v>
      </c>
      <c r="AP53" s="1575">
        <v>0</v>
      </c>
      <c r="AQ53" s="1575">
        <v>0</v>
      </c>
      <c r="AR53" s="1575">
        <v>0</v>
      </c>
      <c r="AS53" s="1601">
        <f t="shared" si="4"/>
        <v>0</v>
      </c>
      <c r="AT53" s="1591">
        <v>0.1233369</v>
      </c>
      <c r="AU53" s="1603">
        <v>0</v>
      </c>
      <c r="AV53" s="1603">
        <v>0</v>
      </c>
      <c r="AW53" s="1592">
        <v>0</v>
      </c>
      <c r="AX53" s="1592">
        <v>0</v>
      </c>
      <c r="AY53" s="1592">
        <v>0</v>
      </c>
      <c r="AZ53" s="1592">
        <v>0</v>
      </c>
      <c r="BA53" s="1592">
        <v>0</v>
      </c>
      <c r="BB53" s="1593"/>
      <c r="BC53" s="1599" t="s">
        <v>1709</v>
      </c>
      <c r="BD53" s="1595" t="s">
        <v>939</v>
      </c>
      <c r="BE53" s="1620">
        <v>4385000432</v>
      </c>
      <c r="BF53" s="1628"/>
      <c r="BG53" s="1316"/>
    </row>
    <row r="54" spans="1:59" s="1430" customFormat="1" ht="20.149999999999999" customHeight="1">
      <c r="A54" s="1505"/>
      <c r="B54" s="1506"/>
      <c r="C54" s="1507"/>
      <c r="D54" s="1507"/>
      <c r="E54" s="1629"/>
      <c r="F54" s="1508"/>
      <c r="G54" s="1359"/>
      <c r="H54" s="1359"/>
      <c r="I54" s="1350"/>
      <c r="J54" s="1350"/>
      <c r="K54" s="1351" t="s">
        <v>1566</v>
      </c>
      <c r="L54" s="1352"/>
      <c r="M54" s="1352"/>
      <c r="N54" s="1354"/>
      <c r="O54" s="1369"/>
      <c r="P54" s="1601"/>
      <c r="Q54" s="1601"/>
      <c r="R54" s="1601"/>
      <c r="S54" s="1601"/>
      <c r="T54" s="1601">
        <f t="shared" si="3"/>
        <v>0</v>
      </c>
      <c r="U54" s="1601"/>
      <c r="V54" s="1601"/>
      <c r="W54" s="1601"/>
      <c r="X54" s="1601"/>
      <c r="Y54" s="1601"/>
      <c r="Z54" s="1601"/>
      <c r="AA54" s="1601"/>
      <c r="AB54" s="1601"/>
      <c r="AC54" s="1580"/>
      <c r="AD54" s="1580"/>
      <c r="AE54" s="1580"/>
      <c r="AF54" s="1580"/>
      <c r="AG54" s="1580"/>
      <c r="AH54" s="1590">
        <v>0</v>
      </c>
      <c r="AI54" s="1590">
        <v>0</v>
      </c>
      <c r="AJ54" s="1590"/>
      <c r="AK54" s="1590"/>
      <c r="AL54" s="1590"/>
      <c r="AM54" s="1590"/>
      <c r="AN54" s="1590"/>
      <c r="AO54" s="1601"/>
      <c r="AP54" s="1630"/>
      <c r="AQ54" s="1630"/>
      <c r="AR54" s="1630"/>
      <c r="AS54" s="1601">
        <f t="shared" si="4"/>
        <v>0</v>
      </c>
      <c r="AT54" s="1603"/>
      <c r="AU54" s="1603"/>
      <c r="AV54" s="1603"/>
      <c r="AW54" s="1603"/>
      <c r="AX54" s="1603"/>
      <c r="AY54" s="1603"/>
      <c r="AZ54" s="1603"/>
      <c r="BA54" s="1603"/>
      <c r="BB54" s="1604"/>
      <c r="BC54" s="1369"/>
      <c r="BD54" s="1595"/>
      <c r="BE54" s="1506"/>
    </row>
    <row r="55" spans="1:59" s="1589" customFormat="1" ht="31">
      <c r="A55" s="1493" t="s">
        <v>184</v>
      </c>
      <c r="B55" s="1494" t="s">
        <v>1710</v>
      </c>
      <c r="C55" s="1582"/>
      <c r="D55" s="1495"/>
      <c r="E55" s="1583"/>
      <c r="F55" s="1341"/>
      <c r="G55" s="1342"/>
      <c r="H55" s="1496"/>
      <c r="I55" s="1349"/>
      <c r="J55" s="1349"/>
      <c r="K55" s="1341" t="str">
        <f t="shared" ref="K55" si="9">IF(F55=0,"-",F55)</f>
        <v>-</v>
      </c>
      <c r="L55" s="1370"/>
      <c r="M55" s="1371"/>
      <c r="N55" s="1372"/>
      <c r="O55" s="1373"/>
      <c r="P55" s="1584"/>
      <c r="Q55" s="1584"/>
      <c r="R55" s="1584"/>
      <c r="S55" s="1584"/>
      <c r="T55" s="1584">
        <f t="shared" si="3"/>
        <v>0</v>
      </c>
      <c r="U55" s="1615"/>
      <c r="V55" s="1584"/>
      <c r="W55" s="1584"/>
      <c r="X55" s="1584"/>
      <c r="Y55" s="1584"/>
      <c r="Z55" s="1584"/>
      <c r="AA55" s="1584"/>
      <c r="AB55" s="1584"/>
      <c r="AC55" s="1585"/>
      <c r="AD55" s="1585"/>
      <c r="AE55" s="1585"/>
      <c r="AF55" s="1585"/>
      <c r="AG55" s="1585"/>
      <c r="AH55" s="1585">
        <v>0</v>
      </c>
      <c r="AI55" s="1585">
        <v>0</v>
      </c>
      <c r="AJ55" s="1585"/>
      <c r="AK55" s="1585"/>
      <c r="AL55" s="1585"/>
      <c r="AM55" s="1585"/>
      <c r="AN55" s="1585"/>
      <c r="AO55" s="1584"/>
      <c r="AP55" s="1584"/>
      <c r="AQ55" s="1584"/>
      <c r="AR55" s="1584"/>
      <c r="AS55" s="1584">
        <f t="shared" si="4"/>
        <v>0</v>
      </c>
      <c r="AT55" s="1616"/>
      <c r="AU55" s="1616"/>
      <c r="AV55" s="1616"/>
      <c r="AW55" s="1616"/>
      <c r="AX55" s="1616"/>
      <c r="AY55" s="1616"/>
      <c r="AZ55" s="1616"/>
      <c r="BA55" s="1616"/>
      <c r="BB55" s="1617"/>
      <c r="BC55" s="1362"/>
      <c r="BD55" s="1610"/>
      <c r="BE55" s="1588"/>
    </row>
    <row r="56" spans="1:59" s="1589" customFormat="1" ht="31">
      <c r="A56" s="1493"/>
      <c r="B56" s="1494" t="s">
        <v>1711</v>
      </c>
      <c r="C56" s="1582" t="s">
        <v>936</v>
      </c>
      <c r="D56" s="1495" t="s">
        <v>1712</v>
      </c>
      <c r="E56" s="1583" t="s">
        <v>1565</v>
      </c>
      <c r="F56" s="1341" t="s">
        <v>1713</v>
      </c>
      <c r="G56" s="1342">
        <v>41.453400000000002</v>
      </c>
      <c r="H56" s="1509">
        <f>35.13*1.18</f>
        <v>41.453400000000002</v>
      </c>
      <c r="I56" s="1349"/>
      <c r="J56" s="1349"/>
      <c r="K56" s="1341"/>
      <c r="L56" s="1370"/>
      <c r="M56" s="1371" t="s">
        <v>1569</v>
      </c>
      <c r="N56" s="1372"/>
      <c r="O56" s="1373"/>
      <c r="P56" s="1584"/>
      <c r="Q56" s="1584"/>
      <c r="R56" s="1584"/>
      <c r="S56" s="1584"/>
      <c r="T56" s="1584">
        <f t="shared" si="3"/>
        <v>0</v>
      </c>
      <c r="U56" s="1615"/>
      <c r="V56" s="1584"/>
      <c r="W56" s="1584"/>
      <c r="X56" s="1584"/>
      <c r="Y56" s="1584"/>
      <c r="Z56" s="1584"/>
      <c r="AA56" s="1584"/>
      <c r="AB56" s="1584"/>
      <c r="AC56" s="1585"/>
      <c r="AD56" s="1585"/>
      <c r="AE56" s="1585"/>
      <c r="AF56" s="1585"/>
      <c r="AG56" s="1585"/>
      <c r="AH56" s="1585"/>
      <c r="AI56" s="1585"/>
      <c r="AJ56" s="1585"/>
      <c r="AK56" s="1585"/>
      <c r="AL56" s="1585"/>
      <c r="AM56" s="1585"/>
      <c r="AN56" s="1585"/>
      <c r="AO56" s="1584"/>
      <c r="AP56" s="1584"/>
      <c r="AQ56" s="1584"/>
      <c r="AR56" s="1584"/>
      <c r="AS56" s="1584">
        <f t="shared" si="4"/>
        <v>0</v>
      </c>
      <c r="AT56" s="1616"/>
      <c r="AU56" s="1616"/>
      <c r="AV56" s="1616"/>
      <c r="AW56" s="1616"/>
      <c r="AX56" s="1616"/>
      <c r="AY56" s="1616"/>
      <c r="AZ56" s="1616"/>
      <c r="BA56" s="1616"/>
      <c r="BB56" s="1617"/>
      <c r="BC56" s="1362" t="s">
        <v>1714</v>
      </c>
      <c r="BD56" s="1610"/>
      <c r="BE56" s="1588"/>
    </row>
    <row r="57" spans="1:59" s="1430" customFormat="1" ht="49" customHeight="1" outlineLevel="1">
      <c r="A57" s="1499">
        <v>1</v>
      </c>
      <c r="B57" s="1510" t="s">
        <v>1715</v>
      </c>
      <c r="C57" s="1578" t="s">
        <v>936</v>
      </c>
      <c r="D57" s="1511" t="s">
        <v>1712</v>
      </c>
      <c r="E57" s="1579"/>
      <c r="F57" s="1334"/>
      <c r="G57" s="1368">
        <v>3.48</v>
      </c>
      <c r="I57" s="1336"/>
      <c r="J57" s="1336"/>
      <c r="K57" s="1334"/>
      <c r="L57" s="1374"/>
      <c r="M57" s="1338" t="s">
        <v>1569</v>
      </c>
      <c r="N57" s="1339"/>
      <c r="O57" s="1375"/>
      <c r="P57" s="1572">
        <v>0</v>
      </c>
      <c r="Q57" s="1573">
        <v>0</v>
      </c>
      <c r="R57" s="1631">
        <v>3.4589155919999999</v>
      </c>
      <c r="S57" s="1573">
        <v>0</v>
      </c>
      <c r="T57" s="1572">
        <f t="shared" si="3"/>
        <v>3.4589155919999999</v>
      </c>
      <c r="U57" s="1598">
        <v>0</v>
      </c>
      <c r="V57" s="1573">
        <v>0</v>
      </c>
      <c r="W57" s="1573">
        <v>0</v>
      </c>
      <c r="X57" s="1573"/>
      <c r="Y57" s="1573"/>
      <c r="Z57" s="1573"/>
      <c r="AA57" s="1573"/>
      <c r="AB57" s="1573"/>
      <c r="AC57" s="1580">
        <v>0</v>
      </c>
      <c r="AD57" s="1580">
        <v>0</v>
      </c>
      <c r="AE57" s="1580">
        <v>1</v>
      </c>
      <c r="AF57" s="1580">
        <v>0</v>
      </c>
      <c r="AG57" s="1580">
        <v>0</v>
      </c>
      <c r="AH57" s="1590">
        <v>0</v>
      </c>
      <c r="AI57" s="1590">
        <v>0</v>
      </c>
      <c r="AJ57" s="1590"/>
      <c r="AK57" s="1590"/>
      <c r="AL57" s="1590"/>
      <c r="AM57" s="1590"/>
      <c r="AN57" s="1590"/>
      <c r="AO57" s="1572">
        <v>0</v>
      </c>
      <c r="AP57" s="1632">
        <v>0</v>
      </c>
      <c r="AQ57" s="1631">
        <v>3.4589155919999999</v>
      </c>
      <c r="AR57" s="1630">
        <v>0</v>
      </c>
      <c r="AS57" s="1572">
        <f t="shared" si="4"/>
        <v>3.4589155919999999</v>
      </c>
      <c r="AT57" s="1619">
        <v>0</v>
      </c>
      <c r="AU57" s="1619">
        <v>0</v>
      </c>
      <c r="AV57" s="1619">
        <v>0</v>
      </c>
      <c r="AW57" s="1592">
        <v>0</v>
      </c>
      <c r="AX57" s="1592">
        <v>0</v>
      </c>
      <c r="AY57" s="1592">
        <v>0</v>
      </c>
      <c r="AZ57" s="1592">
        <v>0</v>
      </c>
      <c r="BA57" s="1592">
        <v>0</v>
      </c>
      <c r="BB57" s="1593"/>
      <c r="BC57" s="1369" t="s">
        <v>1716</v>
      </c>
      <c r="BD57" s="1595" t="s">
        <v>939</v>
      </c>
      <c r="BE57" s="1512"/>
    </row>
    <row r="58" spans="1:59" s="1430" customFormat="1" ht="46" customHeight="1" outlineLevel="1">
      <c r="A58" s="1499">
        <v>2</v>
      </c>
      <c r="B58" s="1510" t="s">
        <v>1717</v>
      </c>
      <c r="C58" s="1578" t="s">
        <v>936</v>
      </c>
      <c r="D58" s="1511" t="s">
        <v>1712</v>
      </c>
      <c r="E58" s="1579"/>
      <c r="F58" s="1334"/>
      <c r="G58" s="1368">
        <f>2.52*1.18</f>
        <v>2.9735999999999998</v>
      </c>
      <c r="I58" s="1336"/>
      <c r="J58" s="1336"/>
      <c r="K58" s="1334"/>
      <c r="L58" s="1374"/>
      <c r="M58" s="1338" t="s">
        <v>1569</v>
      </c>
      <c r="N58" s="1339"/>
      <c r="O58" s="1375"/>
      <c r="P58" s="1572">
        <v>0</v>
      </c>
      <c r="Q58" s="1573">
        <v>0</v>
      </c>
      <c r="R58" s="1576">
        <v>2.5606</v>
      </c>
      <c r="S58" s="1573">
        <v>0</v>
      </c>
      <c r="T58" s="1572">
        <f t="shared" si="3"/>
        <v>2.5606</v>
      </c>
      <c r="U58" s="1598">
        <v>0</v>
      </c>
      <c r="V58" s="1573">
        <v>0</v>
      </c>
      <c r="W58" s="1573">
        <v>0</v>
      </c>
      <c r="X58" s="1573"/>
      <c r="Y58" s="1573"/>
      <c r="Z58" s="1573"/>
      <c r="AA58" s="1573"/>
      <c r="AB58" s="1573"/>
      <c r="AC58" s="1580">
        <v>0</v>
      </c>
      <c r="AD58" s="1580">
        <v>0</v>
      </c>
      <c r="AE58" s="1580">
        <v>1</v>
      </c>
      <c r="AF58" s="1580">
        <v>0</v>
      </c>
      <c r="AG58" s="1580">
        <v>0</v>
      </c>
      <c r="AH58" s="1590">
        <v>0</v>
      </c>
      <c r="AI58" s="1590">
        <v>0</v>
      </c>
      <c r="AJ58" s="1590"/>
      <c r="AK58" s="1590"/>
      <c r="AL58" s="1590"/>
      <c r="AM58" s="1590"/>
      <c r="AN58" s="1590"/>
      <c r="AO58" s="1630">
        <v>0</v>
      </c>
      <c r="AP58" s="1633">
        <v>0</v>
      </c>
      <c r="AQ58" s="1576">
        <v>2.5606</v>
      </c>
      <c r="AR58" s="1630">
        <v>0</v>
      </c>
      <c r="AS58" s="1630">
        <f t="shared" si="4"/>
        <v>2.5606</v>
      </c>
      <c r="AT58" s="1619">
        <v>0</v>
      </c>
      <c r="AU58" s="1619">
        <v>0</v>
      </c>
      <c r="AV58" s="1619">
        <v>0</v>
      </c>
      <c r="AW58" s="1592">
        <v>0</v>
      </c>
      <c r="AX58" s="1592">
        <v>0</v>
      </c>
      <c r="AY58" s="1592">
        <v>0</v>
      </c>
      <c r="AZ58" s="1592">
        <v>0</v>
      </c>
      <c r="BA58" s="1592">
        <v>0</v>
      </c>
      <c r="BB58" s="1593"/>
      <c r="BC58" s="1369" t="s">
        <v>1716</v>
      </c>
      <c r="BD58" s="1595" t="s">
        <v>939</v>
      </c>
      <c r="BE58" s="1512"/>
    </row>
    <row r="59" spans="1:59" s="1430" customFormat="1" ht="43.5" outlineLevel="1">
      <c r="A59" s="1499">
        <v>3</v>
      </c>
      <c r="B59" s="1510" t="s">
        <v>1718</v>
      </c>
      <c r="C59" s="1578" t="s">
        <v>936</v>
      </c>
      <c r="D59" s="1511" t="s">
        <v>1712</v>
      </c>
      <c r="E59" s="1579"/>
      <c r="F59" s="1334"/>
      <c r="G59" s="1368">
        <f>1.04*1.18</f>
        <v>1.2272000000000001</v>
      </c>
      <c r="I59" s="1336"/>
      <c r="J59" s="1336"/>
      <c r="K59" s="1334"/>
      <c r="L59" s="1374"/>
      <c r="M59" s="1338" t="s">
        <v>1569</v>
      </c>
      <c r="N59" s="1339"/>
      <c r="O59" s="1375"/>
      <c r="P59" s="1572">
        <v>0</v>
      </c>
      <c r="Q59" s="1573">
        <v>0</v>
      </c>
      <c r="R59" s="1576">
        <v>1.0502</v>
      </c>
      <c r="S59" s="1573">
        <v>0</v>
      </c>
      <c r="T59" s="1572">
        <f t="shared" si="3"/>
        <v>1.0502</v>
      </c>
      <c r="U59" s="1598">
        <v>0</v>
      </c>
      <c r="V59" s="1573">
        <v>0</v>
      </c>
      <c r="W59" s="1573">
        <v>0</v>
      </c>
      <c r="X59" s="1573"/>
      <c r="Y59" s="1573"/>
      <c r="Z59" s="1573"/>
      <c r="AA59" s="1573"/>
      <c r="AB59" s="1573"/>
      <c r="AC59" s="1580">
        <v>0</v>
      </c>
      <c r="AD59" s="1580">
        <v>0</v>
      </c>
      <c r="AE59" s="1580">
        <v>1</v>
      </c>
      <c r="AF59" s="1580">
        <v>0</v>
      </c>
      <c r="AG59" s="1580">
        <v>0</v>
      </c>
      <c r="AH59" s="1590">
        <v>0</v>
      </c>
      <c r="AI59" s="1590">
        <v>0</v>
      </c>
      <c r="AJ59" s="1590"/>
      <c r="AK59" s="1590"/>
      <c r="AL59" s="1590"/>
      <c r="AM59" s="1590"/>
      <c r="AN59" s="1590"/>
      <c r="AO59" s="1630">
        <v>0</v>
      </c>
      <c r="AP59" s="1630">
        <v>0</v>
      </c>
      <c r="AQ59" s="1576">
        <v>1.0502</v>
      </c>
      <c r="AR59" s="1630">
        <v>0</v>
      </c>
      <c r="AS59" s="1630">
        <f t="shared" si="4"/>
        <v>1.0502</v>
      </c>
      <c r="AT59" s="1619">
        <v>0</v>
      </c>
      <c r="AU59" s="1619">
        <v>0</v>
      </c>
      <c r="AV59" s="1619">
        <v>0</v>
      </c>
      <c r="AW59" s="1592">
        <v>0</v>
      </c>
      <c r="AX59" s="1592">
        <v>0</v>
      </c>
      <c r="AY59" s="1592">
        <v>0</v>
      </c>
      <c r="AZ59" s="1592">
        <v>0</v>
      </c>
      <c r="BA59" s="1592">
        <v>0</v>
      </c>
      <c r="BB59" s="1593"/>
      <c r="BC59" s="1369" t="s">
        <v>1716</v>
      </c>
      <c r="BD59" s="1595" t="s">
        <v>939</v>
      </c>
      <c r="BE59" s="1512"/>
    </row>
    <row r="60" spans="1:59" s="1430" customFormat="1" ht="58" outlineLevel="1">
      <c r="A60" s="1499">
        <v>4</v>
      </c>
      <c r="B60" s="1510" t="s">
        <v>1719</v>
      </c>
      <c r="C60" s="1578" t="s">
        <v>936</v>
      </c>
      <c r="D60" s="1511" t="s">
        <v>1712</v>
      </c>
      <c r="E60" s="1579"/>
      <c r="F60" s="1334"/>
      <c r="G60" s="1368">
        <f>0.73*1.18</f>
        <v>0.86139999999999994</v>
      </c>
      <c r="I60" s="1336"/>
      <c r="J60" s="1336"/>
      <c r="K60" s="1334"/>
      <c r="L60" s="1374"/>
      <c r="M60" s="1338" t="s">
        <v>1569</v>
      </c>
      <c r="N60" s="1339"/>
      <c r="O60" s="1375"/>
      <c r="P60" s="1572">
        <v>0</v>
      </c>
      <c r="Q60" s="1573">
        <v>0</v>
      </c>
      <c r="R60" s="1631">
        <v>0.84960000000000002</v>
      </c>
      <c r="S60" s="1573">
        <v>0</v>
      </c>
      <c r="T60" s="1572">
        <f t="shared" si="3"/>
        <v>0.84960000000000002</v>
      </c>
      <c r="U60" s="1598">
        <v>0</v>
      </c>
      <c r="V60" s="1573">
        <v>0</v>
      </c>
      <c r="W60" s="1573">
        <v>0</v>
      </c>
      <c r="X60" s="1573"/>
      <c r="Y60" s="1573"/>
      <c r="Z60" s="1573"/>
      <c r="AA60" s="1573"/>
      <c r="AB60" s="1573"/>
      <c r="AC60" s="1580">
        <v>0</v>
      </c>
      <c r="AD60" s="1580">
        <v>0</v>
      </c>
      <c r="AE60" s="1580">
        <v>1</v>
      </c>
      <c r="AF60" s="1580">
        <v>0</v>
      </c>
      <c r="AG60" s="1580">
        <v>0</v>
      </c>
      <c r="AH60" s="1590">
        <v>0</v>
      </c>
      <c r="AI60" s="1590">
        <v>0</v>
      </c>
      <c r="AJ60" s="1590"/>
      <c r="AK60" s="1590"/>
      <c r="AL60" s="1590"/>
      <c r="AM60" s="1590"/>
      <c r="AN60" s="1590"/>
      <c r="AO60" s="1630">
        <v>0</v>
      </c>
      <c r="AP60" s="1630">
        <v>0</v>
      </c>
      <c r="AQ60" s="1631">
        <v>0.84960000000000002</v>
      </c>
      <c r="AR60" s="1630">
        <v>0</v>
      </c>
      <c r="AS60" s="1630">
        <f t="shared" si="4"/>
        <v>0.84960000000000002</v>
      </c>
      <c r="AT60" s="1619">
        <v>0</v>
      </c>
      <c r="AU60" s="1619">
        <v>0</v>
      </c>
      <c r="AV60" s="1619">
        <v>0</v>
      </c>
      <c r="AW60" s="1592">
        <v>0</v>
      </c>
      <c r="AX60" s="1592">
        <v>0</v>
      </c>
      <c r="AY60" s="1592">
        <v>0</v>
      </c>
      <c r="AZ60" s="1592">
        <v>0</v>
      </c>
      <c r="BA60" s="1592">
        <v>0</v>
      </c>
      <c r="BB60" s="1593"/>
      <c r="BC60" s="1369" t="s">
        <v>1716</v>
      </c>
      <c r="BD60" s="1595" t="s">
        <v>939</v>
      </c>
      <c r="BE60" s="1512"/>
    </row>
    <row r="61" spans="1:59" s="1430" customFormat="1" ht="43.5" outlineLevel="1">
      <c r="A61" s="1499">
        <v>5</v>
      </c>
      <c r="B61" s="1510" t="s">
        <v>1720</v>
      </c>
      <c r="C61" s="1578" t="s">
        <v>936</v>
      </c>
      <c r="D61" s="1511" t="s">
        <v>1712</v>
      </c>
      <c r="E61" s="1579"/>
      <c r="F61" s="1334"/>
      <c r="G61" s="1368">
        <f>0.79*1.18</f>
        <v>0.93220000000000003</v>
      </c>
      <c r="I61" s="1336"/>
      <c r="J61" s="1336"/>
      <c r="K61" s="1334"/>
      <c r="L61" s="1374"/>
      <c r="M61" s="1338" t="s">
        <v>1569</v>
      </c>
      <c r="N61" s="1339"/>
      <c r="O61" s="1375"/>
      <c r="P61" s="1572">
        <v>0</v>
      </c>
      <c r="Q61" s="1573">
        <v>0</v>
      </c>
      <c r="R61" s="1576">
        <v>0.91256150000000003</v>
      </c>
      <c r="S61" s="1573">
        <v>0</v>
      </c>
      <c r="T61" s="1572">
        <f t="shared" si="3"/>
        <v>0.91256150000000003</v>
      </c>
      <c r="U61" s="1598">
        <v>0</v>
      </c>
      <c r="V61" s="1573">
        <v>0</v>
      </c>
      <c r="W61" s="1573">
        <v>0</v>
      </c>
      <c r="X61" s="1573"/>
      <c r="Y61" s="1573"/>
      <c r="Z61" s="1573"/>
      <c r="AA61" s="1573"/>
      <c r="AB61" s="1573"/>
      <c r="AC61" s="1580">
        <v>0</v>
      </c>
      <c r="AD61" s="1580">
        <v>0</v>
      </c>
      <c r="AE61" s="1580">
        <v>1</v>
      </c>
      <c r="AF61" s="1580">
        <v>0</v>
      </c>
      <c r="AG61" s="1580">
        <v>0</v>
      </c>
      <c r="AH61" s="1590">
        <v>0</v>
      </c>
      <c r="AI61" s="1590">
        <v>0</v>
      </c>
      <c r="AJ61" s="1590"/>
      <c r="AK61" s="1590"/>
      <c r="AL61" s="1590"/>
      <c r="AM61" s="1590"/>
      <c r="AN61" s="1590"/>
      <c r="AO61" s="1630">
        <v>0</v>
      </c>
      <c r="AP61" s="1630">
        <v>0</v>
      </c>
      <c r="AQ61" s="1576">
        <v>0.91256150000000003</v>
      </c>
      <c r="AR61" s="1630">
        <v>0</v>
      </c>
      <c r="AS61" s="1630">
        <f t="shared" si="4"/>
        <v>0.91256150000000003</v>
      </c>
      <c r="AT61" s="1619">
        <v>0</v>
      </c>
      <c r="AU61" s="1619">
        <v>0</v>
      </c>
      <c r="AV61" s="1619">
        <v>0</v>
      </c>
      <c r="AW61" s="1592">
        <v>0</v>
      </c>
      <c r="AX61" s="1592">
        <v>0</v>
      </c>
      <c r="AY61" s="1592">
        <v>0</v>
      </c>
      <c r="AZ61" s="1592">
        <v>0</v>
      </c>
      <c r="BA61" s="1592">
        <v>0</v>
      </c>
      <c r="BB61" s="1593"/>
      <c r="BC61" s="1369" t="s">
        <v>1716</v>
      </c>
      <c r="BD61" s="1595" t="s">
        <v>939</v>
      </c>
      <c r="BE61" s="1512"/>
    </row>
    <row r="62" spans="1:59" s="1430" customFormat="1" ht="26.15" customHeight="1" outlineLevel="1">
      <c r="A62" s="1499">
        <v>6</v>
      </c>
      <c r="B62" s="1510" t="s">
        <v>1721</v>
      </c>
      <c r="C62" s="1578" t="s">
        <v>936</v>
      </c>
      <c r="D62" s="1511" t="s">
        <v>1712</v>
      </c>
      <c r="E62" s="1579"/>
      <c r="F62" s="1334"/>
      <c r="G62" s="1368">
        <f>0.65*1.18</f>
        <v>0.76700000000000002</v>
      </c>
      <c r="I62" s="1336"/>
      <c r="J62" s="1336"/>
      <c r="K62" s="1334"/>
      <c r="L62" s="1374"/>
      <c r="M62" s="1338" t="s">
        <v>1569</v>
      </c>
      <c r="N62" s="1339"/>
      <c r="O62" s="1375"/>
      <c r="P62" s="1572">
        <v>0</v>
      </c>
      <c r="Q62" s="1573">
        <v>0</v>
      </c>
      <c r="R62" s="1576">
        <v>0.60826469999999999</v>
      </c>
      <c r="S62" s="1573">
        <v>0</v>
      </c>
      <c r="T62" s="1572">
        <f t="shared" si="3"/>
        <v>0.60826469999999999</v>
      </c>
      <c r="U62" s="1598">
        <v>0</v>
      </c>
      <c r="V62" s="1573">
        <v>0</v>
      </c>
      <c r="W62" s="1573">
        <v>0</v>
      </c>
      <c r="X62" s="1573"/>
      <c r="Y62" s="1573"/>
      <c r="Z62" s="1573"/>
      <c r="AA62" s="1573"/>
      <c r="AB62" s="1573"/>
      <c r="AC62" s="1580">
        <v>0</v>
      </c>
      <c r="AD62" s="1580">
        <v>0</v>
      </c>
      <c r="AE62" s="1580">
        <v>1</v>
      </c>
      <c r="AF62" s="1580">
        <v>0</v>
      </c>
      <c r="AG62" s="1580">
        <v>0</v>
      </c>
      <c r="AH62" s="1590">
        <v>0</v>
      </c>
      <c r="AI62" s="1590">
        <v>0</v>
      </c>
      <c r="AJ62" s="1590"/>
      <c r="AK62" s="1590"/>
      <c r="AL62" s="1590"/>
      <c r="AM62" s="1590"/>
      <c r="AN62" s="1590"/>
      <c r="AO62" s="1630">
        <v>0</v>
      </c>
      <c r="AP62" s="1630">
        <v>0</v>
      </c>
      <c r="AQ62" s="1576">
        <v>0.60826469999999999</v>
      </c>
      <c r="AR62" s="1630">
        <v>0</v>
      </c>
      <c r="AS62" s="1630">
        <f t="shared" si="4"/>
        <v>0.60826469999999999</v>
      </c>
      <c r="AT62" s="1619">
        <v>0</v>
      </c>
      <c r="AU62" s="1619">
        <v>0</v>
      </c>
      <c r="AV62" s="1619">
        <v>0</v>
      </c>
      <c r="AW62" s="1592">
        <v>0</v>
      </c>
      <c r="AX62" s="1592">
        <v>0</v>
      </c>
      <c r="AY62" s="1592">
        <v>0</v>
      </c>
      <c r="AZ62" s="1592">
        <v>0</v>
      </c>
      <c r="BA62" s="1592">
        <v>0</v>
      </c>
      <c r="BB62" s="1593"/>
      <c r="BC62" s="1369" t="s">
        <v>1716</v>
      </c>
      <c r="BD62" s="1595" t="s">
        <v>939</v>
      </c>
      <c r="BE62" s="1512"/>
    </row>
    <row r="63" spans="1:59" s="1430" customFormat="1" ht="43.5" outlineLevel="1">
      <c r="A63" s="1499">
        <v>7</v>
      </c>
      <c r="B63" s="1510" t="s">
        <v>1722</v>
      </c>
      <c r="C63" s="1578" t="s">
        <v>936</v>
      </c>
      <c r="D63" s="1511" t="s">
        <v>1712</v>
      </c>
      <c r="E63" s="1579"/>
      <c r="F63" s="1334"/>
      <c r="G63" s="1368">
        <f>0.44*1.18</f>
        <v>0.51919999999999999</v>
      </c>
      <c r="I63" s="1336"/>
      <c r="J63" s="1336"/>
      <c r="K63" s="1334"/>
      <c r="L63" s="1374"/>
      <c r="M63" s="1338" t="s">
        <v>1569</v>
      </c>
      <c r="N63" s="1339"/>
      <c r="O63" s="1375"/>
      <c r="P63" s="1572">
        <v>0</v>
      </c>
      <c r="Q63" s="1573">
        <v>0</v>
      </c>
      <c r="R63" s="1573">
        <v>0</v>
      </c>
      <c r="S63" s="1573">
        <v>0</v>
      </c>
      <c r="T63" s="1572">
        <f t="shared" si="3"/>
        <v>0</v>
      </c>
      <c r="U63" s="1573">
        <v>0.41</v>
      </c>
      <c r="V63" s="1573">
        <v>0</v>
      </c>
      <c r="W63" s="1573">
        <v>0</v>
      </c>
      <c r="X63" s="1573"/>
      <c r="Y63" s="1573"/>
      <c r="Z63" s="1573"/>
      <c r="AA63" s="1573"/>
      <c r="AB63" s="1573"/>
      <c r="AC63" s="1580">
        <v>0</v>
      </c>
      <c r="AD63" s="1580">
        <v>0</v>
      </c>
      <c r="AE63" s="1580">
        <v>0</v>
      </c>
      <c r="AF63" s="1580">
        <v>0</v>
      </c>
      <c r="AG63" s="1580">
        <v>1</v>
      </c>
      <c r="AH63" s="1590">
        <v>0</v>
      </c>
      <c r="AI63" s="1590">
        <v>0</v>
      </c>
      <c r="AJ63" s="1590"/>
      <c r="AK63" s="1590"/>
      <c r="AL63" s="1590"/>
      <c r="AM63" s="1590"/>
      <c r="AN63" s="1590"/>
      <c r="AO63" s="1572">
        <v>0</v>
      </c>
      <c r="AP63" s="1572">
        <v>0</v>
      </c>
      <c r="AQ63" s="1572">
        <v>0</v>
      </c>
      <c r="AR63" s="1572">
        <v>0</v>
      </c>
      <c r="AS63" s="1572">
        <f t="shared" si="4"/>
        <v>0</v>
      </c>
      <c r="AT63" s="1593">
        <v>0.41</v>
      </c>
      <c r="AU63" s="1592">
        <v>0</v>
      </c>
      <c r="AV63" s="1592">
        <v>0</v>
      </c>
      <c r="AW63" s="1592">
        <v>0</v>
      </c>
      <c r="AX63" s="1592">
        <v>0</v>
      </c>
      <c r="AY63" s="1592">
        <v>0</v>
      </c>
      <c r="AZ63" s="1592">
        <v>0</v>
      </c>
      <c r="BA63" s="1592">
        <v>0</v>
      </c>
      <c r="BB63" s="1593"/>
      <c r="BC63" s="1369" t="s">
        <v>1716</v>
      </c>
      <c r="BD63" s="1595" t="s">
        <v>939</v>
      </c>
      <c r="BE63" s="1512"/>
    </row>
    <row r="64" spans="1:59" s="1430" customFormat="1" ht="50.15" customHeight="1" outlineLevel="1">
      <c r="A64" s="1499">
        <v>8</v>
      </c>
      <c r="B64" s="1510" t="s">
        <v>1723</v>
      </c>
      <c r="C64" s="1578" t="s">
        <v>936</v>
      </c>
      <c r="D64" s="1511" t="s">
        <v>1712</v>
      </c>
      <c r="E64" s="1579"/>
      <c r="F64" s="1334"/>
      <c r="G64" s="1368">
        <f>3.04*1.18</f>
        <v>3.5871999999999997</v>
      </c>
      <c r="I64" s="1336"/>
      <c r="J64" s="1336"/>
      <c r="K64" s="1334"/>
      <c r="L64" s="1374"/>
      <c r="M64" s="1338" t="s">
        <v>1569</v>
      </c>
      <c r="N64" s="1339"/>
      <c r="O64" s="1375"/>
      <c r="P64" s="1572">
        <v>0</v>
      </c>
      <c r="Q64" s="1573">
        <v>0</v>
      </c>
      <c r="R64" s="1573">
        <v>0</v>
      </c>
      <c r="S64" s="1576">
        <v>2.6266799999999999</v>
      </c>
      <c r="T64" s="1572">
        <f t="shared" si="3"/>
        <v>2.6266799999999999</v>
      </c>
      <c r="U64" s="1573">
        <v>0.95521</v>
      </c>
      <c r="V64" s="1573">
        <v>0</v>
      </c>
      <c r="W64" s="1573">
        <v>0</v>
      </c>
      <c r="X64" s="1573"/>
      <c r="Y64" s="1573"/>
      <c r="Z64" s="1573"/>
      <c r="AA64" s="1573"/>
      <c r="AB64" s="1573"/>
      <c r="AC64" s="1580">
        <v>0</v>
      </c>
      <c r="AD64" s="1580">
        <v>0</v>
      </c>
      <c r="AE64" s="1580">
        <v>0</v>
      </c>
      <c r="AF64" s="1580">
        <v>0</v>
      </c>
      <c r="AG64" s="1580">
        <v>1</v>
      </c>
      <c r="AH64" s="1590">
        <v>0</v>
      </c>
      <c r="AI64" s="1590">
        <v>0</v>
      </c>
      <c r="AJ64" s="1590"/>
      <c r="AK64" s="1590"/>
      <c r="AL64" s="1590"/>
      <c r="AM64" s="1590"/>
      <c r="AN64" s="1590"/>
      <c r="AO64" s="1572">
        <v>0</v>
      </c>
      <c r="AP64" s="1572">
        <v>0</v>
      </c>
      <c r="AQ64" s="1572">
        <v>0</v>
      </c>
      <c r="AR64" s="1572">
        <v>0</v>
      </c>
      <c r="AS64" s="1572">
        <f t="shared" si="4"/>
        <v>0</v>
      </c>
      <c r="AT64" s="1593">
        <v>3.5813899999999999</v>
      </c>
      <c r="AU64" s="1592">
        <v>0</v>
      </c>
      <c r="AV64" s="1592">
        <v>0</v>
      </c>
      <c r="AW64" s="1592">
        <v>0</v>
      </c>
      <c r="AX64" s="1592">
        <v>0</v>
      </c>
      <c r="AY64" s="1592">
        <v>0</v>
      </c>
      <c r="AZ64" s="1592">
        <v>0</v>
      </c>
      <c r="BA64" s="1592">
        <v>0</v>
      </c>
      <c r="BB64" s="1593"/>
      <c r="BC64" s="1369" t="s">
        <v>1724</v>
      </c>
      <c r="BD64" s="1595" t="s">
        <v>939</v>
      </c>
      <c r="BE64" s="1512"/>
    </row>
    <row r="65" spans="1:57" s="1430" customFormat="1" ht="29" outlineLevel="1">
      <c r="A65" s="1499">
        <v>9</v>
      </c>
      <c r="B65" s="1510" t="s">
        <v>1725</v>
      </c>
      <c r="C65" s="1578" t="s">
        <v>936</v>
      </c>
      <c r="D65" s="1511" t="s">
        <v>1712</v>
      </c>
      <c r="E65" s="1579"/>
      <c r="F65" s="1334"/>
      <c r="G65" s="1368">
        <f>2.73*1.18</f>
        <v>3.2213999999999996</v>
      </c>
      <c r="I65" s="1336"/>
      <c r="J65" s="1336"/>
      <c r="K65" s="1334"/>
      <c r="L65" s="1374"/>
      <c r="M65" s="1338" t="s">
        <v>1569</v>
      </c>
      <c r="N65" s="1339"/>
      <c r="O65" s="1375"/>
      <c r="P65" s="1572">
        <v>0</v>
      </c>
      <c r="Q65" s="1573">
        <v>0</v>
      </c>
      <c r="R65" s="1573">
        <v>0</v>
      </c>
      <c r="S65" s="1573">
        <v>0</v>
      </c>
      <c r="T65" s="1572">
        <f t="shared" si="3"/>
        <v>0</v>
      </c>
      <c r="U65" s="1634">
        <v>0</v>
      </c>
      <c r="V65" s="1573">
        <v>1.75</v>
      </c>
      <c r="W65" s="1573">
        <v>0</v>
      </c>
      <c r="X65" s="1573"/>
      <c r="Y65" s="1573"/>
      <c r="Z65" s="1573"/>
      <c r="AA65" s="1573"/>
      <c r="AB65" s="1573"/>
      <c r="AC65" s="1580">
        <v>0</v>
      </c>
      <c r="AD65" s="1580">
        <v>0</v>
      </c>
      <c r="AE65" s="1580">
        <v>0</v>
      </c>
      <c r="AF65" s="1580">
        <v>0</v>
      </c>
      <c r="AG65" s="1580">
        <v>1</v>
      </c>
      <c r="AH65" s="1590">
        <v>0</v>
      </c>
      <c r="AI65" s="1590">
        <v>0</v>
      </c>
      <c r="AJ65" s="1590"/>
      <c r="AK65" s="1590"/>
      <c r="AL65" s="1590"/>
      <c r="AM65" s="1590"/>
      <c r="AN65" s="1590"/>
      <c r="AO65" s="1572">
        <v>0</v>
      </c>
      <c r="AP65" s="1572">
        <v>0</v>
      </c>
      <c r="AQ65" s="1572">
        <v>0</v>
      </c>
      <c r="AR65" s="1572">
        <v>0</v>
      </c>
      <c r="AS65" s="1572">
        <f t="shared" si="4"/>
        <v>0</v>
      </c>
      <c r="AT65" s="1592">
        <v>0</v>
      </c>
      <c r="AU65" s="1593">
        <v>1.7448406999999999</v>
      </c>
      <c r="AV65" s="1592">
        <v>0</v>
      </c>
      <c r="AW65" s="1592">
        <v>0</v>
      </c>
      <c r="AX65" s="1592">
        <v>0</v>
      </c>
      <c r="AY65" s="1592">
        <v>0</v>
      </c>
      <c r="AZ65" s="1592">
        <v>0</v>
      </c>
      <c r="BA65" s="1592">
        <v>0</v>
      </c>
      <c r="BB65" s="1593"/>
      <c r="BC65" s="1369" t="s">
        <v>1726</v>
      </c>
      <c r="BD65" s="1595" t="s">
        <v>939</v>
      </c>
      <c r="BE65" s="1512"/>
    </row>
    <row r="66" spans="1:57" s="1430" customFormat="1" ht="29" outlineLevel="1">
      <c r="A66" s="1499">
        <v>10</v>
      </c>
      <c r="B66" s="1510" t="s">
        <v>1727</v>
      </c>
      <c r="C66" s="1578" t="s">
        <v>936</v>
      </c>
      <c r="D66" s="1511" t="s">
        <v>1712</v>
      </c>
      <c r="E66" s="1579"/>
      <c r="F66" s="1334"/>
      <c r="G66" s="1368">
        <f>1.83*1.18</f>
        <v>2.1593999999999998</v>
      </c>
      <c r="I66" s="1336"/>
      <c r="J66" s="1336"/>
      <c r="K66" s="1334"/>
      <c r="L66" s="1374"/>
      <c r="M66" s="1338" t="s">
        <v>1569</v>
      </c>
      <c r="N66" s="1339"/>
      <c r="O66" s="1375"/>
      <c r="P66" s="1572">
        <v>0</v>
      </c>
      <c r="Q66" s="1573">
        <v>0</v>
      </c>
      <c r="R66" s="1573">
        <v>0</v>
      </c>
      <c r="S66" s="1573">
        <v>0</v>
      </c>
      <c r="T66" s="1572">
        <f t="shared" si="3"/>
        <v>0</v>
      </c>
      <c r="U66" s="1573">
        <v>1.380482</v>
      </c>
      <c r="V66" s="1573">
        <v>0</v>
      </c>
      <c r="W66" s="1573">
        <v>0</v>
      </c>
      <c r="X66" s="1573"/>
      <c r="Y66" s="1573"/>
      <c r="Z66" s="1573"/>
      <c r="AA66" s="1573"/>
      <c r="AB66" s="1573"/>
      <c r="AC66" s="1580">
        <v>0</v>
      </c>
      <c r="AD66" s="1580">
        <v>0</v>
      </c>
      <c r="AE66" s="1580">
        <v>0</v>
      </c>
      <c r="AF66" s="1580">
        <v>0</v>
      </c>
      <c r="AG66" s="1580">
        <v>1</v>
      </c>
      <c r="AH66" s="1590">
        <v>0</v>
      </c>
      <c r="AI66" s="1590">
        <v>0</v>
      </c>
      <c r="AJ66" s="1590"/>
      <c r="AK66" s="1590"/>
      <c r="AL66" s="1590"/>
      <c r="AM66" s="1590"/>
      <c r="AN66" s="1590"/>
      <c r="AO66" s="1572">
        <v>0</v>
      </c>
      <c r="AP66" s="1572">
        <v>0</v>
      </c>
      <c r="AQ66" s="1572">
        <v>0</v>
      </c>
      <c r="AR66" s="1572">
        <v>0</v>
      </c>
      <c r="AS66" s="1572">
        <f t="shared" si="4"/>
        <v>0</v>
      </c>
      <c r="AT66" s="1591">
        <v>1.380482</v>
      </c>
      <c r="AU66" s="1592">
        <v>0</v>
      </c>
      <c r="AV66" s="1592">
        <v>0</v>
      </c>
      <c r="AW66" s="1592">
        <v>0</v>
      </c>
      <c r="AX66" s="1592">
        <v>0</v>
      </c>
      <c r="AY66" s="1592">
        <v>0</v>
      </c>
      <c r="AZ66" s="1592">
        <v>0</v>
      </c>
      <c r="BA66" s="1592">
        <v>0</v>
      </c>
      <c r="BB66" s="1593"/>
      <c r="BC66" s="1369" t="s">
        <v>1728</v>
      </c>
      <c r="BD66" s="1595" t="s">
        <v>939</v>
      </c>
      <c r="BE66" s="1512"/>
    </row>
    <row r="67" spans="1:57" s="1430" customFormat="1" ht="29" outlineLevel="1">
      <c r="A67" s="1499">
        <v>11</v>
      </c>
      <c r="B67" s="1510" t="s">
        <v>1729</v>
      </c>
      <c r="C67" s="1578" t="s">
        <v>936</v>
      </c>
      <c r="D67" s="1511" t="s">
        <v>1712</v>
      </c>
      <c r="E67" s="1579"/>
      <c r="F67" s="1334"/>
      <c r="G67" s="1368">
        <f>1.92*1.18</f>
        <v>2.2655999999999996</v>
      </c>
      <c r="I67" s="1336"/>
      <c r="J67" s="1336"/>
      <c r="K67" s="1334"/>
      <c r="L67" s="1374"/>
      <c r="M67" s="1338" t="s">
        <v>1569</v>
      </c>
      <c r="N67" s="1339"/>
      <c r="O67" s="1375"/>
      <c r="P67" s="1572">
        <v>0</v>
      </c>
      <c r="Q67" s="1573">
        <v>0</v>
      </c>
      <c r="R67" s="1573">
        <v>0</v>
      </c>
      <c r="S67" s="1573">
        <v>1.8060844</v>
      </c>
      <c r="T67" s="1572">
        <f t="shared" si="3"/>
        <v>1.8060844</v>
      </c>
      <c r="U67" s="1598">
        <v>0</v>
      </c>
      <c r="V67" s="1573">
        <v>0.43</v>
      </c>
      <c r="W67" s="1573">
        <v>0</v>
      </c>
      <c r="X67" s="1573"/>
      <c r="Y67" s="1573"/>
      <c r="Z67" s="1573"/>
      <c r="AA67" s="1573"/>
      <c r="AB67" s="1573"/>
      <c r="AC67" s="1580">
        <v>0</v>
      </c>
      <c r="AD67" s="1580">
        <v>0</v>
      </c>
      <c r="AE67" s="1580">
        <v>0</v>
      </c>
      <c r="AF67" s="1580">
        <v>0</v>
      </c>
      <c r="AG67" s="1580">
        <v>1</v>
      </c>
      <c r="AH67" s="1590">
        <v>0</v>
      </c>
      <c r="AI67" s="1590">
        <v>0</v>
      </c>
      <c r="AJ67" s="1590"/>
      <c r="AK67" s="1590"/>
      <c r="AL67" s="1590"/>
      <c r="AM67" s="1590"/>
      <c r="AN67" s="1590"/>
      <c r="AO67" s="1572">
        <v>0</v>
      </c>
      <c r="AP67" s="1572">
        <v>0</v>
      </c>
      <c r="AQ67" s="1572">
        <v>0</v>
      </c>
      <c r="AR67" s="1572">
        <v>0</v>
      </c>
      <c r="AS67" s="1572">
        <f t="shared" si="4"/>
        <v>0</v>
      </c>
      <c r="AT67" s="1635">
        <v>0</v>
      </c>
      <c r="AU67" s="1593">
        <v>2.2418230000000001</v>
      </c>
      <c r="AV67" s="1592">
        <v>0</v>
      </c>
      <c r="AW67" s="1592">
        <v>0</v>
      </c>
      <c r="AX67" s="1592">
        <v>0</v>
      </c>
      <c r="AY67" s="1592">
        <v>0</v>
      </c>
      <c r="AZ67" s="1592">
        <v>0</v>
      </c>
      <c r="BA67" s="1592">
        <v>0</v>
      </c>
      <c r="BB67" s="1593"/>
      <c r="BC67" s="1369" t="s">
        <v>1724</v>
      </c>
      <c r="BD67" s="1595" t="s">
        <v>939</v>
      </c>
      <c r="BE67" s="1512"/>
    </row>
    <row r="68" spans="1:57" s="1430" customFormat="1" ht="29" outlineLevel="1">
      <c r="A68" s="1499">
        <v>12</v>
      </c>
      <c r="B68" s="1510" t="s">
        <v>1730</v>
      </c>
      <c r="C68" s="1578" t="s">
        <v>936</v>
      </c>
      <c r="D68" s="1511" t="s">
        <v>1712</v>
      </c>
      <c r="E68" s="1579"/>
      <c r="F68" s="1334"/>
      <c r="G68" s="1368">
        <f>3.68*1.18</f>
        <v>4.3423999999999996</v>
      </c>
      <c r="I68" s="1336"/>
      <c r="J68" s="1336"/>
      <c r="K68" s="1334"/>
      <c r="L68" s="1374"/>
      <c r="M68" s="1338" t="s">
        <v>1569</v>
      </c>
      <c r="N68" s="1339"/>
      <c r="O68" s="1375"/>
      <c r="P68" s="1572">
        <v>0</v>
      </c>
      <c r="Q68" s="1573">
        <v>0</v>
      </c>
      <c r="R68" s="1573">
        <v>0</v>
      </c>
      <c r="S68" s="1573">
        <v>2.8091143999999999</v>
      </c>
      <c r="T68" s="1572">
        <f t="shared" si="3"/>
        <v>2.8091143999999999</v>
      </c>
      <c r="U68" s="1598">
        <v>0</v>
      </c>
      <c r="V68" s="1573">
        <v>0</v>
      </c>
      <c r="W68" s="1573">
        <v>1.53</v>
      </c>
      <c r="X68" s="1573"/>
      <c r="Y68" s="1573"/>
      <c r="Z68" s="1573"/>
      <c r="AA68" s="1573"/>
      <c r="AB68" s="1573"/>
      <c r="AC68" s="1580">
        <v>0</v>
      </c>
      <c r="AD68" s="1580">
        <v>0</v>
      </c>
      <c r="AE68" s="1580">
        <v>0</v>
      </c>
      <c r="AF68" s="1580">
        <v>0</v>
      </c>
      <c r="AG68" s="1580">
        <v>1</v>
      </c>
      <c r="AH68" s="1590">
        <v>0</v>
      </c>
      <c r="AI68" s="1590">
        <v>0</v>
      </c>
      <c r="AJ68" s="1590"/>
      <c r="AK68" s="1590"/>
      <c r="AL68" s="1590"/>
      <c r="AM68" s="1590"/>
      <c r="AN68" s="1590"/>
      <c r="AO68" s="1572">
        <v>0</v>
      </c>
      <c r="AP68" s="1572">
        <v>0</v>
      </c>
      <c r="AQ68" s="1572">
        <v>0</v>
      </c>
      <c r="AR68" s="1572">
        <v>0</v>
      </c>
      <c r="AS68" s="1572">
        <f t="shared" si="4"/>
        <v>0</v>
      </c>
      <c r="AT68" s="1635">
        <v>0</v>
      </c>
      <c r="AU68" s="1592">
        <v>0</v>
      </c>
      <c r="AV68" s="1593">
        <v>4.34</v>
      </c>
      <c r="AW68" s="1592">
        <v>0</v>
      </c>
      <c r="AX68" s="1592">
        <v>0</v>
      </c>
      <c r="AY68" s="1592">
        <v>0</v>
      </c>
      <c r="AZ68" s="1592">
        <v>0</v>
      </c>
      <c r="BA68" s="1592">
        <v>0</v>
      </c>
      <c r="BB68" s="1593"/>
      <c r="BC68" s="1369" t="s">
        <v>1724</v>
      </c>
      <c r="BD68" s="1595" t="s">
        <v>937</v>
      </c>
      <c r="BE68" s="1512"/>
    </row>
    <row r="69" spans="1:57" s="1430" customFormat="1" ht="29" outlineLevel="1">
      <c r="A69" s="1499">
        <v>13</v>
      </c>
      <c r="B69" s="1510" t="s">
        <v>1731</v>
      </c>
      <c r="C69" s="1578" t="s">
        <v>936</v>
      </c>
      <c r="D69" s="1511" t="s">
        <v>1712</v>
      </c>
      <c r="E69" s="1579"/>
      <c r="F69" s="1334"/>
      <c r="G69" s="1368">
        <f>1.4*1.18</f>
        <v>1.6519999999999999</v>
      </c>
      <c r="I69" s="1336"/>
      <c r="J69" s="1336"/>
      <c r="K69" s="1334"/>
      <c r="L69" s="1374"/>
      <c r="M69" s="1338" t="s">
        <v>1569</v>
      </c>
      <c r="N69" s="1339"/>
      <c r="O69" s="1375"/>
      <c r="P69" s="1572">
        <v>0</v>
      </c>
      <c r="Q69" s="1573">
        <v>0</v>
      </c>
      <c r="R69" s="1573">
        <v>0</v>
      </c>
      <c r="S69" s="1573">
        <v>0.80110199999999998</v>
      </c>
      <c r="T69" s="1572">
        <f t="shared" si="3"/>
        <v>0.80110199999999998</v>
      </c>
      <c r="U69" s="1573">
        <v>0.38807570000000002</v>
      </c>
      <c r="V69" s="1573">
        <v>0</v>
      </c>
      <c r="W69" s="1573">
        <v>0</v>
      </c>
      <c r="X69" s="1573"/>
      <c r="Y69" s="1573"/>
      <c r="Z69" s="1573"/>
      <c r="AA69" s="1573"/>
      <c r="AB69" s="1573"/>
      <c r="AC69" s="1580">
        <v>0</v>
      </c>
      <c r="AD69" s="1580">
        <v>0</v>
      </c>
      <c r="AE69" s="1580">
        <v>0</v>
      </c>
      <c r="AF69" s="1580">
        <v>0</v>
      </c>
      <c r="AG69" s="1580">
        <v>1</v>
      </c>
      <c r="AH69" s="1590">
        <v>0</v>
      </c>
      <c r="AI69" s="1590">
        <v>0</v>
      </c>
      <c r="AJ69" s="1590"/>
      <c r="AK69" s="1590"/>
      <c r="AL69" s="1590"/>
      <c r="AM69" s="1590"/>
      <c r="AN69" s="1590"/>
      <c r="AO69" s="1572">
        <v>0</v>
      </c>
      <c r="AP69" s="1572">
        <v>0</v>
      </c>
      <c r="AQ69" s="1572">
        <v>0</v>
      </c>
      <c r="AR69" s="1572">
        <v>0</v>
      </c>
      <c r="AS69" s="1572">
        <f t="shared" si="4"/>
        <v>0</v>
      </c>
      <c r="AT69" s="1593">
        <v>1.1891</v>
      </c>
      <c r="AU69" s="1592">
        <v>0</v>
      </c>
      <c r="AV69" s="1592">
        <v>0</v>
      </c>
      <c r="AW69" s="1592">
        <v>0</v>
      </c>
      <c r="AX69" s="1592">
        <v>0</v>
      </c>
      <c r="AY69" s="1592">
        <v>0</v>
      </c>
      <c r="AZ69" s="1592">
        <v>0</v>
      </c>
      <c r="BA69" s="1592">
        <v>0</v>
      </c>
      <c r="BB69" s="1593"/>
      <c r="BC69" s="1369" t="s">
        <v>1724</v>
      </c>
      <c r="BD69" s="1595" t="s">
        <v>939</v>
      </c>
      <c r="BE69" s="1512"/>
    </row>
    <row r="70" spans="1:57" s="1430" customFormat="1" ht="37" customHeight="1" outlineLevel="1">
      <c r="A70" s="1499">
        <v>14</v>
      </c>
      <c r="B70" s="1510" t="s">
        <v>1732</v>
      </c>
      <c r="C70" s="1578" t="s">
        <v>936</v>
      </c>
      <c r="D70" s="1511" t="s">
        <v>1712</v>
      </c>
      <c r="E70" s="1579"/>
      <c r="F70" s="1334"/>
      <c r="G70" s="1368">
        <f>0.71*1.18</f>
        <v>0.83779999999999988</v>
      </c>
      <c r="I70" s="1336"/>
      <c r="J70" s="1336"/>
      <c r="K70" s="1334"/>
      <c r="L70" s="1374"/>
      <c r="M70" s="1338" t="s">
        <v>1569</v>
      </c>
      <c r="N70" s="1339"/>
      <c r="O70" s="1375"/>
      <c r="P70" s="1572">
        <v>0</v>
      </c>
      <c r="Q70" s="1573">
        <v>0</v>
      </c>
      <c r="R70" s="1573">
        <v>0</v>
      </c>
      <c r="S70" s="1573">
        <v>0</v>
      </c>
      <c r="T70" s="1572">
        <f t="shared" si="3"/>
        <v>0</v>
      </c>
      <c r="U70" s="1573">
        <v>0.72225269999999997</v>
      </c>
      <c r="V70" s="1573">
        <v>0</v>
      </c>
      <c r="W70" s="1573">
        <v>0</v>
      </c>
      <c r="X70" s="1573"/>
      <c r="Y70" s="1573"/>
      <c r="Z70" s="1573"/>
      <c r="AA70" s="1573"/>
      <c r="AB70" s="1573"/>
      <c r="AC70" s="1580">
        <v>0</v>
      </c>
      <c r="AD70" s="1580">
        <v>0</v>
      </c>
      <c r="AE70" s="1580">
        <v>0</v>
      </c>
      <c r="AF70" s="1580">
        <v>0</v>
      </c>
      <c r="AG70" s="1580">
        <v>1</v>
      </c>
      <c r="AH70" s="1590">
        <v>0</v>
      </c>
      <c r="AI70" s="1590">
        <v>0</v>
      </c>
      <c r="AJ70" s="1590"/>
      <c r="AK70" s="1590"/>
      <c r="AL70" s="1590"/>
      <c r="AM70" s="1590"/>
      <c r="AN70" s="1590"/>
      <c r="AO70" s="1572">
        <v>0</v>
      </c>
      <c r="AP70" s="1572">
        <v>0</v>
      </c>
      <c r="AQ70" s="1572">
        <v>0</v>
      </c>
      <c r="AR70" s="1572">
        <v>0</v>
      </c>
      <c r="AS70" s="1572">
        <f t="shared" si="4"/>
        <v>0</v>
      </c>
      <c r="AT70" s="1591">
        <v>0.72225269999999997</v>
      </c>
      <c r="AU70" s="1592">
        <v>0</v>
      </c>
      <c r="AV70" s="1592">
        <v>0</v>
      </c>
      <c r="AW70" s="1592">
        <v>0</v>
      </c>
      <c r="AX70" s="1592">
        <v>0</v>
      </c>
      <c r="AY70" s="1592">
        <v>0</v>
      </c>
      <c r="AZ70" s="1592">
        <v>0</v>
      </c>
      <c r="BA70" s="1592">
        <v>0</v>
      </c>
      <c r="BB70" s="1593"/>
      <c r="BC70" s="1369" t="s">
        <v>1733</v>
      </c>
      <c r="BD70" s="1595" t="s">
        <v>939</v>
      </c>
      <c r="BE70" s="1512"/>
    </row>
    <row r="71" spans="1:57" s="1430" customFormat="1" ht="40" customHeight="1" outlineLevel="1">
      <c r="A71" s="1499">
        <v>15</v>
      </c>
      <c r="B71" s="1510" t="s">
        <v>1734</v>
      </c>
      <c r="C71" s="1578" t="s">
        <v>936</v>
      </c>
      <c r="D71" s="1511" t="s">
        <v>1712</v>
      </c>
      <c r="E71" s="1579"/>
      <c r="F71" s="1334"/>
      <c r="G71" s="1368">
        <f>0.66*1.18</f>
        <v>0.77880000000000005</v>
      </c>
      <c r="I71" s="1336"/>
      <c r="J71" s="1336"/>
      <c r="K71" s="1334"/>
      <c r="L71" s="1374"/>
      <c r="M71" s="1338" t="s">
        <v>1569</v>
      </c>
      <c r="N71" s="1339"/>
      <c r="O71" s="1375"/>
      <c r="P71" s="1572">
        <v>0</v>
      </c>
      <c r="Q71" s="1573">
        <v>0</v>
      </c>
      <c r="R71" s="1573">
        <v>0</v>
      </c>
      <c r="S71" s="1573">
        <v>0</v>
      </c>
      <c r="T71" s="1572">
        <f t="shared" si="3"/>
        <v>0</v>
      </c>
      <c r="U71" s="1572">
        <v>0.15304309999999999</v>
      </c>
      <c r="V71" s="1573">
        <v>0</v>
      </c>
      <c r="W71" s="1573">
        <v>0</v>
      </c>
      <c r="X71" s="1573"/>
      <c r="Y71" s="1573"/>
      <c r="Z71" s="1573"/>
      <c r="AA71" s="1573"/>
      <c r="AB71" s="1573"/>
      <c r="AC71" s="1580">
        <v>0</v>
      </c>
      <c r="AD71" s="1580">
        <v>0</v>
      </c>
      <c r="AE71" s="1580">
        <v>0</v>
      </c>
      <c r="AF71" s="1580">
        <v>0</v>
      </c>
      <c r="AG71" s="1580">
        <v>1</v>
      </c>
      <c r="AH71" s="1590">
        <v>0</v>
      </c>
      <c r="AI71" s="1590">
        <v>0</v>
      </c>
      <c r="AJ71" s="1590"/>
      <c r="AK71" s="1590"/>
      <c r="AL71" s="1590"/>
      <c r="AM71" s="1590"/>
      <c r="AN71" s="1590"/>
      <c r="AO71" s="1572">
        <v>0</v>
      </c>
      <c r="AP71" s="1572">
        <v>0</v>
      </c>
      <c r="AQ71" s="1572">
        <v>0</v>
      </c>
      <c r="AR71" s="1572">
        <v>0</v>
      </c>
      <c r="AS71" s="1572">
        <f t="shared" si="4"/>
        <v>0</v>
      </c>
      <c r="AT71" s="1591">
        <v>0.44729429999999998</v>
      </c>
      <c r="AU71" s="1592">
        <v>0</v>
      </c>
      <c r="AV71" s="1592">
        <v>0</v>
      </c>
      <c r="AW71" s="1592">
        <v>0</v>
      </c>
      <c r="AX71" s="1592">
        <v>0</v>
      </c>
      <c r="AY71" s="1592">
        <v>0</v>
      </c>
      <c r="AZ71" s="1592">
        <v>0</v>
      </c>
      <c r="BA71" s="1592">
        <v>0</v>
      </c>
      <c r="BB71" s="1593"/>
      <c r="BC71" s="1369" t="s">
        <v>1733</v>
      </c>
      <c r="BD71" s="1595" t="s">
        <v>939</v>
      </c>
      <c r="BE71" s="1512"/>
    </row>
    <row r="72" spans="1:57" s="1430" customFormat="1" ht="33" customHeight="1" outlineLevel="1">
      <c r="A72" s="1499">
        <v>16</v>
      </c>
      <c r="B72" s="1510" t="s">
        <v>1735</v>
      </c>
      <c r="C72" s="1578" t="s">
        <v>936</v>
      </c>
      <c r="D72" s="1511" t="s">
        <v>1712</v>
      </c>
      <c r="E72" s="1579"/>
      <c r="F72" s="1334"/>
      <c r="G72" s="1368">
        <f>1.85*1.18</f>
        <v>2.1829999999999998</v>
      </c>
      <c r="I72" s="1336"/>
      <c r="J72" s="1336"/>
      <c r="K72" s="1334"/>
      <c r="L72" s="1374"/>
      <c r="M72" s="1338" t="s">
        <v>1569</v>
      </c>
      <c r="N72" s="1339"/>
      <c r="O72" s="1375"/>
      <c r="P72" s="1572">
        <v>0</v>
      </c>
      <c r="Q72" s="1573">
        <v>0</v>
      </c>
      <c r="R72" s="1573">
        <v>0</v>
      </c>
      <c r="S72" s="1573">
        <v>0.86892840000000005</v>
      </c>
      <c r="T72" s="1572">
        <f t="shared" si="3"/>
        <v>0.86892840000000005</v>
      </c>
      <c r="U72" s="1573">
        <v>0.33467160000000001</v>
      </c>
      <c r="V72" s="1573">
        <v>0</v>
      </c>
      <c r="W72" s="1573">
        <v>0</v>
      </c>
      <c r="X72" s="1573"/>
      <c r="Y72" s="1573"/>
      <c r="Z72" s="1573"/>
      <c r="AA72" s="1573"/>
      <c r="AB72" s="1573"/>
      <c r="AC72" s="1580">
        <v>0</v>
      </c>
      <c r="AD72" s="1580">
        <v>0</v>
      </c>
      <c r="AE72" s="1580">
        <v>0</v>
      </c>
      <c r="AF72" s="1580">
        <v>0</v>
      </c>
      <c r="AG72" s="1580">
        <v>1</v>
      </c>
      <c r="AH72" s="1590">
        <v>0</v>
      </c>
      <c r="AI72" s="1590">
        <v>0</v>
      </c>
      <c r="AJ72" s="1590"/>
      <c r="AK72" s="1590"/>
      <c r="AL72" s="1590"/>
      <c r="AM72" s="1590"/>
      <c r="AN72" s="1590"/>
      <c r="AO72" s="1572">
        <v>0</v>
      </c>
      <c r="AP72" s="1572">
        <v>0</v>
      </c>
      <c r="AQ72" s="1572">
        <v>0</v>
      </c>
      <c r="AR72" s="1572">
        <v>0</v>
      </c>
      <c r="AS72" s="1572">
        <f t="shared" si="4"/>
        <v>0</v>
      </c>
      <c r="AT72" s="1593">
        <v>1.2036</v>
      </c>
      <c r="AU72" s="1592">
        <v>0</v>
      </c>
      <c r="AV72" s="1592">
        <v>0</v>
      </c>
      <c r="AW72" s="1592">
        <v>0</v>
      </c>
      <c r="AX72" s="1592">
        <v>0</v>
      </c>
      <c r="AY72" s="1592">
        <v>0</v>
      </c>
      <c r="AZ72" s="1592">
        <v>0</v>
      </c>
      <c r="BA72" s="1592">
        <v>0</v>
      </c>
      <c r="BB72" s="1593"/>
      <c r="BC72" s="1369" t="s">
        <v>2174</v>
      </c>
      <c r="BD72" s="1595" t="s">
        <v>939</v>
      </c>
      <c r="BE72" s="1512"/>
    </row>
    <row r="73" spans="1:57" s="1430" customFormat="1" ht="30" customHeight="1" outlineLevel="1">
      <c r="A73" s="1499">
        <v>17</v>
      </c>
      <c r="B73" s="1510" t="s">
        <v>1736</v>
      </c>
      <c r="C73" s="1578" t="s">
        <v>936</v>
      </c>
      <c r="D73" s="1511" t="s">
        <v>1712</v>
      </c>
      <c r="E73" s="1579"/>
      <c r="F73" s="1334"/>
      <c r="G73" s="1368">
        <f>0.78*1.18</f>
        <v>0.9204</v>
      </c>
      <c r="I73" s="1336"/>
      <c r="J73" s="1336"/>
      <c r="K73" s="1334"/>
      <c r="L73" s="1374"/>
      <c r="M73" s="1338" t="s">
        <v>1569</v>
      </c>
      <c r="N73" s="1339"/>
      <c r="O73" s="1375"/>
      <c r="P73" s="1572">
        <v>0</v>
      </c>
      <c r="Q73" s="1573">
        <v>0</v>
      </c>
      <c r="R73" s="1573">
        <v>0</v>
      </c>
      <c r="S73" s="1573"/>
      <c r="T73" s="1572">
        <f t="shared" si="3"/>
        <v>0</v>
      </c>
      <c r="U73" s="1598">
        <v>0</v>
      </c>
      <c r="V73" s="1573">
        <v>0.91</v>
      </c>
      <c r="W73" s="1573">
        <v>0</v>
      </c>
      <c r="X73" s="1573"/>
      <c r="Y73" s="1573"/>
      <c r="Z73" s="1573"/>
      <c r="AA73" s="1573"/>
      <c r="AB73" s="1573"/>
      <c r="AC73" s="1580">
        <v>0</v>
      </c>
      <c r="AD73" s="1580">
        <v>0</v>
      </c>
      <c r="AE73" s="1580">
        <v>0</v>
      </c>
      <c r="AF73" s="1580">
        <v>0</v>
      </c>
      <c r="AG73" s="1580">
        <v>1</v>
      </c>
      <c r="AH73" s="1590">
        <v>0</v>
      </c>
      <c r="AI73" s="1590">
        <v>0</v>
      </c>
      <c r="AJ73" s="1590"/>
      <c r="AK73" s="1590"/>
      <c r="AL73" s="1590"/>
      <c r="AM73" s="1590"/>
      <c r="AN73" s="1590"/>
      <c r="AO73" s="1572">
        <v>0</v>
      </c>
      <c r="AP73" s="1572">
        <v>0</v>
      </c>
      <c r="AQ73" s="1572">
        <v>0</v>
      </c>
      <c r="AR73" s="1572">
        <v>0</v>
      </c>
      <c r="AS73" s="1572">
        <f t="shared" si="4"/>
        <v>0</v>
      </c>
      <c r="AT73" s="1592">
        <v>0</v>
      </c>
      <c r="AU73" s="1624">
        <v>0</v>
      </c>
      <c r="AV73" s="1593">
        <v>0.91</v>
      </c>
      <c r="AW73" s="1592">
        <v>0</v>
      </c>
      <c r="AX73" s="1592">
        <v>0</v>
      </c>
      <c r="AY73" s="1592">
        <v>0</v>
      </c>
      <c r="AZ73" s="1592">
        <v>0</v>
      </c>
      <c r="BA73" s="1592">
        <v>0</v>
      </c>
      <c r="BB73" s="1593"/>
      <c r="BC73" s="1369" t="s">
        <v>2175</v>
      </c>
      <c r="BD73" s="1595" t="s">
        <v>937</v>
      </c>
      <c r="BE73" s="1512"/>
    </row>
    <row r="74" spans="1:57" s="1430" customFormat="1" ht="39" customHeight="1" outlineLevel="1">
      <c r="A74" s="1499">
        <v>18</v>
      </c>
      <c r="B74" s="1510" t="s">
        <v>1737</v>
      </c>
      <c r="C74" s="1578" t="s">
        <v>936</v>
      </c>
      <c r="D74" s="1511" t="s">
        <v>1712</v>
      </c>
      <c r="E74" s="1579"/>
      <c r="F74" s="1334"/>
      <c r="G74" s="1368">
        <f>2.98*1.18</f>
        <v>3.5164</v>
      </c>
      <c r="I74" s="1336"/>
      <c r="J74" s="1336"/>
      <c r="K74" s="1334"/>
      <c r="L74" s="1374"/>
      <c r="M74" s="1338" t="s">
        <v>1569</v>
      </c>
      <c r="N74" s="1339"/>
      <c r="O74" s="1375"/>
      <c r="P74" s="1572">
        <v>0</v>
      </c>
      <c r="Q74" s="1573">
        <v>0</v>
      </c>
      <c r="R74" s="1573">
        <v>0</v>
      </c>
      <c r="S74" s="1573"/>
      <c r="T74" s="1572">
        <f t="shared" si="3"/>
        <v>0</v>
      </c>
      <c r="U74" s="1634">
        <v>0</v>
      </c>
      <c r="V74" s="1573">
        <v>3.5173187000000001</v>
      </c>
      <c r="W74" s="1573">
        <v>0</v>
      </c>
      <c r="X74" s="1573"/>
      <c r="Y74" s="1573"/>
      <c r="Z74" s="1573"/>
      <c r="AA74" s="1573"/>
      <c r="AB74" s="1573"/>
      <c r="AC74" s="1580">
        <v>0</v>
      </c>
      <c r="AD74" s="1580">
        <v>0</v>
      </c>
      <c r="AE74" s="1580">
        <v>0</v>
      </c>
      <c r="AF74" s="1580">
        <v>0</v>
      </c>
      <c r="AG74" s="1580">
        <v>1</v>
      </c>
      <c r="AH74" s="1590">
        <v>0</v>
      </c>
      <c r="AI74" s="1590">
        <v>0</v>
      </c>
      <c r="AJ74" s="1590"/>
      <c r="AK74" s="1590"/>
      <c r="AL74" s="1590"/>
      <c r="AM74" s="1590"/>
      <c r="AN74" s="1590"/>
      <c r="AO74" s="1572">
        <v>0</v>
      </c>
      <c r="AP74" s="1572">
        <v>0</v>
      </c>
      <c r="AQ74" s="1572">
        <v>0</v>
      </c>
      <c r="AR74" s="1572">
        <v>0</v>
      </c>
      <c r="AS74" s="1572">
        <f t="shared" si="4"/>
        <v>0</v>
      </c>
      <c r="AT74" s="1592">
        <v>0</v>
      </c>
      <c r="AU74" s="1591">
        <v>3.5173187000000001</v>
      </c>
      <c r="AV74" s="1592">
        <v>0</v>
      </c>
      <c r="AW74" s="1592">
        <v>0</v>
      </c>
      <c r="AX74" s="1592">
        <v>0</v>
      </c>
      <c r="AY74" s="1592">
        <v>0</v>
      </c>
      <c r="AZ74" s="1592">
        <v>0</v>
      </c>
      <c r="BA74" s="1592">
        <v>0</v>
      </c>
      <c r="BB74" s="1593"/>
      <c r="BC74" s="1369" t="s">
        <v>2174</v>
      </c>
      <c r="BD74" s="1595" t="s">
        <v>939</v>
      </c>
      <c r="BE74" s="1512"/>
    </row>
    <row r="75" spans="1:57" s="1430" customFormat="1" ht="49" customHeight="1" outlineLevel="1">
      <c r="A75" s="1499">
        <v>19</v>
      </c>
      <c r="B75" s="1510" t="s">
        <v>1738</v>
      </c>
      <c r="C75" s="1578" t="s">
        <v>936</v>
      </c>
      <c r="D75" s="1511" t="s">
        <v>1712</v>
      </c>
      <c r="E75" s="1579"/>
      <c r="F75" s="1334"/>
      <c r="G75" s="1368">
        <f>1.89*1.18</f>
        <v>2.2302</v>
      </c>
      <c r="I75" s="1336"/>
      <c r="J75" s="1336"/>
      <c r="K75" s="1334"/>
      <c r="L75" s="1374"/>
      <c r="M75" s="1338" t="s">
        <v>1569</v>
      </c>
      <c r="N75" s="1339"/>
      <c r="O75" s="1375"/>
      <c r="P75" s="1572">
        <v>0</v>
      </c>
      <c r="Q75" s="1573">
        <v>0</v>
      </c>
      <c r="R75" s="1573">
        <v>0</v>
      </c>
      <c r="S75" s="1573"/>
      <c r="T75" s="1572">
        <f t="shared" ref="T75:T138" si="10">SUM(P75:S75)</f>
        <v>0</v>
      </c>
      <c r="U75" s="1634">
        <v>0</v>
      </c>
      <c r="V75" s="1573">
        <v>2.2335039999999999</v>
      </c>
      <c r="W75" s="1573">
        <v>0</v>
      </c>
      <c r="X75" s="1573"/>
      <c r="Y75" s="1573"/>
      <c r="Z75" s="1573"/>
      <c r="AA75" s="1573"/>
      <c r="AB75" s="1573"/>
      <c r="AC75" s="1580">
        <v>0</v>
      </c>
      <c r="AD75" s="1580">
        <v>0</v>
      </c>
      <c r="AE75" s="1580">
        <v>0</v>
      </c>
      <c r="AF75" s="1580">
        <v>0</v>
      </c>
      <c r="AG75" s="1580">
        <v>1</v>
      </c>
      <c r="AH75" s="1590">
        <v>0</v>
      </c>
      <c r="AI75" s="1590">
        <v>0</v>
      </c>
      <c r="AJ75" s="1590"/>
      <c r="AK75" s="1590"/>
      <c r="AL75" s="1590"/>
      <c r="AM75" s="1590"/>
      <c r="AN75" s="1590"/>
      <c r="AO75" s="1572">
        <v>0</v>
      </c>
      <c r="AP75" s="1572">
        <v>0</v>
      </c>
      <c r="AQ75" s="1572">
        <v>0</v>
      </c>
      <c r="AR75" s="1572">
        <v>0</v>
      </c>
      <c r="AS75" s="1572">
        <f t="shared" ref="AS75:AS138" si="11">SUM(AO75:AR75)</f>
        <v>0</v>
      </c>
      <c r="AT75" s="1592">
        <v>0</v>
      </c>
      <c r="AU75" s="1591">
        <v>2.2335039999999999</v>
      </c>
      <c r="AV75" s="1592">
        <v>0</v>
      </c>
      <c r="AW75" s="1592">
        <v>0</v>
      </c>
      <c r="AX75" s="1592">
        <v>0</v>
      </c>
      <c r="AY75" s="1592">
        <v>0</v>
      </c>
      <c r="AZ75" s="1592">
        <v>0</v>
      </c>
      <c r="BA75" s="1592">
        <v>0</v>
      </c>
      <c r="BB75" s="1593"/>
      <c r="BC75" s="1369" t="s">
        <v>2174</v>
      </c>
      <c r="BD75" s="1595" t="s">
        <v>939</v>
      </c>
      <c r="BE75" s="1512"/>
    </row>
    <row r="76" spans="1:57" s="1430" customFormat="1" ht="36" customHeight="1" outlineLevel="1">
      <c r="A76" s="1499">
        <v>20</v>
      </c>
      <c r="B76" s="1510" t="s">
        <v>1739</v>
      </c>
      <c r="C76" s="1578" t="s">
        <v>936</v>
      </c>
      <c r="D76" s="1511" t="s">
        <v>1712</v>
      </c>
      <c r="E76" s="1579"/>
      <c r="F76" s="1334"/>
      <c r="G76" s="1368">
        <f>0.19*1.18</f>
        <v>0.22419999999999998</v>
      </c>
      <c r="I76" s="1336"/>
      <c r="J76" s="1336"/>
      <c r="K76" s="1334"/>
      <c r="L76" s="1374"/>
      <c r="M76" s="1338" t="s">
        <v>1569</v>
      </c>
      <c r="N76" s="1339"/>
      <c r="O76" s="1375"/>
      <c r="P76" s="1572">
        <v>0</v>
      </c>
      <c r="Q76" s="1573">
        <v>0</v>
      </c>
      <c r="R76" s="1573">
        <v>0</v>
      </c>
      <c r="S76" s="1573"/>
      <c r="T76" s="1572">
        <f t="shared" si="10"/>
        <v>0</v>
      </c>
      <c r="U76" s="1634">
        <v>0</v>
      </c>
      <c r="V76" s="1573">
        <v>0.22170519999999999</v>
      </c>
      <c r="W76" s="1573">
        <v>0</v>
      </c>
      <c r="X76" s="1573"/>
      <c r="Y76" s="1573"/>
      <c r="Z76" s="1573"/>
      <c r="AA76" s="1573"/>
      <c r="AB76" s="1573"/>
      <c r="AC76" s="1580">
        <v>0</v>
      </c>
      <c r="AD76" s="1580">
        <v>0</v>
      </c>
      <c r="AE76" s="1580">
        <v>0</v>
      </c>
      <c r="AF76" s="1580">
        <v>0</v>
      </c>
      <c r="AG76" s="1580">
        <v>1</v>
      </c>
      <c r="AH76" s="1590">
        <v>0</v>
      </c>
      <c r="AI76" s="1590">
        <v>0</v>
      </c>
      <c r="AJ76" s="1590"/>
      <c r="AK76" s="1590"/>
      <c r="AL76" s="1590"/>
      <c r="AM76" s="1590"/>
      <c r="AN76" s="1590"/>
      <c r="AO76" s="1572">
        <v>0</v>
      </c>
      <c r="AP76" s="1572">
        <v>0</v>
      </c>
      <c r="AQ76" s="1572">
        <v>0</v>
      </c>
      <c r="AR76" s="1572">
        <v>0</v>
      </c>
      <c r="AS76" s="1572">
        <f t="shared" si="11"/>
        <v>0</v>
      </c>
      <c r="AT76" s="1592">
        <v>0</v>
      </c>
      <c r="AU76" s="1591">
        <v>0.51866310000000004</v>
      </c>
      <c r="AV76" s="1592">
        <v>0</v>
      </c>
      <c r="AW76" s="1592">
        <v>0</v>
      </c>
      <c r="AX76" s="1592">
        <v>0</v>
      </c>
      <c r="AY76" s="1592">
        <v>0</v>
      </c>
      <c r="AZ76" s="1592">
        <v>0</v>
      </c>
      <c r="BA76" s="1592">
        <v>0</v>
      </c>
      <c r="BB76" s="1593"/>
      <c r="BC76" s="1369" t="s">
        <v>2174</v>
      </c>
      <c r="BD76" s="1595" t="s">
        <v>939</v>
      </c>
      <c r="BE76" s="1512"/>
    </row>
    <row r="77" spans="1:57" s="1430" customFormat="1" ht="33" customHeight="1" outlineLevel="1">
      <c r="A77" s="1499">
        <v>21</v>
      </c>
      <c r="B77" s="1510" t="s">
        <v>1740</v>
      </c>
      <c r="C77" s="1578" t="s">
        <v>936</v>
      </c>
      <c r="D77" s="1511" t="s">
        <v>1712</v>
      </c>
      <c r="E77" s="1579"/>
      <c r="F77" s="1334"/>
      <c r="G77" s="1368">
        <f>0.9*1.18</f>
        <v>1.0620000000000001</v>
      </c>
      <c r="I77" s="1336"/>
      <c r="J77" s="1336"/>
      <c r="K77" s="1334"/>
      <c r="L77" s="1374"/>
      <c r="M77" s="1338" t="s">
        <v>1569</v>
      </c>
      <c r="N77" s="1339"/>
      <c r="O77" s="1375"/>
      <c r="P77" s="1572">
        <v>0</v>
      </c>
      <c r="Q77" s="1573">
        <v>0</v>
      </c>
      <c r="R77" s="1573">
        <v>0</v>
      </c>
      <c r="S77" s="1573"/>
      <c r="T77" s="1572">
        <f t="shared" si="10"/>
        <v>0</v>
      </c>
      <c r="U77" s="1634">
        <v>0</v>
      </c>
      <c r="V77" s="1573">
        <v>1.060802</v>
      </c>
      <c r="W77" s="1573">
        <v>0</v>
      </c>
      <c r="X77" s="1573"/>
      <c r="Y77" s="1573"/>
      <c r="Z77" s="1573"/>
      <c r="AA77" s="1573"/>
      <c r="AB77" s="1573"/>
      <c r="AC77" s="1580">
        <v>0</v>
      </c>
      <c r="AD77" s="1580">
        <v>0</v>
      </c>
      <c r="AE77" s="1580">
        <v>0</v>
      </c>
      <c r="AF77" s="1580">
        <v>0</v>
      </c>
      <c r="AG77" s="1580">
        <v>0</v>
      </c>
      <c r="AH77" s="1590">
        <v>1</v>
      </c>
      <c r="AI77" s="1590">
        <v>0</v>
      </c>
      <c r="AJ77" s="1590"/>
      <c r="AK77" s="1590"/>
      <c r="AL77" s="1590"/>
      <c r="AM77" s="1590"/>
      <c r="AN77" s="1590"/>
      <c r="AO77" s="1572">
        <v>0</v>
      </c>
      <c r="AP77" s="1572">
        <v>0</v>
      </c>
      <c r="AQ77" s="1572">
        <v>0</v>
      </c>
      <c r="AR77" s="1572">
        <v>0</v>
      </c>
      <c r="AS77" s="1572">
        <f t="shared" si="11"/>
        <v>0</v>
      </c>
      <c r="AT77" s="1592">
        <v>0</v>
      </c>
      <c r="AU77" s="1624">
        <v>0</v>
      </c>
      <c r="AV77" s="1593">
        <v>1.06</v>
      </c>
      <c r="AW77" s="1592">
        <v>0</v>
      </c>
      <c r="AX77" s="1592">
        <v>0</v>
      </c>
      <c r="AY77" s="1592">
        <v>0</v>
      </c>
      <c r="AZ77" s="1592">
        <v>0</v>
      </c>
      <c r="BA77" s="1592">
        <v>0</v>
      </c>
      <c r="BB77" s="1593"/>
      <c r="BC77" s="1369" t="s">
        <v>1741</v>
      </c>
      <c r="BD77" s="1595" t="s">
        <v>937</v>
      </c>
      <c r="BE77" s="1512"/>
    </row>
    <row r="78" spans="1:57" s="1430" customFormat="1" ht="27" customHeight="1" outlineLevel="1">
      <c r="A78" s="1499">
        <v>22</v>
      </c>
      <c r="B78" s="1510" t="s">
        <v>1742</v>
      </c>
      <c r="C78" s="1578" t="s">
        <v>936</v>
      </c>
      <c r="D78" s="1511" t="s">
        <v>1712</v>
      </c>
      <c r="E78" s="1579"/>
      <c r="F78" s="1334"/>
      <c r="G78" s="1573">
        <f>5.52*1.18</f>
        <v>6.5135999999999994</v>
      </c>
      <c r="I78" s="1336"/>
      <c r="J78" s="1336"/>
      <c r="K78" s="1334"/>
      <c r="L78" s="1374"/>
      <c r="M78" s="1338" t="s">
        <v>1569</v>
      </c>
      <c r="N78" s="1339"/>
      <c r="O78" s="1375"/>
      <c r="P78" s="1572">
        <v>0</v>
      </c>
      <c r="Q78" s="1573">
        <v>0</v>
      </c>
      <c r="R78" s="1573">
        <v>0</v>
      </c>
      <c r="S78" s="1573"/>
      <c r="T78" s="1572">
        <f t="shared" si="10"/>
        <v>0</v>
      </c>
      <c r="U78" s="1634">
        <v>0</v>
      </c>
      <c r="V78" s="1573">
        <v>0</v>
      </c>
      <c r="W78" s="1573">
        <v>5.47</v>
      </c>
      <c r="X78" s="1573"/>
      <c r="Y78" s="1573"/>
      <c r="Z78" s="1573"/>
      <c r="AA78" s="1573"/>
      <c r="AB78" s="1573"/>
      <c r="AC78" s="1580">
        <v>0</v>
      </c>
      <c r="AD78" s="1580">
        <v>0</v>
      </c>
      <c r="AE78" s="1580">
        <v>0</v>
      </c>
      <c r="AF78" s="1580">
        <v>0</v>
      </c>
      <c r="AG78" s="1580">
        <v>0</v>
      </c>
      <c r="AH78" s="1590">
        <v>1</v>
      </c>
      <c r="AI78" s="1590">
        <v>0</v>
      </c>
      <c r="AJ78" s="1590"/>
      <c r="AK78" s="1590"/>
      <c r="AL78" s="1590"/>
      <c r="AM78" s="1590"/>
      <c r="AN78" s="1590"/>
      <c r="AO78" s="1572">
        <v>0</v>
      </c>
      <c r="AP78" s="1572">
        <v>0</v>
      </c>
      <c r="AQ78" s="1572">
        <v>0</v>
      </c>
      <c r="AR78" s="1572">
        <v>0</v>
      </c>
      <c r="AS78" s="1572">
        <f t="shared" si="11"/>
        <v>0</v>
      </c>
      <c r="AT78" s="1592">
        <v>0</v>
      </c>
      <c r="AU78" s="1591"/>
      <c r="AV78" s="1593">
        <v>6.54</v>
      </c>
      <c r="AW78" s="1592">
        <v>0</v>
      </c>
      <c r="AX78" s="1592">
        <v>0</v>
      </c>
      <c r="AY78" s="1592">
        <v>0</v>
      </c>
      <c r="AZ78" s="1592">
        <v>0</v>
      </c>
      <c r="BA78" s="1592">
        <v>0</v>
      </c>
      <c r="BB78" s="1593"/>
      <c r="BC78" s="1369" t="s">
        <v>1743</v>
      </c>
      <c r="BD78" s="1595" t="s">
        <v>937</v>
      </c>
      <c r="BE78" s="1512"/>
    </row>
    <row r="79" spans="1:57" s="1589" customFormat="1" ht="87.75" customHeight="1">
      <c r="A79" s="1493"/>
      <c r="B79" s="1494" t="s">
        <v>1744</v>
      </c>
      <c r="C79" s="1582"/>
      <c r="D79" s="1495" t="s">
        <v>1712</v>
      </c>
      <c r="E79" s="1583"/>
      <c r="F79" s="1341"/>
      <c r="G79" s="1342">
        <v>49.09</v>
      </c>
      <c r="H79" s="1509">
        <f>38.41*1.18</f>
        <v>45.323799999999991</v>
      </c>
      <c r="I79" s="1349"/>
      <c r="J79" s="1349"/>
      <c r="K79" s="1341"/>
      <c r="L79" s="1370"/>
      <c r="M79" s="1371" t="s">
        <v>1569</v>
      </c>
      <c r="N79" s="1372"/>
      <c r="O79" s="1373"/>
      <c r="P79" s="1584"/>
      <c r="Q79" s="1584"/>
      <c r="R79" s="1584"/>
      <c r="S79" s="1584"/>
      <c r="T79" s="1584">
        <f t="shared" si="10"/>
        <v>0</v>
      </c>
      <c r="U79" s="1584"/>
      <c r="V79" s="1584"/>
      <c r="W79" s="1584"/>
      <c r="X79" s="1584"/>
      <c r="Y79" s="1584"/>
      <c r="Z79" s="1584"/>
      <c r="AA79" s="1584"/>
      <c r="AB79" s="1584"/>
      <c r="AC79" s="1585"/>
      <c r="AD79" s="1585"/>
      <c r="AE79" s="1585"/>
      <c r="AF79" s="1585"/>
      <c r="AG79" s="1585"/>
      <c r="AH79" s="1585"/>
      <c r="AI79" s="1585"/>
      <c r="AJ79" s="1585"/>
      <c r="AK79" s="1585"/>
      <c r="AL79" s="1585"/>
      <c r="AM79" s="1585"/>
      <c r="AN79" s="1585"/>
      <c r="AO79" s="1584"/>
      <c r="AP79" s="1584"/>
      <c r="AQ79" s="1584"/>
      <c r="AR79" s="1584"/>
      <c r="AS79" s="1584">
        <f t="shared" si="11"/>
        <v>0</v>
      </c>
      <c r="AT79" s="1584"/>
      <c r="AU79" s="1616"/>
      <c r="AV79" s="1616"/>
      <c r="AW79" s="1592">
        <v>0</v>
      </c>
      <c r="AX79" s="1592">
        <v>0</v>
      </c>
      <c r="AY79" s="1592">
        <v>0</v>
      </c>
      <c r="AZ79" s="1592">
        <v>0</v>
      </c>
      <c r="BA79" s="1592">
        <v>0</v>
      </c>
      <c r="BB79" s="1617"/>
      <c r="BC79" s="1376" t="s">
        <v>1745</v>
      </c>
      <c r="BD79" s="1610"/>
      <c r="BE79" s="1588"/>
    </row>
    <row r="80" spans="1:57" s="1430" customFormat="1" ht="29" outlineLevel="1">
      <c r="A80" s="1499">
        <v>1</v>
      </c>
      <c r="B80" s="1512" t="s">
        <v>1746</v>
      </c>
      <c r="C80" s="1578" t="s">
        <v>936</v>
      </c>
      <c r="D80" s="1511" t="s">
        <v>1712</v>
      </c>
      <c r="E80" s="1579"/>
      <c r="F80" s="1334"/>
      <c r="G80" s="1368">
        <v>7.16</v>
      </c>
      <c r="I80" s="1336"/>
      <c r="J80" s="1336"/>
      <c r="K80" s="1334"/>
      <c r="L80" s="1374"/>
      <c r="M80" s="1338" t="s">
        <v>1569</v>
      </c>
      <c r="N80" s="1339"/>
      <c r="O80" s="1375"/>
      <c r="P80" s="1572"/>
      <c r="Q80" s="1573"/>
      <c r="R80" s="1573">
        <f>1.03+1.9+1.68</f>
        <v>4.6099999999999994</v>
      </c>
      <c r="S80" s="1573"/>
      <c r="T80" s="1572">
        <f t="shared" si="10"/>
        <v>4.6099999999999994</v>
      </c>
      <c r="U80" s="1573">
        <v>1.99288194</v>
      </c>
      <c r="V80" s="1573">
        <v>0.55711806000000097</v>
      </c>
      <c r="W80" s="1573">
        <v>0</v>
      </c>
      <c r="X80" s="1573"/>
      <c r="Y80" s="1573"/>
      <c r="Z80" s="1573"/>
      <c r="AA80" s="1573"/>
      <c r="AB80" s="1573"/>
      <c r="AC80" s="1580"/>
      <c r="AD80" s="1580"/>
      <c r="AE80" s="1580"/>
      <c r="AF80" s="1580"/>
      <c r="AG80" s="1580">
        <v>1</v>
      </c>
      <c r="AH80" s="1590">
        <v>0</v>
      </c>
      <c r="AI80" s="1590">
        <v>0</v>
      </c>
      <c r="AJ80" s="1590"/>
      <c r="AK80" s="1590"/>
      <c r="AL80" s="1590"/>
      <c r="AM80" s="1590"/>
      <c r="AN80" s="1590"/>
      <c r="AO80" s="1572"/>
      <c r="AP80" s="1630"/>
      <c r="AQ80" s="1630"/>
      <c r="AR80" s="1630"/>
      <c r="AS80" s="1572">
        <f t="shared" si="11"/>
        <v>0</v>
      </c>
      <c r="AT80" s="1624">
        <v>0</v>
      </c>
      <c r="AU80" s="1636">
        <v>16.720000000000002</v>
      </c>
      <c r="AV80" s="1624">
        <v>0</v>
      </c>
      <c r="AW80" s="1624">
        <v>0</v>
      </c>
      <c r="AX80" s="1624">
        <v>0</v>
      </c>
      <c r="AY80" s="1624">
        <v>0</v>
      </c>
      <c r="AZ80" s="1624">
        <v>0</v>
      </c>
      <c r="BA80" s="1624">
        <v>0</v>
      </c>
      <c r="BB80" s="1593"/>
      <c r="BC80" s="1369"/>
      <c r="BD80" s="1595" t="s">
        <v>939</v>
      </c>
      <c r="BE80" s="1512"/>
    </row>
    <row r="81" spans="1:60" s="1430" customFormat="1" ht="29" outlineLevel="1">
      <c r="A81" s="1499">
        <v>2</v>
      </c>
      <c r="B81" s="1512" t="s">
        <v>1747</v>
      </c>
      <c r="C81" s="1578" t="s">
        <v>936</v>
      </c>
      <c r="D81" s="1511" t="s">
        <v>1712</v>
      </c>
      <c r="E81" s="1579"/>
      <c r="F81" s="1334"/>
      <c r="G81" s="1368">
        <v>1.1499999999999999</v>
      </c>
      <c r="I81" s="1336"/>
      <c r="J81" s="1336"/>
      <c r="K81" s="1334"/>
      <c r="L81" s="1374"/>
      <c r="M81" s="1338" t="s">
        <v>1569</v>
      </c>
      <c r="N81" s="1339"/>
      <c r="O81" s="1375"/>
      <c r="P81" s="1572"/>
      <c r="Q81" s="1573"/>
      <c r="R81" s="1573">
        <v>0.52</v>
      </c>
      <c r="S81" s="1573">
        <v>7.0000000000000007E-2</v>
      </c>
      <c r="T81" s="1572">
        <f t="shared" si="10"/>
        <v>0.59000000000000008</v>
      </c>
      <c r="U81" s="1573">
        <v>0.17624126000000001</v>
      </c>
      <c r="V81" s="1573">
        <v>0.38375873999999999</v>
      </c>
      <c r="W81" s="1573">
        <v>0</v>
      </c>
      <c r="X81" s="1573"/>
      <c r="Y81" s="1573"/>
      <c r="Z81" s="1573"/>
      <c r="AA81" s="1573"/>
      <c r="AB81" s="1573"/>
      <c r="AC81" s="1580"/>
      <c r="AD81" s="1580"/>
      <c r="AE81" s="1580"/>
      <c r="AF81" s="1580"/>
      <c r="AG81" s="1580">
        <v>1</v>
      </c>
      <c r="AH81" s="1590">
        <v>0</v>
      </c>
      <c r="AI81" s="1590">
        <v>0</v>
      </c>
      <c r="AJ81" s="1590"/>
      <c r="AK81" s="1590"/>
      <c r="AL81" s="1590"/>
      <c r="AM81" s="1590"/>
      <c r="AN81" s="1590"/>
      <c r="AO81" s="1572"/>
      <c r="AP81" s="1630"/>
      <c r="AQ81" s="1630"/>
      <c r="AR81" s="1630"/>
      <c r="AS81" s="1572">
        <f t="shared" si="11"/>
        <v>0</v>
      </c>
      <c r="AT81" s="1624">
        <v>0</v>
      </c>
      <c r="AU81" s="1636">
        <v>0.89</v>
      </c>
      <c r="AV81" s="1624">
        <v>0</v>
      </c>
      <c r="AW81" s="1624">
        <v>0</v>
      </c>
      <c r="AX81" s="1624">
        <v>0</v>
      </c>
      <c r="AY81" s="1624">
        <v>0</v>
      </c>
      <c r="AZ81" s="1624">
        <v>0</v>
      </c>
      <c r="BA81" s="1624">
        <v>0</v>
      </c>
      <c r="BB81" s="1593"/>
      <c r="BC81" s="1369"/>
      <c r="BD81" s="1595" t="s">
        <v>939</v>
      </c>
      <c r="BE81" s="1512"/>
    </row>
    <row r="82" spans="1:60" s="1430" customFormat="1" ht="29" outlineLevel="1">
      <c r="A82" s="1499">
        <v>3</v>
      </c>
      <c r="B82" s="1512" t="s">
        <v>1748</v>
      </c>
      <c r="C82" s="1578" t="s">
        <v>936</v>
      </c>
      <c r="D82" s="1511" t="s">
        <v>1712</v>
      </c>
      <c r="E82" s="1579"/>
      <c r="F82" s="1334"/>
      <c r="G82" s="1368">
        <v>11.08</v>
      </c>
      <c r="I82" s="1336"/>
      <c r="J82" s="1336"/>
      <c r="K82" s="1334"/>
      <c r="L82" s="1374"/>
      <c r="M82" s="1338" t="s">
        <v>1569</v>
      </c>
      <c r="N82" s="1339"/>
      <c r="O82" s="1375"/>
      <c r="P82" s="1572"/>
      <c r="Q82" s="1573"/>
      <c r="R82" s="1573">
        <v>9.7200000000000006</v>
      </c>
      <c r="S82" s="1573">
        <v>0.37</v>
      </c>
      <c r="T82" s="1572">
        <f t="shared" si="10"/>
        <v>10.09</v>
      </c>
      <c r="U82" s="1573">
        <v>0.51516675999999995</v>
      </c>
      <c r="V82" s="1573">
        <v>0.47483324000000099</v>
      </c>
      <c r="W82" s="1573">
        <v>0</v>
      </c>
      <c r="X82" s="1573"/>
      <c r="Y82" s="1573"/>
      <c r="Z82" s="1573"/>
      <c r="AA82" s="1573"/>
      <c r="AB82" s="1573"/>
      <c r="AC82" s="1580"/>
      <c r="AD82" s="1580"/>
      <c r="AE82" s="1580"/>
      <c r="AF82" s="1580"/>
      <c r="AG82" s="1580">
        <v>1</v>
      </c>
      <c r="AH82" s="1590">
        <v>0</v>
      </c>
      <c r="AI82" s="1590">
        <v>0</v>
      </c>
      <c r="AJ82" s="1590"/>
      <c r="AK82" s="1590"/>
      <c r="AL82" s="1590"/>
      <c r="AM82" s="1590"/>
      <c r="AN82" s="1590"/>
      <c r="AO82" s="1572"/>
      <c r="AP82" s="1630"/>
      <c r="AQ82" s="1630"/>
      <c r="AR82" s="1630"/>
      <c r="AS82" s="1572">
        <f t="shared" si="11"/>
        <v>0</v>
      </c>
      <c r="AT82" s="1624">
        <v>0</v>
      </c>
      <c r="AU82" s="1636">
        <v>1.3549000000000009</v>
      </c>
      <c r="AV82" s="1637">
        <v>2.0299999999999998</v>
      </c>
      <c r="AW82" s="1624">
        <v>0</v>
      </c>
      <c r="AX82" s="1624">
        <v>0</v>
      </c>
      <c r="AY82" s="1624">
        <v>0</v>
      </c>
      <c r="AZ82" s="1624">
        <v>0</v>
      </c>
      <c r="BA82" s="1624">
        <v>0</v>
      </c>
      <c r="BB82" s="1593"/>
      <c r="BC82" s="1369"/>
      <c r="BD82" s="1595" t="s">
        <v>937</v>
      </c>
      <c r="BE82" s="1512"/>
    </row>
    <row r="83" spans="1:60" s="1430" customFormat="1" ht="29" outlineLevel="1">
      <c r="A83" s="1499">
        <v>4</v>
      </c>
      <c r="B83" s="1512" t="s">
        <v>1749</v>
      </c>
      <c r="C83" s="1578" t="s">
        <v>936</v>
      </c>
      <c r="D83" s="1511" t="s">
        <v>1712</v>
      </c>
      <c r="E83" s="1579"/>
      <c r="F83" s="1334"/>
      <c r="G83" s="1368">
        <v>11.75</v>
      </c>
      <c r="I83" s="1336"/>
      <c r="J83" s="1336"/>
      <c r="K83" s="1334"/>
      <c r="L83" s="1374"/>
      <c r="M83" s="1338" t="s">
        <v>1569</v>
      </c>
      <c r="N83" s="1339"/>
      <c r="O83" s="1375"/>
      <c r="P83" s="1572"/>
      <c r="Q83" s="1573"/>
      <c r="R83" s="1573">
        <v>2.44</v>
      </c>
      <c r="S83" s="1573">
        <v>2.0299999999999998</v>
      </c>
      <c r="T83" s="1572">
        <f t="shared" si="10"/>
        <v>4.47</v>
      </c>
      <c r="U83" s="1573">
        <f>1.6946275-0.02</f>
        <v>1.6746274999999999</v>
      </c>
      <c r="V83" s="1573">
        <v>3.9553725000000002</v>
      </c>
      <c r="W83" s="1573">
        <v>0</v>
      </c>
      <c r="X83" s="1573"/>
      <c r="Y83" s="1573"/>
      <c r="Z83" s="1573"/>
      <c r="AA83" s="1573"/>
      <c r="AB83" s="1573"/>
      <c r="AC83" s="1580"/>
      <c r="AD83" s="1580"/>
      <c r="AE83" s="1580"/>
      <c r="AF83" s="1580"/>
      <c r="AG83" s="1580">
        <v>1</v>
      </c>
      <c r="AH83" s="1590">
        <v>0</v>
      </c>
      <c r="AI83" s="1590">
        <v>0</v>
      </c>
      <c r="AJ83" s="1590"/>
      <c r="AK83" s="1590"/>
      <c r="AL83" s="1590"/>
      <c r="AM83" s="1590"/>
      <c r="AN83" s="1590"/>
      <c r="AO83" s="1572"/>
      <c r="AP83" s="1630"/>
      <c r="AQ83" s="1630"/>
      <c r="AR83" s="1630"/>
      <c r="AS83" s="1572">
        <f t="shared" si="11"/>
        <v>0</v>
      </c>
      <c r="AT83" s="1624">
        <v>0</v>
      </c>
      <c r="AU83" s="1636">
        <v>10.1</v>
      </c>
      <c r="AV83" s="1624">
        <v>0</v>
      </c>
      <c r="AW83" s="1624">
        <v>0</v>
      </c>
      <c r="AX83" s="1624">
        <v>0</v>
      </c>
      <c r="AY83" s="1624">
        <v>0</v>
      </c>
      <c r="AZ83" s="1624">
        <v>0</v>
      </c>
      <c r="BA83" s="1624">
        <v>0</v>
      </c>
      <c r="BB83" s="1593"/>
      <c r="BC83" s="1369"/>
      <c r="BD83" s="1595" t="s">
        <v>939</v>
      </c>
      <c r="BE83" s="1512"/>
    </row>
    <row r="84" spans="1:60" s="1430" customFormat="1" ht="29" outlineLevel="1">
      <c r="A84" s="1499">
        <v>5</v>
      </c>
      <c r="B84" s="1512" t="s">
        <v>1750</v>
      </c>
      <c r="C84" s="1578" t="s">
        <v>936</v>
      </c>
      <c r="D84" s="1511" t="s">
        <v>1712</v>
      </c>
      <c r="E84" s="1579"/>
      <c r="F84" s="1334"/>
      <c r="G84" s="1368">
        <v>4.6500000000000004</v>
      </c>
      <c r="I84" s="1336"/>
      <c r="J84" s="1336"/>
      <c r="K84" s="1334"/>
      <c r="L84" s="1374"/>
      <c r="M84" s="1338" t="s">
        <v>1569</v>
      </c>
      <c r="N84" s="1339"/>
      <c r="O84" s="1375"/>
      <c r="P84" s="1572"/>
      <c r="Q84" s="1573"/>
      <c r="R84" s="1573">
        <f>0.11+1.19</f>
        <v>1.3</v>
      </c>
      <c r="S84" s="1573">
        <v>0.42</v>
      </c>
      <c r="T84" s="1572">
        <f t="shared" si="10"/>
        <v>1.72</v>
      </c>
      <c r="U84" s="1573">
        <v>0.98966246000000002</v>
      </c>
      <c r="V84" s="1573">
        <v>1.94033754</v>
      </c>
      <c r="W84" s="1573">
        <v>0</v>
      </c>
      <c r="X84" s="1573"/>
      <c r="Y84" s="1573"/>
      <c r="Z84" s="1573"/>
      <c r="AA84" s="1573"/>
      <c r="AB84" s="1573"/>
      <c r="AC84" s="1580"/>
      <c r="AD84" s="1580"/>
      <c r="AE84" s="1580"/>
      <c r="AF84" s="1580"/>
      <c r="AG84" s="1580">
        <v>1</v>
      </c>
      <c r="AH84" s="1590">
        <v>0</v>
      </c>
      <c r="AI84" s="1590">
        <v>0</v>
      </c>
      <c r="AJ84" s="1590"/>
      <c r="AK84" s="1590"/>
      <c r="AL84" s="1590"/>
      <c r="AM84" s="1590"/>
      <c r="AN84" s="1590"/>
      <c r="AO84" s="1572"/>
      <c r="AP84" s="1630"/>
      <c r="AQ84" s="1630"/>
      <c r="AR84" s="1630"/>
      <c r="AS84" s="1572">
        <f t="shared" si="11"/>
        <v>0</v>
      </c>
      <c r="AT84" s="1624">
        <v>0</v>
      </c>
      <c r="AU84" s="1636">
        <v>4.6505999999999998</v>
      </c>
      <c r="AV84" s="1624">
        <v>0</v>
      </c>
      <c r="AW84" s="1624">
        <v>0</v>
      </c>
      <c r="AX84" s="1624">
        <v>0</v>
      </c>
      <c r="AY84" s="1624">
        <v>0</v>
      </c>
      <c r="AZ84" s="1624">
        <v>0</v>
      </c>
      <c r="BA84" s="1624">
        <v>0</v>
      </c>
      <c r="BB84" s="1593"/>
      <c r="BC84" s="1369"/>
      <c r="BD84" s="1595" t="s">
        <v>939</v>
      </c>
      <c r="BE84" s="1512"/>
    </row>
    <row r="85" spans="1:60" s="1430" customFormat="1" ht="29" outlineLevel="1">
      <c r="A85" s="1499">
        <v>6</v>
      </c>
      <c r="B85" s="1512" t="s">
        <v>1751</v>
      </c>
      <c r="C85" s="1578" t="s">
        <v>936</v>
      </c>
      <c r="D85" s="1511" t="s">
        <v>1712</v>
      </c>
      <c r="E85" s="1579"/>
      <c r="F85" s="1334"/>
      <c r="G85" s="1368">
        <v>11.79</v>
      </c>
      <c r="I85" s="1336"/>
      <c r="J85" s="1336"/>
      <c r="K85" s="1334"/>
      <c r="L85" s="1374"/>
      <c r="M85" s="1338" t="s">
        <v>1569</v>
      </c>
      <c r="N85" s="1339"/>
      <c r="O85" s="1375"/>
      <c r="P85" s="1572"/>
      <c r="Q85" s="1573"/>
      <c r="R85" s="1573">
        <f>1.41+2.44+2.85</f>
        <v>6.6999999999999993</v>
      </c>
      <c r="S85" s="1573">
        <v>1.21</v>
      </c>
      <c r="T85" s="1572">
        <f t="shared" si="10"/>
        <v>7.9099999999999993</v>
      </c>
      <c r="U85" s="1573">
        <v>1.50482922</v>
      </c>
      <c r="V85" s="1573">
        <v>2.3751707799999999</v>
      </c>
      <c r="W85" s="1573">
        <v>0</v>
      </c>
      <c r="X85" s="1573"/>
      <c r="Y85" s="1573"/>
      <c r="Z85" s="1573"/>
      <c r="AA85" s="1573"/>
      <c r="AB85" s="1573"/>
      <c r="AC85" s="1580"/>
      <c r="AD85" s="1580"/>
      <c r="AE85" s="1580"/>
      <c r="AF85" s="1580"/>
      <c r="AG85" s="1580">
        <v>1</v>
      </c>
      <c r="AH85" s="1590">
        <v>0</v>
      </c>
      <c r="AI85" s="1590">
        <v>0</v>
      </c>
      <c r="AJ85" s="1590"/>
      <c r="AK85" s="1590"/>
      <c r="AL85" s="1590"/>
      <c r="AM85" s="1590"/>
      <c r="AN85" s="1590"/>
      <c r="AO85" s="1572"/>
      <c r="AP85" s="1630"/>
      <c r="AQ85" s="1630"/>
      <c r="AR85" s="1630"/>
      <c r="AS85" s="1572">
        <f t="shared" si="11"/>
        <v>0</v>
      </c>
      <c r="AT85" s="1624">
        <v>0</v>
      </c>
      <c r="AU85" s="1636">
        <v>11.79</v>
      </c>
      <c r="AV85" s="1624">
        <v>0</v>
      </c>
      <c r="AW85" s="1624">
        <v>0</v>
      </c>
      <c r="AX85" s="1624">
        <v>0</v>
      </c>
      <c r="AY85" s="1624">
        <v>0</v>
      </c>
      <c r="AZ85" s="1624">
        <v>0</v>
      </c>
      <c r="BA85" s="1624">
        <v>0</v>
      </c>
      <c r="BB85" s="1593"/>
      <c r="BC85" s="1369"/>
      <c r="BD85" s="1595" t="s">
        <v>939</v>
      </c>
      <c r="BE85" s="1512"/>
    </row>
    <row r="86" spans="1:60" s="1430" customFormat="1" ht="29" outlineLevel="1">
      <c r="A86" s="1499">
        <v>7</v>
      </c>
      <c r="B86" s="1512" t="s">
        <v>1752</v>
      </c>
      <c r="C86" s="1578" t="s">
        <v>936</v>
      </c>
      <c r="D86" s="1511" t="s">
        <v>1712</v>
      </c>
      <c r="E86" s="1579"/>
      <c r="F86" s="1334"/>
      <c r="G86" s="1368">
        <v>1.5</v>
      </c>
      <c r="I86" s="1336"/>
      <c r="J86" s="1336"/>
      <c r="K86" s="1334"/>
      <c r="L86" s="1374"/>
      <c r="M86" s="1338" t="s">
        <v>1569</v>
      </c>
      <c r="N86" s="1339"/>
      <c r="O86" s="1375"/>
      <c r="P86" s="1572"/>
      <c r="Q86" s="1573"/>
      <c r="R86" s="1573">
        <f>0.32+0.49</f>
        <v>0.81</v>
      </c>
      <c r="S86" s="1573">
        <v>0.19</v>
      </c>
      <c r="T86" s="1572">
        <f t="shared" si="10"/>
        <v>1</v>
      </c>
      <c r="U86" s="1573">
        <v>0.16268424000000001</v>
      </c>
      <c r="V86" s="1573">
        <v>0.33731576000000002</v>
      </c>
      <c r="W86" s="1573">
        <v>0</v>
      </c>
      <c r="X86" s="1573"/>
      <c r="Y86" s="1573"/>
      <c r="Z86" s="1573"/>
      <c r="AA86" s="1573"/>
      <c r="AB86" s="1573"/>
      <c r="AC86" s="1580"/>
      <c r="AD86" s="1580"/>
      <c r="AE86" s="1580"/>
      <c r="AF86" s="1580"/>
      <c r="AG86" s="1580">
        <v>1</v>
      </c>
      <c r="AH86" s="1590">
        <v>0</v>
      </c>
      <c r="AI86" s="1590">
        <v>0</v>
      </c>
      <c r="AJ86" s="1590"/>
      <c r="AK86" s="1590"/>
      <c r="AL86" s="1590"/>
      <c r="AM86" s="1590"/>
      <c r="AN86" s="1590"/>
      <c r="AO86" s="1572"/>
      <c r="AP86" s="1630"/>
      <c r="AQ86" s="1630"/>
      <c r="AR86" s="1630"/>
      <c r="AS86" s="1572">
        <f t="shared" si="11"/>
        <v>0</v>
      </c>
      <c r="AT86" s="1624">
        <v>0</v>
      </c>
      <c r="AU86" s="1636">
        <v>1.5</v>
      </c>
      <c r="AV86" s="1624">
        <v>0</v>
      </c>
      <c r="AW86" s="1624">
        <v>0</v>
      </c>
      <c r="AX86" s="1624">
        <v>0</v>
      </c>
      <c r="AY86" s="1624">
        <v>0</v>
      </c>
      <c r="AZ86" s="1624">
        <v>0</v>
      </c>
      <c r="BA86" s="1624">
        <v>0</v>
      </c>
      <c r="BB86" s="1593"/>
      <c r="BC86" s="1369"/>
      <c r="BD86" s="1595" t="s">
        <v>939</v>
      </c>
      <c r="BE86" s="1512"/>
    </row>
    <row r="87" spans="1:60" s="1589" customFormat="1" ht="15.5">
      <c r="A87" s="1493"/>
      <c r="B87" s="1494" t="s">
        <v>1753</v>
      </c>
      <c r="C87" s="1582"/>
      <c r="D87" s="1495"/>
      <c r="E87" s="1583"/>
      <c r="F87" s="1341"/>
      <c r="G87" s="1342"/>
      <c r="H87" s="1496"/>
      <c r="I87" s="1349"/>
      <c r="J87" s="1349"/>
      <c r="K87" s="1341"/>
      <c r="L87" s="1370"/>
      <c r="M87" s="1371"/>
      <c r="N87" s="1372"/>
      <c r="O87" s="1373"/>
      <c r="P87" s="1584"/>
      <c r="Q87" s="1584"/>
      <c r="R87" s="1584"/>
      <c r="S87" s="1584"/>
      <c r="T87" s="1584">
        <f t="shared" si="10"/>
        <v>0</v>
      </c>
      <c r="U87" s="1584"/>
      <c r="V87" s="1584"/>
      <c r="W87" s="1584"/>
      <c r="X87" s="1584"/>
      <c r="Y87" s="1584"/>
      <c r="Z87" s="1584"/>
      <c r="AA87" s="1584"/>
      <c r="AB87" s="1584"/>
      <c r="AC87" s="1585"/>
      <c r="AD87" s="1585"/>
      <c r="AE87" s="1585"/>
      <c r="AF87" s="1585"/>
      <c r="AG87" s="1585"/>
      <c r="AH87" s="1585"/>
      <c r="AI87" s="1585"/>
      <c r="AJ87" s="1585"/>
      <c r="AK87" s="1585"/>
      <c r="AL87" s="1585"/>
      <c r="AM87" s="1585"/>
      <c r="AN87" s="1585"/>
      <c r="AO87" s="1584"/>
      <c r="AP87" s="1584"/>
      <c r="AQ87" s="1584"/>
      <c r="AR87" s="1584"/>
      <c r="AS87" s="1584">
        <f t="shared" si="11"/>
        <v>0</v>
      </c>
      <c r="AT87" s="1584"/>
      <c r="AU87" s="1624"/>
      <c r="AV87" s="1624"/>
      <c r="AW87" s="1624">
        <v>0</v>
      </c>
      <c r="AX87" s="1624">
        <v>0</v>
      </c>
      <c r="AY87" s="1624">
        <v>0</v>
      </c>
      <c r="AZ87" s="1624">
        <v>0</v>
      </c>
      <c r="BA87" s="1624">
        <v>0</v>
      </c>
      <c r="BB87" s="1624"/>
      <c r="BC87" s="1624"/>
      <c r="BD87" s="1610" t="s">
        <v>934</v>
      </c>
      <c r="BE87" s="1588"/>
    </row>
    <row r="88" spans="1:60" ht="59.15" customHeight="1" outlineLevel="1">
      <c r="A88" s="1491"/>
      <c r="B88" s="1377" t="s">
        <v>1754</v>
      </c>
      <c r="C88" s="1638" t="s">
        <v>936</v>
      </c>
      <c r="D88" s="1492" t="str">
        <f>D108</f>
        <v>Add Cap (As per 296 of 2019)</v>
      </c>
      <c r="E88" s="1579" t="s">
        <v>1565</v>
      </c>
      <c r="F88" s="1334"/>
      <c r="G88" s="1335">
        <f t="shared" ref="G88:G102" si="12">H88</f>
        <v>0</v>
      </c>
      <c r="H88" s="1378"/>
      <c r="I88" s="1379"/>
      <c r="J88" s="1379"/>
      <c r="K88" s="1334" t="str">
        <f t="shared" ref="K88:K96" si="13">IF(F88=0,"-",F88)</f>
        <v>-</v>
      </c>
      <c r="L88" s="1337"/>
      <c r="M88" s="1338" t="s">
        <v>1569</v>
      </c>
      <c r="N88" s="1339"/>
      <c r="O88" s="1380" t="s">
        <v>1755</v>
      </c>
      <c r="P88" s="1572">
        <v>0</v>
      </c>
      <c r="Q88" s="1572">
        <v>0</v>
      </c>
      <c r="R88" s="1572">
        <v>0</v>
      </c>
      <c r="S88" s="1572">
        <v>0</v>
      </c>
      <c r="T88" s="1572">
        <f t="shared" si="10"/>
        <v>0</v>
      </c>
      <c r="U88" s="1639">
        <v>0</v>
      </c>
      <c r="V88" s="1572">
        <v>0</v>
      </c>
      <c r="W88" s="1572">
        <v>0</v>
      </c>
      <c r="X88" s="1572"/>
      <c r="Y88" s="1572"/>
      <c r="Z88" s="1572"/>
      <c r="AA88" s="1572"/>
      <c r="AB88" s="1572"/>
      <c r="AC88" s="1580"/>
      <c r="AD88" s="1580"/>
      <c r="AE88" s="1580"/>
      <c r="AF88" s="1580"/>
      <c r="AG88" s="1580"/>
      <c r="AH88" s="1590">
        <v>0</v>
      </c>
      <c r="AI88" s="1590">
        <v>0</v>
      </c>
      <c r="AJ88" s="1590"/>
      <c r="AK88" s="1590"/>
      <c r="AL88" s="1590"/>
      <c r="AM88" s="1590"/>
      <c r="AN88" s="1590"/>
      <c r="AO88" s="1572">
        <v>0</v>
      </c>
      <c r="AP88" s="1575">
        <v>0</v>
      </c>
      <c r="AQ88" s="1575">
        <v>0</v>
      </c>
      <c r="AR88" s="1575">
        <v>0</v>
      </c>
      <c r="AS88" s="1572">
        <f t="shared" si="11"/>
        <v>0</v>
      </c>
      <c r="AT88" s="1634">
        <v>0</v>
      </c>
      <c r="AU88" s="1592">
        <v>0</v>
      </c>
      <c r="AV88" s="1592">
        <v>0</v>
      </c>
      <c r="AW88" s="1624">
        <v>0</v>
      </c>
      <c r="AX88" s="1624">
        <v>0</v>
      </c>
      <c r="AY88" s="1624">
        <v>0</v>
      </c>
      <c r="AZ88" s="1624">
        <v>0</v>
      </c>
      <c r="BA88" s="1624">
        <v>0</v>
      </c>
      <c r="BB88" s="1592"/>
      <c r="BC88" s="1381"/>
      <c r="BD88" s="1595" t="s">
        <v>934</v>
      </c>
      <c r="BE88" s="1640"/>
    </row>
    <row r="89" spans="1:60" ht="46.5" outlineLevel="1">
      <c r="A89" s="1491">
        <v>1</v>
      </c>
      <c r="B89" s="1513" t="s">
        <v>1756</v>
      </c>
      <c r="C89" s="1578" t="s">
        <v>936</v>
      </c>
      <c r="D89" s="1492" t="str">
        <f t="shared" ref="D89:D95" si="14">D88</f>
        <v>Add Cap (As per 296 of 2019)</v>
      </c>
      <c r="E89" s="1579" t="s">
        <v>1565</v>
      </c>
      <c r="F89" s="1514"/>
      <c r="G89" s="1335">
        <f t="shared" si="12"/>
        <v>0.5</v>
      </c>
      <c r="H89" s="1382">
        <v>0.5</v>
      </c>
      <c r="I89" s="1379"/>
      <c r="J89" s="1379"/>
      <c r="K89" s="1334" t="str">
        <f t="shared" si="13"/>
        <v>-</v>
      </c>
      <c r="L89" s="1374">
        <v>43527</v>
      </c>
      <c r="M89" s="1338" t="s">
        <v>1569</v>
      </c>
      <c r="N89" s="1641" t="s">
        <v>1757</v>
      </c>
      <c r="O89" s="1380" t="s">
        <v>1755</v>
      </c>
      <c r="P89" s="1601">
        <v>0</v>
      </c>
      <c r="Q89" s="1573">
        <f t="shared" ref="Q89:S91" si="15">AP89</f>
        <v>0</v>
      </c>
      <c r="R89" s="1573">
        <f t="shared" si="15"/>
        <v>0.49655460000000001</v>
      </c>
      <c r="S89" s="1573">
        <f t="shared" si="15"/>
        <v>0</v>
      </c>
      <c r="T89" s="1601">
        <f t="shared" si="10"/>
        <v>0.49655460000000001</v>
      </c>
      <c r="U89" s="1634">
        <v>0</v>
      </c>
      <c r="V89" s="1601">
        <v>0</v>
      </c>
      <c r="W89" s="1601">
        <v>0</v>
      </c>
      <c r="X89" s="1601"/>
      <c r="Y89" s="1601"/>
      <c r="Z89" s="1601"/>
      <c r="AA89" s="1601"/>
      <c r="AB89" s="1601"/>
      <c r="AC89" s="1580">
        <v>0.2</v>
      </c>
      <c r="AD89" s="1580">
        <v>0.2</v>
      </c>
      <c r="AE89" s="1580">
        <v>1</v>
      </c>
      <c r="AF89" s="1580">
        <v>0</v>
      </c>
      <c r="AG89" s="1580">
        <v>0</v>
      </c>
      <c r="AH89" s="1590">
        <v>0</v>
      </c>
      <c r="AI89" s="1590">
        <v>0</v>
      </c>
      <c r="AJ89" s="1590"/>
      <c r="AK89" s="1590"/>
      <c r="AL89" s="1590"/>
      <c r="AM89" s="1590"/>
      <c r="AN89" s="1590"/>
      <c r="AO89" s="1601">
        <v>0</v>
      </c>
      <c r="AP89" s="1575">
        <v>0</v>
      </c>
      <c r="AQ89" s="1575">
        <v>0.49655460000000001</v>
      </c>
      <c r="AR89" s="1575">
        <v>0</v>
      </c>
      <c r="AS89" s="1601">
        <f t="shared" si="11"/>
        <v>0.49655460000000001</v>
      </c>
      <c r="AT89" s="1642">
        <v>0</v>
      </c>
      <c r="AU89" s="1619">
        <v>0</v>
      </c>
      <c r="AV89" s="1619">
        <v>0</v>
      </c>
      <c r="AW89" s="1624">
        <v>0</v>
      </c>
      <c r="AX89" s="1624">
        <v>0</v>
      </c>
      <c r="AY89" s="1624">
        <v>0</v>
      </c>
      <c r="AZ89" s="1624">
        <v>0</v>
      </c>
      <c r="BA89" s="1624">
        <v>0</v>
      </c>
      <c r="BB89" s="1604"/>
      <c r="BC89" s="1369" t="s">
        <v>1758</v>
      </c>
      <c r="BD89" s="1595" t="s">
        <v>939</v>
      </c>
      <c r="BE89" s="1611">
        <v>4385000174</v>
      </c>
      <c r="BF89" s="1316">
        <v>1501008295</v>
      </c>
      <c r="BG89" s="1316" t="s">
        <v>1757</v>
      </c>
    </row>
    <row r="90" spans="1:60" ht="46.5" outlineLevel="1">
      <c r="A90" s="1491">
        <v>2</v>
      </c>
      <c r="B90" s="1513" t="s">
        <v>1759</v>
      </c>
      <c r="C90" s="1578" t="s">
        <v>936</v>
      </c>
      <c r="D90" s="1492" t="str">
        <f t="shared" si="14"/>
        <v>Add Cap (As per 296 of 2019)</v>
      </c>
      <c r="E90" s="1579" t="s">
        <v>1565</v>
      </c>
      <c r="F90" s="1334"/>
      <c r="G90" s="1335">
        <f t="shared" si="12"/>
        <v>1.23</v>
      </c>
      <c r="H90" s="1382">
        <v>1.23</v>
      </c>
      <c r="I90" s="1379"/>
      <c r="J90" s="1379"/>
      <c r="K90" s="1334" t="str">
        <f t="shared" si="13"/>
        <v>-</v>
      </c>
      <c r="L90" s="1374">
        <v>43619</v>
      </c>
      <c r="M90" s="1338" t="s">
        <v>1569</v>
      </c>
      <c r="N90" s="1641" t="s">
        <v>1760</v>
      </c>
      <c r="O90" s="1380" t="s">
        <v>1755</v>
      </c>
      <c r="P90" s="1572">
        <v>0</v>
      </c>
      <c r="Q90" s="1573">
        <f t="shared" si="15"/>
        <v>0</v>
      </c>
      <c r="R90" s="1573">
        <f t="shared" si="15"/>
        <v>0</v>
      </c>
      <c r="S90" s="1573">
        <f t="shared" si="15"/>
        <v>0.29846889999999998</v>
      </c>
      <c r="T90" s="1572">
        <f t="shared" si="10"/>
        <v>0.29846889999999998</v>
      </c>
      <c r="U90" s="1634">
        <v>0</v>
      </c>
      <c r="V90" s="1573">
        <v>0</v>
      </c>
      <c r="W90" s="1573">
        <v>0</v>
      </c>
      <c r="X90" s="1573"/>
      <c r="Y90" s="1573"/>
      <c r="Z90" s="1573"/>
      <c r="AA90" s="1573"/>
      <c r="AB90" s="1573"/>
      <c r="AC90" s="1580">
        <v>0.2</v>
      </c>
      <c r="AD90" s="1580">
        <v>0.2</v>
      </c>
      <c r="AE90" s="1580">
        <v>0.4</v>
      </c>
      <c r="AF90" s="1580">
        <v>0</v>
      </c>
      <c r="AG90" s="1580">
        <v>0</v>
      </c>
      <c r="AH90" s="1590">
        <v>0</v>
      </c>
      <c r="AI90" s="1590">
        <v>0</v>
      </c>
      <c r="AJ90" s="1590"/>
      <c r="AK90" s="1590"/>
      <c r="AL90" s="1590"/>
      <c r="AM90" s="1590"/>
      <c r="AN90" s="1590"/>
      <c r="AO90" s="1572">
        <v>0</v>
      </c>
      <c r="AP90" s="1575">
        <v>0</v>
      </c>
      <c r="AQ90" s="1575">
        <v>0</v>
      </c>
      <c r="AR90" s="1575">
        <f>(1575323+1409366)/10000000</f>
        <v>0.29846889999999998</v>
      </c>
      <c r="AS90" s="1572">
        <f t="shared" si="11"/>
        <v>0.29846889999999998</v>
      </c>
      <c r="AT90" s="1598">
        <v>0</v>
      </c>
      <c r="AU90" s="1624">
        <v>0</v>
      </c>
      <c r="AV90" s="1624">
        <v>0</v>
      </c>
      <c r="AW90" s="1624">
        <v>0</v>
      </c>
      <c r="AX90" s="1624">
        <v>0</v>
      </c>
      <c r="AY90" s="1624">
        <v>0</v>
      </c>
      <c r="AZ90" s="1624">
        <v>0</v>
      </c>
      <c r="BA90" s="1624">
        <v>0</v>
      </c>
      <c r="BB90" s="1593"/>
      <c r="BC90" s="1369" t="s">
        <v>1758</v>
      </c>
      <c r="BD90" s="1600" t="s">
        <v>939</v>
      </c>
      <c r="BE90" s="1611" t="s">
        <v>1761</v>
      </c>
      <c r="BF90" s="1434" t="s">
        <v>1762</v>
      </c>
      <c r="BG90" s="1434" t="s">
        <v>1760</v>
      </c>
      <c r="BH90" s="1628"/>
    </row>
    <row r="91" spans="1:60" ht="46.5" outlineLevel="1">
      <c r="A91" s="1491">
        <v>3</v>
      </c>
      <c r="B91" s="1513" t="s">
        <v>1763</v>
      </c>
      <c r="C91" s="1578" t="s">
        <v>936</v>
      </c>
      <c r="D91" s="1492" t="str">
        <f t="shared" si="14"/>
        <v>Add Cap (As per 296 of 2019)</v>
      </c>
      <c r="E91" s="1579" t="s">
        <v>1565</v>
      </c>
      <c r="F91" s="1514"/>
      <c r="G91" s="1335">
        <f t="shared" si="12"/>
        <v>0.39</v>
      </c>
      <c r="H91" s="1382">
        <v>0.39</v>
      </c>
      <c r="I91" s="1379"/>
      <c r="J91" s="1379"/>
      <c r="K91" s="1334" t="str">
        <f t="shared" si="13"/>
        <v>-</v>
      </c>
      <c r="L91" s="1374">
        <v>43619</v>
      </c>
      <c r="M91" s="1338" t="s">
        <v>1569</v>
      </c>
      <c r="N91" s="1641" t="s">
        <v>1764</v>
      </c>
      <c r="O91" s="1380" t="s">
        <v>1755</v>
      </c>
      <c r="P91" s="1601">
        <v>0</v>
      </c>
      <c r="Q91" s="1573">
        <f t="shared" si="15"/>
        <v>0.36579919999999999</v>
      </c>
      <c r="R91" s="1573">
        <f t="shared" si="15"/>
        <v>0</v>
      </c>
      <c r="S91" s="1573">
        <f t="shared" si="15"/>
        <v>0</v>
      </c>
      <c r="T91" s="1601">
        <f t="shared" si="10"/>
        <v>0.36579919999999999</v>
      </c>
      <c r="U91" s="1634">
        <v>0</v>
      </c>
      <c r="V91" s="1601">
        <v>0</v>
      </c>
      <c r="W91" s="1601">
        <v>0</v>
      </c>
      <c r="X91" s="1601"/>
      <c r="Y91" s="1601"/>
      <c r="Z91" s="1601"/>
      <c r="AA91" s="1601"/>
      <c r="AB91" s="1601"/>
      <c r="AC91" s="1580">
        <v>0.2</v>
      </c>
      <c r="AD91" s="1580">
        <v>0.4</v>
      </c>
      <c r="AE91" s="1580">
        <v>0</v>
      </c>
      <c r="AF91" s="1580">
        <v>0</v>
      </c>
      <c r="AG91" s="1580">
        <v>0</v>
      </c>
      <c r="AH91" s="1590">
        <v>0</v>
      </c>
      <c r="AI91" s="1590">
        <v>0</v>
      </c>
      <c r="AJ91" s="1590"/>
      <c r="AK91" s="1590"/>
      <c r="AL91" s="1590"/>
      <c r="AM91" s="1590"/>
      <c r="AN91" s="1590"/>
      <c r="AO91" s="1601">
        <v>0</v>
      </c>
      <c r="AP91" s="1575">
        <f>(2277990+1380002)/10000000</f>
        <v>0.36579919999999999</v>
      </c>
      <c r="AQ91" s="1575">
        <v>0</v>
      </c>
      <c r="AR91" s="1575">
        <v>0</v>
      </c>
      <c r="AS91" s="1601">
        <f t="shared" si="11"/>
        <v>0.36579919999999999</v>
      </c>
      <c r="AT91" s="1602">
        <v>0</v>
      </c>
      <c r="AU91" s="1603">
        <v>0</v>
      </c>
      <c r="AV91" s="1603">
        <v>0</v>
      </c>
      <c r="AW91" s="1624">
        <v>0</v>
      </c>
      <c r="AX91" s="1624">
        <v>0</v>
      </c>
      <c r="AY91" s="1624">
        <v>0</v>
      </c>
      <c r="AZ91" s="1624">
        <v>0</v>
      </c>
      <c r="BA91" s="1624">
        <v>0</v>
      </c>
      <c r="BB91" s="1604"/>
      <c r="BC91" s="1369" t="s">
        <v>1758</v>
      </c>
      <c r="BD91" s="1595" t="s">
        <v>939</v>
      </c>
      <c r="BE91" s="1611" t="s">
        <v>1765</v>
      </c>
      <c r="BF91" s="1316">
        <v>1501008201</v>
      </c>
      <c r="BG91" s="1316" t="s">
        <v>1764</v>
      </c>
    </row>
    <row r="92" spans="1:60" ht="46.5" outlineLevel="1">
      <c r="A92" s="1491">
        <v>4</v>
      </c>
      <c r="B92" s="1513" t="s">
        <v>1766</v>
      </c>
      <c r="C92" s="1578" t="s">
        <v>936</v>
      </c>
      <c r="D92" s="1492" t="str">
        <f t="shared" si="14"/>
        <v>Add Cap (As per 296 of 2019)</v>
      </c>
      <c r="E92" s="1579" t="s">
        <v>1565</v>
      </c>
      <c r="F92" s="1334"/>
      <c r="G92" s="1335">
        <f t="shared" si="12"/>
        <v>1</v>
      </c>
      <c r="H92" s="1382">
        <v>1</v>
      </c>
      <c r="I92" s="1379"/>
      <c r="J92" s="1379"/>
      <c r="K92" s="1334" t="str">
        <f t="shared" si="13"/>
        <v>-</v>
      </c>
      <c r="L92" s="1374">
        <v>43619</v>
      </c>
      <c r="M92" s="1338" t="s">
        <v>1569</v>
      </c>
      <c r="N92" s="1339"/>
      <c r="O92" s="1380" t="s">
        <v>1755</v>
      </c>
      <c r="P92" s="1572">
        <v>0</v>
      </c>
      <c r="Q92" s="1572">
        <v>0</v>
      </c>
      <c r="R92" s="1572">
        <v>0</v>
      </c>
      <c r="S92" s="1572">
        <v>0</v>
      </c>
      <c r="T92" s="1572">
        <f t="shared" si="10"/>
        <v>0</v>
      </c>
      <c r="U92" s="1639">
        <v>0</v>
      </c>
      <c r="V92" s="1572">
        <v>0</v>
      </c>
      <c r="W92" s="1572">
        <v>0</v>
      </c>
      <c r="X92" s="1572"/>
      <c r="Y92" s="1572"/>
      <c r="Z92" s="1572"/>
      <c r="AA92" s="1572"/>
      <c r="AB92" s="1572"/>
      <c r="AC92" s="1580">
        <v>0.2</v>
      </c>
      <c r="AD92" s="1580">
        <v>0.2</v>
      </c>
      <c r="AE92" s="1580">
        <v>0.2</v>
      </c>
      <c r="AF92" s="1580">
        <v>0.2</v>
      </c>
      <c r="AG92" s="1580"/>
      <c r="AH92" s="1590">
        <v>0</v>
      </c>
      <c r="AI92" s="1590">
        <v>0</v>
      </c>
      <c r="AJ92" s="1590"/>
      <c r="AK92" s="1590"/>
      <c r="AL92" s="1590"/>
      <c r="AM92" s="1590"/>
      <c r="AN92" s="1590"/>
      <c r="AO92" s="1643">
        <v>0</v>
      </c>
      <c r="AP92" s="1576">
        <v>0</v>
      </c>
      <c r="AQ92" s="1576">
        <v>0</v>
      </c>
      <c r="AR92" s="1576">
        <v>0</v>
      </c>
      <c r="AS92" s="1643">
        <f t="shared" si="11"/>
        <v>0</v>
      </c>
      <c r="AT92" s="1634">
        <v>0</v>
      </c>
      <c r="AU92" s="1592">
        <v>0</v>
      </c>
      <c r="AV92" s="1592">
        <v>0</v>
      </c>
      <c r="AW92" s="1624">
        <v>0</v>
      </c>
      <c r="AX92" s="1624">
        <v>0</v>
      </c>
      <c r="AY92" s="1624">
        <v>0</v>
      </c>
      <c r="AZ92" s="1624">
        <v>0</v>
      </c>
      <c r="BA92" s="1624">
        <v>0</v>
      </c>
      <c r="BB92" s="1592"/>
      <c r="BC92" s="1383" t="s">
        <v>1767</v>
      </c>
      <c r="BD92" s="1595" t="s">
        <v>941</v>
      </c>
      <c r="BE92" s="1640" t="s">
        <v>934</v>
      </c>
    </row>
    <row r="93" spans="1:60" ht="46.5" outlineLevel="1">
      <c r="A93" s="1491">
        <v>5</v>
      </c>
      <c r="B93" s="1513" t="s">
        <v>1768</v>
      </c>
      <c r="C93" s="1578" t="s">
        <v>936</v>
      </c>
      <c r="D93" s="1492" t="str">
        <f t="shared" si="14"/>
        <v>Add Cap (As per 296 of 2019)</v>
      </c>
      <c r="E93" s="1579" t="s">
        <v>1565</v>
      </c>
      <c r="F93" s="1334"/>
      <c r="G93" s="1335">
        <f t="shared" si="12"/>
        <v>0.93</v>
      </c>
      <c r="H93" s="1382">
        <v>0.93</v>
      </c>
      <c r="I93" s="1379"/>
      <c r="J93" s="1379"/>
      <c r="K93" s="1334" t="str">
        <f t="shared" si="13"/>
        <v>-</v>
      </c>
      <c r="L93" s="1374">
        <v>43619</v>
      </c>
      <c r="M93" s="1338" t="s">
        <v>1569</v>
      </c>
      <c r="N93" s="1339"/>
      <c r="O93" s="1380" t="s">
        <v>1755</v>
      </c>
      <c r="P93" s="1572">
        <v>0</v>
      </c>
      <c r="Q93" s="1572">
        <v>0</v>
      </c>
      <c r="R93" s="1572">
        <v>0</v>
      </c>
      <c r="S93" s="1572">
        <v>0</v>
      </c>
      <c r="T93" s="1572">
        <f t="shared" si="10"/>
        <v>0</v>
      </c>
      <c r="U93" s="1639">
        <v>0</v>
      </c>
      <c r="V93" s="1572">
        <v>0</v>
      </c>
      <c r="W93" s="1572">
        <v>0</v>
      </c>
      <c r="X93" s="1572"/>
      <c r="Y93" s="1572"/>
      <c r="Z93" s="1572"/>
      <c r="AA93" s="1572"/>
      <c r="AB93" s="1572"/>
      <c r="AC93" s="1580">
        <v>0.2</v>
      </c>
      <c r="AD93" s="1580">
        <v>0.2</v>
      </c>
      <c r="AE93" s="1580">
        <v>0.2</v>
      </c>
      <c r="AF93" s="1580">
        <v>0.2</v>
      </c>
      <c r="AG93" s="1580"/>
      <c r="AH93" s="1590">
        <v>0</v>
      </c>
      <c r="AI93" s="1590">
        <v>0</v>
      </c>
      <c r="AJ93" s="1590"/>
      <c r="AK93" s="1590"/>
      <c r="AL93" s="1590"/>
      <c r="AM93" s="1590"/>
      <c r="AN93" s="1590"/>
      <c r="AO93" s="1643">
        <v>0</v>
      </c>
      <c r="AP93" s="1576">
        <v>0</v>
      </c>
      <c r="AQ93" s="1576">
        <v>0</v>
      </c>
      <c r="AR93" s="1576">
        <v>0</v>
      </c>
      <c r="AS93" s="1643">
        <f t="shared" si="11"/>
        <v>0</v>
      </c>
      <c r="AT93" s="1634">
        <v>0</v>
      </c>
      <c r="AU93" s="1592">
        <v>0</v>
      </c>
      <c r="AV93" s="1592">
        <v>0</v>
      </c>
      <c r="AW93" s="1592">
        <v>0</v>
      </c>
      <c r="AX93" s="1592">
        <v>0</v>
      </c>
      <c r="AY93" s="1592">
        <v>0</v>
      </c>
      <c r="AZ93" s="1592">
        <v>0</v>
      </c>
      <c r="BA93" s="1592">
        <v>0</v>
      </c>
      <c r="BB93" s="1592"/>
      <c r="BC93" s="1383" t="s">
        <v>1767</v>
      </c>
      <c r="BD93" s="1595" t="s">
        <v>941</v>
      </c>
      <c r="BE93" s="1640" t="s">
        <v>934</v>
      </c>
    </row>
    <row r="94" spans="1:60" ht="46.5" outlineLevel="1">
      <c r="A94" s="1491">
        <v>6</v>
      </c>
      <c r="B94" s="1513" t="s">
        <v>1769</v>
      </c>
      <c r="C94" s="1578" t="s">
        <v>936</v>
      </c>
      <c r="D94" s="1492" t="str">
        <f t="shared" si="14"/>
        <v>Add Cap (As per 296 of 2019)</v>
      </c>
      <c r="E94" s="1579" t="s">
        <v>1565</v>
      </c>
      <c r="F94" s="1334"/>
      <c r="G94" s="1335">
        <f t="shared" si="12"/>
        <v>0.34</v>
      </c>
      <c r="H94" s="1382">
        <v>0.34</v>
      </c>
      <c r="I94" s="1379"/>
      <c r="J94" s="1379"/>
      <c r="K94" s="1334" t="str">
        <f t="shared" si="13"/>
        <v>-</v>
      </c>
      <c r="L94" s="1374">
        <v>43619</v>
      </c>
      <c r="M94" s="1338" t="s">
        <v>1569</v>
      </c>
      <c r="N94" s="1334" t="s">
        <v>1770</v>
      </c>
      <c r="O94" s="1380" t="s">
        <v>1755</v>
      </c>
      <c r="P94" s="1572">
        <v>0</v>
      </c>
      <c r="Q94" s="1573">
        <f t="shared" ref="Q94:S99" si="16">AP94</f>
        <v>0.347356836</v>
      </c>
      <c r="R94" s="1573">
        <f t="shared" si="16"/>
        <v>0</v>
      </c>
      <c r="S94" s="1573">
        <f t="shared" si="16"/>
        <v>0</v>
      </c>
      <c r="T94" s="1572">
        <f t="shared" si="10"/>
        <v>0.347356836</v>
      </c>
      <c r="U94" s="1639">
        <v>0</v>
      </c>
      <c r="V94" s="1572">
        <v>0</v>
      </c>
      <c r="W94" s="1572">
        <v>0</v>
      </c>
      <c r="X94" s="1572"/>
      <c r="Y94" s="1572"/>
      <c r="Z94" s="1572"/>
      <c r="AA94" s="1572"/>
      <c r="AB94" s="1572"/>
      <c r="AC94" s="1580">
        <v>0.2</v>
      </c>
      <c r="AD94" s="1580">
        <v>0.4</v>
      </c>
      <c r="AE94" s="1580"/>
      <c r="AF94" s="1580"/>
      <c r="AG94" s="1580"/>
      <c r="AH94" s="1590">
        <v>0</v>
      </c>
      <c r="AI94" s="1590">
        <v>0</v>
      </c>
      <c r="AJ94" s="1590"/>
      <c r="AK94" s="1590"/>
      <c r="AL94" s="1590"/>
      <c r="AM94" s="1590"/>
      <c r="AN94" s="1590"/>
      <c r="AO94" s="1572">
        <v>0</v>
      </c>
      <c r="AP94" s="1573">
        <v>0.347356836</v>
      </c>
      <c r="AQ94" s="1573">
        <v>0</v>
      </c>
      <c r="AR94" s="1573">
        <v>0</v>
      </c>
      <c r="AS94" s="1572">
        <f t="shared" si="11"/>
        <v>0.347356836</v>
      </c>
      <c r="AT94" s="1634">
        <v>0</v>
      </c>
      <c r="AU94" s="1592">
        <v>0</v>
      </c>
      <c r="AV94" s="1592">
        <v>0</v>
      </c>
      <c r="AW94" s="1592">
        <v>0</v>
      </c>
      <c r="AX94" s="1592">
        <v>0</v>
      </c>
      <c r="AY94" s="1592">
        <v>0</v>
      </c>
      <c r="AZ94" s="1592">
        <v>0</v>
      </c>
      <c r="BA94" s="1592">
        <v>0</v>
      </c>
      <c r="BB94" s="1593"/>
      <c r="BC94" s="1369" t="s">
        <v>1758</v>
      </c>
      <c r="BD94" s="1595" t="s">
        <v>939</v>
      </c>
      <c r="BE94" s="1644">
        <v>4385000075</v>
      </c>
      <c r="BF94" s="1316">
        <v>1501008202</v>
      </c>
      <c r="BG94" s="1316" t="s">
        <v>1770</v>
      </c>
    </row>
    <row r="95" spans="1:60" ht="46.5" outlineLevel="1">
      <c r="A95" s="1491">
        <v>7</v>
      </c>
      <c r="B95" s="1515" t="s">
        <v>1771</v>
      </c>
      <c r="C95" s="1578" t="s">
        <v>936</v>
      </c>
      <c r="D95" s="1492" t="str">
        <f t="shared" si="14"/>
        <v>Add Cap (As per 296 of 2019)</v>
      </c>
      <c r="E95" s="1579" t="s">
        <v>1565</v>
      </c>
      <c r="F95" s="1334"/>
      <c r="G95" s="1335">
        <f t="shared" si="12"/>
        <v>1.65</v>
      </c>
      <c r="H95" s="1382">
        <v>1.65</v>
      </c>
      <c r="I95" s="1379"/>
      <c r="J95" s="1379"/>
      <c r="K95" s="1334" t="str">
        <f t="shared" si="13"/>
        <v>-</v>
      </c>
      <c r="L95" s="1374">
        <v>43649</v>
      </c>
      <c r="M95" s="1338" t="s">
        <v>1569</v>
      </c>
      <c r="N95" s="1339" t="s">
        <v>1772</v>
      </c>
      <c r="O95" s="1380" t="s">
        <v>1755</v>
      </c>
      <c r="P95" s="1572">
        <v>0</v>
      </c>
      <c r="Q95" s="1573">
        <f t="shared" si="16"/>
        <v>0</v>
      </c>
      <c r="R95" s="1573">
        <f t="shared" si="16"/>
        <v>0</v>
      </c>
      <c r="S95" s="1573">
        <f t="shared" si="16"/>
        <v>0.39444410000000002</v>
      </c>
      <c r="T95" s="1572">
        <f t="shared" si="10"/>
        <v>0.39444410000000002</v>
      </c>
      <c r="U95" s="1639">
        <v>0</v>
      </c>
      <c r="V95" s="1572">
        <v>0</v>
      </c>
      <c r="W95" s="1572">
        <v>0</v>
      </c>
      <c r="X95" s="1572"/>
      <c r="Y95" s="1572"/>
      <c r="Z95" s="1572"/>
      <c r="AA95" s="1572"/>
      <c r="AB95" s="1572"/>
      <c r="AC95" s="1580">
        <v>0.2</v>
      </c>
      <c r="AD95" s="1580">
        <v>0.2</v>
      </c>
      <c r="AE95" s="1580">
        <v>0.2</v>
      </c>
      <c r="AF95" s="1580">
        <v>1</v>
      </c>
      <c r="AG95" s="1580">
        <v>0</v>
      </c>
      <c r="AH95" s="1590">
        <v>0</v>
      </c>
      <c r="AI95" s="1590">
        <v>0</v>
      </c>
      <c r="AJ95" s="1590"/>
      <c r="AK95" s="1590"/>
      <c r="AL95" s="1590"/>
      <c r="AM95" s="1590"/>
      <c r="AN95" s="1590"/>
      <c r="AO95" s="1572">
        <v>0</v>
      </c>
      <c r="AP95" s="1575"/>
      <c r="AQ95" s="1575"/>
      <c r="AR95" s="1575">
        <f>(3861639+82802)/10000000</f>
        <v>0.39444410000000002</v>
      </c>
      <c r="AS95" s="1572">
        <f t="shared" si="11"/>
        <v>0.39444410000000002</v>
      </c>
      <c r="AT95" s="1634">
        <v>0</v>
      </c>
      <c r="AU95" s="1592">
        <v>0</v>
      </c>
      <c r="AV95" s="1592">
        <v>0</v>
      </c>
      <c r="AW95" s="1592">
        <v>0</v>
      </c>
      <c r="AX95" s="1592">
        <v>0</v>
      </c>
      <c r="AY95" s="1592">
        <v>0</v>
      </c>
      <c r="AZ95" s="1592">
        <v>0</v>
      </c>
      <c r="BA95" s="1592">
        <v>0</v>
      </c>
      <c r="BB95" s="1593"/>
      <c r="BC95" s="1369" t="s">
        <v>1758</v>
      </c>
      <c r="BD95" s="1595" t="s">
        <v>939</v>
      </c>
      <c r="BE95" s="1611" t="s">
        <v>1773</v>
      </c>
      <c r="BF95" s="1316">
        <v>1501008564</v>
      </c>
      <c r="BG95" s="1316" t="s">
        <v>1772</v>
      </c>
    </row>
    <row r="96" spans="1:60" ht="29.15" customHeight="1" outlineLevel="1">
      <c r="A96" s="1491">
        <v>9</v>
      </c>
      <c r="B96" s="1377" t="s">
        <v>1774</v>
      </c>
      <c r="C96" s="1578" t="s">
        <v>936</v>
      </c>
      <c r="D96" s="1492" t="str">
        <f>D112</f>
        <v>Add Cap (As per 296 of 2019)</v>
      </c>
      <c r="E96" s="1579" t="s">
        <v>1565</v>
      </c>
      <c r="F96" s="1334"/>
      <c r="G96" s="1335">
        <f t="shared" si="12"/>
        <v>1</v>
      </c>
      <c r="H96" s="1378">
        <v>1</v>
      </c>
      <c r="I96" s="1379"/>
      <c r="J96" s="1379"/>
      <c r="K96" s="1334" t="str">
        <f t="shared" si="13"/>
        <v>-</v>
      </c>
      <c r="L96" s="1334" t="s">
        <v>1565</v>
      </c>
      <c r="M96" s="1338" t="s">
        <v>1569</v>
      </c>
      <c r="N96" s="1334" t="s">
        <v>1775</v>
      </c>
      <c r="O96" s="1375"/>
      <c r="P96" s="1572">
        <v>0</v>
      </c>
      <c r="Q96" s="1573">
        <f t="shared" si="16"/>
        <v>0.59507503399999995</v>
      </c>
      <c r="R96" s="1573">
        <f t="shared" si="16"/>
        <v>0.40244560000000001</v>
      </c>
      <c r="S96" s="1573">
        <f t="shared" si="16"/>
        <v>0</v>
      </c>
      <c r="T96" s="1572">
        <f t="shared" si="10"/>
        <v>0.99752063400000002</v>
      </c>
      <c r="U96" s="1598">
        <v>0</v>
      </c>
      <c r="V96" s="1573">
        <v>0</v>
      </c>
      <c r="W96" s="1573">
        <v>0</v>
      </c>
      <c r="X96" s="1573"/>
      <c r="Y96" s="1573"/>
      <c r="Z96" s="1573"/>
      <c r="AA96" s="1573"/>
      <c r="AB96" s="1573"/>
      <c r="AC96" s="1580">
        <v>0.2</v>
      </c>
      <c r="AD96" s="1580">
        <v>1</v>
      </c>
      <c r="AE96" s="1580">
        <v>0</v>
      </c>
      <c r="AF96" s="1580">
        <v>0</v>
      </c>
      <c r="AG96" s="1580">
        <v>0</v>
      </c>
      <c r="AH96" s="1590">
        <v>0</v>
      </c>
      <c r="AI96" s="1590">
        <v>0</v>
      </c>
      <c r="AJ96" s="1590"/>
      <c r="AK96" s="1590"/>
      <c r="AL96" s="1590"/>
      <c r="AM96" s="1590"/>
      <c r="AN96" s="1590"/>
      <c r="AO96" s="1572">
        <v>0</v>
      </c>
      <c r="AP96" s="1575">
        <f>5950750.34/10000000</f>
        <v>0.59507503399999995</v>
      </c>
      <c r="AQ96" s="1575">
        <v>0.40244560000000001</v>
      </c>
      <c r="AR96" s="1575">
        <v>0</v>
      </c>
      <c r="AS96" s="1572">
        <f t="shared" si="11"/>
        <v>0.99752063400000002</v>
      </c>
      <c r="AT96" s="1634">
        <v>0</v>
      </c>
      <c r="AU96" s="1592">
        <v>0</v>
      </c>
      <c r="AV96" s="1592">
        <v>0</v>
      </c>
      <c r="AW96" s="1592">
        <v>0</v>
      </c>
      <c r="AX96" s="1592">
        <v>0</v>
      </c>
      <c r="AY96" s="1592">
        <v>0</v>
      </c>
      <c r="AZ96" s="1592">
        <v>0</v>
      </c>
      <c r="BA96" s="1592">
        <v>0</v>
      </c>
      <c r="BB96" s="1593"/>
      <c r="BC96" s="1369" t="s">
        <v>1733</v>
      </c>
      <c r="BD96" s="1600" t="s">
        <v>939</v>
      </c>
      <c r="BE96" s="1611">
        <v>4370001852</v>
      </c>
      <c r="BF96" s="1434" t="s">
        <v>1776</v>
      </c>
      <c r="BG96" s="1434" t="s">
        <v>1775</v>
      </c>
    </row>
    <row r="97" spans="1:72" ht="34" customHeight="1" outlineLevel="1">
      <c r="A97" s="1491">
        <v>10</v>
      </c>
      <c r="B97" s="1377" t="s">
        <v>1777</v>
      </c>
      <c r="C97" s="1578" t="s">
        <v>936</v>
      </c>
      <c r="D97" s="1492" t="str">
        <f>D96</f>
        <v>Add Cap (As per 296 of 2019)</v>
      </c>
      <c r="E97" s="1579" t="s">
        <v>1565</v>
      </c>
      <c r="F97" s="1334"/>
      <c r="G97" s="1335">
        <f t="shared" si="12"/>
        <v>0.75</v>
      </c>
      <c r="H97" s="1384">
        <v>0.75</v>
      </c>
      <c r="I97" s="1379"/>
      <c r="J97" s="1379"/>
      <c r="K97" s="1334"/>
      <c r="L97" s="1334" t="s">
        <v>1565</v>
      </c>
      <c r="M97" s="1338" t="s">
        <v>1569</v>
      </c>
      <c r="N97" s="1334" t="s">
        <v>1778</v>
      </c>
      <c r="O97" s="1319"/>
      <c r="P97" s="1572">
        <v>0</v>
      </c>
      <c r="Q97" s="1573">
        <f t="shared" si="16"/>
        <v>0.74556261000000001</v>
      </c>
      <c r="R97" s="1573">
        <f t="shared" si="16"/>
        <v>0</v>
      </c>
      <c r="S97" s="1573">
        <f t="shared" si="16"/>
        <v>0</v>
      </c>
      <c r="T97" s="1572">
        <f t="shared" si="10"/>
        <v>0.74556261000000001</v>
      </c>
      <c r="U97" s="1598">
        <v>0</v>
      </c>
      <c r="V97" s="1573">
        <v>0</v>
      </c>
      <c r="W97" s="1573">
        <v>0</v>
      </c>
      <c r="X97" s="1573"/>
      <c r="Y97" s="1573"/>
      <c r="Z97" s="1573"/>
      <c r="AA97" s="1573"/>
      <c r="AB97" s="1573"/>
      <c r="AC97" s="1580">
        <v>0.2</v>
      </c>
      <c r="AD97" s="1580">
        <v>1</v>
      </c>
      <c r="AE97" s="1580">
        <v>0</v>
      </c>
      <c r="AF97" s="1580">
        <v>0</v>
      </c>
      <c r="AG97" s="1580">
        <v>0</v>
      </c>
      <c r="AH97" s="1590">
        <v>0</v>
      </c>
      <c r="AI97" s="1590">
        <v>0</v>
      </c>
      <c r="AJ97" s="1590"/>
      <c r="AK97" s="1590"/>
      <c r="AL97" s="1590"/>
      <c r="AM97" s="1590"/>
      <c r="AN97" s="1590"/>
      <c r="AO97" s="1572">
        <v>0</v>
      </c>
      <c r="AP97" s="1575">
        <v>0.74556261000000001</v>
      </c>
      <c r="AQ97" s="1575">
        <v>0</v>
      </c>
      <c r="AR97" s="1575">
        <v>0</v>
      </c>
      <c r="AS97" s="1572">
        <f t="shared" si="11"/>
        <v>0.74556261000000001</v>
      </c>
      <c r="AT97" s="1634">
        <v>0</v>
      </c>
      <c r="AU97" s="1592">
        <v>0</v>
      </c>
      <c r="AV97" s="1592">
        <v>0</v>
      </c>
      <c r="AW97" s="1592">
        <v>0</v>
      </c>
      <c r="AX97" s="1592">
        <v>0</v>
      </c>
      <c r="AY97" s="1592">
        <v>0</v>
      </c>
      <c r="AZ97" s="1592">
        <v>0</v>
      </c>
      <c r="BA97" s="1592">
        <v>0</v>
      </c>
      <c r="BB97" s="1593"/>
      <c r="BC97" s="1369" t="s">
        <v>1733</v>
      </c>
      <c r="BD97" s="1600" t="s">
        <v>939</v>
      </c>
      <c r="BE97" s="1611">
        <v>4370001851</v>
      </c>
      <c r="BF97" s="1316">
        <v>120201362</v>
      </c>
      <c r="BG97" s="1316" t="s">
        <v>1778</v>
      </c>
    </row>
    <row r="98" spans="1:72" ht="36" customHeight="1" outlineLevel="1">
      <c r="A98" s="1516">
        <v>11</v>
      </c>
      <c r="B98" s="1385" t="s">
        <v>1779</v>
      </c>
      <c r="C98" s="1578" t="s">
        <v>936</v>
      </c>
      <c r="D98" s="1492" t="str">
        <f>D97</f>
        <v>Add Cap (As per 296 of 2019)</v>
      </c>
      <c r="E98" s="1579" t="s">
        <v>1565</v>
      </c>
      <c r="F98" s="1514"/>
      <c r="G98" s="1335">
        <f t="shared" si="12"/>
        <v>0.5</v>
      </c>
      <c r="H98" s="1384">
        <v>0.5</v>
      </c>
      <c r="I98" s="1379"/>
      <c r="J98" s="1379"/>
      <c r="K98" s="1334" t="str">
        <f t="shared" ref="K98:K119" si="17">IF(F98=0,"-",F98)</f>
        <v>-</v>
      </c>
      <c r="L98" s="1334" t="s">
        <v>1565</v>
      </c>
      <c r="M98" s="1338" t="s">
        <v>1569</v>
      </c>
      <c r="N98" s="1339" t="s">
        <v>1780</v>
      </c>
      <c r="O98" s="1645" t="s">
        <v>1781</v>
      </c>
      <c r="P98" s="1601">
        <v>0</v>
      </c>
      <c r="Q98" s="1573">
        <f t="shared" si="16"/>
        <v>0</v>
      </c>
      <c r="R98" s="1573">
        <f t="shared" si="16"/>
        <v>0</v>
      </c>
      <c r="S98" s="1573">
        <f t="shared" si="16"/>
        <v>0.45635233799999997</v>
      </c>
      <c r="T98" s="1601">
        <f t="shared" si="10"/>
        <v>0.45635233799999997</v>
      </c>
      <c r="U98" s="1602">
        <v>0</v>
      </c>
      <c r="V98" s="1601">
        <v>0</v>
      </c>
      <c r="W98" s="1601">
        <v>0</v>
      </c>
      <c r="X98" s="1601"/>
      <c r="Y98" s="1601"/>
      <c r="Z98" s="1601"/>
      <c r="AA98" s="1601"/>
      <c r="AB98" s="1601"/>
      <c r="AC98" s="1580">
        <v>0.2</v>
      </c>
      <c r="AD98" s="1580">
        <v>0.4</v>
      </c>
      <c r="AE98" s="1580">
        <v>1</v>
      </c>
      <c r="AF98" s="1580">
        <v>0</v>
      </c>
      <c r="AG98" s="1580">
        <v>0</v>
      </c>
      <c r="AH98" s="1590">
        <v>0</v>
      </c>
      <c r="AI98" s="1590">
        <v>0</v>
      </c>
      <c r="AJ98" s="1590"/>
      <c r="AK98" s="1590"/>
      <c r="AL98" s="1590"/>
      <c r="AM98" s="1590"/>
      <c r="AN98" s="1590"/>
      <c r="AO98" s="1601">
        <v>0</v>
      </c>
      <c r="AP98" s="1575">
        <v>0</v>
      </c>
      <c r="AQ98" s="1575"/>
      <c r="AR98" s="1575">
        <f>4563523.38/10000000</f>
        <v>0.45635233799999997</v>
      </c>
      <c r="AS98" s="1601">
        <f t="shared" si="11"/>
        <v>0.45635233799999997</v>
      </c>
      <c r="AT98" s="1634">
        <v>0</v>
      </c>
      <c r="AU98" s="1592">
        <v>0</v>
      </c>
      <c r="AV98" s="1592">
        <v>0</v>
      </c>
      <c r="AW98" s="1592">
        <v>0</v>
      </c>
      <c r="AX98" s="1592">
        <v>0</v>
      </c>
      <c r="AY98" s="1592">
        <v>0</v>
      </c>
      <c r="AZ98" s="1592">
        <v>0</v>
      </c>
      <c r="BA98" s="1592">
        <v>0</v>
      </c>
      <c r="BB98" s="1604"/>
      <c r="BC98" s="1369" t="s">
        <v>1733</v>
      </c>
      <c r="BD98" s="1595" t="s">
        <v>939</v>
      </c>
      <c r="BE98" s="1611">
        <v>4370001867</v>
      </c>
      <c r="BF98" s="1316">
        <v>120201412</v>
      </c>
      <c r="BG98" s="1316" t="s">
        <v>1780</v>
      </c>
    </row>
    <row r="99" spans="1:72" ht="15.5" outlineLevel="1">
      <c r="A99" s="1491">
        <v>12</v>
      </c>
      <c r="B99" s="1386" t="s">
        <v>1782</v>
      </c>
      <c r="C99" s="1578" t="s">
        <v>936</v>
      </c>
      <c r="D99" s="1492" t="str">
        <f>D98</f>
        <v>Add Cap (As per 296 of 2019)</v>
      </c>
      <c r="E99" s="1579" t="s">
        <v>1565</v>
      </c>
      <c r="F99" s="1334"/>
      <c r="G99" s="1335">
        <f t="shared" si="12"/>
        <v>0.2</v>
      </c>
      <c r="H99" s="1384">
        <v>0.2</v>
      </c>
      <c r="I99" s="1379"/>
      <c r="J99" s="1379"/>
      <c r="K99" s="1334" t="str">
        <f t="shared" si="17"/>
        <v>-</v>
      </c>
      <c r="L99" s="1334" t="s">
        <v>1565</v>
      </c>
      <c r="M99" s="1338" t="s">
        <v>1569</v>
      </c>
      <c r="N99" s="1339" t="s">
        <v>1783</v>
      </c>
      <c r="O99" s="1645" t="s">
        <v>1784</v>
      </c>
      <c r="P99" s="1572">
        <v>0</v>
      </c>
      <c r="Q99" s="1573">
        <f t="shared" si="16"/>
        <v>0.18583111099999999</v>
      </c>
      <c r="R99" s="1573">
        <f t="shared" si="16"/>
        <v>0</v>
      </c>
      <c r="S99" s="1573">
        <f t="shared" si="16"/>
        <v>0</v>
      </c>
      <c r="T99" s="1572">
        <f t="shared" si="10"/>
        <v>0.18583111099999999</v>
      </c>
      <c r="U99" s="1598">
        <v>0</v>
      </c>
      <c r="V99" s="1573">
        <v>0</v>
      </c>
      <c r="W99" s="1573">
        <v>0</v>
      </c>
      <c r="X99" s="1573"/>
      <c r="Y99" s="1573"/>
      <c r="Z99" s="1573"/>
      <c r="AA99" s="1573"/>
      <c r="AB99" s="1573"/>
      <c r="AC99" s="1580">
        <v>0.2</v>
      </c>
      <c r="AD99" s="1580">
        <v>1</v>
      </c>
      <c r="AE99" s="1580">
        <v>0</v>
      </c>
      <c r="AF99" s="1580">
        <v>0</v>
      </c>
      <c r="AG99" s="1580">
        <v>0</v>
      </c>
      <c r="AH99" s="1590">
        <v>0</v>
      </c>
      <c r="AI99" s="1590">
        <v>0</v>
      </c>
      <c r="AJ99" s="1590"/>
      <c r="AK99" s="1590"/>
      <c r="AL99" s="1590"/>
      <c r="AM99" s="1590"/>
      <c r="AN99" s="1590"/>
      <c r="AO99" s="1572">
        <v>0</v>
      </c>
      <c r="AP99" s="1575">
        <v>0.18583111099999999</v>
      </c>
      <c r="AQ99" s="1575">
        <v>0</v>
      </c>
      <c r="AR99" s="1575">
        <v>0</v>
      </c>
      <c r="AS99" s="1572">
        <f t="shared" si="11"/>
        <v>0.18583111099999999</v>
      </c>
      <c r="AT99" s="1634">
        <v>0</v>
      </c>
      <c r="AU99" s="1592">
        <v>0</v>
      </c>
      <c r="AV99" s="1592">
        <v>0</v>
      </c>
      <c r="AW99" s="1592">
        <v>0</v>
      </c>
      <c r="AX99" s="1592">
        <v>0</v>
      </c>
      <c r="AY99" s="1592">
        <v>0</v>
      </c>
      <c r="AZ99" s="1592">
        <v>0</v>
      </c>
      <c r="BA99" s="1592">
        <v>0</v>
      </c>
      <c r="BB99" s="1593"/>
      <c r="BC99" s="1369" t="s">
        <v>1733</v>
      </c>
      <c r="BD99" s="1600" t="s">
        <v>939</v>
      </c>
      <c r="BE99" s="1611">
        <v>4370001850</v>
      </c>
      <c r="BF99" s="1316">
        <v>120201367</v>
      </c>
      <c r="BG99" s="1316" t="s">
        <v>1783</v>
      </c>
    </row>
    <row r="100" spans="1:72" ht="84" customHeight="1" outlineLevel="1">
      <c r="A100" s="1491">
        <v>13</v>
      </c>
      <c r="B100" s="1385" t="s">
        <v>1785</v>
      </c>
      <c r="C100" s="1578" t="s">
        <v>936</v>
      </c>
      <c r="D100" s="1492" t="str">
        <f>D99</f>
        <v>Add Cap (As per 296 of 2019)</v>
      </c>
      <c r="E100" s="1579" t="s">
        <v>1565</v>
      </c>
      <c r="F100" s="1334"/>
      <c r="G100" s="1335">
        <f t="shared" si="12"/>
        <v>0.5</v>
      </c>
      <c r="H100" s="1384">
        <v>0.5</v>
      </c>
      <c r="I100" s="1379"/>
      <c r="J100" s="1379"/>
      <c r="K100" s="1334" t="str">
        <f t="shared" si="17"/>
        <v>-</v>
      </c>
      <c r="L100" s="1334" t="s">
        <v>1565</v>
      </c>
      <c r="M100" s="1338" t="s">
        <v>1569</v>
      </c>
      <c r="N100" s="1339" t="s">
        <v>934</v>
      </c>
      <c r="O100" s="1645" t="s">
        <v>1786</v>
      </c>
      <c r="P100" s="1572">
        <v>0</v>
      </c>
      <c r="Q100" s="1573">
        <v>0</v>
      </c>
      <c r="R100" s="1573">
        <v>0</v>
      </c>
      <c r="S100" s="1573">
        <v>0</v>
      </c>
      <c r="T100" s="1572">
        <f t="shared" si="10"/>
        <v>0</v>
      </c>
      <c r="U100" s="1598">
        <v>0</v>
      </c>
      <c r="V100" s="1573">
        <v>0</v>
      </c>
      <c r="W100" s="1573">
        <v>0</v>
      </c>
      <c r="X100" s="1573">
        <v>0</v>
      </c>
      <c r="Y100" s="1573">
        <v>0</v>
      </c>
      <c r="Z100" s="1573">
        <v>0</v>
      </c>
      <c r="AA100" s="1573">
        <v>0</v>
      </c>
      <c r="AB100" s="1573">
        <v>0</v>
      </c>
      <c r="AC100" s="1580">
        <v>0.2</v>
      </c>
      <c r="AD100" s="1580">
        <v>0.4</v>
      </c>
      <c r="AE100" s="1580">
        <v>0.8</v>
      </c>
      <c r="AF100" s="1580">
        <v>0.8</v>
      </c>
      <c r="AG100" s="1580">
        <v>1</v>
      </c>
      <c r="AH100" s="1590">
        <v>0</v>
      </c>
      <c r="AI100" s="1590">
        <v>0</v>
      </c>
      <c r="AJ100" s="1590"/>
      <c r="AK100" s="1590"/>
      <c r="AL100" s="1590"/>
      <c r="AM100" s="1590"/>
      <c r="AN100" s="1590"/>
      <c r="AO100" s="1572">
        <v>0</v>
      </c>
      <c r="AP100" s="1575">
        <v>0</v>
      </c>
      <c r="AQ100" s="1575">
        <v>0</v>
      </c>
      <c r="AR100" s="1575">
        <v>0</v>
      </c>
      <c r="AS100" s="1572">
        <f t="shared" si="11"/>
        <v>0</v>
      </c>
      <c r="AT100" s="1634">
        <v>0</v>
      </c>
      <c r="AU100" s="1592">
        <v>0</v>
      </c>
      <c r="AV100" s="1592">
        <v>0</v>
      </c>
      <c r="AW100" s="1592">
        <v>0</v>
      </c>
      <c r="AX100" s="1592">
        <v>0</v>
      </c>
      <c r="AY100" s="1592">
        <v>0</v>
      </c>
      <c r="AZ100" s="1592">
        <v>0</v>
      </c>
      <c r="BA100" s="1592">
        <v>0</v>
      </c>
      <c r="BB100" s="1593"/>
      <c r="BC100" s="1626" t="s">
        <v>1787</v>
      </c>
      <c r="BD100" s="1600" t="s">
        <v>942</v>
      </c>
      <c r="BE100" s="1611">
        <v>4370001854</v>
      </c>
    </row>
    <row r="101" spans="1:72" ht="46.5" outlineLevel="1">
      <c r="A101" s="1491">
        <v>14</v>
      </c>
      <c r="B101" s="1386" t="s">
        <v>1788</v>
      </c>
      <c r="C101" s="1578" t="s">
        <v>936</v>
      </c>
      <c r="D101" s="1492" t="str">
        <f>D116</f>
        <v>Add Cap (As per 296 of 2019)</v>
      </c>
      <c r="E101" s="1579" t="s">
        <v>1565</v>
      </c>
      <c r="F101" s="1334"/>
      <c r="G101" s="1335">
        <f t="shared" si="12"/>
        <v>0.7</v>
      </c>
      <c r="H101" s="1378">
        <v>0.7</v>
      </c>
      <c r="I101" s="1379"/>
      <c r="J101" s="1379"/>
      <c r="K101" s="1334" t="str">
        <f t="shared" si="17"/>
        <v>-</v>
      </c>
      <c r="L101" s="1334" t="s">
        <v>1565</v>
      </c>
      <c r="M101" s="1338" t="s">
        <v>1569</v>
      </c>
      <c r="N101" s="1339" t="s">
        <v>1789</v>
      </c>
      <c r="O101" s="1319"/>
      <c r="P101" s="1572">
        <v>0</v>
      </c>
      <c r="Q101" s="1573">
        <f t="shared" ref="Q101:S105" si="18">AP101</f>
        <v>0.67356391299999996</v>
      </c>
      <c r="R101" s="1573">
        <f t="shared" si="18"/>
        <v>0</v>
      </c>
      <c r="S101" s="1573">
        <f t="shared" si="18"/>
        <v>0</v>
      </c>
      <c r="T101" s="1572">
        <f t="shared" si="10"/>
        <v>0.67356391299999996</v>
      </c>
      <c r="U101" s="1598">
        <v>0</v>
      </c>
      <c r="V101" s="1573">
        <v>0</v>
      </c>
      <c r="W101" s="1573">
        <v>0</v>
      </c>
      <c r="X101" s="1573"/>
      <c r="Y101" s="1573"/>
      <c r="Z101" s="1573"/>
      <c r="AA101" s="1573"/>
      <c r="AB101" s="1573"/>
      <c r="AC101" s="1580">
        <v>0.2</v>
      </c>
      <c r="AD101" s="1580">
        <v>1</v>
      </c>
      <c r="AE101" s="1580">
        <v>0</v>
      </c>
      <c r="AF101" s="1580">
        <v>0</v>
      </c>
      <c r="AG101" s="1580">
        <v>0</v>
      </c>
      <c r="AH101" s="1590">
        <v>0</v>
      </c>
      <c r="AI101" s="1590">
        <v>0</v>
      </c>
      <c r="AJ101" s="1590"/>
      <c r="AK101" s="1590"/>
      <c r="AL101" s="1590"/>
      <c r="AM101" s="1590"/>
      <c r="AN101" s="1590"/>
      <c r="AO101" s="1572">
        <v>0</v>
      </c>
      <c r="AP101" s="1575">
        <f>6735639.13/10000000</f>
        <v>0.67356391299999996</v>
      </c>
      <c r="AQ101" s="1575"/>
      <c r="AR101" s="1575"/>
      <c r="AS101" s="1572">
        <f t="shared" si="11"/>
        <v>0.67356391299999996</v>
      </c>
      <c r="AT101" s="1634">
        <v>0</v>
      </c>
      <c r="AU101" s="1592">
        <v>0</v>
      </c>
      <c r="AV101" s="1592">
        <v>0</v>
      </c>
      <c r="AW101" s="1592">
        <v>0</v>
      </c>
      <c r="AX101" s="1592">
        <v>0</v>
      </c>
      <c r="AY101" s="1592">
        <v>0</v>
      </c>
      <c r="AZ101" s="1592">
        <v>0</v>
      </c>
      <c r="BA101" s="1592">
        <v>0</v>
      </c>
      <c r="BB101" s="1593"/>
      <c r="BC101" s="1369" t="s">
        <v>1733</v>
      </c>
      <c r="BD101" s="1600" t="s">
        <v>939</v>
      </c>
      <c r="BE101" s="1611">
        <v>4370001853</v>
      </c>
      <c r="BF101" s="1316">
        <v>120201365</v>
      </c>
      <c r="BG101" s="1316" t="s">
        <v>1789</v>
      </c>
    </row>
    <row r="102" spans="1:72" ht="27" customHeight="1" outlineLevel="1">
      <c r="A102" s="1517">
        <v>15</v>
      </c>
      <c r="B102" s="1518" t="s">
        <v>1790</v>
      </c>
      <c r="C102" s="1578" t="s">
        <v>936</v>
      </c>
      <c r="D102" s="1492" t="str">
        <f>D115</f>
        <v>Add Cap (As per 296 of 2019)</v>
      </c>
      <c r="E102" s="1579" t="s">
        <v>1565</v>
      </c>
      <c r="F102" s="1334"/>
      <c r="G102" s="1387">
        <f t="shared" si="12"/>
        <v>3</v>
      </c>
      <c r="H102" s="1378">
        <v>3</v>
      </c>
      <c r="I102" s="1379"/>
      <c r="J102" s="1379"/>
      <c r="K102" s="1334" t="str">
        <f t="shared" si="17"/>
        <v>-</v>
      </c>
      <c r="L102" s="1337" t="s">
        <v>1791</v>
      </c>
      <c r="M102" s="1338" t="s">
        <v>1569</v>
      </c>
      <c r="N102" s="1339" t="s">
        <v>1792</v>
      </c>
      <c r="O102" s="1645" t="s">
        <v>1793</v>
      </c>
      <c r="P102" s="1572">
        <v>0</v>
      </c>
      <c r="Q102" s="1573">
        <f t="shared" si="18"/>
        <v>1.0266339840000001</v>
      </c>
      <c r="R102" s="1573">
        <f t="shared" si="18"/>
        <v>0</v>
      </c>
      <c r="S102" s="1573">
        <f t="shared" si="18"/>
        <v>0</v>
      </c>
      <c r="T102" s="1572">
        <f t="shared" si="10"/>
        <v>1.0266339840000001</v>
      </c>
      <c r="U102" s="1634">
        <v>0</v>
      </c>
      <c r="V102" s="1573">
        <v>0</v>
      </c>
      <c r="W102" s="1573">
        <v>0</v>
      </c>
      <c r="X102" s="1573"/>
      <c r="Y102" s="1573"/>
      <c r="Z102" s="1573"/>
      <c r="AA102" s="1573"/>
      <c r="AB102" s="1573"/>
      <c r="AC102" s="1580">
        <v>0.2</v>
      </c>
      <c r="AD102" s="1580">
        <v>1</v>
      </c>
      <c r="AE102" s="1580">
        <v>0</v>
      </c>
      <c r="AF102" s="1580">
        <v>0</v>
      </c>
      <c r="AG102" s="1580">
        <v>0</v>
      </c>
      <c r="AH102" s="1590">
        <v>0</v>
      </c>
      <c r="AI102" s="1590">
        <v>0</v>
      </c>
      <c r="AJ102" s="1590"/>
      <c r="AK102" s="1590"/>
      <c r="AL102" s="1590"/>
      <c r="AM102" s="1590"/>
      <c r="AN102" s="1590"/>
      <c r="AO102" s="1572">
        <v>0</v>
      </c>
      <c r="AP102" s="1575">
        <v>1.0266339840000001</v>
      </c>
      <c r="AQ102" s="1575">
        <v>0</v>
      </c>
      <c r="AR102" s="1575">
        <v>0</v>
      </c>
      <c r="AS102" s="1572">
        <f t="shared" si="11"/>
        <v>1.0266339840000001</v>
      </c>
      <c r="AT102" s="1634">
        <v>0</v>
      </c>
      <c r="AU102" s="1592">
        <v>0</v>
      </c>
      <c r="AV102" s="1592">
        <v>0</v>
      </c>
      <c r="AW102" s="1592">
        <v>0</v>
      </c>
      <c r="AX102" s="1592">
        <v>0</v>
      </c>
      <c r="AY102" s="1592">
        <v>0</v>
      </c>
      <c r="AZ102" s="1592">
        <v>0</v>
      </c>
      <c r="BA102" s="1592">
        <v>0</v>
      </c>
      <c r="BB102" s="1593"/>
      <c r="BC102" s="1369" t="s">
        <v>1733</v>
      </c>
      <c r="BD102" s="1600" t="s">
        <v>939</v>
      </c>
      <c r="BE102" s="1644">
        <v>4370001958</v>
      </c>
      <c r="BF102" s="1316">
        <v>130100793</v>
      </c>
      <c r="BG102" s="1316" t="s">
        <v>1792</v>
      </c>
    </row>
    <row r="103" spans="1:72" ht="27" customHeight="1" outlineLevel="1">
      <c r="A103" s="1519"/>
      <c r="B103" s="1520"/>
      <c r="C103" s="1578" t="s">
        <v>936</v>
      </c>
      <c r="D103" s="1492" t="str">
        <f>D102</f>
        <v>Add Cap (As per 296 of 2019)</v>
      </c>
      <c r="E103" s="1579" t="s">
        <v>1565</v>
      </c>
      <c r="F103" s="1334"/>
      <c r="G103" s="1387"/>
      <c r="H103" s="1378"/>
      <c r="I103" s="1379"/>
      <c r="J103" s="1379"/>
      <c r="K103" s="1334" t="str">
        <f t="shared" si="17"/>
        <v>-</v>
      </c>
      <c r="L103" s="1337" t="s">
        <v>1794</v>
      </c>
      <c r="M103" s="1338" t="s">
        <v>1569</v>
      </c>
      <c r="N103" s="1388" t="s">
        <v>1795</v>
      </c>
      <c r="O103" s="1645" t="s">
        <v>1793</v>
      </c>
      <c r="P103" s="1572">
        <v>0</v>
      </c>
      <c r="Q103" s="1573">
        <f t="shared" si="18"/>
        <v>1.8371300820000001</v>
      </c>
      <c r="R103" s="1573">
        <f t="shared" si="18"/>
        <v>0</v>
      </c>
      <c r="S103" s="1573">
        <f t="shared" si="18"/>
        <v>0</v>
      </c>
      <c r="T103" s="1572">
        <f t="shared" si="10"/>
        <v>1.8371300820000001</v>
      </c>
      <c r="U103" s="1634">
        <v>0</v>
      </c>
      <c r="V103" s="1573">
        <v>0</v>
      </c>
      <c r="W103" s="1573">
        <v>0</v>
      </c>
      <c r="X103" s="1573"/>
      <c r="Y103" s="1573"/>
      <c r="Z103" s="1573"/>
      <c r="AA103" s="1573"/>
      <c r="AB103" s="1573"/>
      <c r="AC103" s="1580">
        <v>0</v>
      </c>
      <c r="AD103" s="1580">
        <v>1</v>
      </c>
      <c r="AE103" s="1580">
        <v>0</v>
      </c>
      <c r="AF103" s="1580">
        <v>0</v>
      </c>
      <c r="AG103" s="1580">
        <v>0</v>
      </c>
      <c r="AH103" s="1590">
        <v>0</v>
      </c>
      <c r="AI103" s="1590">
        <v>0</v>
      </c>
      <c r="AJ103" s="1590"/>
      <c r="AK103" s="1590"/>
      <c r="AL103" s="1590"/>
      <c r="AM103" s="1590"/>
      <c r="AN103" s="1590"/>
      <c r="AO103" s="1572">
        <v>0</v>
      </c>
      <c r="AP103" s="1575">
        <v>1.8371300820000001</v>
      </c>
      <c r="AQ103" s="1575">
        <v>0</v>
      </c>
      <c r="AR103" s="1575">
        <v>0</v>
      </c>
      <c r="AS103" s="1572">
        <f t="shared" si="11"/>
        <v>1.8371300820000001</v>
      </c>
      <c r="AT103" s="1634">
        <v>0</v>
      </c>
      <c r="AU103" s="1592">
        <v>0</v>
      </c>
      <c r="AV103" s="1592">
        <v>0</v>
      </c>
      <c r="AW103" s="1592">
        <v>0</v>
      </c>
      <c r="AX103" s="1592">
        <v>0</v>
      </c>
      <c r="AY103" s="1592">
        <v>0</v>
      </c>
      <c r="AZ103" s="1592">
        <v>0</v>
      </c>
      <c r="BA103" s="1592">
        <v>0</v>
      </c>
      <c r="BB103" s="1593"/>
      <c r="BC103" s="1369" t="s">
        <v>1733</v>
      </c>
      <c r="BD103" s="1600" t="s">
        <v>939</v>
      </c>
      <c r="BE103" s="1644">
        <v>4370002184</v>
      </c>
      <c r="BF103" s="1316">
        <v>130100795</v>
      </c>
      <c r="BG103" s="1316" t="s">
        <v>1795</v>
      </c>
    </row>
    <row r="104" spans="1:72" ht="15.5" outlineLevel="1">
      <c r="A104" s="1491">
        <v>16</v>
      </c>
      <c r="B104" s="1513" t="s">
        <v>1796</v>
      </c>
      <c r="C104" s="1638" t="s">
        <v>936</v>
      </c>
      <c r="D104" s="1492" t="str">
        <f>B7</f>
        <v>Add Cap (As per 296 of 2019)</v>
      </c>
      <c r="E104" s="1579" t="s">
        <v>1565</v>
      </c>
      <c r="F104" s="1334"/>
      <c r="G104" s="1335">
        <f>H104</f>
        <v>2.5</v>
      </c>
      <c r="H104" s="1521">
        <v>2.5</v>
      </c>
      <c r="I104" s="1379"/>
      <c r="J104" s="1379"/>
      <c r="K104" s="1334" t="str">
        <f t="shared" si="17"/>
        <v>-</v>
      </c>
      <c r="L104" s="1374">
        <v>43648</v>
      </c>
      <c r="M104" s="1337" t="s">
        <v>1569</v>
      </c>
      <c r="N104" s="1641" t="s">
        <v>1797</v>
      </c>
      <c r="O104" s="1389"/>
      <c r="P104" s="1572">
        <v>0</v>
      </c>
      <c r="Q104" s="1573">
        <f t="shared" si="18"/>
        <v>0</v>
      </c>
      <c r="R104" s="1573">
        <f t="shared" si="18"/>
        <v>0</v>
      </c>
      <c r="S104" s="1573">
        <f t="shared" si="18"/>
        <v>2.4383865259999999</v>
      </c>
      <c r="T104" s="1572">
        <f t="shared" si="10"/>
        <v>2.4383865259999999</v>
      </c>
      <c r="U104" s="1634">
        <v>0</v>
      </c>
      <c r="V104" s="1573">
        <v>0</v>
      </c>
      <c r="W104" s="1573">
        <v>0</v>
      </c>
      <c r="X104" s="1573"/>
      <c r="Y104" s="1573"/>
      <c r="Z104" s="1573"/>
      <c r="AA104" s="1573"/>
      <c r="AB104" s="1573"/>
      <c r="AC104" s="1580">
        <v>0.2</v>
      </c>
      <c r="AD104" s="1580">
        <v>0.2</v>
      </c>
      <c r="AE104" s="1580">
        <v>0.4</v>
      </c>
      <c r="AF104" s="1580">
        <v>1</v>
      </c>
      <c r="AG104" s="1580">
        <v>0</v>
      </c>
      <c r="AH104" s="1590">
        <v>0</v>
      </c>
      <c r="AI104" s="1590">
        <v>0</v>
      </c>
      <c r="AJ104" s="1590"/>
      <c r="AK104" s="1590"/>
      <c r="AL104" s="1590"/>
      <c r="AM104" s="1590"/>
      <c r="AN104" s="1590"/>
      <c r="AO104" s="1572"/>
      <c r="AP104" s="1575">
        <v>0</v>
      </c>
      <c r="AQ104" s="1575">
        <v>0</v>
      </c>
      <c r="AR104" s="1575">
        <v>2.4383865259999999</v>
      </c>
      <c r="AS104" s="1572">
        <f t="shared" si="11"/>
        <v>2.4383865259999999</v>
      </c>
      <c r="AT104" s="1634">
        <v>0</v>
      </c>
      <c r="AU104" s="1592">
        <v>0</v>
      </c>
      <c r="AV104" s="1592">
        <v>0</v>
      </c>
      <c r="AW104" s="1592">
        <v>0</v>
      </c>
      <c r="AX104" s="1592">
        <v>0</v>
      </c>
      <c r="AY104" s="1592">
        <v>0</v>
      </c>
      <c r="AZ104" s="1592">
        <v>0</v>
      </c>
      <c r="BA104" s="1592">
        <v>0</v>
      </c>
      <c r="BB104" s="1593"/>
      <c r="BC104" s="1369" t="s">
        <v>1798</v>
      </c>
      <c r="BD104" s="1595" t="s">
        <v>939</v>
      </c>
      <c r="BE104" s="1644">
        <v>4385000201</v>
      </c>
      <c r="BF104" s="1316">
        <v>1501008565</v>
      </c>
      <c r="BG104" s="1316" t="s">
        <v>1797</v>
      </c>
    </row>
    <row r="105" spans="1:72" ht="15.5" outlineLevel="1">
      <c r="A105" s="1491">
        <v>17</v>
      </c>
      <c r="B105" s="1513" t="s">
        <v>1799</v>
      </c>
      <c r="C105" s="1638" t="s">
        <v>936</v>
      </c>
      <c r="D105" s="1492" t="str">
        <f>D104</f>
        <v>Add Cap (As per 296 of 2019)</v>
      </c>
      <c r="E105" s="1579" t="s">
        <v>1565</v>
      </c>
      <c r="F105" s="1334"/>
      <c r="G105" s="1335">
        <f t="shared" ref="G105:G118" si="19">H105</f>
        <v>3.7</v>
      </c>
      <c r="H105" s="1521">
        <v>3.7</v>
      </c>
      <c r="I105" s="1379"/>
      <c r="J105" s="1379"/>
      <c r="K105" s="1334" t="str">
        <f t="shared" si="17"/>
        <v>-</v>
      </c>
      <c r="L105" s="1374">
        <v>43587</v>
      </c>
      <c r="M105" s="1338" t="s">
        <v>1569</v>
      </c>
      <c r="N105" s="1339" t="s">
        <v>1800</v>
      </c>
      <c r="O105" s="1646" t="s">
        <v>1801</v>
      </c>
      <c r="P105" s="1572">
        <v>0</v>
      </c>
      <c r="Q105" s="1573">
        <f t="shared" si="18"/>
        <v>0</v>
      </c>
      <c r="R105" s="1573">
        <f>19217217/10000000</f>
        <v>1.9217217</v>
      </c>
      <c r="S105" s="1573">
        <f>AR105-(19217217/10000000)</f>
        <v>1.921721732</v>
      </c>
      <c r="T105" s="1572">
        <f t="shared" si="10"/>
        <v>3.8434434319999999</v>
      </c>
      <c r="U105" s="1634">
        <v>0</v>
      </c>
      <c r="V105" s="1573">
        <v>0</v>
      </c>
      <c r="W105" s="1573">
        <v>0</v>
      </c>
      <c r="X105" s="1573"/>
      <c r="Y105" s="1573"/>
      <c r="Z105" s="1573"/>
      <c r="AA105" s="1573"/>
      <c r="AB105" s="1573"/>
      <c r="AC105" s="1580">
        <v>0.2</v>
      </c>
      <c r="AD105" s="1580">
        <v>0.2</v>
      </c>
      <c r="AE105" s="1580">
        <v>0.4</v>
      </c>
      <c r="AF105" s="1580">
        <v>1</v>
      </c>
      <c r="AG105" s="1580">
        <v>0</v>
      </c>
      <c r="AH105" s="1590">
        <v>0</v>
      </c>
      <c r="AI105" s="1590">
        <v>0</v>
      </c>
      <c r="AJ105" s="1590"/>
      <c r="AK105" s="1590"/>
      <c r="AL105" s="1590"/>
      <c r="AM105" s="1590"/>
      <c r="AN105" s="1590"/>
      <c r="AO105" s="1572">
        <v>0</v>
      </c>
      <c r="AP105" s="1575">
        <v>0</v>
      </c>
      <c r="AQ105" s="1575">
        <v>0</v>
      </c>
      <c r="AR105" s="1575">
        <v>3.8434434319999999</v>
      </c>
      <c r="AS105" s="1572">
        <f t="shared" si="11"/>
        <v>3.8434434319999999</v>
      </c>
      <c r="AT105" s="1634">
        <v>0</v>
      </c>
      <c r="AU105" s="1592">
        <v>0</v>
      </c>
      <c r="AV105" s="1592">
        <v>0</v>
      </c>
      <c r="AW105" s="1592">
        <v>0</v>
      </c>
      <c r="AX105" s="1592">
        <v>0</v>
      </c>
      <c r="AY105" s="1592">
        <v>0</v>
      </c>
      <c r="AZ105" s="1592">
        <v>0</v>
      </c>
      <c r="BA105" s="1592">
        <v>0</v>
      </c>
      <c r="BB105" s="1593"/>
      <c r="BC105" s="1369" t="s">
        <v>1798</v>
      </c>
      <c r="BD105" s="1595" t="s">
        <v>939</v>
      </c>
      <c r="BE105" s="1644">
        <v>4385000280</v>
      </c>
      <c r="BF105" s="1316">
        <v>1501008657</v>
      </c>
      <c r="BG105" s="1316" t="s">
        <v>1800</v>
      </c>
    </row>
    <row r="106" spans="1:72" ht="46.5" outlineLevel="1">
      <c r="A106" s="1491">
        <v>18</v>
      </c>
      <c r="B106" s="1513" t="s">
        <v>1802</v>
      </c>
      <c r="C106" s="1638" t="s">
        <v>936</v>
      </c>
      <c r="D106" s="1492" t="str">
        <f>D105</f>
        <v>Add Cap (As per 296 of 2019)</v>
      </c>
      <c r="E106" s="1579" t="s">
        <v>1565</v>
      </c>
      <c r="F106" s="1334"/>
      <c r="G106" s="1335">
        <f t="shared" si="19"/>
        <v>20</v>
      </c>
      <c r="H106" s="1521">
        <v>20</v>
      </c>
      <c r="I106" s="1379"/>
      <c r="J106" s="1379"/>
      <c r="K106" s="1334" t="str">
        <f t="shared" si="17"/>
        <v>-</v>
      </c>
      <c r="L106" s="1374" t="s">
        <v>1803</v>
      </c>
      <c r="M106" s="1338" t="s">
        <v>1569</v>
      </c>
      <c r="N106" s="1339" t="s">
        <v>1803</v>
      </c>
      <c r="O106" s="1646" t="s">
        <v>1804</v>
      </c>
      <c r="P106" s="1572"/>
      <c r="Q106" s="1573"/>
      <c r="R106" s="1573">
        <v>4.4556028999999997</v>
      </c>
      <c r="S106" s="1573">
        <v>8.4491054000000005</v>
      </c>
      <c r="T106" s="1572">
        <f t="shared" si="10"/>
        <v>12.904708299999999</v>
      </c>
      <c r="U106" s="1573">
        <f>4.33+0.67</f>
        <v>5</v>
      </c>
      <c r="V106" s="1573">
        <v>0.80000000000000027</v>
      </c>
      <c r="W106" s="1573">
        <v>0</v>
      </c>
      <c r="X106" s="1573"/>
      <c r="Y106" s="1573"/>
      <c r="Z106" s="1573"/>
      <c r="AA106" s="1573"/>
      <c r="AB106" s="1573"/>
      <c r="AC106" s="1580">
        <v>0</v>
      </c>
      <c r="AD106" s="1580"/>
      <c r="AE106" s="1580"/>
      <c r="AF106" s="1580"/>
      <c r="AG106" s="1580"/>
      <c r="AH106" s="1590">
        <v>0</v>
      </c>
      <c r="AI106" s="1590">
        <v>0</v>
      </c>
      <c r="AJ106" s="1590"/>
      <c r="AK106" s="1590"/>
      <c r="AL106" s="1590"/>
      <c r="AM106" s="1590"/>
      <c r="AN106" s="1590"/>
      <c r="AO106" s="1572"/>
      <c r="AP106" s="1575"/>
      <c r="AQ106" s="1575"/>
      <c r="AR106" s="1575"/>
      <c r="AS106" s="1572">
        <f t="shared" si="11"/>
        <v>0</v>
      </c>
      <c r="AT106" s="1634">
        <v>0</v>
      </c>
      <c r="AU106" s="1593">
        <v>18.812928558999999</v>
      </c>
      <c r="AV106" s="1592">
        <v>0</v>
      </c>
      <c r="AW106" s="1592">
        <v>0</v>
      </c>
      <c r="AX106" s="1592">
        <v>0</v>
      </c>
      <c r="AY106" s="1592">
        <v>0</v>
      </c>
      <c r="AZ106" s="1592">
        <v>0</v>
      </c>
      <c r="BA106" s="1592">
        <v>0</v>
      </c>
      <c r="BB106" s="1593"/>
      <c r="BC106" s="1383" t="s">
        <v>1805</v>
      </c>
      <c r="BD106" s="1647" t="s">
        <v>939</v>
      </c>
      <c r="BE106" s="1644" t="s">
        <v>1806</v>
      </c>
    </row>
    <row r="107" spans="1:72" ht="15.5" outlineLevel="1">
      <c r="A107" s="1499"/>
      <c r="B107" s="1522" t="s">
        <v>414</v>
      </c>
      <c r="C107" s="1502"/>
      <c r="D107" s="1648"/>
      <c r="E107" s="1649"/>
      <c r="F107" s="1390"/>
      <c r="G107" s="1358"/>
      <c r="H107" s="1650"/>
      <c r="I107" s="1379"/>
      <c r="J107" s="1379"/>
      <c r="K107" s="1390"/>
      <c r="L107" s="1391"/>
      <c r="M107" s="1392"/>
      <c r="N107" s="1393"/>
      <c r="O107" s="1651"/>
      <c r="P107" s="1572"/>
      <c r="Q107" s="1598"/>
      <c r="R107" s="1598"/>
      <c r="S107" s="1598"/>
      <c r="T107" s="1572">
        <f t="shared" si="10"/>
        <v>0</v>
      </c>
      <c r="U107" s="1598"/>
      <c r="V107" s="1573">
        <v>2.19</v>
      </c>
      <c r="W107" s="1634">
        <v>0</v>
      </c>
      <c r="X107" s="1634"/>
      <c r="Y107" s="1634"/>
      <c r="Z107" s="1634"/>
      <c r="AA107" s="1634"/>
      <c r="AB107" s="1634"/>
      <c r="AC107" s="1634"/>
      <c r="AD107" s="1634"/>
      <c r="AE107" s="1634"/>
      <c r="AF107" s="1634"/>
      <c r="AG107" s="1634"/>
      <c r="AH107" s="1634">
        <v>0</v>
      </c>
      <c r="AI107" s="1634">
        <v>0</v>
      </c>
      <c r="AJ107" s="1634"/>
      <c r="AK107" s="1634"/>
      <c r="AL107" s="1634"/>
      <c r="AM107" s="1634"/>
      <c r="AN107" s="1634"/>
      <c r="AO107" s="1634">
        <v>0</v>
      </c>
      <c r="AP107" s="1634">
        <v>0</v>
      </c>
      <c r="AQ107" s="1634">
        <v>0</v>
      </c>
      <c r="AR107" s="1634">
        <v>0</v>
      </c>
      <c r="AS107" s="1634">
        <f t="shared" si="11"/>
        <v>0</v>
      </c>
      <c r="AT107" s="1634">
        <v>0</v>
      </c>
      <c r="AU107" s="1593">
        <v>2.1929439999999998</v>
      </c>
      <c r="AV107" s="1592">
        <v>0</v>
      </c>
      <c r="AW107" s="1592">
        <v>0</v>
      </c>
      <c r="AX107" s="1592">
        <v>0</v>
      </c>
      <c r="AY107" s="1592">
        <v>0</v>
      </c>
      <c r="AZ107" s="1592">
        <v>0</v>
      </c>
      <c r="BA107" s="1592">
        <v>0</v>
      </c>
      <c r="BB107" s="1593"/>
      <c r="BC107" s="1383"/>
      <c r="BD107" s="1647"/>
      <c r="BE107" s="1634">
        <v>0</v>
      </c>
      <c r="BF107" s="1634">
        <v>0</v>
      </c>
      <c r="BG107" s="1634">
        <v>0</v>
      </c>
      <c r="BH107" s="1634">
        <v>0</v>
      </c>
      <c r="BI107" s="1634">
        <v>0</v>
      </c>
      <c r="BJ107" s="1576">
        <v>2.1929439999999998</v>
      </c>
      <c r="BK107" s="1634">
        <v>0</v>
      </c>
      <c r="BL107" s="1634">
        <v>0</v>
      </c>
      <c r="BM107" s="1634">
        <v>0</v>
      </c>
      <c r="BN107" s="1634">
        <v>0</v>
      </c>
      <c r="BO107" s="1634">
        <v>0</v>
      </c>
      <c r="BP107" s="1634">
        <v>0</v>
      </c>
      <c r="BQ107" s="1576"/>
      <c r="BR107" s="1393"/>
      <c r="BS107" s="1652"/>
      <c r="BT107" s="1653"/>
    </row>
    <row r="108" spans="1:72" ht="31" outlineLevel="1">
      <c r="A108" s="1491">
        <v>19</v>
      </c>
      <c r="B108" s="1377" t="s">
        <v>1807</v>
      </c>
      <c r="C108" s="1638" t="s">
        <v>936</v>
      </c>
      <c r="D108" s="1492" t="str">
        <f>D106</f>
        <v>Add Cap (As per 296 of 2019)</v>
      </c>
      <c r="E108" s="1579" t="s">
        <v>1565</v>
      </c>
      <c r="F108" s="1334"/>
      <c r="G108" s="1335">
        <f t="shared" si="19"/>
        <v>2</v>
      </c>
      <c r="H108" s="1378">
        <v>2</v>
      </c>
      <c r="I108" s="1379"/>
      <c r="J108" s="1379"/>
      <c r="K108" s="1334" t="str">
        <f t="shared" si="17"/>
        <v>-</v>
      </c>
      <c r="L108" s="1374" t="s">
        <v>1808</v>
      </c>
      <c r="M108" s="1338" t="s">
        <v>1569</v>
      </c>
      <c r="N108" s="1339"/>
      <c r="O108" s="1646" t="s">
        <v>1809</v>
      </c>
      <c r="P108" s="1572">
        <v>0</v>
      </c>
      <c r="Q108" s="1572">
        <v>0</v>
      </c>
      <c r="R108" s="1572">
        <v>0</v>
      </c>
      <c r="S108" s="1572">
        <v>0</v>
      </c>
      <c r="T108" s="1572">
        <f t="shared" si="10"/>
        <v>0</v>
      </c>
      <c r="U108" s="1639">
        <v>0</v>
      </c>
      <c r="V108" s="1572">
        <v>0</v>
      </c>
      <c r="W108" s="1572">
        <v>0</v>
      </c>
      <c r="X108" s="1572"/>
      <c r="Y108" s="1572"/>
      <c r="Z108" s="1572"/>
      <c r="AA108" s="1572"/>
      <c r="AB108" s="1572"/>
      <c r="AC108" s="1580">
        <v>0.2</v>
      </c>
      <c r="AD108" s="1580">
        <v>0.2</v>
      </c>
      <c r="AE108" s="1580">
        <v>0.2</v>
      </c>
      <c r="AF108" s="1580">
        <v>0.2</v>
      </c>
      <c r="AG108" s="1580"/>
      <c r="AH108" s="1590">
        <v>0</v>
      </c>
      <c r="AI108" s="1590">
        <v>0</v>
      </c>
      <c r="AJ108" s="1590"/>
      <c r="AK108" s="1590"/>
      <c r="AL108" s="1590"/>
      <c r="AM108" s="1590"/>
      <c r="AN108" s="1590"/>
      <c r="AO108" s="1572">
        <v>0</v>
      </c>
      <c r="AP108" s="1575">
        <v>0</v>
      </c>
      <c r="AQ108" s="1575">
        <v>0</v>
      </c>
      <c r="AR108" s="1575">
        <v>0</v>
      </c>
      <c r="AS108" s="1572">
        <f t="shared" si="11"/>
        <v>0</v>
      </c>
      <c r="AT108" s="1634">
        <v>0</v>
      </c>
      <c r="AU108" s="1592">
        <v>0</v>
      </c>
      <c r="AV108" s="1592">
        <v>0</v>
      </c>
      <c r="AW108" s="1592">
        <v>0</v>
      </c>
      <c r="AX108" s="1592">
        <v>0</v>
      </c>
      <c r="AY108" s="1592">
        <v>0</v>
      </c>
      <c r="AZ108" s="1592">
        <v>0</v>
      </c>
      <c r="BA108" s="1592">
        <v>0</v>
      </c>
      <c r="BB108" s="1593"/>
      <c r="BC108" s="1383" t="s">
        <v>1810</v>
      </c>
      <c r="BD108" s="1595" t="s">
        <v>941</v>
      </c>
      <c r="BE108" s="1611" t="s">
        <v>934</v>
      </c>
    </row>
    <row r="109" spans="1:72" ht="72.5" outlineLevel="1">
      <c r="A109" s="1491" t="s">
        <v>1811</v>
      </c>
      <c r="B109" s="1523" t="s">
        <v>1812</v>
      </c>
      <c r="C109" s="1578" t="s">
        <v>936</v>
      </c>
      <c r="D109" s="1492" t="str">
        <f>D95</f>
        <v>Add Cap (As per 296 of 2019)</v>
      </c>
      <c r="E109" s="1579" t="s">
        <v>1565</v>
      </c>
      <c r="F109" s="1514"/>
      <c r="G109" s="1335">
        <f t="shared" si="19"/>
        <v>1</v>
      </c>
      <c r="H109" s="1394">
        <f>0.3+0.7</f>
        <v>1</v>
      </c>
      <c r="I109" s="1379"/>
      <c r="J109" s="1379"/>
      <c r="K109" s="1334" t="str">
        <f t="shared" si="17"/>
        <v>-</v>
      </c>
      <c r="L109" s="1337" t="s">
        <v>1791</v>
      </c>
      <c r="M109" s="1338" t="s">
        <v>1569</v>
      </c>
      <c r="N109" s="1339" t="s">
        <v>1813</v>
      </c>
      <c r="O109" s="1395" t="s">
        <v>1814</v>
      </c>
      <c r="P109" s="1601">
        <v>0</v>
      </c>
      <c r="Q109" s="1573">
        <f t="shared" ref="Q109:S110" si="20">AP109</f>
        <v>0</v>
      </c>
      <c r="R109" s="1573">
        <f t="shared" si="20"/>
        <v>0</v>
      </c>
      <c r="S109" s="1573">
        <f t="shared" si="20"/>
        <v>0.144170512</v>
      </c>
      <c r="T109" s="1601">
        <f t="shared" si="10"/>
        <v>0.144170512</v>
      </c>
      <c r="U109" s="1639">
        <v>0</v>
      </c>
      <c r="V109" s="1572">
        <v>0</v>
      </c>
      <c r="W109" s="1572">
        <v>0</v>
      </c>
      <c r="X109" s="1572"/>
      <c r="Y109" s="1572"/>
      <c r="Z109" s="1572"/>
      <c r="AA109" s="1572"/>
      <c r="AB109" s="1572"/>
      <c r="AC109" s="1580">
        <v>0.2</v>
      </c>
      <c r="AD109" s="1580">
        <v>0.2</v>
      </c>
      <c r="AE109" s="1580">
        <v>0.4</v>
      </c>
      <c r="AF109" s="1580">
        <v>1</v>
      </c>
      <c r="AG109" s="1580">
        <v>0</v>
      </c>
      <c r="AH109" s="1590">
        <v>0</v>
      </c>
      <c r="AI109" s="1590">
        <v>0</v>
      </c>
      <c r="AJ109" s="1590"/>
      <c r="AK109" s="1590"/>
      <c r="AL109" s="1590"/>
      <c r="AM109" s="1590"/>
      <c r="AN109" s="1590"/>
      <c r="AO109" s="1601">
        <v>0</v>
      </c>
      <c r="AP109" s="1575">
        <v>0</v>
      </c>
      <c r="AQ109" s="1575">
        <v>0</v>
      </c>
      <c r="AR109" s="1575">
        <v>0.144170512</v>
      </c>
      <c r="AS109" s="1601">
        <f t="shared" si="11"/>
        <v>0.144170512</v>
      </c>
      <c r="AT109" s="1602">
        <v>0</v>
      </c>
      <c r="AU109" s="1603">
        <v>0</v>
      </c>
      <c r="AV109" s="1603">
        <v>0</v>
      </c>
      <c r="AW109" s="1592">
        <v>0</v>
      </c>
      <c r="AX109" s="1592">
        <v>0</v>
      </c>
      <c r="AY109" s="1592">
        <v>0</v>
      </c>
      <c r="AZ109" s="1592">
        <v>0</v>
      </c>
      <c r="BA109" s="1592">
        <v>0</v>
      </c>
      <c r="BB109" s="1604"/>
      <c r="BC109" s="1369" t="s">
        <v>1798</v>
      </c>
      <c r="BD109" s="1595" t="s">
        <v>939</v>
      </c>
      <c r="BE109" s="1644">
        <v>4385000281</v>
      </c>
      <c r="BF109" s="1316">
        <v>1501008546</v>
      </c>
      <c r="BG109" s="1316" t="s">
        <v>1813</v>
      </c>
    </row>
    <row r="110" spans="1:72" ht="36" customHeight="1" outlineLevel="1">
      <c r="A110" s="1491">
        <v>21</v>
      </c>
      <c r="B110" s="1515" t="s">
        <v>1815</v>
      </c>
      <c r="C110" s="1578" t="s">
        <v>936</v>
      </c>
      <c r="D110" s="1492" t="str">
        <f>D109</f>
        <v>Add Cap (As per 296 of 2019)</v>
      </c>
      <c r="E110" s="1579" t="s">
        <v>1565</v>
      </c>
      <c r="F110" s="1334"/>
      <c r="G110" s="1335">
        <f t="shared" si="19"/>
        <v>2</v>
      </c>
      <c r="H110" s="1524">
        <v>2</v>
      </c>
      <c r="I110" s="1379"/>
      <c r="J110" s="1379"/>
      <c r="K110" s="1334" t="str">
        <f t="shared" si="17"/>
        <v>-</v>
      </c>
      <c r="L110" s="1334">
        <v>43648</v>
      </c>
      <c r="M110" s="1338" t="s">
        <v>1569</v>
      </c>
      <c r="N110" s="1334" t="s">
        <v>1816</v>
      </c>
      <c r="O110" s="1654" t="s">
        <v>1817</v>
      </c>
      <c r="P110" s="1572">
        <v>0</v>
      </c>
      <c r="Q110" s="1573">
        <f t="shared" si="20"/>
        <v>0</v>
      </c>
      <c r="R110" s="1655">
        <f>8172680/10000000</f>
        <v>0.81726799999999999</v>
      </c>
      <c r="S110" s="1573">
        <f>AR110-(8172680/10000000)</f>
        <v>1.225902</v>
      </c>
      <c r="T110" s="1572">
        <f t="shared" si="10"/>
        <v>2.0431699999999999</v>
      </c>
      <c r="U110" s="1639">
        <v>0</v>
      </c>
      <c r="V110" s="1572">
        <v>0</v>
      </c>
      <c r="W110" s="1572">
        <v>0</v>
      </c>
      <c r="X110" s="1572"/>
      <c r="Y110" s="1572"/>
      <c r="Z110" s="1572"/>
      <c r="AA110" s="1572"/>
      <c r="AB110" s="1572"/>
      <c r="AC110" s="1580">
        <v>0.2</v>
      </c>
      <c r="AD110" s="1580">
        <v>0.2</v>
      </c>
      <c r="AE110" s="1580">
        <v>0.4</v>
      </c>
      <c r="AF110" s="1580">
        <v>1</v>
      </c>
      <c r="AG110" s="1580">
        <v>0</v>
      </c>
      <c r="AH110" s="1590">
        <v>0</v>
      </c>
      <c r="AI110" s="1590">
        <v>0</v>
      </c>
      <c r="AJ110" s="1590"/>
      <c r="AK110" s="1590"/>
      <c r="AL110" s="1590"/>
      <c r="AM110" s="1590"/>
      <c r="AN110" s="1590"/>
      <c r="AO110" s="1572">
        <v>0</v>
      </c>
      <c r="AP110" s="1575">
        <v>0</v>
      </c>
      <c r="AQ110" s="1575">
        <v>0</v>
      </c>
      <c r="AR110" s="1575">
        <v>2.0431699999999999</v>
      </c>
      <c r="AS110" s="1572">
        <f t="shared" si="11"/>
        <v>2.0431699999999999</v>
      </c>
      <c r="AT110" s="1634">
        <v>0</v>
      </c>
      <c r="AU110" s="1592">
        <v>0</v>
      </c>
      <c r="AV110" s="1592">
        <v>0</v>
      </c>
      <c r="AW110" s="1592">
        <v>0</v>
      </c>
      <c r="AX110" s="1592">
        <v>0</v>
      </c>
      <c r="AY110" s="1592">
        <v>0</v>
      </c>
      <c r="AZ110" s="1592">
        <v>0</v>
      </c>
      <c r="BA110" s="1592">
        <v>0</v>
      </c>
      <c r="BB110" s="1593"/>
      <c r="BC110" s="1369" t="s">
        <v>1798</v>
      </c>
      <c r="BD110" s="1600" t="s">
        <v>939</v>
      </c>
      <c r="BE110" s="1644">
        <v>4385000195</v>
      </c>
      <c r="BF110" s="1316">
        <v>1501008515</v>
      </c>
      <c r="BG110" s="1316" t="s">
        <v>1816</v>
      </c>
    </row>
    <row r="111" spans="1:72" ht="33" customHeight="1" outlineLevel="1">
      <c r="A111" s="1491">
        <v>22</v>
      </c>
      <c r="B111" s="1377" t="s">
        <v>1818</v>
      </c>
      <c r="C111" s="1578" t="s">
        <v>936</v>
      </c>
      <c r="D111" s="1492" t="str">
        <f>D110</f>
        <v>Add Cap (As per 296 of 2019)</v>
      </c>
      <c r="E111" s="1579" t="s">
        <v>1565</v>
      </c>
      <c r="F111" s="1334"/>
      <c r="G111" s="1335">
        <f t="shared" si="19"/>
        <v>1.5</v>
      </c>
      <c r="H111" s="1384">
        <v>1.5</v>
      </c>
      <c r="I111" s="1379"/>
      <c r="J111" s="1379"/>
      <c r="K111" s="1334" t="str">
        <f t="shared" si="17"/>
        <v>-</v>
      </c>
      <c r="L111" s="1334" t="s">
        <v>1565</v>
      </c>
      <c r="M111" s="1338" t="s">
        <v>1569</v>
      </c>
      <c r="N111" s="1334" t="s">
        <v>934</v>
      </c>
      <c r="O111" s="1375"/>
      <c r="P111" s="1572">
        <v>0</v>
      </c>
      <c r="Q111" s="1573">
        <v>0</v>
      </c>
      <c r="R111" s="1573">
        <v>0</v>
      </c>
      <c r="S111" s="1573">
        <v>0</v>
      </c>
      <c r="T111" s="1572">
        <f t="shared" si="10"/>
        <v>0</v>
      </c>
      <c r="U111" s="1396"/>
      <c r="V111" s="1573">
        <v>0</v>
      </c>
      <c r="W111" s="1573">
        <v>0</v>
      </c>
      <c r="X111" s="1573">
        <v>0</v>
      </c>
      <c r="Y111" s="1573">
        <v>0</v>
      </c>
      <c r="Z111" s="1573">
        <v>0</v>
      </c>
      <c r="AA111" s="1573">
        <v>0</v>
      </c>
      <c r="AB111" s="1573">
        <v>0</v>
      </c>
      <c r="AC111" s="1580">
        <v>0.2</v>
      </c>
      <c r="AD111" s="1580">
        <v>0.4</v>
      </c>
      <c r="AE111" s="1580">
        <v>0.4</v>
      </c>
      <c r="AF111" s="1580">
        <v>0.4</v>
      </c>
      <c r="AG111" s="1580">
        <v>1</v>
      </c>
      <c r="AH111" s="1590">
        <v>0</v>
      </c>
      <c r="AI111" s="1590">
        <v>0</v>
      </c>
      <c r="AJ111" s="1590"/>
      <c r="AK111" s="1590"/>
      <c r="AL111" s="1590"/>
      <c r="AM111" s="1590"/>
      <c r="AN111" s="1590"/>
      <c r="AO111" s="1572">
        <v>0</v>
      </c>
      <c r="AP111" s="1575">
        <v>0</v>
      </c>
      <c r="AQ111" s="1575">
        <v>0</v>
      </c>
      <c r="AR111" s="1575">
        <v>0</v>
      </c>
      <c r="AS111" s="1572">
        <f t="shared" si="11"/>
        <v>0</v>
      </c>
      <c r="AT111" s="1396"/>
      <c r="AU111" s="1592">
        <v>0</v>
      </c>
      <c r="AV111" s="1592">
        <v>0</v>
      </c>
      <c r="AW111" s="1592">
        <v>0</v>
      </c>
      <c r="AX111" s="1592">
        <v>0</v>
      </c>
      <c r="AY111" s="1592">
        <v>0</v>
      </c>
      <c r="AZ111" s="1592">
        <v>0</v>
      </c>
      <c r="BA111" s="1592">
        <v>0</v>
      </c>
      <c r="BB111" s="1593"/>
      <c r="BC111" s="1383" t="s">
        <v>1819</v>
      </c>
      <c r="BD111" s="1600" t="s">
        <v>942</v>
      </c>
      <c r="BE111" s="1640" t="s">
        <v>934</v>
      </c>
    </row>
    <row r="112" spans="1:72" ht="29.15" customHeight="1" outlineLevel="1">
      <c r="A112" s="1491">
        <v>23</v>
      </c>
      <c r="B112" s="1377" t="s">
        <v>1820</v>
      </c>
      <c r="C112" s="1578" t="s">
        <v>936</v>
      </c>
      <c r="D112" s="1492" t="str">
        <f>D111</f>
        <v>Add Cap (As per 296 of 2019)</v>
      </c>
      <c r="E112" s="1579" t="s">
        <v>1565</v>
      </c>
      <c r="F112" s="1334"/>
      <c r="G112" s="1335">
        <f t="shared" si="19"/>
        <v>2.5</v>
      </c>
      <c r="H112" s="1384">
        <v>2.5</v>
      </c>
      <c r="I112" s="1379"/>
      <c r="J112" s="1379"/>
      <c r="K112" s="1334" t="str">
        <f t="shared" si="17"/>
        <v>-</v>
      </c>
      <c r="L112" s="1334" t="s">
        <v>1565</v>
      </c>
      <c r="M112" s="1338" t="s">
        <v>1569</v>
      </c>
      <c r="N112" s="1334" t="s">
        <v>934</v>
      </c>
      <c r="O112" s="1656" t="s">
        <v>1821</v>
      </c>
      <c r="P112" s="1572">
        <v>0</v>
      </c>
      <c r="Q112" s="1573">
        <v>0</v>
      </c>
      <c r="R112" s="1573">
        <v>0</v>
      </c>
      <c r="S112" s="1573">
        <v>0</v>
      </c>
      <c r="T112" s="1572">
        <f t="shared" si="10"/>
        <v>0</v>
      </c>
      <c r="U112" s="1396"/>
      <c r="V112" s="1573">
        <v>0</v>
      </c>
      <c r="W112" s="1573">
        <v>0</v>
      </c>
      <c r="X112" s="1573">
        <v>0</v>
      </c>
      <c r="Y112" s="1573">
        <v>0</v>
      </c>
      <c r="Z112" s="1573">
        <v>0</v>
      </c>
      <c r="AA112" s="1573">
        <v>0</v>
      </c>
      <c r="AB112" s="1573">
        <v>0</v>
      </c>
      <c r="AC112" s="1580">
        <v>0.2</v>
      </c>
      <c r="AD112" s="1580">
        <v>0.4</v>
      </c>
      <c r="AE112" s="1580">
        <v>0.4</v>
      </c>
      <c r="AF112" s="1580">
        <v>0.4</v>
      </c>
      <c r="AG112" s="1580">
        <v>1</v>
      </c>
      <c r="AH112" s="1590">
        <v>0</v>
      </c>
      <c r="AI112" s="1590">
        <v>0</v>
      </c>
      <c r="AJ112" s="1590"/>
      <c r="AK112" s="1590"/>
      <c r="AL112" s="1590"/>
      <c r="AM112" s="1590"/>
      <c r="AN112" s="1590"/>
      <c r="AO112" s="1572">
        <v>0</v>
      </c>
      <c r="AP112" s="1575">
        <v>0</v>
      </c>
      <c r="AQ112" s="1575">
        <v>0</v>
      </c>
      <c r="AR112" s="1575">
        <v>0</v>
      </c>
      <c r="AS112" s="1572">
        <f t="shared" si="11"/>
        <v>0</v>
      </c>
      <c r="AT112" s="1396"/>
      <c r="AU112" s="1592">
        <v>0</v>
      </c>
      <c r="AV112" s="1592">
        <v>0</v>
      </c>
      <c r="AW112" s="1592">
        <v>0</v>
      </c>
      <c r="AX112" s="1592">
        <v>0</v>
      </c>
      <c r="AY112" s="1592">
        <v>0</v>
      </c>
      <c r="AZ112" s="1592">
        <v>0</v>
      </c>
      <c r="BA112" s="1592">
        <v>0</v>
      </c>
      <c r="BB112" s="1593"/>
      <c r="BC112" s="1383" t="s">
        <v>1819</v>
      </c>
      <c r="BD112" s="1600" t="s">
        <v>942</v>
      </c>
      <c r="BE112" s="1640" t="s">
        <v>934</v>
      </c>
    </row>
    <row r="113" spans="1:60" outlineLevel="1">
      <c r="A113" s="1491">
        <v>24</v>
      </c>
      <c r="B113" s="1397" t="s">
        <v>1822</v>
      </c>
      <c r="C113" s="1578" t="s">
        <v>936</v>
      </c>
      <c r="D113" s="1492" t="str">
        <f>D101</f>
        <v>Add Cap (As per 296 of 2019)</v>
      </c>
      <c r="E113" s="1579" t="s">
        <v>1565</v>
      </c>
      <c r="F113" s="1514"/>
      <c r="G113" s="1335">
        <f t="shared" si="19"/>
        <v>0.75</v>
      </c>
      <c r="H113" s="1398">
        <v>0.75</v>
      </c>
      <c r="I113" s="1379"/>
      <c r="J113" s="1379"/>
      <c r="K113" s="1334" t="str">
        <f t="shared" si="17"/>
        <v>-</v>
      </c>
      <c r="L113" s="1334" t="s">
        <v>1565</v>
      </c>
      <c r="M113" s="1338" t="s">
        <v>1569</v>
      </c>
      <c r="N113" s="1339" t="s">
        <v>934</v>
      </c>
      <c r="O113" s="1654" t="s">
        <v>1781</v>
      </c>
      <c r="P113" s="1601">
        <v>0</v>
      </c>
      <c r="Q113" s="1601">
        <v>0</v>
      </c>
      <c r="R113" s="1601">
        <v>0</v>
      </c>
      <c r="S113" s="1601">
        <v>0</v>
      </c>
      <c r="T113" s="1601">
        <f t="shared" si="10"/>
        <v>0</v>
      </c>
      <c r="U113" s="1396"/>
      <c r="V113" s="1601">
        <v>0</v>
      </c>
      <c r="W113" s="1601">
        <v>0</v>
      </c>
      <c r="X113" s="1601">
        <v>0</v>
      </c>
      <c r="Y113" s="1601">
        <v>0</v>
      </c>
      <c r="Z113" s="1601">
        <v>0</v>
      </c>
      <c r="AA113" s="1601">
        <v>0</v>
      </c>
      <c r="AB113" s="1601">
        <v>0</v>
      </c>
      <c r="AC113" s="1580">
        <v>0.2</v>
      </c>
      <c r="AD113" s="1580">
        <v>0.2</v>
      </c>
      <c r="AE113" s="1580">
        <v>0.4</v>
      </c>
      <c r="AF113" s="1580">
        <v>0.4</v>
      </c>
      <c r="AG113" s="1580">
        <v>1</v>
      </c>
      <c r="AH113" s="1590">
        <v>0</v>
      </c>
      <c r="AI113" s="1590">
        <v>0</v>
      </c>
      <c r="AJ113" s="1590"/>
      <c r="AK113" s="1590"/>
      <c r="AL113" s="1590"/>
      <c r="AM113" s="1590"/>
      <c r="AN113" s="1590"/>
      <c r="AO113" s="1601">
        <v>0</v>
      </c>
      <c r="AP113" s="1575">
        <v>0</v>
      </c>
      <c r="AQ113" s="1575">
        <v>0</v>
      </c>
      <c r="AR113" s="1575">
        <v>0</v>
      </c>
      <c r="AS113" s="1601">
        <f t="shared" si="11"/>
        <v>0</v>
      </c>
      <c r="AT113" s="1396"/>
      <c r="AU113" s="1592">
        <v>0</v>
      </c>
      <c r="AV113" s="1592">
        <v>0</v>
      </c>
      <c r="AW113" s="1592">
        <v>0</v>
      </c>
      <c r="AX113" s="1592">
        <v>0</v>
      </c>
      <c r="AY113" s="1592">
        <v>0</v>
      </c>
      <c r="AZ113" s="1592">
        <v>0</v>
      </c>
      <c r="BA113" s="1592">
        <v>0</v>
      </c>
      <c r="BB113" s="1604"/>
      <c r="BC113" s="1383" t="s">
        <v>1819</v>
      </c>
      <c r="BD113" s="1595" t="s">
        <v>942</v>
      </c>
      <c r="BE113" s="1640" t="s">
        <v>934</v>
      </c>
    </row>
    <row r="114" spans="1:60" outlineLevel="1">
      <c r="A114" s="1491">
        <v>25</v>
      </c>
      <c r="B114" s="1399" t="s">
        <v>1823</v>
      </c>
      <c r="C114" s="1578" t="s">
        <v>936</v>
      </c>
      <c r="D114" s="1492" t="str">
        <f>D113</f>
        <v>Add Cap (As per 296 of 2019)</v>
      </c>
      <c r="E114" s="1579" t="s">
        <v>1565</v>
      </c>
      <c r="F114" s="1334"/>
      <c r="G114" s="1335">
        <f t="shared" si="19"/>
        <v>0.5</v>
      </c>
      <c r="H114" s="1400">
        <v>0.5</v>
      </c>
      <c r="I114" s="1379"/>
      <c r="J114" s="1379"/>
      <c r="K114" s="1334" t="str">
        <f t="shared" si="17"/>
        <v>-</v>
      </c>
      <c r="L114" s="1334" t="s">
        <v>1565</v>
      </c>
      <c r="M114" s="1338" t="s">
        <v>1569</v>
      </c>
      <c r="N114" s="1339" t="s">
        <v>934</v>
      </c>
      <c r="O114" s="1645" t="s">
        <v>1781</v>
      </c>
      <c r="P114" s="1572">
        <v>0</v>
      </c>
      <c r="Q114" s="1573">
        <v>0</v>
      </c>
      <c r="R114" s="1573">
        <v>0</v>
      </c>
      <c r="S114" s="1573">
        <v>0</v>
      </c>
      <c r="T114" s="1572">
        <f t="shared" si="10"/>
        <v>0</v>
      </c>
      <c r="U114" s="1396"/>
      <c r="V114" s="1573">
        <v>0</v>
      </c>
      <c r="W114" s="1573">
        <v>0</v>
      </c>
      <c r="X114" s="1573">
        <v>0</v>
      </c>
      <c r="Y114" s="1573">
        <v>0</v>
      </c>
      <c r="Z114" s="1573">
        <v>0</v>
      </c>
      <c r="AA114" s="1573">
        <v>0</v>
      </c>
      <c r="AB114" s="1573">
        <v>0</v>
      </c>
      <c r="AC114" s="1580">
        <v>0.2</v>
      </c>
      <c r="AD114" s="1580">
        <v>0.2</v>
      </c>
      <c r="AE114" s="1580">
        <v>0.4</v>
      </c>
      <c r="AF114" s="1580">
        <v>0.4</v>
      </c>
      <c r="AG114" s="1580">
        <v>1</v>
      </c>
      <c r="AH114" s="1590">
        <v>0</v>
      </c>
      <c r="AI114" s="1590">
        <v>0</v>
      </c>
      <c r="AJ114" s="1590"/>
      <c r="AK114" s="1590"/>
      <c r="AL114" s="1590"/>
      <c r="AM114" s="1590"/>
      <c r="AN114" s="1590"/>
      <c r="AO114" s="1572">
        <v>0</v>
      </c>
      <c r="AP114" s="1575">
        <v>0</v>
      </c>
      <c r="AQ114" s="1575">
        <v>0</v>
      </c>
      <c r="AR114" s="1575">
        <v>0</v>
      </c>
      <c r="AS114" s="1572">
        <f t="shared" si="11"/>
        <v>0</v>
      </c>
      <c r="AT114" s="1396"/>
      <c r="AU114" s="1592">
        <v>0</v>
      </c>
      <c r="AV114" s="1592">
        <v>0</v>
      </c>
      <c r="AW114" s="1592">
        <v>0</v>
      </c>
      <c r="AX114" s="1592">
        <v>0</v>
      </c>
      <c r="AY114" s="1592">
        <v>0</v>
      </c>
      <c r="AZ114" s="1592">
        <v>0</v>
      </c>
      <c r="BA114" s="1592">
        <v>0</v>
      </c>
      <c r="BB114" s="1593"/>
      <c r="BC114" s="1383" t="s">
        <v>1819</v>
      </c>
      <c r="BD114" s="1600" t="s">
        <v>942</v>
      </c>
      <c r="BE114" s="1640" t="s">
        <v>934</v>
      </c>
    </row>
    <row r="115" spans="1:60" outlineLevel="1">
      <c r="A115" s="1491">
        <v>26</v>
      </c>
      <c r="B115" s="1399" t="s">
        <v>1824</v>
      </c>
      <c r="C115" s="1578" t="s">
        <v>936</v>
      </c>
      <c r="D115" s="1492" t="str">
        <f>D114</f>
        <v>Add Cap (As per 296 of 2019)</v>
      </c>
      <c r="E115" s="1579" t="s">
        <v>1565</v>
      </c>
      <c r="F115" s="1334"/>
      <c r="G115" s="1335">
        <f t="shared" si="19"/>
        <v>1.25</v>
      </c>
      <c r="H115" s="1400">
        <v>1.25</v>
      </c>
      <c r="I115" s="1379"/>
      <c r="J115" s="1379"/>
      <c r="K115" s="1334" t="str">
        <f t="shared" si="17"/>
        <v>-</v>
      </c>
      <c r="L115" s="1334" t="s">
        <v>1565</v>
      </c>
      <c r="M115" s="1338" t="s">
        <v>1569</v>
      </c>
      <c r="N115" s="1339" t="s">
        <v>934</v>
      </c>
      <c r="O115" s="1645" t="s">
        <v>1781</v>
      </c>
      <c r="P115" s="1572">
        <v>0</v>
      </c>
      <c r="Q115" s="1573">
        <v>0</v>
      </c>
      <c r="R115" s="1573">
        <v>0</v>
      </c>
      <c r="S115" s="1573">
        <v>0</v>
      </c>
      <c r="T115" s="1572">
        <f t="shared" si="10"/>
        <v>0</v>
      </c>
      <c r="U115" s="1396"/>
      <c r="V115" s="1573">
        <v>0</v>
      </c>
      <c r="W115" s="1573">
        <v>0</v>
      </c>
      <c r="X115" s="1573">
        <v>0</v>
      </c>
      <c r="Y115" s="1573">
        <v>0</v>
      </c>
      <c r="Z115" s="1573">
        <v>0</v>
      </c>
      <c r="AA115" s="1573">
        <v>0</v>
      </c>
      <c r="AB115" s="1573">
        <v>0</v>
      </c>
      <c r="AC115" s="1580">
        <v>0.2</v>
      </c>
      <c r="AD115" s="1580">
        <v>0.2</v>
      </c>
      <c r="AE115" s="1580">
        <v>0.4</v>
      </c>
      <c r="AF115" s="1580">
        <v>0.4</v>
      </c>
      <c r="AG115" s="1580">
        <v>1</v>
      </c>
      <c r="AH115" s="1590">
        <v>0</v>
      </c>
      <c r="AI115" s="1590">
        <v>0</v>
      </c>
      <c r="AJ115" s="1590"/>
      <c r="AK115" s="1590"/>
      <c r="AL115" s="1590"/>
      <c r="AM115" s="1590"/>
      <c r="AN115" s="1590"/>
      <c r="AO115" s="1572">
        <v>0</v>
      </c>
      <c r="AP115" s="1575">
        <v>0</v>
      </c>
      <c r="AQ115" s="1575">
        <v>0</v>
      </c>
      <c r="AR115" s="1575">
        <v>0</v>
      </c>
      <c r="AS115" s="1572">
        <f t="shared" si="11"/>
        <v>0</v>
      </c>
      <c r="AT115" s="1396"/>
      <c r="AU115" s="1592">
        <v>0</v>
      </c>
      <c r="AV115" s="1592">
        <v>0</v>
      </c>
      <c r="AW115" s="1592">
        <v>0</v>
      </c>
      <c r="AX115" s="1592">
        <v>0</v>
      </c>
      <c r="AY115" s="1592">
        <v>0</v>
      </c>
      <c r="AZ115" s="1592">
        <v>0</v>
      </c>
      <c r="BA115" s="1592">
        <v>0</v>
      </c>
      <c r="BB115" s="1593"/>
      <c r="BC115" s="1383" t="s">
        <v>1819</v>
      </c>
      <c r="BD115" s="1600" t="s">
        <v>942</v>
      </c>
      <c r="BE115" s="1640" t="s">
        <v>934</v>
      </c>
    </row>
    <row r="116" spans="1:60" ht="15.5" outlineLevel="1">
      <c r="A116" s="1491">
        <v>27</v>
      </c>
      <c r="B116" s="1385" t="s">
        <v>1825</v>
      </c>
      <c r="C116" s="1578" t="s">
        <v>936</v>
      </c>
      <c r="D116" s="1492" t="str">
        <f>D100</f>
        <v>Add Cap (As per 296 of 2019)</v>
      </c>
      <c r="E116" s="1579" t="s">
        <v>1565</v>
      </c>
      <c r="F116" s="1334"/>
      <c r="G116" s="1335">
        <f>H116</f>
        <v>1</v>
      </c>
      <c r="H116" s="1378">
        <v>1</v>
      </c>
      <c r="I116" s="1379"/>
      <c r="J116" s="1379"/>
      <c r="K116" s="1334" t="str">
        <f t="shared" si="17"/>
        <v>-</v>
      </c>
      <c r="L116" s="1334" t="s">
        <v>1565</v>
      </c>
      <c r="M116" s="1338" t="s">
        <v>1569</v>
      </c>
      <c r="N116" s="1339" t="s">
        <v>1772</v>
      </c>
      <c r="O116" s="1645" t="s">
        <v>1826</v>
      </c>
      <c r="P116" s="1572">
        <v>0</v>
      </c>
      <c r="Q116" s="1573">
        <f t="shared" ref="Q116" si="21">AP116</f>
        <v>0</v>
      </c>
      <c r="R116" s="1573">
        <f>3103052/10000000</f>
        <v>0.3103052</v>
      </c>
      <c r="S116" s="1573">
        <f>AR116-(3103052/10000000)</f>
        <v>0.5967219749999999</v>
      </c>
      <c r="T116" s="1572">
        <f t="shared" si="10"/>
        <v>0.90702717499999985</v>
      </c>
      <c r="U116" s="1598">
        <v>0</v>
      </c>
      <c r="V116" s="1573">
        <v>0</v>
      </c>
      <c r="W116" s="1573">
        <v>0</v>
      </c>
      <c r="X116" s="1573"/>
      <c r="Y116" s="1573"/>
      <c r="Z116" s="1573"/>
      <c r="AA116" s="1573"/>
      <c r="AB116" s="1573"/>
      <c r="AC116" s="1580">
        <v>0.2</v>
      </c>
      <c r="AD116" s="1580">
        <v>0.4</v>
      </c>
      <c r="AE116" s="1580">
        <v>0.6</v>
      </c>
      <c r="AF116" s="1580">
        <v>1</v>
      </c>
      <c r="AG116" s="1580">
        <v>0</v>
      </c>
      <c r="AH116" s="1590">
        <v>0</v>
      </c>
      <c r="AI116" s="1590">
        <v>0</v>
      </c>
      <c r="AJ116" s="1590"/>
      <c r="AK116" s="1590"/>
      <c r="AL116" s="1590"/>
      <c r="AM116" s="1590"/>
      <c r="AN116" s="1590"/>
      <c r="AO116" s="1572">
        <v>0</v>
      </c>
      <c r="AP116" s="1575">
        <v>0</v>
      </c>
      <c r="AQ116" s="1575">
        <v>0</v>
      </c>
      <c r="AR116" s="1575">
        <f>9070271.75/10000000</f>
        <v>0.90702717499999996</v>
      </c>
      <c r="AS116" s="1572">
        <f t="shared" si="11"/>
        <v>0.90702717499999996</v>
      </c>
      <c r="AT116" s="1634">
        <v>0</v>
      </c>
      <c r="AU116" s="1592">
        <v>0</v>
      </c>
      <c r="AV116" s="1592">
        <v>0</v>
      </c>
      <c r="AW116" s="1592"/>
      <c r="AX116" s="1592"/>
      <c r="AY116" s="1592"/>
      <c r="AZ116" s="1592"/>
      <c r="BA116" s="1592"/>
      <c r="BB116" s="1593"/>
      <c r="BC116" s="1369" t="s">
        <v>1733</v>
      </c>
      <c r="BD116" s="1600" t="s">
        <v>939</v>
      </c>
      <c r="BE116" s="1611">
        <v>4370001991</v>
      </c>
      <c r="BF116" s="1316">
        <v>120100260</v>
      </c>
      <c r="BG116" s="1316" t="s">
        <v>1772</v>
      </c>
    </row>
    <row r="117" spans="1:60" ht="28" outlineLevel="1">
      <c r="A117" s="1491">
        <v>28</v>
      </c>
      <c r="B117" s="1377" t="s">
        <v>1827</v>
      </c>
      <c r="C117" s="1578" t="s">
        <v>936</v>
      </c>
      <c r="D117" s="1492" t="str">
        <f>D103</f>
        <v>Add Cap (As per 296 of 2019)</v>
      </c>
      <c r="E117" s="1579" t="s">
        <v>1565</v>
      </c>
      <c r="F117" s="1334"/>
      <c r="G117" s="1335">
        <f t="shared" si="19"/>
        <v>17</v>
      </c>
      <c r="H117" s="1401">
        <v>17</v>
      </c>
      <c r="I117" s="1379"/>
      <c r="J117" s="1379"/>
      <c r="K117" s="1334" t="str">
        <f t="shared" si="17"/>
        <v>-</v>
      </c>
      <c r="L117" s="1337" t="s">
        <v>1808</v>
      </c>
      <c r="M117" s="1338" t="s">
        <v>1569</v>
      </c>
      <c r="N117" s="1339" t="s">
        <v>934</v>
      </c>
      <c r="O117" s="1657" t="s">
        <v>1828</v>
      </c>
      <c r="P117" s="1572">
        <v>0</v>
      </c>
      <c r="Q117" s="1572">
        <v>0</v>
      </c>
      <c r="R117" s="1572">
        <v>0</v>
      </c>
      <c r="S117" s="1572">
        <v>0</v>
      </c>
      <c r="T117" s="1572">
        <f t="shared" si="10"/>
        <v>0</v>
      </c>
      <c r="U117" s="1598">
        <v>0</v>
      </c>
      <c r="V117" s="1572">
        <v>0</v>
      </c>
      <c r="W117" s="1572">
        <v>0</v>
      </c>
      <c r="X117" s="1572"/>
      <c r="Y117" s="1572"/>
      <c r="Z117" s="1572"/>
      <c r="AA117" s="1572"/>
      <c r="AB117" s="1572"/>
      <c r="AC117" s="1580">
        <v>0.2</v>
      </c>
      <c r="AD117" s="1580">
        <v>0.2</v>
      </c>
      <c r="AE117" s="1580">
        <v>0.2</v>
      </c>
      <c r="AF117" s="1580">
        <v>0.2</v>
      </c>
      <c r="AG117" s="1580"/>
      <c r="AH117" s="1590">
        <v>0</v>
      </c>
      <c r="AI117" s="1590">
        <v>0</v>
      </c>
      <c r="AJ117" s="1590"/>
      <c r="AK117" s="1590"/>
      <c r="AL117" s="1590"/>
      <c r="AM117" s="1590"/>
      <c r="AN117" s="1590"/>
      <c r="AO117" s="1572">
        <v>0</v>
      </c>
      <c r="AP117" s="1575">
        <v>0</v>
      </c>
      <c r="AQ117" s="1575">
        <v>0</v>
      </c>
      <c r="AR117" s="1575">
        <v>0</v>
      </c>
      <c r="AS117" s="1572">
        <f t="shared" si="11"/>
        <v>0</v>
      </c>
      <c r="AT117" s="1634">
        <v>0</v>
      </c>
      <c r="AU117" s="1592">
        <v>0</v>
      </c>
      <c r="AV117" s="1592">
        <v>0</v>
      </c>
      <c r="AW117" s="1592"/>
      <c r="AX117" s="1592"/>
      <c r="AY117" s="1592"/>
      <c r="AZ117" s="1592"/>
      <c r="BA117" s="1592"/>
      <c r="BB117" s="1593"/>
      <c r="BC117" s="1383" t="s">
        <v>1810</v>
      </c>
      <c r="BD117" s="1595" t="s">
        <v>941</v>
      </c>
      <c r="BE117" s="1640" t="s">
        <v>934</v>
      </c>
    </row>
    <row r="118" spans="1:60" ht="41.15" customHeight="1" outlineLevel="1">
      <c r="A118" s="1491">
        <v>29</v>
      </c>
      <c r="B118" s="1525" t="s">
        <v>1829</v>
      </c>
      <c r="C118" s="1578" t="s">
        <v>936</v>
      </c>
      <c r="D118" s="1492" t="str">
        <f>D117</f>
        <v>Add Cap (As per 296 of 2019)</v>
      </c>
      <c r="E118" s="1579" t="s">
        <v>1565</v>
      </c>
      <c r="F118" s="1514"/>
      <c r="G118" s="1335">
        <f t="shared" si="19"/>
        <v>0.5</v>
      </c>
      <c r="H118" s="1498">
        <v>0.5</v>
      </c>
      <c r="I118" s="1379"/>
      <c r="J118" s="1379"/>
      <c r="K118" s="1334" t="str">
        <f t="shared" si="17"/>
        <v>-</v>
      </c>
      <c r="L118" s="1374">
        <v>44023</v>
      </c>
      <c r="M118" s="1338" t="s">
        <v>1569</v>
      </c>
      <c r="N118" s="1339" t="s">
        <v>934</v>
      </c>
      <c r="O118" s="1319"/>
      <c r="P118" s="1572">
        <v>0</v>
      </c>
      <c r="Q118" s="1572">
        <v>0</v>
      </c>
      <c r="R118" s="1572">
        <v>0</v>
      </c>
      <c r="S118" s="1572">
        <v>0</v>
      </c>
      <c r="T118" s="1572">
        <f t="shared" si="10"/>
        <v>0</v>
      </c>
      <c r="U118" s="1658">
        <v>0.40149499999999999</v>
      </c>
      <c r="V118" s="1572">
        <v>0</v>
      </c>
      <c r="W118" s="1572">
        <v>0</v>
      </c>
      <c r="X118" s="1572"/>
      <c r="Y118" s="1572"/>
      <c r="Z118" s="1572"/>
      <c r="AA118" s="1572"/>
      <c r="AB118" s="1572"/>
      <c r="AC118" s="1580">
        <v>0</v>
      </c>
      <c r="AD118" s="1580">
        <v>0</v>
      </c>
      <c r="AE118" s="1580">
        <v>0.2</v>
      </c>
      <c r="AF118" s="1580">
        <v>0.4</v>
      </c>
      <c r="AG118" s="1580">
        <v>1</v>
      </c>
      <c r="AH118" s="1590">
        <v>0</v>
      </c>
      <c r="AI118" s="1590">
        <v>0</v>
      </c>
      <c r="AJ118" s="1590"/>
      <c r="AK118" s="1590"/>
      <c r="AL118" s="1590"/>
      <c r="AM118" s="1590"/>
      <c r="AN118" s="1590"/>
      <c r="AO118" s="1601">
        <v>0</v>
      </c>
      <c r="AP118" s="1575">
        <v>0</v>
      </c>
      <c r="AQ118" s="1575">
        <v>0</v>
      </c>
      <c r="AR118" s="1575">
        <v>0</v>
      </c>
      <c r="AS118" s="1601">
        <f t="shared" si="11"/>
        <v>0</v>
      </c>
      <c r="AT118" s="1658">
        <v>0.40149499999999999</v>
      </c>
      <c r="AU118" s="1592">
        <v>0</v>
      </c>
      <c r="AV118" s="1592">
        <v>0</v>
      </c>
      <c r="AW118" s="1592"/>
      <c r="AX118" s="1592"/>
      <c r="AY118" s="1592"/>
      <c r="AZ118" s="1592"/>
      <c r="BA118" s="1592"/>
      <c r="BB118" s="1604"/>
      <c r="BC118" s="1369" t="s">
        <v>1830</v>
      </c>
      <c r="BD118" s="1595" t="s">
        <v>939</v>
      </c>
      <c r="BE118" s="1644">
        <v>4385000381</v>
      </c>
    </row>
    <row r="119" spans="1:60" s="1430" customFormat="1">
      <c r="A119" s="1392"/>
      <c r="B119" s="1332" t="s">
        <v>1831</v>
      </c>
      <c r="C119" s="1338"/>
      <c r="D119" s="1338"/>
      <c r="E119" s="1402"/>
      <c r="F119" s="1334"/>
      <c r="G119" s="1336"/>
      <c r="H119" s="1336"/>
      <c r="I119" s="1336"/>
      <c r="J119" s="1336"/>
      <c r="K119" s="1334" t="str">
        <f t="shared" si="17"/>
        <v>-</v>
      </c>
      <c r="L119" s="1337"/>
      <c r="M119" s="1337"/>
      <c r="N119" s="1339"/>
      <c r="O119" s="1336"/>
      <c r="P119" s="1573"/>
      <c r="Q119" s="1573"/>
      <c r="R119" s="1573"/>
      <c r="S119" s="1573"/>
      <c r="T119" s="1573">
        <f t="shared" si="10"/>
        <v>0</v>
      </c>
      <c r="U119" s="1573"/>
      <c r="V119" s="1573"/>
      <c r="W119" s="1573"/>
      <c r="X119" s="1573"/>
      <c r="Y119" s="1573"/>
      <c r="Z119" s="1573"/>
      <c r="AA119" s="1573"/>
      <c r="AB119" s="1573"/>
      <c r="AC119" s="1573"/>
      <c r="AD119" s="1573"/>
      <c r="AE119" s="1573"/>
      <c r="AF119" s="1573"/>
      <c r="AG119" s="1573"/>
      <c r="AH119" s="1573"/>
      <c r="AI119" s="1573"/>
      <c r="AJ119" s="1573"/>
      <c r="AK119" s="1573"/>
      <c r="AL119" s="1573"/>
      <c r="AM119" s="1573"/>
      <c r="AN119" s="1573"/>
      <c r="AO119" s="1573"/>
      <c r="AP119" s="1573"/>
      <c r="AQ119" s="1573"/>
      <c r="AR119" s="1573"/>
      <c r="AS119" s="1573">
        <f t="shared" si="11"/>
        <v>0</v>
      </c>
      <c r="AT119" s="1573"/>
      <c r="AU119" s="1659"/>
      <c r="AV119" s="1659"/>
      <c r="AW119" s="1659"/>
      <c r="AX119" s="1659"/>
      <c r="AY119" s="1659"/>
      <c r="AZ119" s="1659"/>
      <c r="BA119" s="1659"/>
      <c r="BB119" s="1660"/>
      <c r="BC119" s="1403"/>
      <c r="BD119" s="1404"/>
      <c r="BE119" s="1336"/>
    </row>
    <row r="120" spans="1:60" s="1430" customFormat="1" outlineLevel="1">
      <c r="A120" s="1526">
        <v>22</v>
      </c>
      <c r="B120" s="1527" t="s">
        <v>1832</v>
      </c>
      <c r="C120" s="1526" t="s">
        <v>929</v>
      </c>
      <c r="D120" s="1526" t="s">
        <v>1833</v>
      </c>
      <c r="E120" s="1661">
        <v>44305</v>
      </c>
      <c r="F120" s="1528">
        <v>44739</v>
      </c>
      <c r="G120" s="1405">
        <f>SUM(G121:G122)</f>
        <v>89.240000000000009</v>
      </c>
      <c r="H120" s="1405">
        <f>SUM(H121:H122)</f>
        <v>89.240000000000009</v>
      </c>
      <c r="I120" s="1337"/>
      <c r="J120" s="1337"/>
      <c r="K120" s="1334">
        <f>IF(F120=0,"-",F120)</f>
        <v>44739</v>
      </c>
      <c r="L120" s="1338"/>
      <c r="M120" s="1338"/>
      <c r="N120" s="1337"/>
      <c r="O120" s="1337"/>
      <c r="P120" s="1662"/>
      <c r="Q120" s="1662"/>
      <c r="R120" s="1662"/>
      <c r="S120" s="1662"/>
      <c r="T120" s="1662">
        <f t="shared" si="10"/>
        <v>0</v>
      </c>
      <c r="U120" s="1662"/>
      <c r="V120" s="1662"/>
      <c r="W120" s="1662"/>
      <c r="X120" s="1662"/>
      <c r="Y120" s="1662"/>
      <c r="Z120" s="1662"/>
      <c r="AA120" s="1662"/>
      <c r="AB120" s="1662"/>
      <c r="AC120" s="1663"/>
      <c r="AD120" s="1663"/>
      <c r="AE120" s="1663"/>
      <c r="AF120" s="1663"/>
      <c r="AG120" s="1663"/>
      <c r="AH120" s="1663"/>
      <c r="AI120" s="1663"/>
      <c r="AJ120" s="1663"/>
      <c r="AK120" s="1663"/>
      <c r="AL120" s="1663"/>
      <c r="AM120" s="1663"/>
      <c r="AN120" s="1663"/>
      <c r="AO120" s="1662"/>
      <c r="AP120" s="1664"/>
      <c r="AQ120" s="1664"/>
      <c r="AR120" s="1664"/>
      <c r="AS120" s="1662">
        <f t="shared" si="11"/>
        <v>0</v>
      </c>
      <c r="AT120" s="1662"/>
      <c r="AU120" s="1665"/>
      <c r="AV120" s="1665"/>
      <c r="AW120" s="1665"/>
      <c r="AX120" s="1665"/>
      <c r="AY120" s="1665"/>
      <c r="AZ120" s="1665"/>
      <c r="BA120" s="1665"/>
      <c r="BB120" s="1665"/>
      <c r="BC120" s="1666"/>
      <c r="BD120" s="1353" t="s">
        <v>934</v>
      </c>
      <c r="BE120" s="1506"/>
    </row>
    <row r="121" spans="1:60" s="1430" customFormat="1" outlineLevel="1">
      <c r="A121" s="1499">
        <v>22.1</v>
      </c>
      <c r="B121" s="1530" t="s">
        <v>1832</v>
      </c>
      <c r="C121" s="1667" t="s">
        <v>936</v>
      </c>
      <c r="D121" s="1491" t="str">
        <f t="shared" ref="D121:F122" si="22">D120</f>
        <v>MERC/CAPEX/2021-2022/0284</v>
      </c>
      <c r="E121" s="1668">
        <f t="shared" si="22"/>
        <v>44305</v>
      </c>
      <c r="F121" s="1668">
        <f t="shared" si="22"/>
        <v>44739</v>
      </c>
      <c r="G121" s="1318">
        <f>84.7+0.5</f>
        <v>85.2</v>
      </c>
      <c r="H121" s="1318">
        <f>84.7+0.5</f>
        <v>85.2</v>
      </c>
      <c r="I121" s="1336"/>
      <c r="J121" s="1336"/>
      <c r="K121" s="1334">
        <f>IF(F121=0,"-",F121)</f>
        <v>44739</v>
      </c>
      <c r="L121" s="1337"/>
      <c r="M121" s="1337"/>
      <c r="N121" s="1339"/>
      <c r="O121" s="1336"/>
      <c r="P121" s="1572"/>
      <c r="Q121" s="1573"/>
      <c r="R121" s="1573"/>
      <c r="S121" s="1573"/>
      <c r="T121" s="1572">
        <f t="shared" si="10"/>
        <v>0</v>
      </c>
      <c r="U121" s="1573"/>
      <c r="V121" s="1573">
        <v>4.0999999999999996</v>
      </c>
      <c r="W121" s="1573">
        <v>94.72</v>
      </c>
      <c r="X121" s="1573"/>
      <c r="Y121" s="1573"/>
      <c r="Z121" s="1573"/>
      <c r="AA121" s="1573"/>
      <c r="AB121" s="1573"/>
      <c r="AC121" s="1580"/>
      <c r="AD121" s="1580"/>
      <c r="AE121" s="1580"/>
      <c r="AF121" s="1580"/>
      <c r="AG121" s="1580"/>
      <c r="AH121" s="1580"/>
      <c r="AI121" s="1580">
        <v>1</v>
      </c>
      <c r="AJ121" s="1580"/>
      <c r="AK121" s="1580"/>
      <c r="AL121" s="1580"/>
      <c r="AM121" s="1580"/>
      <c r="AN121" s="1580"/>
      <c r="AO121" s="1572"/>
      <c r="AP121" s="1630"/>
      <c r="AQ121" s="1630"/>
      <c r="AR121" s="1630"/>
      <c r="AS121" s="1572">
        <f t="shared" si="11"/>
        <v>0</v>
      </c>
      <c r="AT121" s="1576"/>
      <c r="AU121" s="1592"/>
      <c r="AV121" s="1593"/>
      <c r="AW121" s="1593">
        <v>108.86</v>
      </c>
      <c r="AX121" s="1592"/>
      <c r="AY121" s="1592"/>
      <c r="AZ121" s="1592"/>
      <c r="BA121" s="1592"/>
      <c r="BB121" s="1593"/>
      <c r="BC121" s="1369" t="s">
        <v>1834</v>
      </c>
      <c r="BD121" s="1595" t="s">
        <v>937</v>
      </c>
      <c r="BE121" s="1669"/>
    </row>
    <row r="122" spans="1:60" s="1430" customFormat="1" outlineLevel="1">
      <c r="A122" s="1511"/>
      <c r="B122" s="1532" t="s">
        <v>414</v>
      </c>
      <c r="C122" s="1578" t="s">
        <v>414</v>
      </c>
      <c r="D122" s="1511" t="str">
        <f t="shared" si="22"/>
        <v>MERC/CAPEX/2021-2022/0284</v>
      </c>
      <c r="E122" s="1670">
        <f t="shared" si="22"/>
        <v>44305</v>
      </c>
      <c r="F122" s="1670">
        <f t="shared" si="22"/>
        <v>44739</v>
      </c>
      <c r="G122" s="1406">
        <v>4.04</v>
      </c>
      <c r="H122" s="1406">
        <v>4.04</v>
      </c>
      <c r="I122" s="1337"/>
      <c r="J122" s="1337"/>
      <c r="K122" s="1334">
        <f>IF(F122=0,"-",F122)</f>
        <v>44739</v>
      </c>
      <c r="L122" s="1337"/>
      <c r="M122" s="1337"/>
      <c r="N122" s="1339"/>
      <c r="O122" s="1337"/>
      <c r="P122" s="1671"/>
      <c r="Q122" s="1672"/>
      <c r="R122" s="1672"/>
      <c r="S122" s="1672"/>
      <c r="T122" s="1671">
        <f t="shared" si="10"/>
        <v>0</v>
      </c>
      <c r="U122" s="1672"/>
      <c r="V122" s="1672">
        <v>0.49</v>
      </c>
      <c r="W122" s="1672">
        <v>4.04</v>
      </c>
      <c r="X122" s="1672"/>
      <c r="Y122" s="1672"/>
      <c r="Z122" s="1672"/>
      <c r="AA122" s="1672"/>
      <c r="AB122" s="1672"/>
      <c r="AC122" s="1663"/>
      <c r="AD122" s="1663"/>
      <c r="AE122" s="1663"/>
      <c r="AF122" s="1663"/>
      <c r="AG122" s="1663"/>
      <c r="AH122" s="1663"/>
      <c r="AI122" s="1663">
        <v>1</v>
      </c>
      <c r="AJ122" s="1663"/>
      <c r="AK122" s="1663"/>
      <c r="AL122" s="1663"/>
      <c r="AM122" s="1663"/>
      <c r="AN122" s="1663"/>
      <c r="AO122" s="1671"/>
      <c r="AP122" s="1664"/>
      <c r="AQ122" s="1664"/>
      <c r="AR122" s="1664"/>
      <c r="AS122" s="1671">
        <f t="shared" si="11"/>
        <v>0</v>
      </c>
      <c r="AT122" s="1673"/>
      <c r="AU122" s="1674"/>
      <c r="AV122" s="1592"/>
      <c r="AW122" s="1593"/>
      <c r="AX122" s="1592"/>
      <c r="AY122" s="1592"/>
      <c r="AZ122" s="1592"/>
      <c r="BA122" s="1592"/>
      <c r="BB122" s="1674"/>
      <c r="BC122" s="1352"/>
      <c r="BD122" s="1675" t="s">
        <v>934</v>
      </c>
      <c r="BE122" s="1669"/>
    </row>
    <row r="123" spans="1:60" ht="31">
      <c r="A123" s="1533" t="s">
        <v>1835</v>
      </c>
      <c r="B123" s="1534" t="s">
        <v>1836</v>
      </c>
      <c r="C123" s="1533" t="s">
        <v>929</v>
      </c>
      <c r="D123" s="1533" t="s">
        <v>1837</v>
      </c>
      <c r="E123" s="1676">
        <v>43343</v>
      </c>
      <c r="F123" s="1676">
        <v>44604</v>
      </c>
      <c r="G123" s="1312">
        <v>113.91</v>
      </c>
      <c r="H123" s="1312">
        <v>57</v>
      </c>
      <c r="I123" s="577"/>
      <c r="J123" s="577"/>
      <c r="K123" s="1313"/>
      <c r="L123" s="1677"/>
      <c r="M123" s="1677"/>
      <c r="N123" s="1677"/>
      <c r="O123" s="1315"/>
      <c r="P123" s="1678"/>
      <c r="Q123" s="1678"/>
      <c r="R123" s="1679"/>
      <c r="S123" s="1679"/>
      <c r="T123" s="1678">
        <f t="shared" si="10"/>
        <v>0</v>
      </c>
      <c r="U123" s="1679"/>
      <c r="V123" s="1679"/>
      <c r="W123" s="1679"/>
      <c r="X123" s="1679"/>
      <c r="Y123" s="1679"/>
      <c r="Z123" s="1679"/>
      <c r="AA123" s="1679"/>
      <c r="AB123" s="1679"/>
      <c r="AC123" s="1680"/>
      <c r="AD123" s="1680"/>
      <c r="AE123" s="1681"/>
      <c r="AF123" s="1681"/>
      <c r="AG123" s="1681"/>
      <c r="AH123" s="1681"/>
      <c r="AI123" s="1681"/>
      <c r="AJ123" s="1681"/>
      <c r="AK123" s="1681"/>
      <c r="AL123" s="1681"/>
      <c r="AM123" s="1681"/>
      <c r="AN123" s="1681"/>
      <c r="AO123" s="1678"/>
      <c r="AP123" s="1678"/>
      <c r="AQ123" s="1679"/>
      <c r="AR123" s="1679"/>
      <c r="AS123" s="1678">
        <f t="shared" si="11"/>
        <v>0</v>
      </c>
      <c r="AT123" s="1679"/>
      <c r="AU123" s="1682"/>
      <c r="AV123" s="1682"/>
      <c r="AW123" s="1682"/>
      <c r="AX123" s="1682"/>
      <c r="AY123" s="1682"/>
      <c r="AZ123" s="1682"/>
      <c r="BA123" s="1682"/>
      <c r="BB123" s="1682"/>
      <c r="BC123" s="1682"/>
      <c r="BD123" s="1683"/>
      <c r="BE123" s="1684"/>
      <c r="BF123" s="1684"/>
      <c r="BH123" s="1317"/>
    </row>
    <row r="124" spans="1:60" ht="31">
      <c r="A124" s="1535" t="s">
        <v>1838</v>
      </c>
      <c r="B124" s="1536" t="s">
        <v>1836</v>
      </c>
      <c r="C124" s="1537" t="s">
        <v>936</v>
      </c>
      <c r="D124" s="1537" t="s">
        <v>1837</v>
      </c>
      <c r="E124" s="1685">
        <v>43343</v>
      </c>
      <c r="F124" s="1685">
        <v>44604</v>
      </c>
      <c r="G124" s="1407">
        <v>108.48</v>
      </c>
      <c r="H124" s="1407">
        <v>54.24</v>
      </c>
      <c r="I124" s="577"/>
      <c r="J124" s="577"/>
      <c r="K124" s="1313"/>
      <c r="L124" s="1677"/>
      <c r="M124" s="1677"/>
      <c r="N124" s="1677"/>
      <c r="O124" s="1315"/>
      <c r="P124" s="1678"/>
      <c r="Q124" s="1678"/>
      <c r="R124" s="1679"/>
      <c r="S124" s="1679"/>
      <c r="T124" s="1678">
        <f t="shared" si="10"/>
        <v>0</v>
      </c>
      <c r="U124" s="1679"/>
      <c r="V124" s="1679"/>
      <c r="W124" s="1679"/>
      <c r="X124" s="1679"/>
      <c r="Y124" s="1679"/>
      <c r="Z124" s="1679"/>
      <c r="AA124" s="1679"/>
      <c r="AB124" s="1679"/>
      <c r="AC124" s="1680"/>
      <c r="AD124" s="1680"/>
      <c r="AE124" s="1681"/>
      <c r="AF124" s="1681"/>
      <c r="AG124" s="1681"/>
      <c r="AH124" s="1681"/>
      <c r="AI124" s="1681"/>
      <c r="AJ124" s="1681"/>
      <c r="AK124" s="1681"/>
      <c r="AL124" s="1681"/>
      <c r="AM124" s="1681"/>
      <c r="AN124" s="1681"/>
      <c r="AO124" s="1678"/>
      <c r="AP124" s="1678"/>
      <c r="AQ124" s="1679"/>
      <c r="AR124" s="1679"/>
      <c r="AS124" s="1678">
        <f t="shared" si="11"/>
        <v>0</v>
      </c>
      <c r="AT124" s="1679"/>
      <c r="AU124" s="1682"/>
      <c r="AV124" s="1682"/>
      <c r="AW124" s="1682"/>
      <c r="AX124" s="1682"/>
      <c r="AY124" s="1682"/>
      <c r="AZ124" s="1682"/>
      <c r="BA124" s="1682"/>
      <c r="BB124" s="1682"/>
      <c r="BC124" s="1682"/>
      <c r="BD124" s="1683"/>
      <c r="BE124" s="1684"/>
      <c r="BF124" s="1684"/>
      <c r="BH124" s="1317"/>
    </row>
    <row r="125" spans="1:60" ht="15.5">
      <c r="A125" s="1537"/>
      <c r="B125" s="1536" t="s">
        <v>414</v>
      </c>
      <c r="C125" s="1537" t="s">
        <v>414</v>
      </c>
      <c r="D125" s="1537" t="s">
        <v>1837</v>
      </c>
      <c r="E125" s="1685">
        <v>43343</v>
      </c>
      <c r="F125" s="1685">
        <v>44604</v>
      </c>
      <c r="G125" s="1407">
        <v>5.43</v>
      </c>
      <c r="H125" s="1407">
        <v>2.76</v>
      </c>
      <c r="I125" s="577"/>
      <c r="J125" s="577"/>
      <c r="K125" s="1313"/>
      <c r="L125" s="1677"/>
      <c r="M125" s="1677"/>
      <c r="N125" s="1677"/>
      <c r="O125" s="1315"/>
      <c r="P125" s="1678"/>
      <c r="Q125" s="1678"/>
      <c r="R125" s="1679"/>
      <c r="S125" s="1679"/>
      <c r="T125" s="1678">
        <f t="shared" si="10"/>
        <v>0</v>
      </c>
      <c r="U125" s="1679"/>
      <c r="V125" s="1679"/>
      <c r="W125" s="1679"/>
      <c r="X125" s="1679"/>
      <c r="Y125" s="1679"/>
      <c r="Z125" s="1679"/>
      <c r="AA125" s="1679"/>
      <c r="AB125" s="1679"/>
      <c r="AC125" s="1680"/>
      <c r="AD125" s="1680"/>
      <c r="AE125" s="1681"/>
      <c r="AF125" s="1681"/>
      <c r="AG125" s="1681"/>
      <c r="AH125" s="1681"/>
      <c r="AI125" s="1681"/>
      <c r="AJ125" s="1681"/>
      <c r="AK125" s="1681"/>
      <c r="AL125" s="1681"/>
      <c r="AM125" s="1681"/>
      <c r="AN125" s="1681"/>
      <c r="AO125" s="1678"/>
      <c r="AP125" s="1678"/>
      <c r="AQ125" s="1679"/>
      <c r="AR125" s="1679"/>
      <c r="AS125" s="1678">
        <f t="shared" si="11"/>
        <v>0</v>
      </c>
      <c r="AT125" s="1679"/>
      <c r="AU125" s="1682"/>
      <c r="AV125" s="1682"/>
      <c r="AW125" s="1682"/>
      <c r="AX125" s="1682"/>
      <c r="AY125" s="1682"/>
      <c r="AZ125" s="1682"/>
      <c r="BA125" s="1682"/>
      <c r="BB125" s="1682"/>
      <c r="BC125" s="1682"/>
      <c r="BD125" s="1683"/>
      <c r="BE125" s="1684"/>
      <c r="BF125" s="1684"/>
      <c r="BH125" s="1317"/>
    </row>
    <row r="126" spans="1:60" ht="31">
      <c r="A126" s="1533" t="s">
        <v>1839</v>
      </c>
      <c r="B126" s="1534" t="s">
        <v>1840</v>
      </c>
      <c r="C126" s="1533" t="s">
        <v>929</v>
      </c>
      <c r="D126" s="1533" t="s">
        <v>1841</v>
      </c>
      <c r="E126" s="1676">
        <v>45013</v>
      </c>
      <c r="F126" s="1676">
        <v>45232</v>
      </c>
      <c r="G126" s="1312">
        <v>69.308999999999997</v>
      </c>
      <c r="H126" s="1312">
        <v>69.308999999999997</v>
      </c>
      <c r="I126" s="577"/>
      <c r="J126" s="577"/>
      <c r="K126" s="1313"/>
      <c r="L126" s="1677"/>
      <c r="M126" s="1677"/>
      <c r="N126" s="1677"/>
      <c r="O126" s="1315"/>
      <c r="P126" s="1678"/>
      <c r="Q126" s="1678"/>
      <c r="R126" s="1679"/>
      <c r="S126" s="1679"/>
      <c r="T126" s="1678">
        <f t="shared" si="10"/>
        <v>0</v>
      </c>
      <c r="U126" s="1679"/>
      <c r="V126" s="1679"/>
      <c r="W126" s="1679"/>
      <c r="X126" s="1679"/>
      <c r="Y126" s="1679"/>
      <c r="Z126" s="1679"/>
      <c r="AA126" s="1679"/>
      <c r="AB126" s="1679"/>
      <c r="AC126" s="1680"/>
      <c r="AD126" s="1680"/>
      <c r="AE126" s="1681"/>
      <c r="AF126" s="1681"/>
      <c r="AG126" s="1681"/>
      <c r="AH126" s="1681"/>
      <c r="AI126" s="1681"/>
      <c r="AJ126" s="1681"/>
      <c r="AK126" s="1681"/>
      <c r="AL126" s="1681"/>
      <c r="AM126" s="1681"/>
      <c r="AN126" s="1681"/>
      <c r="AO126" s="1678"/>
      <c r="AP126" s="1678"/>
      <c r="AQ126" s="1679"/>
      <c r="AR126" s="1679"/>
      <c r="AS126" s="1678">
        <f t="shared" si="11"/>
        <v>0</v>
      </c>
      <c r="AT126" s="1679"/>
      <c r="AU126" s="1682"/>
      <c r="AV126" s="1682"/>
      <c r="AW126" s="1682"/>
      <c r="AX126" s="1682"/>
      <c r="AY126" s="1682"/>
      <c r="AZ126" s="1682"/>
      <c r="BA126" s="1682"/>
      <c r="BB126" s="1682"/>
      <c r="BC126" s="1682"/>
      <c r="BD126" s="1683"/>
      <c r="BE126" s="1684"/>
      <c r="BF126" s="1684"/>
      <c r="BH126" s="1317"/>
    </row>
    <row r="127" spans="1:60" ht="31">
      <c r="A127" s="1535" t="s">
        <v>1842</v>
      </c>
      <c r="B127" s="1536" t="s">
        <v>1840</v>
      </c>
      <c r="C127" s="1537" t="s">
        <v>936</v>
      </c>
      <c r="D127" s="1537" t="s">
        <v>1841</v>
      </c>
      <c r="E127" s="1685">
        <v>45013</v>
      </c>
      <c r="F127" s="1685">
        <v>45232</v>
      </c>
      <c r="G127" s="1407">
        <v>66.009</v>
      </c>
      <c r="H127" s="1407">
        <v>66.009</v>
      </c>
      <c r="I127" s="577"/>
      <c r="J127" s="577"/>
      <c r="K127" s="1313"/>
      <c r="L127" s="1677"/>
      <c r="M127" s="1677"/>
      <c r="N127" s="1677"/>
      <c r="O127" s="1315"/>
      <c r="P127" s="1678"/>
      <c r="Q127" s="1678"/>
      <c r="R127" s="1679"/>
      <c r="S127" s="1679"/>
      <c r="T127" s="1678">
        <f t="shared" si="10"/>
        <v>0</v>
      </c>
      <c r="U127" s="1679"/>
      <c r="V127" s="1679"/>
      <c r="W127" s="1679">
        <v>2.23</v>
      </c>
      <c r="X127" s="1679"/>
      <c r="Y127" s="1679"/>
      <c r="Z127" s="1679"/>
      <c r="AA127" s="1679"/>
      <c r="AB127" s="1679"/>
      <c r="AC127" s="1680"/>
      <c r="AD127" s="1680"/>
      <c r="AE127" s="1681"/>
      <c r="AF127" s="1681"/>
      <c r="AG127" s="1681"/>
      <c r="AH127" s="1681"/>
      <c r="AI127" s="1681"/>
      <c r="AJ127" s="1681"/>
      <c r="AK127" s="1681"/>
      <c r="AL127" s="1681"/>
      <c r="AM127" s="1681"/>
      <c r="AN127" s="1681"/>
      <c r="AO127" s="1678"/>
      <c r="AP127" s="1678"/>
      <c r="AQ127" s="1679"/>
      <c r="AR127" s="1679"/>
      <c r="AS127" s="1678">
        <f t="shared" si="11"/>
        <v>0</v>
      </c>
      <c r="AT127" s="1679"/>
      <c r="AU127" s="1682"/>
      <c r="AV127" s="1682">
        <v>2.23</v>
      </c>
      <c r="AW127" s="1682"/>
      <c r="AX127" s="1682"/>
      <c r="AY127" s="1682"/>
      <c r="AZ127" s="1682"/>
      <c r="BA127" s="1682"/>
      <c r="BB127" s="1682"/>
      <c r="BC127" s="1682" t="s">
        <v>2176</v>
      </c>
      <c r="BD127" s="1683" t="s">
        <v>937</v>
      </c>
      <c r="BE127" s="1684"/>
      <c r="BF127" s="1684"/>
      <c r="BH127" s="1317"/>
    </row>
    <row r="128" spans="1:60" ht="15.5">
      <c r="A128" s="1537"/>
      <c r="B128" s="1536" t="s">
        <v>414</v>
      </c>
      <c r="C128" s="1537" t="s">
        <v>414</v>
      </c>
      <c r="D128" s="1537" t="s">
        <v>1841</v>
      </c>
      <c r="E128" s="1685">
        <v>45013</v>
      </c>
      <c r="F128" s="1685">
        <v>45232</v>
      </c>
      <c r="G128" s="1407">
        <v>3.3</v>
      </c>
      <c r="H128" s="1407">
        <v>3.3</v>
      </c>
      <c r="I128" s="577"/>
      <c r="J128" s="577"/>
      <c r="K128" s="1313"/>
      <c r="L128" s="1677"/>
      <c r="M128" s="1677"/>
      <c r="N128" s="1677"/>
      <c r="O128" s="1315"/>
      <c r="P128" s="1678"/>
      <c r="Q128" s="1678"/>
      <c r="R128" s="1679"/>
      <c r="S128" s="1679"/>
      <c r="T128" s="1678">
        <f t="shared" si="10"/>
        <v>0</v>
      </c>
      <c r="U128" s="1679"/>
      <c r="V128" s="1679"/>
      <c r="W128" s="1679"/>
      <c r="X128" s="1679"/>
      <c r="Y128" s="1679"/>
      <c r="Z128" s="1679"/>
      <c r="AA128" s="1679"/>
      <c r="AB128" s="1679"/>
      <c r="AC128" s="1680"/>
      <c r="AD128" s="1680"/>
      <c r="AE128" s="1681"/>
      <c r="AF128" s="1681"/>
      <c r="AG128" s="1681"/>
      <c r="AH128" s="1681"/>
      <c r="AI128" s="1681"/>
      <c r="AJ128" s="1681"/>
      <c r="AK128" s="1681"/>
      <c r="AL128" s="1681"/>
      <c r="AM128" s="1681"/>
      <c r="AN128" s="1681"/>
      <c r="AO128" s="1678"/>
      <c r="AP128" s="1678"/>
      <c r="AQ128" s="1679"/>
      <c r="AR128" s="1679"/>
      <c r="AS128" s="1678">
        <f t="shared" si="11"/>
        <v>0</v>
      </c>
      <c r="AT128" s="1679"/>
      <c r="AU128" s="1682"/>
      <c r="AV128" s="1682"/>
      <c r="AW128" s="1682"/>
      <c r="AX128" s="1682"/>
      <c r="AY128" s="1682"/>
      <c r="AZ128" s="1682"/>
      <c r="BA128" s="1682"/>
      <c r="BB128" s="1682"/>
      <c r="BC128" s="1682"/>
      <c r="BD128" s="1683"/>
      <c r="BE128" s="1684"/>
      <c r="BF128" s="1684"/>
      <c r="BH128" s="1317"/>
    </row>
    <row r="129" spans="1:60" s="1430" customFormat="1" ht="21">
      <c r="A129" s="1505"/>
      <c r="B129" s="1332" t="s">
        <v>1843</v>
      </c>
      <c r="C129" s="1507"/>
      <c r="D129" s="1507"/>
      <c r="E129" s="1629"/>
      <c r="F129" s="1508"/>
      <c r="G129" s="1359"/>
      <c r="H129" s="1359"/>
      <c r="I129" s="1336"/>
      <c r="J129" s="1336"/>
      <c r="K129" s="1334" t="str">
        <f>IF(F129=0,"-",F129)</f>
        <v>-</v>
      </c>
      <c r="L129" s="1338"/>
      <c r="M129" s="1338"/>
      <c r="N129" s="1337"/>
      <c r="O129" s="1336"/>
      <c r="P129" s="1601"/>
      <c r="Q129" s="1601"/>
      <c r="R129" s="1601"/>
      <c r="S129" s="1601"/>
      <c r="T129" s="1601">
        <f t="shared" si="10"/>
        <v>0</v>
      </c>
      <c r="U129" s="1601"/>
      <c r="V129" s="1601"/>
      <c r="W129" s="1601"/>
      <c r="X129" s="1601"/>
      <c r="Y129" s="1601"/>
      <c r="Z129" s="1601"/>
      <c r="AA129" s="1601"/>
      <c r="AB129" s="1601"/>
      <c r="AC129" s="1601"/>
      <c r="AD129" s="1601"/>
      <c r="AE129" s="1601"/>
      <c r="AF129" s="1601"/>
      <c r="AG129" s="1601"/>
      <c r="AH129" s="1601"/>
      <c r="AI129" s="1601"/>
      <c r="AJ129" s="1601"/>
      <c r="AK129" s="1601"/>
      <c r="AL129" s="1601"/>
      <c r="AM129" s="1601"/>
      <c r="AN129" s="1601"/>
      <c r="AO129" s="1601"/>
      <c r="AP129" s="1601"/>
      <c r="AQ129" s="1601"/>
      <c r="AR129" s="1601"/>
      <c r="AS129" s="1601">
        <f t="shared" si="11"/>
        <v>0</v>
      </c>
      <c r="AT129" s="1601"/>
      <c r="AU129" s="1686"/>
      <c r="AV129" s="1682"/>
      <c r="AW129" s="1682"/>
      <c r="AX129" s="1682"/>
      <c r="AY129" s="1682"/>
      <c r="AZ129" s="1682"/>
      <c r="BA129" s="1682"/>
      <c r="BB129" s="1682"/>
      <c r="BC129" s="1682"/>
      <c r="BD129" s="1683"/>
      <c r="BE129" s="1506"/>
    </row>
    <row r="130" spans="1:60" ht="46.5">
      <c r="A130" s="1533">
        <v>1</v>
      </c>
      <c r="B130" s="1534" t="s">
        <v>1844</v>
      </c>
      <c r="C130" s="1533" t="s">
        <v>929</v>
      </c>
      <c r="D130" s="1526" t="s">
        <v>1845</v>
      </c>
      <c r="E130" s="577"/>
      <c r="F130" s="577"/>
      <c r="G130" s="577"/>
      <c r="H130" s="577"/>
      <c r="I130" s="1315"/>
      <c r="J130" s="1315"/>
      <c r="K130" s="577"/>
      <c r="L130" s="577"/>
      <c r="M130" s="577"/>
      <c r="N130" s="577"/>
      <c r="O130" s="577"/>
      <c r="P130" s="1678"/>
      <c r="Q130" s="1678"/>
      <c r="R130" s="1678"/>
      <c r="S130" s="1678"/>
      <c r="T130" s="1678">
        <f t="shared" si="10"/>
        <v>0</v>
      </c>
      <c r="U130" s="1678"/>
      <c r="V130" s="1678"/>
      <c r="W130" s="1678"/>
      <c r="X130" s="1678"/>
      <c r="Y130" s="1678"/>
      <c r="Z130" s="1678"/>
      <c r="AA130" s="1678"/>
      <c r="AB130" s="1678"/>
      <c r="AC130" s="1678"/>
      <c r="AD130" s="1678"/>
      <c r="AE130" s="1678"/>
      <c r="AF130" s="1678"/>
      <c r="AG130" s="1678"/>
      <c r="AH130" s="1678"/>
      <c r="AI130" s="1678"/>
      <c r="AJ130" s="1678"/>
      <c r="AK130" s="1678"/>
      <c r="AL130" s="1678"/>
      <c r="AM130" s="1678"/>
      <c r="AN130" s="1678"/>
      <c r="AO130" s="1678"/>
      <c r="AP130" s="1678"/>
      <c r="AQ130" s="1678"/>
      <c r="AR130" s="1678"/>
      <c r="AS130" s="1678">
        <f t="shared" si="11"/>
        <v>0</v>
      </c>
      <c r="AT130" s="1678"/>
      <c r="AU130" s="1687"/>
      <c r="AV130" s="1687"/>
      <c r="AW130" s="1687"/>
      <c r="AX130" s="1687"/>
      <c r="AY130" s="1687"/>
      <c r="AZ130" s="1687"/>
      <c r="BA130" s="1687"/>
      <c r="BB130" s="1687"/>
      <c r="BC130" s="1688" t="s">
        <v>2177</v>
      </c>
      <c r="BD130" s="1688" t="s">
        <v>937</v>
      </c>
      <c r="BE130" s="1684"/>
      <c r="BF130" s="1684"/>
      <c r="BH130" s="1317"/>
    </row>
    <row r="131" spans="1:60" ht="159.5" outlineLevel="1">
      <c r="A131" s="1491">
        <v>1.1000000000000001</v>
      </c>
      <c r="B131" s="1530" t="s">
        <v>1847</v>
      </c>
      <c r="C131" s="1578" t="s">
        <v>936</v>
      </c>
      <c r="D131" s="1526" t="s">
        <v>1845</v>
      </c>
      <c r="E131" s="1579"/>
      <c r="F131" s="1334"/>
      <c r="G131" s="1408">
        <v>5.68</v>
      </c>
      <c r="H131" s="1511"/>
      <c r="I131" s="1379"/>
      <c r="J131" s="1379"/>
      <c r="K131" s="1402"/>
      <c r="L131" s="1337"/>
      <c r="M131" s="1337"/>
      <c r="N131" s="1339"/>
      <c r="O131" s="1393" t="s">
        <v>1848</v>
      </c>
      <c r="P131" s="1678">
        <v>0</v>
      </c>
      <c r="Q131" s="1678">
        <v>0</v>
      </c>
      <c r="R131" s="1678">
        <v>0</v>
      </c>
      <c r="S131" s="1678">
        <v>0</v>
      </c>
      <c r="T131" s="1678">
        <f t="shared" si="10"/>
        <v>0</v>
      </c>
      <c r="U131" s="1678">
        <v>0</v>
      </c>
      <c r="V131" s="1678">
        <v>0</v>
      </c>
      <c r="W131" s="1678">
        <v>0</v>
      </c>
      <c r="X131" s="1408">
        <v>5.68</v>
      </c>
      <c r="Y131" s="1678">
        <v>0</v>
      </c>
      <c r="Z131" s="1678">
        <v>0</v>
      </c>
      <c r="AA131" s="1678">
        <v>0</v>
      </c>
      <c r="AB131" s="1678">
        <v>0</v>
      </c>
      <c r="AC131" s="1511"/>
      <c r="AD131" s="1511"/>
      <c r="AE131" s="1511"/>
      <c r="AF131" s="1511"/>
      <c r="AG131" s="1511"/>
      <c r="AH131" s="1511"/>
      <c r="AI131" s="1511"/>
      <c r="AJ131" s="1580">
        <v>1</v>
      </c>
      <c r="AK131" s="1511"/>
      <c r="AL131" s="1511"/>
      <c r="AM131" s="1511"/>
      <c r="AN131" s="1511"/>
      <c r="AO131" s="1678"/>
      <c r="AP131" s="1678"/>
      <c r="AQ131" s="1678"/>
      <c r="AR131" s="1678"/>
      <c r="AS131" s="1678">
        <f t="shared" si="11"/>
        <v>0</v>
      </c>
      <c r="AT131" s="1678"/>
      <c r="AU131" s="1687"/>
      <c r="AV131" s="1688"/>
      <c r="AW131" s="1409">
        <v>5.68</v>
      </c>
      <c r="AX131" s="1688"/>
      <c r="AY131" s="1688"/>
      <c r="AZ131" s="1688"/>
      <c r="BA131" s="1688"/>
      <c r="BB131" s="1593"/>
      <c r="BC131" s="1383" t="s">
        <v>2178</v>
      </c>
      <c r="BD131" s="1595" t="s">
        <v>937</v>
      </c>
      <c r="BE131" s="1530"/>
    </row>
    <row r="132" spans="1:60" ht="130.5" outlineLevel="1">
      <c r="A132" s="1491">
        <v>1.2</v>
      </c>
      <c r="B132" s="1530" t="s">
        <v>1849</v>
      </c>
      <c r="C132" s="1578" t="s">
        <v>936</v>
      </c>
      <c r="D132" s="1526" t="s">
        <v>1845</v>
      </c>
      <c r="E132" s="1579"/>
      <c r="F132" s="1334"/>
      <c r="G132" s="1408">
        <v>4.5</v>
      </c>
      <c r="H132" s="1511"/>
      <c r="I132" s="1379"/>
      <c r="J132" s="1379"/>
      <c r="K132" s="1402"/>
      <c r="L132" s="1337"/>
      <c r="M132" s="1337"/>
      <c r="N132" s="1339"/>
      <c r="O132" s="1393" t="s">
        <v>1850</v>
      </c>
      <c r="P132" s="1678">
        <v>0</v>
      </c>
      <c r="Q132" s="1678">
        <v>0</v>
      </c>
      <c r="R132" s="1678">
        <v>0</v>
      </c>
      <c r="S132" s="1678">
        <v>0</v>
      </c>
      <c r="T132" s="1678">
        <f t="shared" si="10"/>
        <v>0</v>
      </c>
      <c r="U132" s="1678">
        <v>0</v>
      </c>
      <c r="V132" s="1678">
        <v>0</v>
      </c>
      <c r="W132" s="1678">
        <v>0</v>
      </c>
      <c r="X132" s="1408">
        <v>4.5</v>
      </c>
      <c r="Y132" s="1678">
        <v>0</v>
      </c>
      <c r="Z132" s="1678">
        <v>0</v>
      </c>
      <c r="AA132" s="1678">
        <v>0</v>
      </c>
      <c r="AB132" s="1678">
        <v>0</v>
      </c>
      <c r="AC132" s="1511"/>
      <c r="AD132" s="1511"/>
      <c r="AE132" s="1511"/>
      <c r="AF132" s="1511"/>
      <c r="AG132" s="1511"/>
      <c r="AH132" s="1511"/>
      <c r="AI132" s="1511"/>
      <c r="AJ132" s="1580">
        <v>1</v>
      </c>
      <c r="AK132" s="1511"/>
      <c r="AL132" s="1511"/>
      <c r="AM132" s="1511"/>
      <c r="AN132" s="1511"/>
      <c r="AO132" s="1678"/>
      <c r="AP132" s="1678"/>
      <c r="AQ132" s="1678"/>
      <c r="AR132" s="1678"/>
      <c r="AS132" s="1678">
        <f t="shared" si="11"/>
        <v>0</v>
      </c>
      <c r="AT132" s="1678"/>
      <c r="AU132" s="1687"/>
      <c r="AV132" s="1688"/>
      <c r="AW132" s="1409">
        <v>4.5</v>
      </c>
      <c r="AX132" s="1688"/>
      <c r="AY132" s="1688"/>
      <c r="AZ132" s="1688"/>
      <c r="BA132" s="1688"/>
      <c r="BB132" s="1593"/>
      <c r="BC132" s="1383" t="s">
        <v>1846</v>
      </c>
      <c r="BD132" s="1595" t="s">
        <v>937</v>
      </c>
      <c r="BE132" s="1530"/>
    </row>
    <row r="133" spans="1:60" ht="116" outlineLevel="1">
      <c r="A133" s="1491">
        <v>1.3</v>
      </c>
      <c r="B133" s="1530" t="s">
        <v>1851</v>
      </c>
      <c r="C133" s="1578" t="s">
        <v>936</v>
      </c>
      <c r="D133" s="1526" t="s">
        <v>1845</v>
      </c>
      <c r="E133" s="1579"/>
      <c r="F133" s="1334"/>
      <c r="G133" s="1408">
        <v>5.45</v>
      </c>
      <c r="H133" s="1511"/>
      <c r="I133" s="1379"/>
      <c r="J133" s="1379"/>
      <c r="K133" s="1402"/>
      <c r="L133" s="1337"/>
      <c r="M133" s="1337"/>
      <c r="N133" s="1339"/>
      <c r="O133" s="1393" t="s">
        <v>1852</v>
      </c>
      <c r="P133" s="1678">
        <v>0</v>
      </c>
      <c r="Q133" s="1678">
        <v>0</v>
      </c>
      <c r="R133" s="1678">
        <v>0</v>
      </c>
      <c r="S133" s="1678">
        <v>0</v>
      </c>
      <c r="T133" s="1678">
        <f t="shared" si="10"/>
        <v>0</v>
      </c>
      <c r="U133" s="1678">
        <v>0</v>
      </c>
      <c r="V133" s="1678">
        <v>0</v>
      </c>
      <c r="W133" s="1678">
        <v>0</v>
      </c>
      <c r="X133" s="1408">
        <v>5.45</v>
      </c>
      <c r="Y133" s="1678">
        <v>0</v>
      </c>
      <c r="Z133" s="1678">
        <v>0</v>
      </c>
      <c r="AA133" s="1678">
        <v>0</v>
      </c>
      <c r="AB133" s="1678">
        <v>0</v>
      </c>
      <c r="AC133" s="1511"/>
      <c r="AD133" s="1511"/>
      <c r="AE133" s="1511"/>
      <c r="AF133" s="1511"/>
      <c r="AG133" s="1511"/>
      <c r="AH133" s="1511"/>
      <c r="AI133" s="1511"/>
      <c r="AJ133" s="1580">
        <v>1</v>
      </c>
      <c r="AK133" s="1511"/>
      <c r="AL133" s="1511"/>
      <c r="AM133" s="1511"/>
      <c r="AN133" s="1511"/>
      <c r="AO133" s="1678"/>
      <c r="AP133" s="1678"/>
      <c r="AQ133" s="1678"/>
      <c r="AR133" s="1678"/>
      <c r="AS133" s="1678">
        <f t="shared" si="11"/>
        <v>0</v>
      </c>
      <c r="AT133" s="1678"/>
      <c r="AU133" s="1687"/>
      <c r="AV133" s="1688"/>
      <c r="AW133" s="1409">
        <v>5.45</v>
      </c>
      <c r="AX133" s="1688"/>
      <c r="AY133" s="1688"/>
      <c r="AZ133" s="1688"/>
      <c r="BA133" s="1688"/>
      <c r="BB133" s="1593"/>
      <c r="BC133" s="1383" t="s">
        <v>2179</v>
      </c>
      <c r="BD133" s="1595" t="s">
        <v>937</v>
      </c>
      <c r="BE133" s="1530"/>
    </row>
    <row r="134" spans="1:60" ht="87" outlineLevel="1">
      <c r="A134" s="1491">
        <v>1.4</v>
      </c>
      <c r="B134" s="1530" t="s">
        <v>1853</v>
      </c>
      <c r="C134" s="1578" t="s">
        <v>936</v>
      </c>
      <c r="D134" s="1526" t="s">
        <v>1845</v>
      </c>
      <c r="E134" s="1579"/>
      <c r="F134" s="1334"/>
      <c r="G134" s="1408">
        <v>7.43</v>
      </c>
      <c r="H134" s="1511"/>
      <c r="I134" s="1379"/>
      <c r="J134" s="1379"/>
      <c r="K134" s="1402"/>
      <c r="L134" s="1337"/>
      <c r="M134" s="1337"/>
      <c r="N134" s="1339"/>
      <c r="O134" s="1393" t="s">
        <v>1854</v>
      </c>
      <c r="P134" s="1678">
        <v>0</v>
      </c>
      <c r="Q134" s="1678">
        <v>0</v>
      </c>
      <c r="R134" s="1678">
        <v>0</v>
      </c>
      <c r="S134" s="1678">
        <v>0</v>
      </c>
      <c r="T134" s="1678">
        <f t="shared" si="10"/>
        <v>0</v>
      </c>
      <c r="U134" s="1678">
        <v>0</v>
      </c>
      <c r="V134" s="1678">
        <v>0</v>
      </c>
      <c r="W134" s="1678">
        <v>0</v>
      </c>
      <c r="X134" s="1408">
        <v>7.43</v>
      </c>
      <c r="Y134" s="1678">
        <v>0</v>
      </c>
      <c r="Z134" s="1678">
        <v>0</v>
      </c>
      <c r="AA134" s="1678">
        <v>0</v>
      </c>
      <c r="AB134" s="1678">
        <v>0</v>
      </c>
      <c r="AC134" s="1511"/>
      <c r="AD134" s="1511"/>
      <c r="AE134" s="1511"/>
      <c r="AF134" s="1511"/>
      <c r="AG134" s="1511"/>
      <c r="AH134" s="1511"/>
      <c r="AI134" s="1511"/>
      <c r="AJ134" s="1580">
        <v>1</v>
      </c>
      <c r="AK134" s="1511"/>
      <c r="AL134" s="1511"/>
      <c r="AM134" s="1511"/>
      <c r="AN134" s="1511"/>
      <c r="AO134" s="1678"/>
      <c r="AP134" s="1678"/>
      <c r="AQ134" s="1678"/>
      <c r="AR134" s="1678"/>
      <c r="AS134" s="1678">
        <f t="shared" si="11"/>
        <v>0</v>
      </c>
      <c r="AT134" s="1678"/>
      <c r="AU134" s="1687"/>
      <c r="AV134" s="1688"/>
      <c r="AW134" s="1409">
        <v>7.43</v>
      </c>
      <c r="AX134" s="1688"/>
      <c r="AY134" s="1688"/>
      <c r="AZ134" s="1688"/>
      <c r="BA134" s="1688"/>
      <c r="BB134" s="1593"/>
      <c r="BC134" s="1383" t="s">
        <v>2179</v>
      </c>
      <c r="BD134" s="1595" t="s">
        <v>937</v>
      </c>
      <c r="BE134" s="1530"/>
    </row>
    <row r="135" spans="1:60" ht="174" outlineLevel="1">
      <c r="A135" s="1491">
        <v>1.5</v>
      </c>
      <c r="B135" s="1530" t="s">
        <v>1855</v>
      </c>
      <c r="C135" s="1578" t="s">
        <v>936</v>
      </c>
      <c r="D135" s="1526" t="s">
        <v>1845</v>
      </c>
      <c r="E135" s="1579"/>
      <c r="F135" s="1334"/>
      <c r="G135" s="1408">
        <v>3.1</v>
      </c>
      <c r="H135" s="1511"/>
      <c r="I135" s="1379"/>
      <c r="J135" s="1379"/>
      <c r="K135" s="1402"/>
      <c r="L135" s="1337"/>
      <c r="M135" s="1337"/>
      <c r="N135" s="1339"/>
      <c r="O135" s="1393" t="s">
        <v>1856</v>
      </c>
      <c r="P135" s="1678">
        <v>0</v>
      </c>
      <c r="Q135" s="1678">
        <v>0</v>
      </c>
      <c r="R135" s="1678">
        <v>0</v>
      </c>
      <c r="S135" s="1678">
        <v>0</v>
      </c>
      <c r="T135" s="1678">
        <f t="shared" si="10"/>
        <v>0</v>
      </c>
      <c r="U135" s="1678">
        <v>0</v>
      </c>
      <c r="V135" s="1678">
        <v>0</v>
      </c>
      <c r="W135" s="1678">
        <v>0</v>
      </c>
      <c r="X135" s="1408">
        <v>3.1</v>
      </c>
      <c r="Y135" s="1678">
        <v>0</v>
      </c>
      <c r="Z135" s="1678">
        <v>0</v>
      </c>
      <c r="AA135" s="1678">
        <v>0</v>
      </c>
      <c r="AB135" s="1678">
        <v>0</v>
      </c>
      <c r="AC135" s="1511"/>
      <c r="AD135" s="1511"/>
      <c r="AE135" s="1511"/>
      <c r="AF135" s="1511"/>
      <c r="AG135" s="1511"/>
      <c r="AH135" s="1511"/>
      <c r="AI135" s="1511"/>
      <c r="AJ135" s="1580">
        <v>1</v>
      </c>
      <c r="AK135" s="1511"/>
      <c r="AL135" s="1511"/>
      <c r="AM135" s="1511"/>
      <c r="AN135" s="1511"/>
      <c r="AO135" s="1678"/>
      <c r="AP135" s="1678"/>
      <c r="AQ135" s="1678"/>
      <c r="AR135" s="1678"/>
      <c r="AS135" s="1678">
        <f t="shared" si="11"/>
        <v>0</v>
      </c>
      <c r="AT135" s="1678"/>
      <c r="AU135" s="1687"/>
      <c r="AV135" s="1688"/>
      <c r="AW135" s="1409">
        <v>3.1</v>
      </c>
      <c r="AX135" s="1688"/>
      <c r="AY135" s="1688"/>
      <c r="AZ135" s="1688"/>
      <c r="BA135" s="1688"/>
      <c r="BB135" s="1593"/>
      <c r="BC135" s="1383" t="s">
        <v>2180</v>
      </c>
      <c r="BD135" s="1595" t="s">
        <v>937</v>
      </c>
      <c r="BE135" s="1530"/>
    </row>
    <row r="136" spans="1:60" ht="29" outlineLevel="1">
      <c r="A136" s="1491">
        <v>1.6</v>
      </c>
      <c r="B136" s="1530" t="s">
        <v>1857</v>
      </c>
      <c r="C136" s="1578" t="s">
        <v>936</v>
      </c>
      <c r="D136" s="1526" t="s">
        <v>1845</v>
      </c>
      <c r="E136" s="1579"/>
      <c r="F136" s="1334"/>
      <c r="G136" s="1408">
        <v>1.29</v>
      </c>
      <c r="H136" s="1511"/>
      <c r="I136" s="1379"/>
      <c r="J136" s="1379"/>
      <c r="K136" s="1402"/>
      <c r="L136" s="1337"/>
      <c r="M136" s="1337"/>
      <c r="N136" s="1339"/>
      <c r="O136" s="1336"/>
      <c r="P136" s="1678">
        <v>0</v>
      </c>
      <c r="Q136" s="1678">
        <v>0</v>
      </c>
      <c r="R136" s="1678">
        <v>0</v>
      </c>
      <c r="S136" s="1678">
        <v>0</v>
      </c>
      <c r="T136" s="1678">
        <f t="shared" si="10"/>
        <v>0</v>
      </c>
      <c r="U136" s="1678">
        <v>0</v>
      </c>
      <c r="V136" s="1678">
        <v>0</v>
      </c>
      <c r="W136" s="1678">
        <v>0</v>
      </c>
      <c r="X136" s="1408">
        <v>1.29</v>
      </c>
      <c r="Y136" s="1678">
        <v>0</v>
      </c>
      <c r="Z136" s="1678">
        <v>0</v>
      </c>
      <c r="AA136" s="1678">
        <v>0</v>
      </c>
      <c r="AB136" s="1678">
        <v>0</v>
      </c>
      <c r="AC136" s="1511"/>
      <c r="AD136" s="1511"/>
      <c r="AE136" s="1511"/>
      <c r="AF136" s="1511"/>
      <c r="AG136" s="1511"/>
      <c r="AH136" s="1511"/>
      <c r="AI136" s="1511"/>
      <c r="AJ136" s="1580">
        <v>1</v>
      </c>
      <c r="AK136" s="1511"/>
      <c r="AL136" s="1511"/>
      <c r="AM136" s="1511"/>
      <c r="AN136" s="1511"/>
      <c r="AO136" s="1678"/>
      <c r="AP136" s="1678"/>
      <c r="AQ136" s="1678"/>
      <c r="AR136" s="1678"/>
      <c r="AS136" s="1678">
        <f t="shared" si="11"/>
        <v>0</v>
      </c>
      <c r="AT136" s="1678"/>
      <c r="AU136" s="1687"/>
      <c r="AV136" s="1688"/>
      <c r="AW136" s="1409">
        <v>1.29</v>
      </c>
      <c r="AX136" s="1688"/>
      <c r="AY136" s="1688"/>
      <c r="AZ136" s="1688"/>
      <c r="BA136" s="1688"/>
      <c r="BB136" s="1593"/>
      <c r="BC136" s="1383" t="s">
        <v>2179</v>
      </c>
      <c r="BD136" s="1595" t="s">
        <v>937</v>
      </c>
      <c r="BE136" s="1530"/>
    </row>
    <row r="137" spans="1:60" ht="58" outlineLevel="1">
      <c r="A137" s="1491">
        <v>1.7</v>
      </c>
      <c r="B137" s="1530" t="s">
        <v>1858</v>
      </c>
      <c r="C137" s="1578" t="s">
        <v>936</v>
      </c>
      <c r="D137" s="1526" t="s">
        <v>1845</v>
      </c>
      <c r="E137" s="1579"/>
      <c r="F137" s="1334"/>
      <c r="G137" s="1408">
        <v>1.4</v>
      </c>
      <c r="H137" s="1511"/>
      <c r="I137" s="1379"/>
      <c r="J137" s="1379"/>
      <c r="K137" s="1402"/>
      <c r="L137" s="1337"/>
      <c r="M137" s="1337"/>
      <c r="N137" s="1339"/>
      <c r="O137" s="1393" t="s">
        <v>1859</v>
      </c>
      <c r="P137" s="1678">
        <v>0</v>
      </c>
      <c r="Q137" s="1678">
        <v>0</v>
      </c>
      <c r="R137" s="1678">
        <v>0</v>
      </c>
      <c r="S137" s="1678">
        <v>0</v>
      </c>
      <c r="T137" s="1678">
        <f t="shared" si="10"/>
        <v>0</v>
      </c>
      <c r="U137" s="1678">
        <v>0</v>
      </c>
      <c r="V137" s="1678">
        <v>0</v>
      </c>
      <c r="W137" s="1678">
        <v>0</v>
      </c>
      <c r="X137" s="1408">
        <v>1.4</v>
      </c>
      <c r="Y137" s="1678">
        <v>0</v>
      </c>
      <c r="Z137" s="1678">
        <v>0</v>
      </c>
      <c r="AA137" s="1678">
        <v>0</v>
      </c>
      <c r="AB137" s="1678">
        <v>0</v>
      </c>
      <c r="AC137" s="1511"/>
      <c r="AD137" s="1511"/>
      <c r="AE137" s="1511"/>
      <c r="AF137" s="1511"/>
      <c r="AG137" s="1511"/>
      <c r="AH137" s="1511"/>
      <c r="AI137" s="1511"/>
      <c r="AJ137" s="1580">
        <v>1</v>
      </c>
      <c r="AK137" s="1511"/>
      <c r="AL137" s="1511"/>
      <c r="AM137" s="1511"/>
      <c r="AN137" s="1511"/>
      <c r="AO137" s="1678"/>
      <c r="AP137" s="1678"/>
      <c r="AQ137" s="1678"/>
      <c r="AR137" s="1678"/>
      <c r="AS137" s="1678">
        <f t="shared" si="11"/>
        <v>0</v>
      </c>
      <c r="AT137" s="1678"/>
      <c r="AU137" s="1687"/>
      <c r="AV137" s="1688"/>
      <c r="AW137" s="1409">
        <v>1.4</v>
      </c>
      <c r="AX137" s="1688"/>
      <c r="AY137" s="1688"/>
      <c r="AZ137" s="1688"/>
      <c r="BA137" s="1688"/>
      <c r="BB137" s="1593"/>
      <c r="BC137" s="1383" t="s">
        <v>2179</v>
      </c>
      <c r="BD137" s="1595" t="s">
        <v>937</v>
      </c>
      <c r="BE137" s="1530"/>
    </row>
    <row r="138" spans="1:60" ht="409.5" outlineLevel="1">
      <c r="A138" s="1491">
        <v>1.8</v>
      </c>
      <c r="B138" s="1530" t="s">
        <v>1860</v>
      </c>
      <c r="C138" s="1578" t="s">
        <v>936</v>
      </c>
      <c r="D138" s="1526" t="s">
        <v>1845</v>
      </c>
      <c r="E138" s="1579"/>
      <c r="F138" s="1334"/>
      <c r="G138" s="1408">
        <v>4</v>
      </c>
      <c r="H138" s="1511"/>
      <c r="I138" s="1379"/>
      <c r="J138" s="1379"/>
      <c r="K138" s="1402"/>
      <c r="L138" s="1337"/>
      <c r="M138" s="1337"/>
      <c r="N138" s="1339"/>
      <c r="O138" s="1393" t="s">
        <v>1861</v>
      </c>
      <c r="P138" s="1678">
        <v>0</v>
      </c>
      <c r="Q138" s="1678">
        <v>0</v>
      </c>
      <c r="R138" s="1678">
        <v>0</v>
      </c>
      <c r="S138" s="1678">
        <v>0</v>
      </c>
      <c r="T138" s="1678">
        <f t="shared" si="10"/>
        <v>0</v>
      </c>
      <c r="U138" s="1678">
        <v>0</v>
      </c>
      <c r="V138" s="1678">
        <v>0</v>
      </c>
      <c r="W138" s="1678">
        <v>0</v>
      </c>
      <c r="X138" s="1408">
        <v>4.8</v>
      </c>
      <c r="Y138" s="1678">
        <v>0</v>
      </c>
      <c r="Z138" s="1678">
        <v>0</v>
      </c>
      <c r="AA138" s="1678">
        <v>0</v>
      </c>
      <c r="AB138" s="1678">
        <v>0</v>
      </c>
      <c r="AC138" s="1511"/>
      <c r="AD138" s="1511"/>
      <c r="AE138" s="1511"/>
      <c r="AF138" s="1511"/>
      <c r="AG138" s="1511"/>
      <c r="AH138" s="1511"/>
      <c r="AI138" s="1511"/>
      <c r="AJ138" s="1580">
        <v>1</v>
      </c>
      <c r="AK138" s="1511"/>
      <c r="AL138" s="1511"/>
      <c r="AM138" s="1511"/>
      <c r="AN138" s="1511"/>
      <c r="AO138" s="1678"/>
      <c r="AP138" s="1678"/>
      <c r="AQ138" s="1678"/>
      <c r="AR138" s="1678"/>
      <c r="AS138" s="1678">
        <f t="shared" si="11"/>
        <v>0</v>
      </c>
      <c r="AT138" s="1678"/>
      <c r="AU138" s="1687"/>
      <c r="AV138" s="1688"/>
      <c r="AW138" s="1409">
        <v>4.8</v>
      </c>
      <c r="AX138" s="1688"/>
      <c r="AY138" s="1688"/>
      <c r="AZ138" s="1688"/>
      <c r="BA138" s="1688"/>
      <c r="BB138" s="1593"/>
      <c r="BC138" s="1383" t="s">
        <v>1846</v>
      </c>
      <c r="BD138" s="1595" t="s">
        <v>937</v>
      </c>
      <c r="BE138" s="1530"/>
    </row>
    <row r="139" spans="1:60" s="1417" customFormat="1" ht="29.25" customHeight="1">
      <c r="A139" s="1538"/>
      <c r="B139" s="1410" t="s">
        <v>1843</v>
      </c>
      <c r="C139" s="1538"/>
      <c r="D139" s="1538"/>
      <c r="E139" s="1689"/>
      <c r="F139" s="1690"/>
      <c r="G139" s="1411"/>
      <c r="H139" s="1411"/>
      <c r="I139" s="1412"/>
      <c r="J139" s="1412"/>
      <c r="K139" s="1413" t="str">
        <f>IF(F139=0,"-",F139)</f>
        <v>-</v>
      </c>
      <c r="L139" s="1414"/>
      <c r="M139" s="1414"/>
      <c r="N139" s="1415"/>
      <c r="O139" s="1415"/>
      <c r="P139" s="1691"/>
      <c r="Q139" s="1691"/>
      <c r="R139" s="1691"/>
      <c r="S139" s="1691"/>
      <c r="T139" s="1691">
        <f t="shared" ref="T139:T202" si="23">SUM(P139:S139)</f>
        <v>0</v>
      </c>
      <c r="U139" s="1691"/>
      <c r="V139" s="1691"/>
      <c r="W139" s="1691"/>
      <c r="X139" s="1691"/>
      <c r="Y139" s="1691"/>
      <c r="Z139" s="1691"/>
      <c r="AA139" s="1691"/>
      <c r="AB139" s="1691"/>
      <c r="AC139" s="1691"/>
      <c r="AD139" s="1691"/>
      <c r="AE139" s="1691"/>
      <c r="AF139" s="1691"/>
      <c r="AG139" s="1691"/>
      <c r="AH139" s="1691"/>
      <c r="AI139" s="1691"/>
      <c r="AJ139" s="1691"/>
      <c r="AK139" s="1691"/>
      <c r="AL139" s="1691"/>
      <c r="AM139" s="1691"/>
      <c r="AN139" s="1691"/>
      <c r="AO139" s="1691"/>
      <c r="AP139" s="1691"/>
      <c r="AQ139" s="1691"/>
      <c r="AR139" s="1691"/>
      <c r="AS139" s="1691">
        <f t="shared" ref="AS139:AS202" si="24">SUM(AO139:AR139)</f>
        <v>0</v>
      </c>
      <c r="AT139" s="1691"/>
      <c r="AU139" s="1691"/>
      <c r="AV139" s="1686"/>
      <c r="AW139" s="1686"/>
      <c r="AX139" s="1686"/>
      <c r="AY139" s="1686"/>
      <c r="AZ139" s="1686"/>
      <c r="BA139" s="1686"/>
      <c r="BB139" s="1686"/>
      <c r="BC139" s="1692"/>
      <c r="BD139" s="1416"/>
    </row>
    <row r="140" spans="1:60" ht="60" customHeight="1">
      <c r="A140" s="1533">
        <v>2</v>
      </c>
      <c r="B140" s="1534" t="s">
        <v>1862</v>
      </c>
      <c r="C140" s="1533" t="s">
        <v>929</v>
      </c>
      <c r="D140" s="1526" t="s">
        <v>1845</v>
      </c>
      <c r="E140" s="1511"/>
      <c r="F140" s="1511"/>
      <c r="G140" s="1511"/>
      <c r="H140" s="1511"/>
      <c r="I140" s="1693"/>
      <c r="J140" s="1693"/>
      <c r="K140" s="1511"/>
      <c r="L140" s="1511"/>
      <c r="M140" s="1511"/>
      <c r="N140" s="1511"/>
      <c r="O140" s="1511"/>
      <c r="P140" s="1678">
        <v>0</v>
      </c>
      <c r="Q140" s="1678">
        <v>0</v>
      </c>
      <c r="R140" s="1678">
        <v>0</v>
      </c>
      <c r="S140" s="1678">
        <v>0</v>
      </c>
      <c r="T140" s="1678">
        <f t="shared" si="23"/>
        <v>0</v>
      </c>
      <c r="U140" s="1678">
        <v>0</v>
      </c>
      <c r="V140" s="1678">
        <v>0</v>
      </c>
      <c r="W140" s="1678">
        <v>0</v>
      </c>
      <c r="X140" s="1678">
        <v>0</v>
      </c>
      <c r="Y140" s="1678">
        <v>0</v>
      </c>
      <c r="Z140" s="1678">
        <v>0</v>
      </c>
      <c r="AA140" s="1678">
        <v>0</v>
      </c>
      <c r="AB140" s="1678">
        <v>0</v>
      </c>
      <c r="AC140" s="1680"/>
      <c r="AD140" s="1680"/>
      <c r="AE140" s="1511"/>
      <c r="AF140" s="1511"/>
      <c r="AG140" s="1511"/>
      <c r="AH140" s="1511"/>
      <c r="AI140" s="1511"/>
      <c r="AJ140" s="1511"/>
      <c r="AK140" s="1680"/>
      <c r="AL140" s="1680"/>
      <c r="AM140" s="1680"/>
      <c r="AN140" s="1680"/>
      <c r="AO140" s="1680"/>
      <c r="AP140" s="1680"/>
      <c r="AQ140" s="1680"/>
      <c r="AR140" s="1680"/>
      <c r="AS140" s="1680">
        <f t="shared" si="24"/>
        <v>0</v>
      </c>
      <c r="AT140" s="1680"/>
      <c r="AU140" s="1680"/>
      <c r="AV140" s="1694"/>
      <c r="AW140" s="1694"/>
      <c r="AX140" s="1694"/>
      <c r="AY140" s="1694"/>
      <c r="AZ140" s="1694"/>
      <c r="BA140" s="1694"/>
      <c r="BB140" s="1694"/>
      <c r="BC140" s="1688" t="s">
        <v>1863</v>
      </c>
      <c r="BD140" s="1688" t="s">
        <v>935</v>
      </c>
      <c r="BF140" s="1317"/>
    </row>
    <row r="141" spans="1:60" ht="29" outlineLevel="1">
      <c r="A141" s="1491">
        <v>2.1</v>
      </c>
      <c r="B141" s="1530" t="s">
        <v>1864</v>
      </c>
      <c r="C141" s="1578" t="s">
        <v>936</v>
      </c>
      <c r="D141" s="1526" t="s">
        <v>1845</v>
      </c>
      <c r="E141" s="1579"/>
      <c r="F141" s="1334"/>
      <c r="G141" s="1408">
        <v>12</v>
      </c>
      <c r="H141" s="1511"/>
      <c r="I141" s="1693"/>
      <c r="J141" s="1693"/>
      <c r="K141" s="1402"/>
      <c r="L141" s="1337"/>
      <c r="M141" s="1337"/>
      <c r="N141" s="1339"/>
      <c r="O141" s="1393" t="s">
        <v>1865</v>
      </c>
      <c r="P141" s="1678">
        <v>0</v>
      </c>
      <c r="Q141" s="1678">
        <v>0</v>
      </c>
      <c r="R141" s="1678">
        <v>0</v>
      </c>
      <c r="S141" s="1678">
        <v>0</v>
      </c>
      <c r="T141" s="1678">
        <f t="shared" si="23"/>
        <v>0</v>
      </c>
      <c r="U141" s="1678">
        <v>0</v>
      </c>
      <c r="V141" s="1678">
        <v>0</v>
      </c>
      <c r="W141" s="1678">
        <v>0</v>
      </c>
      <c r="X141" s="1678">
        <v>0</v>
      </c>
      <c r="Y141" s="1408">
        <v>12</v>
      </c>
      <c r="Z141" s="1678">
        <v>0</v>
      </c>
      <c r="AA141" s="1678">
        <v>0</v>
      </c>
      <c r="AB141" s="1678">
        <v>0</v>
      </c>
      <c r="AC141" s="1511"/>
      <c r="AD141" s="1511"/>
      <c r="AE141" s="1511"/>
      <c r="AF141" s="1511"/>
      <c r="AG141" s="1511"/>
      <c r="AH141" s="1511"/>
      <c r="AI141" s="1511"/>
      <c r="AJ141" s="1511"/>
      <c r="AK141" s="1580">
        <v>1</v>
      </c>
      <c r="AL141" s="1680"/>
      <c r="AM141" s="1680"/>
      <c r="AN141" s="1680"/>
      <c r="AO141" s="1680"/>
      <c r="AP141" s="1680"/>
      <c r="AQ141" s="1680"/>
      <c r="AR141" s="1680"/>
      <c r="AS141" s="1680">
        <f t="shared" si="24"/>
        <v>0</v>
      </c>
      <c r="AT141" s="1680"/>
      <c r="AU141" s="1680"/>
      <c r="AV141" s="1694"/>
      <c r="AW141" s="1694"/>
      <c r="AX141" s="1409">
        <v>12</v>
      </c>
      <c r="AY141" s="1688"/>
      <c r="AZ141" s="1688"/>
      <c r="BA141" s="1688"/>
      <c r="BB141" s="1593"/>
      <c r="BC141" s="1369" t="s">
        <v>1863</v>
      </c>
      <c r="BD141" s="1595" t="s">
        <v>935</v>
      </c>
    </row>
    <row r="142" spans="1:60" ht="29" outlineLevel="1">
      <c r="A142" s="1491">
        <v>2.2000000000000002</v>
      </c>
      <c r="B142" s="1530" t="s">
        <v>1866</v>
      </c>
      <c r="C142" s="1578" t="s">
        <v>936</v>
      </c>
      <c r="D142" s="1526" t="s">
        <v>1845</v>
      </c>
      <c r="E142" s="1579"/>
      <c r="F142" s="1334"/>
      <c r="G142" s="1408">
        <v>9.35</v>
      </c>
      <c r="H142" s="1511"/>
      <c r="I142" s="1693"/>
      <c r="J142" s="1693"/>
      <c r="K142" s="1402"/>
      <c r="L142" s="1337"/>
      <c r="M142" s="1337"/>
      <c r="N142" s="1339"/>
      <c r="O142" s="1393" t="s">
        <v>1867</v>
      </c>
      <c r="P142" s="1678">
        <v>0</v>
      </c>
      <c r="Q142" s="1678">
        <v>0</v>
      </c>
      <c r="R142" s="1678">
        <v>0</v>
      </c>
      <c r="S142" s="1678">
        <v>0</v>
      </c>
      <c r="T142" s="1678">
        <f t="shared" si="23"/>
        <v>0</v>
      </c>
      <c r="U142" s="1678">
        <v>0</v>
      </c>
      <c r="V142" s="1678">
        <v>0</v>
      </c>
      <c r="W142" s="1678">
        <v>0</v>
      </c>
      <c r="X142" s="1678">
        <v>0</v>
      </c>
      <c r="Y142" s="1408">
        <v>9.35</v>
      </c>
      <c r="Z142" s="1678">
        <v>0</v>
      </c>
      <c r="AA142" s="1678">
        <v>0</v>
      </c>
      <c r="AB142" s="1678">
        <v>0</v>
      </c>
      <c r="AC142" s="1511"/>
      <c r="AD142" s="1511"/>
      <c r="AE142" s="1511"/>
      <c r="AF142" s="1511"/>
      <c r="AG142" s="1511"/>
      <c r="AH142" s="1511"/>
      <c r="AI142" s="1511"/>
      <c r="AJ142" s="1511"/>
      <c r="AK142" s="1580">
        <v>1</v>
      </c>
      <c r="AL142" s="1680"/>
      <c r="AM142" s="1680"/>
      <c r="AN142" s="1680"/>
      <c r="AO142" s="1680"/>
      <c r="AP142" s="1680"/>
      <c r="AQ142" s="1680"/>
      <c r="AR142" s="1680"/>
      <c r="AS142" s="1680">
        <f t="shared" si="24"/>
        <v>0</v>
      </c>
      <c r="AT142" s="1680"/>
      <c r="AU142" s="1680"/>
      <c r="AV142" s="1694"/>
      <c r="AW142" s="1694"/>
      <c r="AX142" s="1409">
        <v>9.35</v>
      </c>
      <c r="AY142" s="1688"/>
      <c r="AZ142" s="1688"/>
      <c r="BA142" s="1688"/>
      <c r="BB142" s="1593"/>
      <c r="BC142" s="1369" t="s">
        <v>1863</v>
      </c>
      <c r="BD142" s="1595" t="s">
        <v>935</v>
      </c>
    </row>
    <row r="143" spans="1:60" ht="43.5" outlineLevel="1">
      <c r="A143" s="1491">
        <v>2.2999999999999998</v>
      </c>
      <c r="B143" s="1530" t="s">
        <v>1868</v>
      </c>
      <c r="C143" s="1578" t="s">
        <v>936</v>
      </c>
      <c r="D143" s="1526" t="s">
        <v>1845</v>
      </c>
      <c r="E143" s="1579"/>
      <c r="F143" s="1334"/>
      <c r="G143" s="1408">
        <v>7.8</v>
      </c>
      <c r="H143" s="1511"/>
      <c r="I143" s="1693"/>
      <c r="J143" s="1693"/>
      <c r="K143" s="1402"/>
      <c r="L143" s="1337"/>
      <c r="M143" s="1337"/>
      <c r="N143" s="1339"/>
      <c r="O143" s="1393" t="s">
        <v>1869</v>
      </c>
      <c r="P143" s="1678">
        <v>0</v>
      </c>
      <c r="Q143" s="1678">
        <v>0</v>
      </c>
      <c r="R143" s="1678">
        <v>0</v>
      </c>
      <c r="S143" s="1678">
        <v>0</v>
      </c>
      <c r="T143" s="1678">
        <f t="shared" si="23"/>
        <v>0</v>
      </c>
      <c r="U143" s="1678">
        <v>0</v>
      </c>
      <c r="V143" s="1678">
        <v>0</v>
      </c>
      <c r="W143" s="1678">
        <v>0</v>
      </c>
      <c r="X143" s="1678">
        <v>0</v>
      </c>
      <c r="Y143" s="1408">
        <v>7.8</v>
      </c>
      <c r="Z143" s="1678">
        <v>0</v>
      </c>
      <c r="AA143" s="1678">
        <v>0</v>
      </c>
      <c r="AB143" s="1678">
        <v>0</v>
      </c>
      <c r="AC143" s="1511"/>
      <c r="AD143" s="1511"/>
      <c r="AE143" s="1511"/>
      <c r="AF143" s="1511"/>
      <c r="AG143" s="1511"/>
      <c r="AH143" s="1511"/>
      <c r="AI143" s="1511"/>
      <c r="AJ143" s="1511"/>
      <c r="AK143" s="1580">
        <v>1</v>
      </c>
      <c r="AL143" s="1680"/>
      <c r="AM143" s="1680"/>
      <c r="AN143" s="1680"/>
      <c r="AO143" s="1680"/>
      <c r="AP143" s="1680"/>
      <c r="AQ143" s="1680"/>
      <c r="AR143" s="1680"/>
      <c r="AS143" s="1680">
        <f t="shared" si="24"/>
        <v>0</v>
      </c>
      <c r="AT143" s="1680"/>
      <c r="AU143" s="1680"/>
      <c r="AV143" s="1694"/>
      <c r="AW143" s="1694"/>
      <c r="AX143" s="1409">
        <v>7.8</v>
      </c>
      <c r="AY143" s="1688"/>
      <c r="AZ143" s="1688"/>
      <c r="BA143" s="1688"/>
      <c r="BB143" s="1593"/>
      <c r="BC143" s="1369" t="s">
        <v>1863</v>
      </c>
      <c r="BD143" s="1595" t="s">
        <v>935</v>
      </c>
    </row>
    <row r="144" spans="1:60" ht="60" customHeight="1">
      <c r="A144" s="1533">
        <v>3</v>
      </c>
      <c r="B144" s="1534" t="s">
        <v>1870</v>
      </c>
      <c r="C144" s="1533" t="s">
        <v>929</v>
      </c>
      <c r="D144" s="1526" t="s">
        <v>1845</v>
      </c>
      <c r="E144" s="1511"/>
      <c r="F144" s="1511"/>
      <c r="G144" s="1511"/>
      <c r="H144" s="1511"/>
      <c r="I144" s="1693"/>
      <c r="J144" s="1693"/>
      <c r="K144" s="1511"/>
      <c r="L144" s="1511"/>
      <c r="M144" s="1511"/>
      <c r="N144" s="1511"/>
      <c r="O144" s="1511"/>
      <c r="P144" s="1678">
        <v>0</v>
      </c>
      <c r="Q144" s="1678">
        <v>0</v>
      </c>
      <c r="R144" s="1678">
        <v>0</v>
      </c>
      <c r="S144" s="1678">
        <v>0</v>
      </c>
      <c r="T144" s="1678">
        <f t="shared" si="23"/>
        <v>0</v>
      </c>
      <c r="U144" s="1678">
        <v>0</v>
      </c>
      <c r="V144" s="1678">
        <v>0</v>
      </c>
      <c r="W144" s="1678">
        <v>0</v>
      </c>
      <c r="X144" s="1678">
        <v>0</v>
      </c>
      <c r="Y144" s="1678">
        <v>0</v>
      </c>
      <c r="Z144" s="1678">
        <v>0</v>
      </c>
      <c r="AA144" s="1678">
        <v>0</v>
      </c>
      <c r="AB144" s="1678">
        <v>0</v>
      </c>
      <c r="AC144" s="1511"/>
      <c r="AD144" s="1511"/>
      <c r="AE144" s="1511"/>
      <c r="AF144" s="1511"/>
      <c r="AG144" s="1511"/>
      <c r="AH144" s="1511"/>
      <c r="AI144" s="1511"/>
      <c r="AJ144" s="1511"/>
      <c r="AK144" s="1680"/>
      <c r="AL144" s="1680"/>
      <c r="AM144" s="1680"/>
      <c r="AN144" s="1680"/>
      <c r="AO144" s="1680"/>
      <c r="AP144" s="1680"/>
      <c r="AQ144" s="1680"/>
      <c r="AR144" s="1680"/>
      <c r="AS144" s="1680">
        <f t="shared" si="24"/>
        <v>0</v>
      </c>
      <c r="AT144" s="1680"/>
      <c r="AU144" s="1680"/>
      <c r="AV144" s="1694"/>
      <c r="AW144" s="1694"/>
      <c r="AX144" s="1694"/>
      <c r="AY144" s="1694"/>
      <c r="AZ144" s="1694"/>
      <c r="BA144" s="1694"/>
      <c r="BB144" s="1679"/>
      <c r="BC144" s="1688" t="s">
        <v>1863</v>
      </c>
      <c r="BD144" s="1688" t="s">
        <v>935</v>
      </c>
      <c r="BF144" s="1317"/>
    </row>
    <row r="145" spans="1:58" ht="29" outlineLevel="1">
      <c r="A145" s="1491">
        <v>3.1</v>
      </c>
      <c r="B145" s="1530" t="s">
        <v>1871</v>
      </c>
      <c r="C145" s="1578" t="s">
        <v>936</v>
      </c>
      <c r="D145" s="1526" t="s">
        <v>1845</v>
      </c>
      <c r="E145" s="1579"/>
      <c r="F145" s="1334"/>
      <c r="G145" s="1408">
        <v>6</v>
      </c>
      <c r="H145" s="1511"/>
      <c r="I145" s="1379"/>
      <c r="J145" s="1379"/>
      <c r="K145" s="1402"/>
      <c r="L145" s="1337"/>
      <c r="M145" s="1337"/>
      <c r="N145" s="1339"/>
      <c r="O145" s="1393" t="s">
        <v>1872</v>
      </c>
      <c r="P145" s="1678">
        <v>0</v>
      </c>
      <c r="Q145" s="1678">
        <v>0</v>
      </c>
      <c r="R145" s="1678">
        <v>0</v>
      </c>
      <c r="S145" s="1678">
        <v>0</v>
      </c>
      <c r="T145" s="1678">
        <f t="shared" si="23"/>
        <v>0</v>
      </c>
      <c r="U145" s="1678">
        <v>0</v>
      </c>
      <c r="V145" s="1678">
        <v>0</v>
      </c>
      <c r="W145" s="1678">
        <v>0</v>
      </c>
      <c r="X145" s="1678">
        <v>0</v>
      </c>
      <c r="Y145" s="1678">
        <v>0</v>
      </c>
      <c r="Z145" s="1678">
        <v>0</v>
      </c>
      <c r="AA145" s="1678">
        <v>0</v>
      </c>
      <c r="AB145" s="1573">
        <v>6</v>
      </c>
      <c r="AC145" s="1511"/>
      <c r="AD145" s="1511"/>
      <c r="AE145" s="1511"/>
      <c r="AF145" s="1511"/>
      <c r="AG145" s="1511"/>
      <c r="AH145" s="1511"/>
      <c r="AI145" s="1511"/>
      <c r="AJ145" s="1511"/>
      <c r="AK145" s="1511"/>
      <c r="AL145" s="1511"/>
      <c r="AM145" s="1511"/>
      <c r="AN145" s="1580">
        <v>1</v>
      </c>
      <c r="AO145" s="1680"/>
      <c r="AP145" s="1680"/>
      <c r="AQ145" s="1680"/>
      <c r="AR145" s="1680"/>
      <c r="AS145" s="1680">
        <f t="shared" si="24"/>
        <v>0</v>
      </c>
      <c r="AT145" s="1680"/>
      <c r="AU145" s="1680"/>
      <c r="AV145" s="1688"/>
      <c r="AW145" s="1688"/>
      <c r="AX145" s="1688"/>
      <c r="AY145" s="1688"/>
      <c r="AZ145" s="1688"/>
      <c r="BA145" s="1593">
        <v>6</v>
      </c>
      <c r="BB145" s="1593"/>
      <c r="BC145" s="1369" t="s">
        <v>1863</v>
      </c>
      <c r="BD145" s="1595" t="s">
        <v>935</v>
      </c>
    </row>
    <row r="146" spans="1:58" ht="29" outlineLevel="1">
      <c r="A146" s="1491">
        <v>3.2</v>
      </c>
      <c r="B146" s="1530" t="s">
        <v>1873</v>
      </c>
      <c r="C146" s="1578" t="s">
        <v>936</v>
      </c>
      <c r="D146" s="1526" t="s">
        <v>1845</v>
      </c>
      <c r="E146" s="1579"/>
      <c r="F146" s="1334"/>
      <c r="G146" s="1408">
        <v>10</v>
      </c>
      <c r="H146" s="1511"/>
      <c r="I146" s="1693"/>
      <c r="J146" s="1693"/>
      <c r="K146" s="1402"/>
      <c r="L146" s="1337"/>
      <c r="M146" s="1337"/>
      <c r="N146" s="1339"/>
      <c r="O146" s="1393" t="s">
        <v>1874</v>
      </c>
      <c r="P146" s="1678">
        <v>0</v>
      </c>
      <c r="Q146" s="1678">
        <v>0</v>
      </c>
      <c r="R146" s="1678">
        <v>0</v>
      </c>
      <c r="S146" s="1678">
        <v>0</v>
      </c>
      <c r="T146" s="1678">
        <f t="shared" si="23"/>
        <v>0</v>
      </c>
      <c r="U146" s="1678">
        <v>0</v>
      </c>
      <c r="V146" s="1678">
        <v>0</v>
      </c>
      <c r="W146" s="1678">
        <v>0</v>
      </c>
      <c r="X146" s="1678">
        <v>0</v>
      </c>
      <c r="Y146" s="1678">
        <v>0</v>
      </c>
      <c r="Z146" s="1573">
        <v>10</v>
      </c>
      <c r="AA146" s="1678">
        <v>0</v>
      </c>
      <c r="AB146" s="1678">
        <v>0</v>
      </c>
      <c r="AC146" s="1511"/>
      <c r="AD146" s="1511"/>
      <c r="AE146" s="1511"/>
      <c r="AF146" s="1511"/>
      <c r="AG146" s="1511"/>
      <c r="AH146" s="1511"/>
      <c r="AI146" s="1511"/>
      <c r="AJ146" s="1511"/>
      <c r="AK146" s="1511"/>
      <c r="AL146" s="1580">
        <v>1</v>
      </c>
      <c r="AM146" s="1511"/>
      <c r="AN146" s="1511"/>
      <c r="AO146" s="1680"/>
      <c r="AP146" s="1680"/>
      <c r="AQ146" s="1680"/>
      <c r="AR146" s="1680"/>
      <c r="AS146" s="1680">
        <f t="shared" si="24"/>
        <v>0</v>
      </c>
      <c r="AT146" s="1680"/>
      <c r="AU146" s="1680"/>
      <c r="AV146" s="1688"/>
      <c r="AW146" s="1688"/>
      <c r="AX146" s="1688"/>
      <c r="AY146" s="1593">
        <v>10</v>
      </c>
      <c r="AZ146" s="1688"/>
      <c r="BA146" s="1688"/>
      <c r="BB146" s="1593"/>
      <c r="BC146" s="1369" t="s">
        <v>1863</v>
      </c>
      <c r="BD146" s="1595" t="s">
        <v>935</v>
      </c>
    </row>
    <row r="147" spans="1:58" ht="60" customHeight="1">
      <c r="A147" s="1533">
        <v>4</v>
      </c>
      <c r="B147" s="1534" t="s">
        <v>1875</v>
      </c>
      <c r="C147" s="1534" t="s">
        <v>929</v>
      </c>
      <c r="D147" s="1526" t="s">
        <v>1845</v>
      </c>
      <c r="E147" s="1676"/>
      <c r="F147" s="1676"/>
      <c r="G147" s="577"/>
      <c r="H147" s="577"/>
      <c r="I147" s="1315"/>
      <c r="J147" s="1315"/>
      <c r="K147" s="577"/>
      <c r="L147" s="577"/>
      <c r="M147" s="577"/>
      <c r="N147" s="577"/>
      <c r="O147" s="577"/>
      <c r="P147" s="1678">
        <v>0</v>
      </c>
      <c r="Q147" s="1678">
        <v>0</v>
      </c>
      <c r="R147" s="1678">
        <v>0</v>
      </c>
      <c r="S147" s="1678">
        <v>0</v>
      </c>
      <c r="T147" s="1678">
        <f t="shared" si="23"/>
        <v>0</v>
      </c>
      <c r="U147" s="1678">
        <v>0</v>
      </c>
      <c r="V147" s="1678">
        <v>0</v>
      </c>
      <c r="W147" s="1678">
        <v>0</v>
      </c>
      <c r="X147" s="1678">
        <v>0</v>
      </c>
      <c r="Y147" s="1678">
        <v>0</v>
      </c>
      <c r="Z147" s="1678">
        <v>0</v>
      </c>
      <c r="AA147" s="1678">
        <v>0</v>
      </c>
      <c r="AB147" s="1678">
        <v>0</v>
      </c>
      <c r="AC147" s="1511"/>
      <c r="AD147" s="1511"/>
      <c r="AE147" s="1511"/>
      <c r="AF147" s="1511"/>
      <c r="AG147" s="1511"/>
      <c r="AH147" s="1511"/>
      <c r="AI147" s="1511"/>
      <c r="AJ147" s="1511"/>
      <c r="AK147" s="1511"/>
      <c r="AL147" s="1511"/>
      <c r="AM147" s="1511"/>
      <c r="AN147" s="1511"/>
      <c r="AO147" s="1680"/>
      <c r="AP147" s="1680"/>
      <c r="AQ147" s="1680"/>
      <c r="AR147" s="1680"/>
      <c r="AS147" s="1680">
        <f t="shared" si="24"/>
        <v>0</v>
      </c>
      <c r="AT147" s="1680"/>
      <c r="AU147" s="1680"/>
      <c r="AV147" s="1688"/>
      <c r="AW147" s="1688"/>
      <c r="AX147" s="1688"/>
      <c r="AY147" s="1688"/>
      <c r="AZ147" s="1688"/>
      <c r="BA147" s="1688"/>
      <c r="BB147" s="1679"/>
      <c r="BC147" s="1688" t="s">
        <v>1863</v>
      </c>
      <c r="BD147" s="1688" t="s">
        <v>935</v>
      </c>
      <c r="BF147" s="1317"/>
    </row>
    <row r="148" spans="1:58" ht="101.5" outlineLevel="1">
      <c r="A148" s="1491">
        <v>4.0999999999999996</v>
      </c>
      <c r="B148" s="1530" t="s">
        <v>1876</v>
      </c>
      <c r="C148" s="1511" t="s">
        <v>936</v>
      </c>
      <c r="D148" s="1526" t="s">
        <v>1845</v>
      </c>
      <c r="E148" s="1579"/>
      <c r="F148" s="1334"/>
      <c r="G148" s="1408">
        <v>25</v>
      </c>
      <c r="H148" s="577"/>
      <c r="I148" s="1315"/>
      <c r="J148" s="1315"/>
      <c r="K148" s="577"/>
      <c r="L148" s="577"/>
      <c r="M148" s="577"/>
      <c r="N148" s="577"/>
      <c r="O148" s="1393" t="s">
        <v>1877</v>
      </c>
      <c r="P148" s="1678">
        <v>0</v>
      </c>
      <c r="Q148" s="1678">
        <v>0</v>
      </c>
      <c r="R148" s="1678">
        <v>0</v>
      </c>
      <c r="S148" s="1678">
        <v>0</v>
      </c>
      <c r="T148" s="1678">
        <f t="shared" si="23"/>
        <v>0</v>
      </c>
      <c r="U148" s="1678">
        <v>0</v>
      </c>
      <c r="V148" s="1678">
        <v>0</v>
      </c>
      <c r="W148" s="1678">
        <v>0</v>
      </c>
      <c r="X148" s="1573">
        <v>25</v>
      </c>
      <c r="Y148" s="1678">
        <v>0</v>
      </c>
      <c r="Z148" s="1678">
        <v>0</v>
      </c>
      <c r="AA148" s="1678">
        <v>0</v>
      </c>
      <c r="AB148" s="1678">
        <v>0</v>
      </c>
      <c r="AC148" s="1511"/>
      <c r="AD148" s="1511"/>
      <c r="AE148" s="1511"/>
      <c r="AF148" s="1511"/>
      <c r="AG148" s="1511"/>
      <c r="AH148" s="1511"/>
      <c r="AI148" s="1511"/>
      <c r="AJ148" s="1580">
        <v>1</v>
      </c>
      <c r="AK148" s="1511"/>
      <c r="AL148" s="1511"/>
      <c r="AM148" s="1511"/>
      <c r="AN148" s="1511"/>
      <c r="AO148" s="1511"/>
      <c r="AP148" s="1511"/>
      <c r="AQ148" s="1511"/>
      <c r="AR148" s="1511"/>
      <c r="AS148" s="1511">
        <f t="shared" si="24"/>
        <v>0</v>
      </c>
      <c r="AT148" s="1511"/>
      <c r="AU148" s="1511"/>
      <c r="AV148" s="1688"/>
      <c r="AW148" s="1593">
        <v>25</v>
      </c>
      <c r="AX148" s="1688"/>
      <c r="AY148" s="1688"/>
      <c r="AZ148" s="1688"/>
      <c r="BA148" s="1688"/>
      <c r="BB148" s="1593"/>
      <c r="BC148" s="1369" t="s">
        <v>1863</v>
      </c>
      <c r="BD148" s="1595" t="s">
        <v>935</v>
      </c>
    </row>
    <row r="149" spans="1:58" ht="60" customHeight="1">
      <c r="A149" s="1533">
        <v>5</v>
      </c>
      <c r="B149" s="1534" t="s">
        <v>1878</v>
      </c>
      <c r="C149" s="1534" t="s">
        <v>929</v>
      </c>
      <c r="D149" s="1526" t="s">
        <v>1845</v>
      </c>
      <c r="E149" s="1676"/>
      <c r="F149" s="1676"/>
      <c r="G149" s="577"/>
      <c r="H149" s="577"/>
      <c r="I149" s="1315"/>
      <c r="J149" s="1315"/>
      <c r="K149" s="577"/>
      <c r="L149" s="577"/>
      <c r="M149" s="577"/>
      <c r="N149" s="577"/>
      <c r="O149" s="577"/>
      <c r="P149" s="1678">
        <v>0</v>
      </c>
      <c r="Q149" s="1678">
        <v>0</v>
      </c>
      <c r="R149" s="1678">
        <v>0</v>
      </c>
      <c r="S149" s="1678">
        <v>0</v>
      </c>
      <c r="T149" s="1678">
        <f t="shared" si="23"/>
        <v>0</v>
      </c>
      <c r="U149" s="1678">
        <v>0</v>
      </c>
      <c r="V149" s="1678">
        <v>0</v>
      </c>
      <c r="W149" s="1678">
        <v>0</v>
      </c>
      <c r="X149" s="1511"/>
      <c r="Y149" s="1678">
        <v>0</v>
      </c>
      <c r="Z149" s="1678">
        <v>0</v>
      </c>
      <c r="AA149" s="1678">
        <v>0</v>
      </c>
      <c r="AB149" s="1678">
        <v>0</v>
      </c>
      <c r="AC149" s="1511"/>
      <c r="AD149" s="1511"/>
      <c r="AE149" s="1511"/>
      <c r="AF149" s="1511"/>
      <c r="AG149" s="1511"/>
      <c r="AH149" s="1511"/>
      <c r="AI149" s="1511"/>
      <c r="AJ149" s="1681"/>
      <c r="AK149" s="1511"/>
      <c r="AL149" s="1511"/>
      <c r="AM149" s="1511"/>
      <c r="AN149" s="1511"/>
      <c r="AO149" s="1511"/>
      <c r="AP149" s="1511"/>
      <c r="AQ149" s="1511"/>
      <c r="AR149" s="1511"/>
      <c r="AS149" s="1511">
        <f t="shared" si="24"/>
        <v>0</v>
      </c>
      <c r="AT149" s="1511"/>
      <c r="AU149" s="1511"/>
      <c r="AV149" s="1688"/>
      <c r="AW149" s="1688"/>
      <c r="AX149" s="1688"/>
      <c r="AY149" s="1688"/>
      <c r="AZ149" s="1688"/>
      <c r="BA149" s="1688"/>
      <c r="BB149" s="1679"/>
      <c r="BC149" s="1688" t="s">
        <v>1863</v>
      </c>
      <c r="BD149" s="1688" t="s">
        <v>935</v>
      </c>
      <c r="BF149" s="1317"/>
    </row>
    <row r="150" spans="1:58" ht="58" outlineLevel="1">
      <c r="A150" s="1491">
        <v>5.0999999999999996</v>
      </c>
      <c r="B150" s="1530" t="s">
        <v>1879</v>
      </c>
      <c r="C150" s="1511" t="s">
        <v>936</v>
      </c>
      <c r="D150" s="1526" t="s">
        <v>1845</v>
      </c>
      <c r="E150" s="1579"/>
      <c r="F150" s="1334"/>
      <c r="G150" s="1408">
        <v>25</v>
      </c>
      <c r="H150" s="577"/>
      <c r="I150" s="1315"/>
      <c r="J150" s="1315"/>
      <c r="K150" s="1402"/>
      <c r="L150" s="1337"/>
      <c r="M150" s="1337"/>
      <c r="N150" s="1339"/>
      <c r="O150" s="1393" t="s">
        <v>1880</v>
      </c>
      <c r="P150" s="1678">
        <v>0</v>
      </c>
      <c r="Q150" s="1678">
        <v>0</v>
      </c>
      <c r="R150" s="1678">
        <v>0</v>
      </c>
      <c r="S150" s="1678">
        <v>0</v>
      </c>
      <c r="T150" s="1678">
        <f t="shared" si="23"/>
        <v>0</v>
      </c>
      <c r="U150" s="1678">
        <v>0</v>
      </c>
      <c r="V150" s="1678">
        <v>0</v>
      </c>
      <c r="W150" s="1678">
        <v>0</v>
      </c>
      <c r="X150" s="1573">
        <v>25</v>
      </c>
      <c r="Y150" s="1678">
        <v>0</v>
      </c>
      <c r="Z150" s="1678">
        <v>0</v>
      </c>
      <c r="AA150" s="1678">
        <v>0</v>
      </c>
      <c r="AB150" s="1678">
        <v>0</v>
      </c>
      <c r="AC150" s="1511"/>
      <c r="AD150" s="1511"/>
      <c r="AE150" s="1511"/>
      <c r="AF150" s="1511"/>
      <c r="AG150" s="1511"/>
      <c r="AH150" s="1511"/>
      <c r="AI150" s="1511"/>
      <c r="AJ150" s="1580">
        <v>1</v>
      </c>
      <c r="AK150" s="1511"/>
      <c r="AL150" s="1511"/>
      <c r="AM150" s="1511"/>
      <c r="AN150" s="1511"/>
      <c r="AO150" s="1511"/>
      <c r="AP150" s="1511"/>
      <c r="AQ150" s="1511"/>
      <c r="AR150" s="1511"/>
      <c r="AS150" s="1511">
        <f t="shared" si="24"/>
        <v>0</v>
      </c>
      <c r="AT150" s="1511"/>
      <c r="AU150" s="1511"/>
      <c r="AV150" s="1688"/>
      <c r="AW150" s="1593">
        <v>25</v>
      </c>
      <c r="AX150" s="1688"/>
      <c r="AY150" s="1688"/>
      <c r="AZ150" s="1688"/>
      <c r="BA150" s="1688"/>
      <c r="BB150" s="1593"/>
      <c r="BC150" s="1369" t="s">
        <v>1863</v>
      </c>
      <c r="BD150" s="1595" t="s">
        <v>935</v>
      </c>
    </row>
    <row r="151" spans="1:58" ht="60" customHeight="1">
      <c r="A151" s="1533">
        <v>6</v>
      </c>
      <c r="B151" s="1534" t="s">
        <v>1881</v>
      </c>
      <c r="C151" s="1534" t="s">
        <v>929</v>
      </c>
      <c r="D151" s="1526" t="s">
        <v>1845</v>
      </c>
      <c r="E151" s="1676"/>
      <c r="F151" s="1676"/>
      <c r="G151" s="577"/>
      <c r="H151" s="577"/>
      <c r="I151" s="1315"/>
      <c r="J151" s="1315"/>
      <c r="K151" s="1402"/>
      <c r="L151" s="1402"/>
      <c r="M151" s="1402"/>
      <c r="N151" s="1402"/>
      <c r="O151" s="1339"/>
      <c r="P151" s="1678">
        <v>0</v>
      </c>
      <c r="Q151" s="1678">
        <v>0</v>
      </c>
      <c r="R151" s="1678">
        <v>0</v>
      </c>
      <c r="S151" s="1678">
        <v>0</v>
      </c>
      <c r="T151" s="1678">
        <f t="shared" si="23"/>
        <v>0</v>
      </c>
      <c r="U151" s="1678">
        <v>0</v>
      </c>
      <c r="V151" s="1678">
        <v>0</v>
      </c>
      <c r="W151" s="1678">
        <v>0</v>
      </c>
      <c r="X151" s="1511"/>
      <c r="Y151" s="1678">
        <v>0</v>
      </c>
      <c r="Z151" s="1678">
        <v>0</v>
      </c>
      <c r="AA151" s="1678">
        <v>0</v>
      </c>
      <c r="AB151" s="1678">
        <v>0</v>
      </c>
      <c r="AC151" s="1511"/>
      <c r="AD151" s="1511"/>
      <c r="AE151" s="1511"/>
      <c r="AF151" s="1511"/>
      <c r="AG151" s="1511"/>
      <c r="AH151" s="1511"/>
      <c r="AI151" s="1511"/>
      <c r="AJ151" s="1511"/>
      <c r="AK151" s="1511"/>
      <c r="AL151" s="1511"/>
      <c r="AM151" s="1511"/>
      <c r="AN151" s="1511"/>
      <c r="AO151" s="1511"/>
      <c r="AP151" s="1511"/>
      <c r="AQ151" s="1511"/>
      <c r="AR151" s="1511"/>
      <c r="AS151" s="1511">
        <f t="shared" si="24"/>
        <v>0</v>
      </c>
      <c r="AT151" s="1511"/>
      <c r="AU151" s="1511"/>
      <c r="AV151" s="1688"/>
      <c r="AW151" s="1688"/>
      <c r="AX151" s="1688"/>
      <c r="AY151" s="1688"/>
      <c r="AZ151" s="1688"/>
      <c r="BA151" s="1688"/>
      <c r="BB151" s="1679"/>
      <c r="BC151" s="1688" t="s">
        <v>1863</v>
      </c>
      <c r="BD151" s="1688" t="s">
        <v>935</v>
      </c>
      <c r="BF151" s="1317"/>
    </row>
    <row r="152" spans="1:58" ht="29" outlineLevel="1">
      <c r="A152" s="1491">
        <v>6.1</v>
      </c>
      <c r="B152" s="1530" t="s">
        <v>1881</v>
      </c>
      <c r="C152" s="1578" t="s">
        <v>936</v>
      </c>
      <c r="D152" s="1526" t="s">
        <v>1845</v>
      </c>
      <c r="E152" s="1579"/>
      <c r="F152" s="1334"/>
      <c r="G152" s="1408">
        <v>35</v>
      </c>
      <c r="H152" s="577"/>
      <c r="I152" s="1315"/>
      <c r="J152" s="1315"/>
      <c r="K152" s="577"/>
      <c r="L152" s="577"/>
      <c r="M152" s="577"/>
      <c r="N152" s="577"/>
      <c r="O152" s="1336" t="s">
        <v>1882</v>
      </c>
      <c r="P152" s="1678">
        <v>0</v>
      </c>
      <c r="Q152" s="1678">
        <v>0</v>
      </c>
      <c r="R152" s="1678">
        <v>0</v>
      </c>
      <c r="S152" s="1678">
        <v>0</v>
      </c>
      <c r="T152" s="1678">
        <f t="shared" si="23"/>
        <v>0</v>
      </c>
      <c r="U152" s="1678">
        <v>0</v>
      </c>
      <c r="V152" s="1678">
        <v>0</v>
      </c>
      <c r="W152" s="1678">
        <v>0</v>
      </c>
      <c r="X152" s="1573">
        <v>35</v>
      </c>
      <c r="Y152" s="1678">
        <v>0</v>
      </c>
      <c r="Z152" s="1678">
        <v>0</v>
      </c>
      <c r="AA152" s="1678">
        <v>0</v>
      </c>
      <c r="AB152" s="1678">
        <v>0</v>
      </c>
      <c r="AC152" s="1511"/>
      <c r="AD152" s="1511"/>
      <c r="AE152" s="1511"/>
      <c r="AF152" s="1511"/>
      <c r="AG152" s="1511"/>
      <c r="AH152" s="1511"/>
      <c r="AI152" s="1511"/>
      <c r="AJ152" s="1580">
        <v>1</v>
      </c>
      <c r="AK152" s="1511"/>
      <c r="AL152" s="1511"/>
      <c r="AM152" s="1511"/>
      <c r="AN152" s="1511"/>
      <c r="AO152" s="1511"/>
      <c r="AP152" s="1511"/>
      <c r="AQ152" s="1511"/>
      <c r="AR152" s="1511"/>
      <c r="AS152" s="1511">
        <f t="shared" si="24"/>
        <v>0</v>
      </c>
      <c r="AT152" s="1511"/>
      <c r="AU152" s="1511"/>
      <c r="AV152" s="1688"/>
      <c r="AW152" s="1593">
        <v>35</v>
      </c>
      <c r="AX152" s="1688"/>
      <c r="AY152" s="1688"/>
      <c r="AZ152" s="1688"/>
      <c r="BA152" s="1688"/>
      <c r="BB152" s="1593"/>
      <c r="BC152" s="1369" t="s">
        <v>1863</v>
      </c>
      <c r="BD152" s="1595" t="s">
        <v>935</v>
      </c>
    </row>
    <row r="153" spans="1:58" ht="60" customHeight="1">
      <c r="A153" s="1533">
        <v>7</v>
      </c>
      <c r="B153" s="1534" t="s">
        <v>1883</v>
      </c>
      <c r="C153" s="1534" t="s">
        <v>929</v>
      </c>
      <c r="D153" s="1526" t="s">
        <v>1845</v>
      </c>
      <c r="E153" s="1676"/>
      <c r="F153" s="1676"/>
      <c r="G153" s="577"/>
      <c r="H153" s="577"/>
      <c r="I153" s="1315"/>
      <c r="J153" s="1315"/>
      <c r="K153" s="577"/>
      <c r="L153" s="577"/>
      <c r="M153" s="577"/>
      <c r="N153" s="577"/>
      <c r="O153" s="1339"/>
      <c r="P153" s="1678">
        <v>0</v>
      </c>
      <c r="Q153" s="1678">
        <v>0</v>
      </c>
      <c r="R153" s="1678">
        <v>0</v>
      </c>
      <c r="S153" s="1678">
        <v>0</v>
      </c>
      <c r="T153" s="1678">
        <f t="shared" si="23"/>
        <v>0</v>
      </c>
      <c r="U153" s="1678">
        <v>0</v>
      </c>
      <c r="V153" s="1678">
        <v>0</v>
      </c>
      <c r="W153" s="1678">
        <v>0</v>
      </c>
      <c r="X153" s="1511"/>
      <c r="Y153" s="1678">
        <v>0</v>
      </c>
      <c r="Z153" s="1678">
        <v>0</v>
      </c>
      <c r="AA153" s="1678">
        <v>0</v>
      </c>
      <c r="AB153" s="1678">
        <v>0</v>
      </c>
      <c r="AC153" s="1511"/>
      <c r="AD153" s="1511"/>
      <c r="AE153" s="1511"/>
      <c r="AF153" s="1511"/>
      <c r="AG153" s="1511"/>
      <c r="AH153" s="1511"/>
      <c r="AI153" s="1511"/>
      <c r="AJ153" s="1511"/>
      <c r="AK153" s="1511"/>
      <c r="AL153" s="1511"/>
      <c r="AM153" s="1511"/>
      <c r="AN153" s="1511"/>
      <c r="AO153" s="1511"/>
      <c r="AP153" s="1511"/>
      <c r="AQ153" s="1511"/>
      <c r="AR153" s="1511"/>
      <c r="AS153" s="1511">
        <f t="shared" si="24"/>
        <v>0</v>
      </c>
      <c r="AT153" s="1511"/>
      <c r="AU153" s="1511"/>
      <c r="AV153" s="1688"/>
      <c r="AW153" s="1688"/>
      <c r="AX153" s="1688"/>
      <c r="AY153" s="1688"/>
      <c r="AZ153" s="1688"/>
      <c r="BA153" s="1688"/>
      <c r="BB153" s="1679"/>
      <c r="BC153" s="1688" t="s">
        <v>1863</v>
      </c>
      <c r="BD153" s="1688" t="s">
        <v>935</v>
      </c>
      <c r="BF153" s="1317"/>
    </row>
    <row r="154" spans="1:58" ht="29" outlineLevel="1">
      <c r="A154" s="1491">
        <v>7.1</v>
      </c>
      <c r="B154" s="1530" t="s">
        <v>1884</v>
      </c>
      <c r="C154" s="1511" t="s">
        <v>936</v>
      </c>
      <c r="D154" s="1526" t="s">
        <v>1845</v>
      </c>
      <c r="E154" s="1579"/>
      <c r="F154" s="1334"/>
      <c r="G154" s="1408">
        <v>30</v>
      </c>
      <c r="H154" s="577"/>
      <c r="I154" s="1315"/>
      <c r="J154" s="1315"/>
      <c r="K154" s="577"/>
      <c r="L154" s="577"/>
      <c r="M154" s="577"/>
      <c r="N154" s="577"/>
      <c r="O154" s="1393" t="s">
        <v>1885</v>
      </c>
      <c r="P154" s="1678">
        <v>0</v>
      </c>
      <c r="Q154" s="1678">
        <v>0</v>
      </c>
      <c r="R154" s="1678">
        <v>0</v>
      </c>
      <c r="S154" s="1678">
        <v>0</v>
      </c>
      <c r="T154" s="1678">
        <f t="shared" si="23"/>
        <v>0</v>
      </c>
      <c r="U154" s="1678">
        <v>0</v>
      </c>
      <c r="V154" s="1678">
        <v>0</v>
      </c>
      <c r="W154" s="1678">
        <v>0</v>
      </c>
      <c r="X154" s="1408">
        <v>30</v>
      </c>
      <c r="Y154" s="1678">
        <v>0</v>
      </c>
      <c r="Z154" s="1678">
        <v>0</v>
      </c>
      <c r="AA154" s="1678">
        <v>0</v>
      </c>
      <c r="AB154" s="1678">
        <v>0</v>
      </c>
      <c r="AC154" s="1511"/>
      <c r="AD154" s="1511"/>
      <c r="AE154" s="1511"/>
      <c r="AF154" s="1511"/>
      <c r="AG154" s="1511"/>
      <c r="AH154" s="1511"/>
      <c r="AI154" s="1511"/>
      <c r="AJ154" s="1580">
        <v>1</v>
      </c>
      <c r="AK154" s="1511"/>
      <c r="AL154" s="1511"/>
      <c r="AM154" s="1511"/>
      <c r="AN154" s="1511"/>
      <c r="AO154" s="1511"/>
      <c r="AP154" s="1511"/>
      <c r="AQ154" s="1511"/>
      <c r="AR154" s="1511"/>
      <c r="AS154" s="1511">
        <f t="shared" si="24"/>
        <v>0</v>
      </c>
      <c r="AT154" s="1511"/>
      <c r="AU154" s="1511"/>
      <c r="AV154" s="1688"/>
      <c r="AW154" s="1409">
        <v>30</v>
      </c>
      <c r="AX154" s="1688"/>
      <c r="AY154" s="1688"/>
      <c r="AZ154" s="1688"/>
      <c r="BA154" s="1688"/>
      <c r="BB154" s="1593"/>
      <c r="BC154" s="1369" t="s">
        <v>1863</v>
      </c>
      <c r="BD154" s="1595" t="s">
        <v>935</v>
      </c>
    </row>
    <row r="155" spans="1:58" ht="29" outlineLevel="1">
      <c r="A155" s="1491">
        <v>7.2</v>
      </c>
      <c r="B155" s="1530" t="s">
        <v>1886</v>
      </c>
      <c r="C155" s="1511" t="s">
        <v>936</v>
      </c>
      <c r="D155" s="1526" t="s">
        <v>1845</v>
      </c>
      <c r="E155" s="1579"/>
      <c r="F155" s="1334"/>
      <c r="G155" s="1408">
        <v>10</v>
      </c>
      <c r="H155" s="577"/>
      <c r="I155" s="1315"/>
      <c r="J155" s="1315"/>
      <c r="K155" s="577"/>
      <c r="L155" s="577"/>
      <c r="M155" s="577"/>
      <c r="N155" s="577"/>
      <c r="O155" s="1336" t="s">
        <v>1887</v>
      </c>
      <c r="P155" s="1678">
        <v>0</v>
      </c>
      <c r="Q155" s="1678">
        <v>0</v>
      </c>
      <c r="R155" s="1678">
        <v>0</v>
      </c>
      <c r="S155" s="1678">
        <v>0</v>
      </c>
      <c r="T155" s="1678">
        <f t="shared" si="23"/>
        <v>0</v>
      </c>
      <c r="U155" s="1678">
        <v>0</v>
      </c>
      <c r="V155" s="1678">
        <v>0</v>
      </c>
      <c r="W155" s="1678">
        <v>0</v>
      </c>
      <c r="X155" s="1408">
        <v>10</v>
      </c>
      <c r="Y155" s="1678">
        <v>0</v>
      </c>
      <c r="Z155" s="1678">
        <v>0</v>
      </c>
      <c r="AA155" s="1678">
        <v>0</v>
      </c>
      <c r="AB155" s="1678">
        <v>0</v>
      </c>
      <c r="AC155" s="1511"/>
      <c r="AD155" s="1511"/>
      <c r="AE155" s="1511"/>
      <c r="AF155" s="1511"/>
      <c r="AG155" s="1511"/>
      <c r="AH155" s="1511"/>
      <c r="AI155" s="1511"/>
      <c r="AJ155" s="1580">
        <v>1</v>
      </c>
      <c r="AK155" s="1511"/>
      <c r="AL155" s="1511"/>
      <c r="AM155" s="1511"/>
      <c r="AN155" s="1511"/>
      <c r="AO155" s="1511"/>
      <c r="AP155" s="1511"/>
      <c r="AQ155" s="1511"/>
      <c r="AR155" s="1511"/>
      <c r="AS155" s="1511">
        <f t="shared" si="24"/>
        <v>0</v>
      </c>
      <c r="AT155" s="1511"/>
      <c r="AU155" s="1511"/>
      <c r="AV155" s="1688"/>
      <c r="AW155" s="1409">
        <v>10</v>
      </c>
      <c r="AX155" s="1688"/>
      <c r="AY155" s="1688"/>
      <c r="AZ155" s="1688"/>
      <c r="BA155" s="1688"/>
      <c r="BB155" s="1593"/>
      <c r="BC155" s="1369" t="s">
        <v>1863</v>
      </c>
      <c r="BD155" s="1595" t="s">
        <v>935</v>
      </c>
    </row>
    <row r="156" spans="1:58" ht="60" customHeight="1">
      <c r="A156" s="1533">
        <v>8</v>
      </c>
      <c r="B156" s="1534" t="s">
        <v>1888</v>
      </c>
      <c r="C156" s="1534" t="s">
        <v>929</v>
      </c>
      <c r="D156" s="1526" t="s">
        <v>1845</v>
      </c>
      <c r="E156" s="1676"/>
      <c r="F156" s="1676"/>
      <c r="G156" s="577"/>
      <c r="H156" s="577"/>
      <c r="I156" s="1315"/>
      <c r="J156" s="1315"/>
      <c r="K156" s="1402"/>
      <c r="L156" s="1402"/>
      <c r="M156" s="1402"/>
      <c r="N156" s="1402"/>
      <c r="O156" s="1402"/>
      <c r="P156" s="1678">
        <v>0</v>
      </c>
      <c r="Q156" s="1678">
        <v>0</v>
      </c>
      <c r="R156" s="1678">
        <v>0</v>
      </c>
      <c r="S156" s="1678">
        <v>0</v>
      </c>
      <c r="T156" s="1678">
        <f t="shared" si="23"/>
        <v>0</v>
      </c>
      <c r="U156" s="1678">
        <v>0</v>
      </c>
      <c r="V156" s="1678">
        <v>0</v>
      </c>
      <c r="W156" s="1678">
        <v>0</v>
      </c>
      <c r="X156" s="1678">
        <v>0</v>
      </c>
      <c r="Y156" s="1678">
        <v>0</v>
      </c>
      <c r="Z156" s="1678">
        <v>0</v>
      </c>
      <c r="AA156" s="1678">
        <v>0</v>
      </c>
      <c r="AB156" s="1678">
        <v>0</v>
      </c>
      <c r="AC156" s="1680"/>
      <c r="AD156" s="1680"/>
      <c r="AE156" s="1511"/>
      <c r="AF156" s="1511"/>
      <c r="AG156" s="1511"/>
      <c r="AH156" s="1511"/>
      <c r="AI156" s="1511"/>
      <c r="AJ156" s="1511"/>
      <c r="AK156" s="1511"/>
      <c r="AL156" s="1511"/>
      <c r="AM156" s="1511"/>
      <c r="AN156" s="1511"/>
      <c r="AO156" s="1511"/>
      <c r="AP156" s="1511"/>
      <c r="AQ156" s="1511"/>
      <c r="AR156" s="1511"/>
      <c r="AS156" s="1511">
        <f t="shared" si="24"/>
        <v>0</v>
      </c>
      <c r="AT156" s="1511"/>
      <c r="AU156" s="1511"/>
      <c r="AV156" s="1688"/>
      <c r="AW156" s="1688"/>
      <c r="AX156" s="1688"/>
      <c r="AY156" s="1688"/>
      <c r="AZ156" s="1688"/>
      <c r="BA156" s="1688"/>
      <c r="BB156" s="1679"/>
      <c r="BC156" s="1369" t="s">
        <v>1863</v>
      </c>
      <c r="BD156" s="1595" t="s">
        <v>935</v>
      </c>
      <c r="BF156" s="1317"/>
    </row>
    <row r="157" spans="1:58" ht="58" outlineLevel="1">
      <c r="A157" s="1491">
        <v>8.1</v>
      </c>
      <c r="B157" s="1530" t="s">
        <v>1888</v>
      </c>
      <c r="C157" s="1578" t="s">
        <v>936</v>
      </c>
      <c r="D157" s="1526" t="s">
        <v>1845</v>
      </c>
      <c r="E157" s="1579"/>
      <c r="F157" s="1334"/>
      <c r="G157" s="1408">
        <v>35</v>
      </c>
      <c r="H157" s="577"/>
      <c r="I157" s="1315"/>
      <c r="J157" s="1315"/>
      <c r="K157" s="1402"/>
      <c r="L157" s="1337"/>
      <c r="M157" s="1337"/>
      <c r="N157" s="1339"/>
      <c r="O157" s="1393" t="s">
        <v>1889</v>
      </c>
      <c r="P157" s="1678">
        <v>0</v>
      </c>
      <c r="Q157" s="1678">
        <v>0</v>
      </c>
      <c r="R157" s="1678">
        <v>0</v>
      </c>
      <c r="S157" s="1678">
        <v>0</v>
      </c>
      <c r="T157" s="1678">
        <f t="shared" si="23"/>
        <v>0</v>
      </c>
      <c r="U157" s="1678">
        <v>0</v>
      </c>
      <c r="V157" s="1678">
        <v>0</v>
      </c>
      <c r="W157" s="1678">
        <v>0</v>
      </c>
      <c r="X157" s="1678">
        <v>0</v>
      </c>
      <c r="Y157" s="1573">
        <v>35</v>
      </c>
      <c r="Z157" s="1678">
        <v>0</v>
      </c>
      <c r="AA157" s="1678">
        <v>0</v>
      </c>
      <c r="AB157" s="1678">
        <v>0</v>
      </c>
      <c r="AC157" s="1511"/>
      <c r="AD157" s="1511"/>
      <c r="AE157" s="1511"/>
      <c r="AF157" s="1511"/>
      <c r="AG157" s="1511"/>
      <c r="AH157" s="1511"/>
      <c r="AI157" s="1511"/>
      <c r="AJ157" s="1511"/>
      <c r="AK157" s="1580">
        <v>1</v>
      </c>
      <c r="AL157" s="1511"/>
      <c r="AM157" s="1511"/>
      <c r="AN157" s="1511"/>
      <c r="AO157" s="1511"/>
      <c r="AP157" s="1511"/>
      <c r="AQ157" s="1511"/>
      <c r="AR157" s="1511"/>
      <c r="AS157" s="1511">
        <f t="shared" si="24"/>
        <v>0</v>
      </c>
      <c r="AT157" s="1511"/>
      <c r="AU157" s="1511"/>
      <c r="AV157" s="1688"/>
      <c r="AW157" s="1688"/>
      <c r="AX157" s="1593">
        <v>35</v>
      </c>
      <c r="AY157" s="1688"/>
      <c r="AZ157" s="1688"/>
      <c r="BA157" s="1688"/>
      <c r="BB157" s="1593"/>
      <c r="BC157" s="1369" t="s">
        <v>1863</v>
      </c>
      <c r="BD157" s="1595" t="s">
        <v>935</v>
      </c>
    </row>
    <row r="158" spans="1:58" ht="60" customHeight="1">
      <c r="A158" s="1533">
        <v>9</v>
      </c>
      <c r="B158" s="1534" t="s">
        <v>1890</v>
      </c>
      <c r="C158" s="1534" t="s">
        <v>929</v>
      </c>
      <c r="D158" s="1526" t="s">
        <v>1845</v>
      </c>
      <c r="E158" s="1676"/>
      <c r="F158" s="1676"/>
      <c r="G158" s="577"/>
      <c r="H158" s="577"/>
      <c r="I158" s="1315"/>
      <c r="J158" s="1315"/>
      <c r="K158" s="1402"/>
      <c r="L158" s="1402"/>
      <c r="M158" s="1402"/>
      <c r="N158" s="1402"/>
      <c r="O158" s="1402"/>
      <c r="P158" s="1678">
        <v>0</v>
      </c>
      <c r="Q158" s="1678">
        <v>0</v>
      </c>
      <c r="R158" s="1678">
        <v>0</v>
      </c>
      <c r="S158" s="1678">
        <v>0</v>
      </c>
      <c r="T158" s="1678">
        <f t="shared" si="23"/>
        <v>0</v>
      </c>
      <c r="U158" s="1678">
        <v>0</v>
      </c>
      <c r="V158" s="1678">
        <v>0</v>
      </c>
      <c r="W158" s="1678">
        <v>0</v>
      </c>
      <c r="X158" s="1678">
        <v>0</v>
      </c>
      <c r="Y158" s="1678">
        <v>0</v>
      </c>
      <c r="Z158" s="1678">
        <v>0</v>
      </c>
      <c r="AA158" s="1678">
        <v>0</v>
      </c>
      <c r="AB158" s="1678">
        <v>0</v>
      </c>
      <c r="AC158" s="1511"/>
      <c r="AD158" s="1511"/>
      <c r="AE158" s="1511"/>
      <c r="AF158" s="1511"/>
      <c r="AG158" s="1511"/>
      <c r="AH158" s="1511"/>
      <c r="AI158" s="1511"/>
      <c r="AJ158" s="1511"/>
      <c r="AK158" s="1511"/>
      <c r="AL158" s="1511"/>
      <c r="AM158" s="1511"/>
      <c r="AN158" s="1511"/>
      <c r="AO158" s="1511"/>
      <c r="AP158" s="1511"/>
      <c r="AQ158" s="1511"/>
      <c r="AR158" s="1511"/>
      <c r="AS158" s="1511">
        <f t="shared" si="24"/>
        <v>0</v>
      </c>
      <c r="AT158" s="1511"/>
      <c r="AU158" s="1511"/>
      <c r="AV158" s="1688"/>
      <c r="AW158" s="1688"/>
      <c r="AX158" s="1688"/>
      <c r="AY158" s="1688"/>
      <c r="AZ158" s="1688"/>
      <c r="BA158" s="1688"/>
      <c r="BB158" s="1679"/>
      <c r="BC158" s="1688" t="s">
        <v>1863</v>
      </c>
      <c r="BD158" s="1688" t="s">
        <v>935</v>
      </c>
      <c r="BF158" s="1317"/>
    </row>
    <row r="159" spans="1:58" ht="29" outlineLevel="1">
      <c r="A159" s="1491">
        <v>9.1</v>
      </c>
      <c r="B159" s="1530" t="s">
        <v>1891</v>
      </c>
      <c r="C159" s="1578" t="s">
        <v>936</v>
      </c>
      <c r="D159" s="1526" t="s">
        <v>1845</v>
      </c>
      <c r="E159" s="1579"/>
      <c r="F159" s="1334"/>
      <c r="G159" s="1408">
        <v>10</v>
      </c>
      <c r="H159" s="577"/>
      <c r="I159" s="1315"/>
      <c r="J159" s="1315"/>
      <c r="K159" s="1402"/>
      <c r="L159" s="1402"/>
      <c r="M159" s="1402"/>
      <c r="N159" s="1402"/>
      <c r="O159" s="1336" t="s">
        <v>1892</v>
      </c>
      <c r="P159" s="1678">
        <v>0</v>
      </c>
      <c r="Q159" s="1678">
        <v>0</v>
      </c>
      <c r="R159" s="1678">
        <v>0</v>
      </c>
      <c r="S159" s="1678">
        <v>0</v>
      </c>
      <c r="T159" s="1678">
        <f t="shared" si="23"/>
        <v>0</v>
      </c>
      <c r="U159" s="1678">
        <v>0</v>
      </c>
      <c r="V159" s="1678">
        <v>0</v>
      </c>
      <c r="W159" s="1678">
        <v>0</v>
      </c>
      <c r="X159" s="1678">
        <v>0</v>
      </c>
      <c r="Y159" s="1408">
        <v>10</v>
      </c>
      <c r="Z159" s="1678">
        <v>0</v>
      </c>
      <c r="AA159" s="1678">
        <v>0</v>
      </c>
      <c r="AB159" s="1678">
        <v>0</v>
      </c>
      <c r="AC159" s="1511"/>
      <c r="AD159" s="1511"/>
      <c r="AE159" s="1511"/>
      <c r="AF159" s="1511"/>
      <c r="AG159" s="1511"/>
      <c r="AH159" s="1511"/>
      <c r="AI159" s="1511"/>
      <c r="AJ159" s="1511"/>
      <c r="AK159" s="1580">
        <v>1</v>
      </c>
      <c r="AL159" s="1511"/>
      <c r="AM159" s="1511"/>
      <c r="AN159" s="1511"/>
      <c r="AO159" s="1511"/>
      <c r="AP159" s="1511"/>
      <c r="AQ159" s="1511"/>
      <c r="AR159" s="1511"/>
      <c r="AS159" s="1511">
        <f t="shared" si="24"/>
        <v>0</v>
      </c>
      <c r="AT159" s="1511"/>
      <c r="AU159" s="1511"/>
      <c r="AV159" s="1688"/>
      <c r="AW159" s="1688"/>
      <c r="AX159" s="1409">
        <v>10</v>
      </c>
      <c r="AY159" s="1688"/>
      <c r="AZ159" s="1688"/>
      <c r="BA159" s="1688"/>
      <c r="BB159" s="1593"/>
      <c r="BC159" s="1369" t="s">
        <v>1863</v>
      </c>
      <c r="BD159" s="1595" t="s">
        <v>935</v>
      </c>
    </row>
    <row r="160" spans="1:58" ht="43.5" outlineLevel="1">
      <c r="A160" s="1491">
        <v>9.1999999999999993</v>
      </c>
      <c r="B160" s="1530" t="s">
        <v>1893</v>
      </c>
      <c r="C160" s="1578" t="s">
        <v>936</v>
      </c>
      <c r="D160" s="1526" t="s">
        <v>1845</v>
      </c>
      <c r="E160" s="1579"/>
      <c r="F160" s="1334"/>
      <c r="G160" s="1408">
        <v>20</v>
      </c>
      <c r="H160" s="577"/>
      <c r="I160" s="1315"/>
      <c r="J160" s="1315"/>
      <c r="K160" s="1402"/>
      <c r="L160" s="1402"/>
      <c r="M160" s="1402"/>
      <c r="N160" s="1402"/>
      <c r="O160" s="1393" t="s">
        <v>1894</v>
      </c>
      <c r="P160" s="1678">
        <v>0</v>
      </c>
      <c r="Q160" s="1678">
        <v>0</v>
      </c>
      <c r="R160" s="1678">
        <v>0</v>
      </c>
      <c r="S160" s="1678">
        <v>0</v>
      </c>
      <c r="T160" s="1678">
        <f t="shared" si="23"/>
        <v>0</v>
      </c>
      <c r="U160" s="1678">
        <v>0</v>
      </c>
      <c r="V160" s="1678">
        <v>0</v>
      </c>
      <c r="W160" s="1678">
        <v>0</v>
      </c>
      <c r="X160" s="1678">
        <v>0</v>
      </c>
      <c r="Y160" s="1408">
        <v>20</v>
      </c>
      <c r="Z160" s="1678">
        <v>0</v>
      </c>
      <c r="AA160" s="1678">
        <v>0</v>
      </c>
      <c r="AB160" s="1678">
        <v>0</v>
      </c>
      <c r="AC160" s="1511"/>
      <c r="AD160" s="1511"/>
      <c r="AE160" s="1511"/>
      <c r="AF160" s="1511"/>
      <c r="AG160" s="1511"/>
      <c r="AH160" s="1511"/>
      <c r="AI160" s="1511"/>
      <c r="AJ160" s="1511"/>
      <c r="AK160" s="1580">
        <v>1</v>
      </c>
      <c r="AL160" s="1511"/>
      <c r="AM160" s="1511"/>
      <c r="AN160" s="1511"/>
      <c r="AO160" s="1511"/>
      <c r="AP160" s="1511"/>
      <c r="AQ160" s="1511"/>
      <c r="AR160" s="1511"/>
      <c r="AS160" s="1511">
        <f t="shared" si="24"/>
        <v>0</v>
      </c>
      <c r="AT160" s="1511"/>
      <c r="AU160" s="1511"/>
      <c r="AV160" s="1688"/>
      <c r="AW160" s="1688"/>
      <c r="AX160" s="1409">
        <v>20</v>
      </c>
      <c r="AY160" s="1688"/>
      <c r="AZ160" s="1688"/>
      <c r="BA160" s="1688"/>
      <c r="BB160" s="1593"/>
      <c r="BC160" s="1369" t="s">
        <v>1863</v>
      </c>
      <c r="BD160" s="1595" t="s">
        <v>935</v>
      </c>
    </row>
    <row r="161" spans="1:58" ht="43.5" outlineLevel="1">
      <c r="A161" s="1491">
        <v>9.3000000000000007</v>
      </c>
      <c r="B161" s="1530" t="s">
        <v>1895</v>
      </c>
      <c r="C161" s="1578" t="s">
        <v>936</v>
      </c>
      <c r="D161" s="1526" t="s">
        <v>1845</v>
      </c>
      <c r="E161" s="1579"/>
      <c r="F161" s="1334"/>
      <c r="G161" s="1408">
        <v>10</v>
      </c>
      <c r="H161" s="577"/>
      <c r="I161" s="1315"/>
      <c r="J161" s="1315"/>
      <c r="K161" s="1402"/>
      <c r="L161" s="1402"/>
      <c r="M161" s="1402"/>
      <c r="N161" s="1402"/>
      <c r="O161" s="1393" t="s">
        <v>1896</v>
      </c>
      <c r="P161" s="1678">
        <v>0</v>
      </c>
      <c r="Q161" s="1678">
        <v>0</v>
      </c>
      <c r="R161" s="1678">
        <v>0</v>
      </c>
      <c r="S161" s="1678">
        <v>0</v>
      </c>
      <c r="T161" s="1678">
        <f t="shared" si="23"/>
        <v>0</v>
      </c>
      <c r="U161" s="1678">
        <v>0</v>
      </c>
      <c r="V161" s="1678">
        <v>0</v>
      </c>
      <c r="W161" s="1678">
        <v>0</v>
      </c>
      <c r="X161" s="1678">
        <v>0</v>
      </c>
      <c r="Y161" s="1408">
        <v>10</v>
      </c>
      <c r="Z161" s="1678">
        <v>0</v>
      </c>
      <c r="AA161" s="1678">
        <v>0</v>
      </c>
      <c r="AB161" s="1678">
        <v>0</v>
      </c>
      <c r="AC161" s="1511"/>
      <c r="AD161" s="1511"/>
      <c r="AE161" s="1511"/>
      <c r="AF161" s="1511"/>
      <c r="AG161" s="1511"/>
      <c r="AH161" s="1511"/>
      <c r="AI161" s="1511"/>
      <c r="AJ161" s="1511"/>
      <c r="AK161" s="1580">
        <v>1</v>
      </c>
      <c r="AL161" s="1511"/>
      <c r="AM161" s="1511"/>
      <c r="AN161" s="1511"/>
      <c r="AO161" s="1511"/>
      <c r="AP161" s="1511"/>
      <c r="AQ161" s="1511"/>
      <c r="AR161" s="1511"/>
      <c r="AS161" s="1511">
        <f t="shared" si="24"/>
        <v>0</v>
      </c>
      <c r="AT161" s="1511"/>
      <c r="AU161" s="1511"/>
      <c r="AV161" s="1688"/>
      <c r="AW161" s="1688"/>
      <c r="AX161" s="1409">
        <v>10</v>
      </c>
      <c r="AY161" s="1688"/>
      <c r="AZ161" s="1688"/>
      <c r="BA161" s="1688"/>
      <c r="BB161" s="1593"/>
      <c r="BC161" s="1369" t="s">
        <v>1863</v>
      </c>
      <c r="BD161" s="1595" t="s">
        <v>935</v>
      </c>
    </row>
    <row r="162" spans="1:58" ht="60" customHeight="1">
      <c r="A162" s="1533">
        <v>10</v>
      </c>
      <c r="B162" s="1534" t="s">
        <v>1897</v>
      </c>
      <c r="C162" s="1534" t="s">
        <v>929</v>
      </c>
      <c r="D162" s="1526" t="s">
        <v>1845</v>
      </c>
      <c r="E162" s="1676"/>
      <c r="F162" s="1676"/>
      <c r="G162" s="577"/>
      <c r="H162" s="577"/>
      <c r="I162" s="1315"/>
      <c r="J162" s="1315"/>
      <c r="K162" s="1402"/>
      <c r="L162" s="1402"/>
      <c r="M162" s="1402"/>
      <c r="N162" s="1402"/>
      <c r="O162" s="1402"/>
      <c r="P162" s="1678">
        <v>0</v>
      </c>
      <c r="Q162" s="1678">
        <v>0</v>
      </c>
      <c r="R162" s="1678">
        <v>0</v>
      </c>
      <c r="S162" s="1678">
        <v>0</v>
      </c>
      <c r="T162" s="1678">
        <f t="shared" si="23"/>
        <v>0</v>
      </c>
      <c r="U162" s="1678">
        <v>0</v>
      </c>
      <c r="V162" s="1678">
        <v>0</v>
      </c>
      <c r="W162" s="1678">
        <v>0</v>
      </c>
      <c r="X162" s="1678">
        <v>0</v>
      </c>
      <c r="Y162" s="1678">
        <v>0</v>
      </c>
      <c r="Z162" s="1678">
        <v>0</v>
      </c>
      <c r="AA162" s="1678">
        <v>0</v>
      </c>
      <c r="AB162" s="1678">
        <v>0</v>
      </c>
      <c r="AC162" s="1680"/>
      <c r="AD162" s="1680"/>
      <c r="AE162" s="1511"/>
      <c r="AF162" s="1511"/>
      <c r="AG162" s="1511"/>
      <c r="AH162" s="1511"/>
      <c r="AI162" s="1511"/>
      <c r="AJ162" s="1511"/>
      <c r="AK162" s="1511"/>
      <c r="AL162" s="1511"/>
      <c r="AM162" s="1511"/>
      <c r="AN162" s="1511"/>
      <c r="AO162" s="1511"/>
      <c r="AP162" s="1511"/>
      <c r="AQ162" s="1511"/>
      <c r="AR162" s="1511"/>
      <c r="AS162" s="1511">
        <f t="shared" si="24"/>
        <v>0</v>
      </c>
      <c r="AT162" s="1511"/>
      <c r="AU162" s="1511"/>
      <c r="AV162" s="1688"/>
      <c r="AW162" s="1688"/>
      <c r="AX162" s="1688"/>
      <c r="AY162" s="1688"/>
      <c r="AZ162" s="1688"/>
      <c r="BA162" s="1688"/>
      <c r="BB162" s="1679"/>
      <c r="BC162" s="1688" t="s">
        <v>1863</v>
      </c>
      <c r="BD162" s="1688" t="s">
        <v>935</v>
      </c>
      <c r="BF162" s="1317"/>
    </row>
    <row r="163" spans="1:58" ht="87" outlineLevel="1">
      <c r="A163" s="1491">
        <v>10.1</v>
      </c>
      <c r="B163" s="1530" t="s">
        <v>1897</v>
      </c>
      <c r="C163" s="1578" t="s">
        <v>936</v>
      </c>
      <c r="D163" s="1526" t="s">
        <v>1845</v>
      </c>
      <c r="E163" s="1579"/>
      <c r="F163" s="1334"/>
      <c r="G163" s="1408">
        <v>25</v>
      </c>
      <c r="H163" s="577"/>
      <c r="I163" s="1315"/>
      <c r="J163" s="1315"/>
      <c r="K163" s="1402"/>
      <c r="L163" s="1337"/>
      <c r="M163" s="1337"/>
      <c r="N163" s="1339"/>
      <c r="O163" s="1393" t="s">
        <v>1898</v>
      </c>
      <c r="P163" s="1678">
        <v>0</v>
      </c>
      <c r="Q163" s="1678">
        <v>0</v>
      </c>
      <c r="R163" s="1678">
        <v>0</v>
      </c>
      <c r="S163" s="1678">
        <v>0</v>
      </c>
      <c r="T163" s="1678">
        <f t="shared" si="23"/>
        <v>0</v>
      </c>
      <c r="U163" s="1678">
        <v>0</v>
      </c>
      <c r="V163" s="1678">
        <v>0</v>
      </c>
      <c r="W163" s="1678">
        <v>0</v>
      </c>
      <c r="X163" s="1678">
        <v>0</v>
      </c>
      <c r="Y163" s="1573">
        <v>25</v>
      </c>
      <c r="Z163" s="1678">
        <v>0</v>
      </c>
      <c r="AA163" s="1678">
        <v>0</v>
      </c>
      <c r="AB163" s="1678">
        <v>0</v>
      </c>
      <c r="AC163" s="1511"/>
      <c r="AD163" s="1511"/>
      <c r="AE163" s="1511"/>
      <c r="AF163" s="1511"/>
      <c r="AG163" s="1511"/>
      <c r="AH163" s="1511"/>
      <c r="AI163" s="1511"/>
      <c r="AJ163" s="1511"/>
      <c r="AK163" s="1580">
        <v>1</v>
      </c>
      <c r="AL163" s="1511"/>
      <c r="AM163" s="1511"/>
      <c r="AN163" s="1511"/>
      <c r="AO163" s="1511"/>
      <c r="AP163" s="1511"/>
      <c r="AQ163" s="1511"/>
      <c r="AR163" s="1511"/>
      <c r="AS163" s="1511">
        <f t="shared" si="24"/>
        <v>0</v>
      </c>
      <c r="AT163" s="1511"/>
      <c r="AU163" s="1511"/>
      <c r="AV163" s="1688"/>
      <c r="AW163" s="1688"/>
      <c r="AX163" s="1593">
        <v>25</v>
      </c>
      <c r="AY163" s="1688"/>
      <c r="AZ163" s="1688"/>
      <c r="BA163" s="1688"/>
      <c r="BB163" s="1593"/>
      <c r="BC163" s="1369" t="s">
        <v>1863</v>
      </c>
      <c r="BD163" s="1595" t="s">
        <v>935</v>
      </c>
    </row>
    <row r="164" spans="1:58" ht="60" customHeight="1">
      <c r="A164" s="1533">
        <v>11</v>
      </c>
      <c r="B164" s="1534" t="s">
        <v>1899</v>
      </c>
      <c r="C164" s="1533" t="s">
        <v>929</v>
      </c>
      <c r="D164" s="1526" t="s">
        <v>1845</v>
      </c>
      <c r="E164" s="1676"/>
      <c r="F164" s="1676"/>
      <c r="G164" s="577"/>
      <c r="H164" s="577"/>
      <c r="I164" s="1315"/>
      <c r="J164" s="1315"/>
      <c r="K164" s="1402"/>
      <c r="L164" s="1402"/>
      <c r="M164" s="1402"/>
      <c r="N164" s="1402"/>
      <c r="O164" s="1402"/>
      <c r="P164" s="1678">
        <v>0</v>
      </c>
      <c r="Q164" s="1678">
        <v>0</v>
      </c>
      <c r="R164" s="1678">
        <v>0</v>
      </c>
      <c r="S164" s="1678">
        <v>0</v>
      </c>
      <c r="T164" s="1678">
        <f t="shared" si="23"/>
        <v>0</v>
      </c>
      <c r="U164" s="1678">
        <v>0</v>
      </c>
      <c r="V164" s="1678">
        <v>0</v>
      </c>
      <c r="W164" s="1678">
        <v>0</v>
      </c>
      <c r="X164" s="1678">
        <v>0</v>
      </c>
      <c r="Y164" s="1678">
        <v>0</v>
      </c>
      <c r="Z164" s="1678">
        <v>0</v>
      </c>
      <c r="AA164" s="1678">
        <v>0</v>
      </c>
      <c r="AB164" s="1678">
        <v>0</v>
      </c>
      <c r="AC164" s="1511"/>
      <c r="AD164" s="1511"/>
      <c r="AE164" s="1511"/>
      <c r="AF164" s="1511"/>
      <c r="AG164" s="1511"/>
      <c r="AH164" s="1511"/>
      <c r="AI164" s="1511"/>
      <c r="AJ164" s="1511"/>
      <c r="AK164" s="1511"/>
      <c r="AL164" s="1511"/>
      <c r="AM164" s="1511"/>
      <c r="AN164" s="1511"/>
      <c r="AO164" s="1511"/>
      <c r="AP164" s="1511"/>
      <c r="AQ164" s="1511"/>
      <c r="AR164" s="1511"/>
      <c r="AS164" s="1511">
        <f t="shared" si="24"/>
        <v>0</v>
      </c>
      <c r="AT164" s="1511"/>
      <c r="AU164" s="1511"/>
      <c r="AV164" s="1688"/>
      <c r="AW164" s="1688"/>
      <c r="AX164" s="1688"/>
      <c r="AY164" s="1688"/>
      <c r="AZ164" s="1688"/>
      <c r="BA164" s="1688"/>
      <c r="BB164" s="1688"/>
      <c r="BC164" s="1688" t="s">
        <v>1863</v>
      </c>
      <c r="BD164" s="1688" t="s">
        <v>935</v>
      </c>
      <c r="BF164" s="1317"/>
    </row>
    <row r="165" spans="1:58" ht="72.5" outlineLevel="1">
      <c r="A165" s="1491">
        <v>11.1</v>
      </c>
      <c r="B165" s="1530" t="s">
        <v>1899</v>
      </c>
      <c r="C165" s="1578" t="s">
        <v>936</v>
      </c>
      <c r="D165" s="1526" t="s">
        <v>1845</v>
      </c>
      <c r="E165" s="1579"/>
      <c r="F165" s="1334"/>
      <c r="G165" s="1408">
        <v>30</v>
      </c>
      <c r="H165" s="577"/>
      <c r="I165" s="1315"/>
      <c r="J165" s="1315"/>
      <c r="K165" s="1402"/>
      <c r="L165" s="1402"/>
      <c r="M165" s="1402"/>
      <c r="N165" s="1402"/>
      <c r="O165" s="1393" t="s">
        <v>1900</v>
      </c>
      <c r="P165" s="1678">
        <v>0</v>
      </c>
      <c r="Q165" s="1678">
        <v>0</v>
      </c>
      <c r="R165" s="1678">
        <v>0</v>
      </c>
      <c r="S165" s="1678">
        <v>0</v>
      </c>
      <c r="T165" s="1678">
        <f t="shared" si="23"/>
        <v>0</v>
      </c>
      <c r="U165" s="1678">
        <v>0</v>
      </c>
      <c r="V165" s="1678">
        <v>0</v>
      </c>
      <c r="W165" s="1678">
        <v>0</v>
      </c>
      <c r="X165" s="1678">
        <v>0</v>
      </c>
      <c r="Y165" s="1678">
        <v>0</v>
      </c>
      <c r="Z165" s="1573">
        <v>30</v>
      </c>
      <c r="AA165" s="1678">
        <v>0</v>
      </c>
      <c r="AB165" s="1678">
        <v>0</v>
      </c>
      <c r="AC165" s="1511"/>
      <c r="AD165" s="1511"/>
      <c r="AE165" s="1511"/>
      <c r="AF165" s="1511"/>
      <c r="AG165" s="1511"/>
      <c r="AH165" s="1511"/>
      <c r="AI165" s="1511"/>
      <c r="AJ165" s="1511"/>
      <c r="AK165" s="1511"/>
      <c r="AL165" s="1580">
        <v>1</v>
      </c>
      <c r="AM165" s="1511"/>
      <c r="AN165" s="1511"/>
      <c r="AO165" s="1511"/>
      <c r="AP165" s="1511"/>
      <c r="AQ165" s="1511"/>
      <c r="AR165" s="1511"/>
      <c r="AS165" s="1511">
        <f t="shared" si="24"/>
        <v>0</v>
      </c>
      <c r="AT165" s="1511"/>
      <c r="AU165" s="1511"/>
      <c r="AV165" s="1688"/>
      <c r="AW165" s="1688"/>
      <c r="AX165" s="1688"/>
      <c r="AY165" s="1593">
        <v>30</v>
      </c>
      <c r="AZ165" s="1688"/>
      <c r="BA165" s="1688"/>
      <c r="BB165" s="1593"/>
      <c r="BC165" s="1369" t="s">
        <v>1863</v>
      </c>
      <c r="BD165" s="1595" t="s">
        <v>935</v>
      </c>
    </row>
    <row r="166" spans="1:58" ht="60" customHeight="1">
      <c r="A166" s="1533">
        <v>12</v>
      </c>
      <c r="B166" s="1534" t="s">
        <v>1901</v>
      </c>
      <c r="C166" s="1533" t="s">
        <v>929</v>
      </c>
      <c r="D166" s="1526" t="s">
        <v>1845</v>
      </c>
      <c r="E166" s="1676"/>
      <c r="F166" s="1676"/>
      <c r="G166" s="577"/>
      <c r="H166" s="577"/>
      <c r="I166" s="1315"/>
      <c r="J166" s="1315"/>
      <c r="K166" s="1402"/>
      <c r="L166" s="1402"/>
      <c r="M166" s="1402"/>
      <c r="N166" s="1402"/>
      <c r="O166" s="1402"/>
      <c r="P166" s="1678">
        <v>0</v>
      </c>
      <c r="Q166" s="1678">
        <v>0</v>
      </c>
      <c r="R166" s="1678">
        <v>0</v>
      </c>
      <c r="S166" s="1678">
        <v>0</v>
      </c>
      <c r="T166" s="1678">
        <f t="shared" si="23"/>
        <v>0</v>
      </c>
      <c r="U166" s="1678">
        <v>0</v>
      </c>
      <c r="V166" s="1678">
        <v>0</v>
      </c>
      <c r="W166" s="1678">
        <v>0</v>
      </c>
      <c r="X166" s="1678">
        <v>0</v>
      </c>
      <c r="Y166" s="1678">
        <v>0</v>
      </c>
      <c r="Z166" s="1511"/>
      <c r="AA166" s="1678">
        <v>0</v>
      </c>
      <c r="AB166" s="1678">
        <v>0</v>
      </c>
      <c r="AC166" s="1680"/>
      <c r="AD166" s="1680"/>
      <c r="AE166" s="1511"/>
      <c r="AF166" s="1511"/>
      <c r="AG166" s="1511"/>
      <c r="AH166" s="1511"/>
      <c r="AI166" s="1511"/>
      <c r="AJ166" s="1511"/>
      <c r="AK166" s="1511"/>
      <c r="AL166" s="1511"/>
      <c r="AM166" s="1511"/>
      <c r="AN166" s="1511"/>
      <c r="AO166" s="1511"/>
      <c r="AP166" s="1511"/>
      <c r="AQ166" s="1511"/>
      <c r="AR166" s="1511"/>
      <c r="AS166" s="1511">
        <f t="shared" si="24"/>
        <v>0</v>
      </c>
      <c r="AT166" s="1511"/>
      <c r="AU166" s="1511"/>
      <c r="AV166" s="1688"/>
      <c r="AW166" s="1688"/>
      <c r="AX166" s="1688"/>
      <c r="AY166" s="1679"/>
      <c r="AZ166" s="1688"/>
      <c r="BA166" s="1688"/>
      <c r="BB166" s="1679"/>
      <c r="BC166" s="1688" t="s">
        <v>1863</v>
      </c>
      <c r="BD166" s="1688" t="s">
        <v>935</v>
      </c>
      <c r="BF166" s="1317"/>
    </row>
    <row r="167" spans="1:58" ht="101.5" outlineLevel="1">
      <c r="A167" s="1491">
        <v>12.1</v>
      </c>
      <c r="B167" s="1530" t="s">
        <v>1902</v>
      </c>
      <c r="C167" s="1578" t="s">
        <v>936</v>
      </c>
      <c r="D167" s="1526" t="s">
        <v>1845</v>
      </c>
      <c r="E167" s="1579"/>
      <c r="F167" s="1334"/>
      <c r="G167" s="1408">
        <v>15</v>
      </c>
      <c r="H167" s="577"/>
      <c r="I167" s="1315"/>
      <c r="J167" s="1315"/>
      <c r="K167" s="1402"/>
      <c r="L167" s="1337"/>
      <c r="M167" s="1337"/>
      <c r="N167" s="1339"/>
      <c r="O167" s="1695" t="s">
        <v>2181</v>
      </c>
      <c r="P167" s="1678">
        <v>0</v>
      </c>
      <c r="Q167" s="1678">
        <v>0</v>
      </c>
      <c r="R167" s="1678">
        <v>0</v>
      </c>
      <c r="S167" s="1678">
        <v>0</v>
      </c>
      <c r="T167" s="1678">
        <f t="shared" si="23"/>
        <v>0</v>
      </c>
      <c r="U167" s="1678">
        <v>0</v>
      </c>
      <c r="V167" s="1678">
        <v>0</v>
      </c>
      <c r="W167" s="1678">
        <v>0</v>
      </c>
      <c r="X167" s="1678">
        <v>0</v>
      </c>
      <c r="Y167" s="1678">
        <v>0</v>
      </c>
      <c r="Z167" s="1573">
        <v>15</v>
      </c>
      <c r="AA167" s="1678">
        <v>0</v>
      </c>
      <c r="AB167" s="1678">
        <v>0</v>
      </c>
      <c r="AC167" s="1511"/>
      <c r="AD167" s="1511"/>
      <c r="AE167" s="1511"/>
      <c r="AF167" s="1511"/>
      <c r="AG167" s="1511"/>
      <c r="AH167" s="1511"/>
      <c r="AI167" s="1511"/>
      <c r="AJ167" s="1511"/>
      <c r="AK167" s="1511"/>
      <c r="AL167" s="1580">
        <v>1</v>
      </c>
      <c r="AM167" s="1511"/>
      <c r="AN167" s="1511"/>
      <c r="AO167" s="1511"/>
      <c r="AP167" s="1511"/>
      <c r="AQ167" s="1511"/>
      <c r="AR167" s="1511"/>
      <c r="AS167" s="1511">
        <f t="shared" si="24"/>
        <v>0</v>
      </c>
      <c r="AT167" s="1511"/>
      <c r="AU167" s="1511"/>
      <c r="AV167" s="1688"/>
      <c r="AW167" s="1688"/>
      <c r="AX167" s="1688"/>
      <c r="AY167" s="1593">
        <v>15</v>
      </c>
      <c r="AZ167" s="1688"/>
      <c r="BA167" s="1688"/>
      <c r="BB167" s="1593"/>
      <c r="BC167" s="1369" t="s">
        <v>1863</v>
      </c>
      <c r="BD167" s="1595" t="s">
        <v>935</v>
      </c>
    </row>
    <row r="168" spans="1:58" ht="409.5" outlineLevel="1">
      <c r="A168" s="1491">
        <v>12.2</v>
      </c>
      <c r="B168" s="1530" t="s">
        <v>1903</v>
      </c>
      <c r="C168" s="1578" t="s">
        <v>936</v>
      </c>
      <c r="D168" s="1526" t="s">
        <v>1845</v>
      </c>
      <c r="E168" s="1579"/>
      <c r="F168" s="1334"/>
      <c r="G168" s="1408">
        <v>10</v>
      </c>
      <c r="H168" s="1511"/>
      <c r="I168" s="1693"/>
      <c r="J168" s="1693"/>
      <c r="K168" s="1511"/>
      <c r="L168" s="1337"/>
      <c r="M168" s="1337"/>
      <c r="N168" s="1339"/>
      <c r="O168" s="1393" t="s">
        <v>1904</v>
      </c>
      <c r="P168" s="1678">
        <v>0</v>
      </c>
      <c r="Q168" s="1678">
        <v>0</v>
      </c>
      <c r="R168" s="1678">
        <v>0</v>
      </c>
      <c r="S168" s="1678">
        <v>0</v>
      </c>
      <c r="T168" s="1678">
        <f t="shared" si="23"/>
        <v>0</v>
      </c>
      <c r="U168" s="1678">
        <v>0</v>
      </c>
      <c r="V168" s="1678">
        <v>0</v>
      </c>
      <c r="W168" s="1678">
        <v>0</v>
      </c>
      <c r="X168" s="1573">
        <v>10</v>
      </c>
      <c r="Y168" s="1678">
        <v>0</v>
      </c>
      <c r="Z168" s="1678">
        <v>0</v>
      </c>
      <c r="AA168" s="1678">
        <v>0</v>
      </c>
      <c r="AB168" s="1678">
        <v>0</v>
      </c>
      <c r="AC168" s="1511"/>
      <c r="AD168" s="1511"/>
      <c r="AE168" s="1511"/>
      <c r="AF168" s="1511"/>
      <c r="AG168" s="1511"/>
      <c r="AH168" s="1511"/>
      <c r="AI168" s="1511"/>
      <c r="AJ168" s="1580">
        <v>1</v>
      </c>
      <c r="AK168" s="1511"/>
      <c r="AL168" s="1511"/>
      <c r="AM168" s="1511"/>
      <c r="AN168" s="1511"/>
      <c r="AO168" s="1511"/>
      <c r="AP168" s="1511"/>
      <c r="AQ168" s="1511"/>
      <c r="AR168" s="1511"/>
      <c r="AS168" s="1511">
        <f t="shared" si="24"/>
        <v>0</v>
      </c>
      <c r="AT168" s="1511"/>
      <c r="AU168" s="1511"/>
      <c r="AV168" s="1688"/>
      <c r="AW168" s="1593">
        <v>10</v>
      </c>
      <c r="AX168" s="1688"/>
      <c r="AY168" s="1688"/>
      <c r="AZ168" s="1688"/>
      <c r="BA168" s="1688"/>
      <c r="BB168" s="1593"/>
      <c r="BC168" s="1369" t="s">
        <v>1863</v>
      </c>
      <c r="BD168" s="1595" t="s">
        <v>935</v>
      </c>
    </row>
    <row r="169" spans="1:58" ht="60" customHeight="1">
      <c r="A169" s="1533">
        <v>13</v>
      </c>
      <c r="B169" s="1534" t="s">
        <v>1905</v>
      </c>
      <c r="C169" s="1534" t="s">
        <v>929</v>
      </c>
      <c r="D169" s="1526" t="s">
        <v>1845</v>
      </c>
      <c r="E169" s="577"/>
      <c r="F169" s="577"/>
      <c r="G169" s="577"/>
      <c r="H169" s="577"/>
      <c r="I169" s="1315"/>
      <c r="J169" s="1315"/>
      <c r="K169" s="577"/>
      <c r="L169" s="577"/>
      <c r="M169" s="577"/>
      <c r="N169" s="577"/>
      <c r="O169" s="577"/>
      <c r="P169" s="1678">
        <v>0</v>
      </c>
      <c r="Q169" s="1678">
        <v>0</v>
      </c>
      <c r="R169" s="1678">
        <v>0</v>
      </c>
      <c r="S169" s="1678">
        <v>0</v>
      </c>
      <c r="T169" s="1678">
        <f t="shared" si="23"/>
        <v>0</v>
      </c>
      <c r="U169" s="1678">
        <v>0</v>
      </c>
      <c r="V169" s="1678">
        <v>0</v>
      </c>
      <c r="W169" s="1678">
        <v>0</v>
      </c>
      <c r="X169" s="1511"/>
      <c r="Y169" s="1678">
        <v>0</v>
      </c>
      <c r="Z169" s="1678">
        <v>0</v>
      </c>
      <c r="AA169" s="1678">
        <v>0</v>
      </c>
      <c r="AB169" s="1678">
        <v>0</v>
      </c>
      <c r="AC169" s="1511"/>
      <c r="AD169" s="1511"/>
      <c r="AE169" s="1511"/>
      <c r="AF169" s="1511"/>
      <c r="AG169" s="1511"/>
      <c r="AH169" s="1511"/>
      <c r="AI169" s="1511"/>
      <c r="AJ169" s="1681"/>
      <c r="AK169" s="1511"/>
      <c r="AL169" s="1511"/>
      <c r="AM169" s="1511"/>
      <c r="AN169" s="1511"/>
      <c r="AO169" s="1511"/>
      <c r="AP169" s="1511"/>
      <c r="AQ169" s="1511"/>
      <c r="AR169" s="1511"/>
      <c r="AS169" s="1511">
        <f t="shared" si="24"/>
        <v>0</v>
      </c>
      <c r="AT169" s="1511"/>
      <c r="AU169" s="1511"/>
      <c r="AV169" s="1688"/>
      <c r="AW169" s="1679"/>
      <c r="AX169" s="1688"/>
      <c r="AY169" s="1688"/>
      <c r="AZ169" s="1688"/>
      <c r="BA169" s="1688"/>
      <c r="BB169" s="1679"/>
      <c r="BC169" s="1688" t="s">
        <v>1863</v>
      </c>
      <c r="BD169" s="1688" t="s">
        <v>935</v>
      </c>
      <c r="BF169" s="1317"/>
    </row>
    <row r="170" spans="1:58" ht="87" outlineLevel="1">
      <c r="A170" s="1491">
        <v>13.1</v>
      </c>
      <c r="B170" s="1530" t="s">
        <v>1906</v>
      </c>
      <c r="C170" s="1578" t="s">
        <v>936</v>
      </c>
      <c r="D170" s="1526" t="s">
        <v>1845</v>
      </c>
      <c r="E170" s="1579"/>
      <c r="F170" s="1334"/>
      <c r="G170" s="1408">
        <v>6.81</v>
      </c>
      <c r="H170" s="577"/>
      <c r="I170" s="1315"/>
      <c r="J170" s="1315"/>
      <c r="K170" s="1402"/>
      <c r="L170" s="1337"/>
      <c r="M170" s="1337"/>
      <c r="N170" s="1339"/>
      <c r="O170" s="1393" t="s">
        <v>1907</v>
      </c>
      <c r="P170" s="1678">
        <v>0</v>
      </c>
      <c r="Q170" s="1678">
        <v>0</v>
      </c>
      <c r="R170" s="1678">
        <v>0</v>
      </c>
      <c r="S170" s="1678">
        <v>0</v>
      </c>
      <c r="T170" s="1678">
        <f t="shared" si="23"/>
        <v>0</v>
      </c>
      <c r="U170" s="1678">
        <v>0</v>
      </c>
      <c r="V170" s="1678">
        <v>0</v>
      </c>
      <c r="W170" s="1678">
        <v>0</v>
      </c>
      <c r="X170" s="1408">
        <v>6.81</v>
      </c>
      <c r="Y170" s="1678">
        <v>0</v>
      </c>
      <c r="Z170" s="1678">
        <v>0</v>
      </c>
      <c r="AA170" s="1678">
        <v>0</v>
      </c>
      <c r="AB170" s="1678">
        <v>0</v>
      </c>
      <c r="AC170" s="1511"/>
      <c r="AD170" s="1511"/>
      <c r="AE170" s="1511"/>
      <c r="AF170" s="1511"/>
      <c r="AG170" s="1511"/>
      <c r="AH170" s="1511"/>
      <c r="AI170" s="1511"/>
      <c r="AJ170" s="1580">
        <v>1</v>
      </c>
      <c r="AK170" s="1511"/>
      <c r="AL170" s="1511"/>
      <c r="AM170" s="1511"/>
      <c r="AN170" s="1511"/>
      <c r="AO170" s="1511"/>
      <c r="AP170" s="1511"/>
      <c r="AQ170" s="1511"/>
      <c r="AR170" s="1511"/>
      <c r="AS170" s="1511">
        <f t="shared" si="24"/>
        <v>0</v>
      </c>
      <c r="AT170" s="1511"/>
      <c r="AU170" s="1511"/>
      <c r="AV170" s="1688"/>
      <c r="AW170" s="1409">
        <v>6.81</v>
      </c>
      <c r="AX170" s="1688"/>
      <c r="AY170" s="1688"/>
      <c r="AZ170" s="1688"/>
      <c r="BA170" s="1688"/>
      <c r="BB170" s="1593"/>
      <c r="BC170" s="1369" t="s">
        <v>1863</v>
      </c>
      <c r="BD170" s="1595" t="s">
        <v>935</v>
      </c>
    </row>
    <row r="171" spans="1:58" ht="58" outlineLevel="1">
      <c r="A171" s="1491">
        <v>13.2</v>
      </c>
      <c r="B171" s="1530" t="s">
        <v>1908</v>
      </c>
      <c r="C171" s="1578" t="s">
        <v>936</v>
      </c>
      <c r="D171" s="1526" t="s">
        <v>1845</v>
      </c>
      <c r="E171" s="1579"/>
      <c r="F171" s="1334"/>
      <c r="G171" s="1408">
        <v>1.4</v>
      </c>
      <c r="H171" s="577"/>
      <c r="I171" s="1315"/>
      <c r="J171" s="1315"/>
      <c r="K171" s="1402"/>
      <c r="L171" s="1337"/>
      <c r="M171" s="1337"/>
      <c r="N171" s="1339"/>
      <c r="O171" s="1393" t="s">
        <v>1909</v>
      </c>
      <c r="P171" s="1678">
        <v>0</v>
      </c>
      <c r="Q171" s="1678">
        <v>0</v>
      </c>
      <c r="R171" s="1678">
        <v>0</v>
      </c>
      <c r="S171" s="1678">
        <v>0</v>
      </c>
      <c r="T171" s="1678">
        <f t="shared" si="23"/>
        <v>0</v>
      </c>
      <c r="U171" s="1678">
        <v>0</v>
      </c>
      <c r="V171" s="1678">
        <v>0</v>
      </c>
      <c r="W171" s="1678">
        <v>0</v>
      </c>
      <c r="X171" s="1408">
        <v>1.4</v>
      </c>
      <c r="Y171" s="1678">
        <v>0</v>
      </c>
      <c r="Z171" s="1678">
        <v>0</v>
      </c>
      <c r="AA171" s="1678">
        <v>0</v>
      </c>
      <c r="AB171" s="1678">
        <v>0</v>
      </c>
      <c r="AC171" s="1511"/>
      <c r="AD171" s="1511"/>
      <c r="AE171" s="1511"/>
      <c r="AF171" s="1511"/>
      <c r="AG171" s="1511"/>
      <c r="AH171" s="1511"/>
      <c r="AI171" s="1511"/>
      <c r="AJ171" s="1580">
        <v>1</v>
      </c>
      <c r="AK171" s="1511"/>
      <c r="AL171" s="1511"/>
      <c r="AM171" s="1511"/>
      <c r="AN171" s="1511"/>
      <c r="AO171" s="1511"/>
      <c r="AP171" s="1511"/>
      <c r="AQ171" s="1511"/>
      <c r="AR171" s="1511"/>
      <c r="AS171" s="1511">
        <f t="shared" si="24"/>
        <v>0</v>
      </c>
      <c r="AT171" s="1511"/>
      <c r="AU171" s="1511"/>
      <c r="AV171" s="1688"/>
      <c r="AW171" s="1409">
        <v>1.4</v>
      </c>
      <c r="AX171" s="1688"/>
      <c r="AY171" s="1688"/>
      <c r="AZ171" s="1688"/>
      <c r="BA171" s="1688"/>
      <c r="BB171" s="1593"/>
      <c r="BC171" s="1369" t="s">
        <v>1863</v>
      </c>
      <c r="BD171" s="1595" t="s">
        <v>935</v>
      </c>
    </row>
    <row r="172" spans="1:58" ht="87" outlineLevel="1">
      <c r="A172" s="1491">
        <v>13.3</v>
      </c>
      <c r="B172" s="1530" t="s">
        <v>1910</v>
      </c>
      <c r="C172" s="1578" t="s">
        <v>936</v>
      </c>
      <c r="D172" s="1526" t="s">
        <v>1845</v>
      </c>
      <c r="E172" s="1579"/>
      <c r="F172" s="1334"/>
      <c r="G172" s="1408">
        <v>1.5</v>
      </c>
      <c r="H172" s="577"/>
      <c r="I172" s="1315"/>
      <c r="J172" s="1315"/>
      <c r="K172" s="1402"/>
      <c r="L172" s="1337"/>
      <c r="M172" s="1337"/>
      <c r="N172" s="1339"/>
      <c r="O172" s="1393" t="s">
        <v>1911</v>
      </c>
      <c r="P172" s="1678">
        <v>0</v>
      </c>
      <c r="Q172" s="1678">
        <v>0</v>
      </c>
      <c r="R172" s="1678">
        <v>0</v>
      </c>
      <c r="S172" s="1678">
        <v>0</v>
      </c>
      <c r="T172" s="1678">
        <f t="shared" si="23"/>
        <v>0</v>
      </c>
      <c r="U172" s="1678">
        <v>0</v>
      </c>
      <c r="V172" s="1678">
        <v>0</v>
      </c>
      <c r="W172" s="1678">
        <v>0</v>
      </c>
      <c r="X172" s="1511"/>
      <c r="Y172" s="1408">
        <v>1.5</v>
      </c>
      <c r="Z172" s="1678">
        <v>0</v>
      </c>
      <c r="AA172" s="1678">
        <v>0</v>
      </c>
      <c r="AB172" s="1678">
        <v>0</v>
      </c>
      <c r="AC172" s="1511"/>
      <c r="AD172" s="1511"/>
      <c r="AE172" s="1511"/>
      <c r="AF172" s="1511"/>
      <c r="AG172" s="1511"/>
      <c r="AH172" s="1511"/>
      <c r="AI172" s="1511"/>
      <c r="AJ172" s="1511"/>
      <c r="AK172" s="1580">
        <v>1</v>
      </c>
      <c r="AL172" s="1511"/>
      <c r="AM172" s="1511"/>
      <c r="AN172" s="1511"/>
      <c r="AO172" s="1511"/>
      <c r="AP172" s="1511"/>
      <c r="AQ172" s="1511"/>
      <c r="AR172" s="1511"/>
      <c r="AS172" s="1511">
        <f t="shared" si="24"/>
        <v>0</v>
      </c>
      <c r="AT172" s="1511"/>
      <c r="AU172" s="1511"/>
      <c r="AV172" s="1688"/>
      <c r="AW172" s="1688"/>
      <c r="AX172" s="1409">
        <v>1.5</v>
      </c>
      <c r="AY172" s="1688"/>
      <c r="AZ172" s="1688"/>
      <c r="BA172" s="1688"/>
      <c r="BB172" s="1688"/>
      <c r="BC172" s="1369" t="s">
        <v>1863</v>
      </c>
      <c r="BD172" s="1595" t="s">
        <v>935</v>
      </c>
    </row>
    <row r="173" spans="1:58" ht="58" outlineLevel="1">
      <c r="A173" s="1491">
        <v>13.4</v>
      </c>
      <c r="B173" s="1530" t="s">
        <v>1912</v>
      </c>
      <c r="C173" s="1578" t="s">
        <v>936</v>
      </c>
      <c r="D173" s="1526" t="s">
        <v>1845</v>
      </c>
      <c r="E173" s="1579"/>
      <c r="F173" s="1334"/>
      <c r="G173" s="1408">
        <v>0.95</v>
      </c>
      <c r="H173" s="577"/>
      <c r="I173" s="1315"/>
      <c r="J173" s="1315"/>
      <c r="K173" s="1402"/>
      <c r="L173" s="1337"/>
      <c r="M173" s="1337"/>
      <c r="N173" s="1339"/>
      <c r="O173" s="1393" t="s">
        <v>1913</v>
      </c>
      <c r="P173" s="1678">
        <v>0</v>
      </c>
      <c r="Q173" s="1678">
        <v>0</v>
      </c>
      <c r="R173" s="1678">
        <v>0</v>
      </c>
      <c r="S173" s="1678">
        <v>0</v>
      </c>
      <c r="T173" s="1678">
        <f t="shared" si="23"/>
        <v>0</v>
      </c>
      <c r="U173" s="1678">
        <v>0</v>
      </c>
      <c r="V173" s="1678">
        <v>0</v>
      </c>
      <c r="W173" s="1678">
        <v>0</v>
      </c>
      <c r="X173" s="1511"/>
      <c r="Y173" s="1408">
        <v>0.95</v>
      </c>
      <c r="Z173" s="1678">
        <v>0</v>
      </c>
      <c r="AA173" s="1678">
        <v>0</v>
      </c>
      <c r="AB173" s="1678">
        <v>0</v>
      </c>
      <c r="AC173" s="1511"/>
      <c r="AD173" s="1511"/>
      <c r="AE173" s="1511"/>
      <c r="AF173" s="1511"/>
      <c r="AG173" s="1511"/>
      <c r="AH173" s="1511"/>
      <c r="AI173" s="1511"/>
      <c r="AJ173" s="1511"/>
      <c r="AK173" s="1580">
        <v>1</v>
      </c>
      <c r="AL173" s="1511"/>
      <c r="AM173" s="1511"/>
      <c r="AN173" s="1511"/>
      <c r="AO173" s="1511"/>
      <c r="AP173" s="1511"/>
      <c r="AQ173" s="1511"/>
      <c r="AR173" s="1511"/>
      <c r="AS173" s="1511">
        <f t="shared" si="24"/>
        <v>0</v>
      </c>
      <c r="AT173" s="1511"/>
      <c r="AU173" s="1511"/>
      <c r="AV173" s="1688"/>
      <c r="AW173" s="1688"/>
      <c r="AX173" s="1409">
        <v>0.95</v>
      </c>
      <c r="AY173" s="1688"/>
      <c r="AZ173" s="1688"/>
      <c r="BA173" s="1688"/>
      <c r="BB173" s="1688"/>
      <c r="BC173" s="1369" t="s">
        <v>1863</v>
      </c>
      <c r="BD173" s="1595" t="s">
        <v>935</v>
      </c>
    </row>
    <row r="174" spans="1:58" ht="116" outlineLevel="1">
      <c r="A174" s="1491">
        <v>13.5</v>
      </c>
      <c r="B174" s="1530" t="s">
        <v>1914</v>
      </c>
      <c r="C174" s="1578" t="s">
        <v>936</v>
      </c>
      <c r="D174" s="1526" t="s">
        <v>1845</v>
      </c>
      <c r="E174" s="1579"/>
      <c r="F174" s="1334"/>
      <c r="G174" s="1408">
        <v>3.05</v>
      </c>
      <c r="H174" s="577"/>
      <c r="I174" s="1315"/>
      <c r="J174" s="1315"/>
      <c r="K174" s="1402"/>
      <c r="L174" s="1337"/>
      <c r="M174" s="1337"/>
      <c r="N174" s="1339"/>
      <c r="O174" s="1393" t="s">
        <v>1915</v>
      </c>
      <c r="P174" s="1678">
        <v>0</v>
      </c>
      <c r="Q174" s="1678">
        <v>0</v>
      </c>
      <c r="R174" s="1678">
        <v>0</v>
      </c>
      <c r="S174" s="1678">
        <v>0</v>
      </c>
      <c r="T174" s="1678">
        <f t="shared" si="23"/>
        <v>0</v>
      </c>
      <c r="U174" s="1678">
        <v>0</v>
      </c>
      <c r="V174" s="1678">
        <v>0</v>
      </c>
      <c r="W174" s="1678">
        <v>0</v>
      </c>
      <c r="X174" s="1511"/>
      <c r="Y174" s="1408">
        <v>3.05</v>
      </c>
      <c r="Z174" s="1678">
        <v>0</v>
      </c>
      <c r="AA174" s="1678">
        <v>0</v>
      </c>
      <c r="AB174" s="1678">
        <v>0</v>
      </c>
      <c r="AC174" s="1511"/>
      <c r="AD174" s="1511"/>
      <c r="AE174" s="1511"/>
      <c r="AF174" s="1511"/>
      <c r="AG174" s="1511"/>
      <c r="AH174" s="1511"/>
      <c r="AI174" s="1511"/>
      <c r="AJ174" s="1511"/>
      <c r="AK174" s="1580">
        <v>1</v>
      </c>
      <c r="AL174" s="1511"/>
      <c r="AM174" s="1511"/>
      <c r="AN174" s="1511"/>
      <c r="AO174" s="1511"/>
      <c r="AP174" s="1511"/>
      <c r="AQ174" s="1511"/>
      <c r="AR174" s="1511"/>
      <c r="AS174" s="1511">
        <f t="shared" si="24"/>
        <v>0</v>
      </c>
      <c r="AT174" s="1511"/>
      <c r="AU174" s="1511"/>
      <c r="AV174" s="1688"/>
      <c r="AW174" s="1688"/>
      <c r="AX174" s="1409">
        <v>3.05</v>
      </c>
      <c r="AY174" s="1688"/>
      <c r="AZ174" s="1688"/>
      <c r="BA174" s="1688"/>
      <c r="BB174" s="1688"/>
      <c r="BC174" s="1369" t="s">
        <v>1863</v>
      </c>
      <c r="BD174" s="1595" t="s">
        <v>935</v>
      </c>
    </row>
    <row r="175" spans="1:58" s="1714" customFormat="1" ht="159.5" outlineLevel="1">
      <c r="A175" s="1696">
        <v>13.6</v>
      </c>
      <c r="B175" s="1697" t="s">
        <v>1916</v>
      </c>
      <c r="C175" s="1698"/>
      <c r="D175" s="1526" t="s">
        <v>1845</v>
      </c>
      <c r="E175" s="1699"/>
      <c r="F175" s="1700"/>
      <c r="G175" s="1701">
        <v>2</v>
      </c>
      <c r="H175" s="1702"/>
      <c r="I175" s="1703"/>
      <c r="J175" s="1703"/>
      <c r="K175" s="1704"/>
      <c r="L175" s="1705"/>
      <c r="M175" s="1705"/>
      <c r="N175" s="1706"/>
      <c r="O175" s="1707" t="s">
        <v>1917</v>
      </c>
      <c r="P175" s="1708"/>
      <c r="Q175" s="1708"/>
      <c r="R175" s="1708"/>
      <c r="S175" s="1708"/>
      <c r="T175" s="1708">
        <f t="shared" si="23"/>
        <v>0</v>
      </c>
      <c r="U175" s="1708"/>
      <c r="V175" s="1708"/>
      <c r="W175" s="1708"/>
      <c r="X175" s="1709"/>
      <c r="Y175" s="1701">
        <v>2</v>
      </c>
      <c r="Z175" s="1708"/>
      <c r="AA175" s="1708"/>
      <c r="AB175" s="1708"/>
      <c r="AC175" s="1709"/>
      <c r="AD175" s="1709"/>
      <c r="AE175" s="1709"/>
      <c r="AF175" s="1709"/>
      <c r="AG175" s="1709"/>
      <c r="AH175" s="1709"/>
      <c r="AI175" s="1709"/>
      <c r="AJ175" s="1709"/>
      <c r="AK175" s="1710">
        <v>1</v>
      </c>
      <c r="AL175" s="1709"/>
      <c r="AM175" s="1709"/>
      <c r="AN175" s="1709"/>
      <c r="AO175" s="1709"/>
      <c r="AP175" s="1709"/>
      <c r="AQ175" s="1709"/>
      <c r="AR175" s="1709"/>
      <c r="AS175" s="1709">
        <f t="shared" si="24"/>
        <v>0</v>
      </c>
      <c r="AT175" s="1709"/>
      <c r="AU175" s="1709"/>
      <c r="AV175" s="1711"/>
      <c r="AW175" s="1711"/>
      <c r="AX175" s="1701">
        <v>2</v>
      </c>
      <c r="AY175" s="1711"/>
      <c r="AZ175" s="1711"/>
      <c r="BA175" s="1711"/>
      <c r="BB175" s="1711"/>
      <c r="BC175" s="1712" t="s">
        <v>1863</v>
      </c>
      <c r="BD175" s="1713"/>
    </row>
    <row r="176" spans="1:58" ht="60" customHeight="1">
      <c r="A176" s="1533">
        <v>14</v>
      </c>
      <c r="B176" s="1534" t="s">
        <v>1918</v>
      </c>
      <c r="C176" s="1534" t="s">
        <v>929</v>
      </c>
      <c r="D176" s="1526" t="s">
        <v>1845</v>
      </c>
      <c r="E176" s="1511"/>
      <c r="F176" s="1511"/>
      <c r="G176" s="1511"/>
      <c r="H176" s="1511"/>
      <c r="I176" s="1693"/>
      <c r="J176" s="1693"/>
      <c r="K176" s="1511"/>
      <c r="L176" s="1511"/>
      <c r="M176" s="1511"/>
      <c r="N176" s="1511"/>
      <c r="O176" s="1707" t="s">
        <v>1917</v>
      </c>
      <c r="P176" s="1678">
        <v>0</v>
      </c>
      <c r="Q176" s="1678">
        <v>0</v>
      </c>
      <c r="R176" s="1678">
        <v>0</v>
      </c>
      <c r="S176" s="1678">
        <v>0</v>
      </c>
      <c r="T176" s="1678">
        <f t="shared" si="23"/>
        <v>0</v>
      </c>
      <c r="U176" s="1678">
        <v>0</v>
      </c>
      <c r="V176" s="1678">
        <v>0</v>
      </c>
      <c r="W176" s="1678"/>
      <c r="X176" s="1511"/>
      <c r="Y176" s="1679"/>
      <c r="Z176" s="1678">
        <v>0</v>
      </c>
      <c r="AA176" s="1678">
        <v>0</v>
      </c>
      <c r="AB176" s="1678">
        <v>0</v>
      </c>
      <c r="AC176" s="1511"/>
      <c r="AD176" s="1511"/>
      <c r="AE176" s="1511"/>
      <c r="AF176" s="1511"/>
      <c r="AG176" s="1511"/>
      <c r="AH176" s="1511"/>
      <c r="AI176" s="1511"/>
      <c r="AJ176" s="1511"/>
      <c r="AK176" s="1511"/>
      <c r="AL176" s="1511"/>
      <c r="AM176" s="1511"/>
      <c r="AN176" s="1511"/>
      <c r="AO176" s="1511"/>
      <c r="AP176" s="1511"/>
      <c r="AQ176" s="1511"/>
      <c r="AR176" s="1511"/>
      <c r="AS176" s="1511">
        <f t="shared" si="24"/>
        <v>0</v>
      </c>
      <c r="AT176" s="1511"/>
      <c r="AU176" s="1511"/>
      <c r="AV176" s="1688"/>
      <c r="AW176" s="1688"/>
      <c r="AX176" s="1688"/>
      <c r="AY176" s="1688"/>
      <c r="AZ176" s="1688"/>
      <c r="BA176" s="1688"/>
      <c r="BB176" s="1688"/>
      <c r="BC176" s="1688" t="s">
        <v>1863</v>
      </c>
      <c r="BD176" s="1688" t="s">
        <v>935</v>
      </c>
      <c r="BF176" s="1317"/>
    </row>
    <row r="177" spans="1:58" ht="29" outlineLevel="1">
      <c r="A177" s="1491">
        <v>14.1</v>
      </c>
      <c r="B177" s="1530" t="s">
        <v>1919</v>
      </c>
      <c r="C177" s="1578" t="s">
        <v>936</v>
      </c>
      <c r="D177" s="1526" t="s">
        <v>1845</v>
      </c>
      <c r="E177" s="1579"/>
      <c r="F177" s="1334"/>
      <c r="G177" s="1408">
        <v>1.38</v>
      </c>
      <c r="H177" s="577"/>
      <c r="I177" s="1315"/>
      <c r="J177" s="1315"/>
      <c r="K177" s="1402"/>
      <c r="L177" s="1337"/>
      <c r="M177" s="1337"/>
      <c r="N177" s="1339"/>
      <c r="O177" s="1511"/>
      <c r="P177" s="1678">
        <v>0</v>
      </c>
      <c r="Q177" s="1678">
        <v>0</v>
      </c>
      <c r="R177" s="1678">
        <v>0</v>
      </c>
      <c r="S177" s="1678">
        <v>0</v>
      </c>
      <c r="T177" s="1678">
        <f t="shared" si="23"/>
        <v>0</v>
      </c>
      <c r="U177" s="1678">
        <v>0</v>
      </c>
      <c r="V177" s="1678">
        <v>0</v>
      </c>
      <c r="W177" s="1678">
        <v>0</v>
      </c>
      <c r="X177" s="1408">
        <v>1.38</v>
      </c>
      <c r="Y177" s="1678">
        <v>0</v>
      </c>
      <c r="Z177" s="1678">
        <v>0</v>
      </c>
      <c r="AA177" s="1678">
        <v>0</v>
      </c>
      <c r="AB177" s="1678">
        <v>0</v>
      </c>
      <c r="AC177" s="1511"/>
      <c r="AD177" s="1511"/>
      <c r="AE177" s="1511"/>
      <c r="AF177" s="1511"/>
      <c r="AG177" s="1511"/>
      <c r="AH177" s="1511"/>
      <c r="AI177" s="1511"/>
      <c r="AJ177" s="1580">
        <v>1</v>
      </c>
      <c r="AK177" s="1511"/>
      <c r="AL177" s="1511"/>
      <c r="AM177" s="1511"/>
      <c r="AN177" s="1511"/>
      <c r="AO177" s="1511"/>
      <c r="AP177" s="1511"/>
      <c r="AQ177" s="1511"/>
      <c r="AR177" s="1511"/>
      <c r="AS177" s="1511">
        <f t="shared" si="24"/>
        <v>0</v>
      </c>
      <c r="AT177" s="1511"/>
      <c r="AU177" s="1511"/>
      <c r="AV177" s="1688"/>
      <c r="AW177" s="1409">
        <v>1.38</v>
      </c>
      <c r="AX177" s="1688"/>
      <c r="AY177" s="1688"/>
      <c r="AZ177" s="1688"/>
      <c r="BA177" s="1688"/>
      <c r="BB177" s="1688"/>
      <c r="BC177" s="1369" t="s">
        <v>1863</v>
      </c>
      <c r="BD177" s="1595" t="s">
        <v>935</v>
      </c>
    </row>
    <row r="178" spans="1:58" ht="130.5" outlineLevel="1">
      <c r="A178" s="1491">
        <v>14.2</v>
      </c>
      <c r="B178" s="1530" t="s">
        <v>1920</v>
      </c>
      <c r="C178" s="1578" t="s">
        <v>936</v>
      </c>
      <c r="D178" s="1526" t="s">
        <v>1845</v>
      </c>
      <c r="E178" s="1579"/>
      <c r="F178" s="1334"/>
      <c r="G178" s="1408">
        <v>3.3</v>
      </c>
      <c r="H178" s="577"/>
      <c r="I178" s="1315"/>
      <c r="J178" s="1315"/>
      <c r="K178" s="1402"/>
      <c r="L178" s="1337"/>
      <c r="M178" s="1337"/>
      <c r="N178" s="1339"/>
      <c r="O178" s="1393" t="s">
        <v>1921</v>
      </c>
      <c r="P178" s="1678">
        <v>0</v>
      </c>
      <c r="Q178" s="1678">
        <v>0</v>
      </c>
      <c r="R178" s="1678">
        <v>0</v>
      </c>
      <c r="S178" s="1678">
        <v>0</v>
      </c>
      <c r="T178" s="1678">
        <f t="shared" si="23"/>
        <v>0</v>
      </c>
      <c r="U178" s="1678">
        <v>0</v>
      </c>
      <c r="V178" s="1678">
        <v>0</v>
      </c>
      <c r="W178" s="1678">
        <v>0</v>
      </c>
      <c r="X178" s="1408">
        <v>3.3</v>
      </c>
      <c r="Y178" s="1678">
        <v>0</v>
      </c>
      <c r="Z178" s="1678">
        <v>0</v>
      </c>
      <c r="AA178" s="1678">
        <v>0</v>
      </c>
      <c r="AB178" s="1678">
        <v>0</v>
      </c>
      <c r="AC178" s="1511"/>
      <c r="AD178" s="1511"/>
      <c r="AE178" s="1511"/>
      <c r="AF178" s="1511"/>
      <c r="AG178" s="1511"/>
      <c r="AH178" s="1511"/>
      <c r="AI178" s="1511"/>
      <c r="AJ178" s="1580">
        <v>1</v>
      </c>
      <c r="AK178" s="1511"/>
      <c r="AL178" s="1511"/>
      <c r="AM178" s="1511"/>
      <c r="AN178" s="1511"/>
      <c r="AO178" s="1511"/>
      <c r="AP178" s="1511"/>
      <c r="AQ178" s="1511"/>
      <c r="AR178" s="1511"/>
      <c r="AS178" s="1511">
        <f t="shared" si="24"/>
        <v>0</v>
      </c>
      <c r="AT178" s="1511"/>
      <c r="AU178" s="1511"/>
      <c r="AV178" s="1688"/>
      <c r="AW178" s="1409">
        <v>3.3</v>
      </c>
      <c r="AX178" s="1688"/>
      <c r="AY178" s="1688"/>
      <c r="AZ178" s="1688"/>
      <c r="BA178" s="1688"/>
      <c r="BB178" s="1688"/>
      <c r="BC178" s="1369" t="s">
        <v>1863</v>
      </c>
      <c r="BD178" s="1595" t="s">
        <v>935</v>
      </c>
    </row>
    <row r="179" spans="1:58" ht="87" outlineLevel="1">
      <c r="A179" s="1491">
        <v>14.3</v>
      </c>
      <c r="B179" s="1530" t="s">
        <v>1922</v>
      </c>
      <c r="C179" s="1578" t="s">
        <v>936</v>
      </c>
      <c r="D179" s="1526" t="s">
        <v>1845</v>
      </c>
      <c r="E179" s="1579"/>
      <c r="F179" s="1334"/>
      <c r="G179" s="1408">
        <v>3.32</v>
      </c>
      <c r="H179" s="577"/>
      <c r="I179" s="1315"/>
      <c r="J179" s="1315"/>
      <c r="K179" s="1402"/>
      <c r="L179" s="1337"/>
      <c r="M179" s="1337"/>
      <c r="N179" s="1339"/>
      <c r="O179" s="1393" t="s">
        <v>1923</v>
      </c>
      <c r="P179" s="1678">
        <v>0</v>
      </c>
      <c r="Q179" s="1678">
        <v>0</v>
      </c>
      <c r="R179" s="1678">
        <v>0</v>
      </c>
      <c r="S179" s="1678">
        <v>0</v>
      </c>
      <c r="T179" s="1678">
        <f t="shared" si="23"/>
        <v>0</v>
      </c>
      <c r="U179" s="1678">
        <v>0</v>
      </c>
      <c r="V179" s="1678">
        <v>0</v>
      </c>
      <c r="W179" s="1678">
        <v>0</v>
      </c>
      <c r="X179" s="1408">
        <v>3.32</v>
      </c>
      <c r="Y179" s="1678">
        <v>0</v>
      </c>
      <c r="Z179" s="1678">
        <v>0</v>
      </c>
      <c r="AA179" s="1678">
        <v>0</v>
      </c>
      <c r="AB179" s="1678">
        <v>0</v>
      </c>
      <c r="AC179" s="1511"/>
      <c r="AD179" s="1511"/>
      <c r="AE179" s="1511"/>
      <c r="AF179" s="1511"/>
      <c r="AG179" s="1511"/>
      <c r="AH179" s="1511"/>
      <c r="AI179" s="1511"/>
      <c r="AJ179" s="1580">
        <v>1</v>
      </c>
      <c r="AK179" s="1511"/>
      <c r="AL179" s="1511"/>
      <c r="AM179" s="1511"/>
      <c r="AN179" s="1511"/>
      <c r="AO179" s="1511"/>
      <c r="AP179" s="1511"/>
      <c r="AQ179" s="1511"/>
      <c r="AR179" s="1511"/>
      <c r="AS179" s="1511">
        <f t="shared" si="24"/>
        <v>0</v>
      </c>
      <c r="AT179" s="1511"/>
      <c r="AU179" s="1511"/>
      <c r="AV179" s="1688"/>
      <c r="AW179" s="1409">
        <v>3.32</v>
      </c>
      <c r="AX179" s="1688"/>
      <c r="AY179" s="1688"/>
      <c r="AZ179" s="1688"/>
      <c r="BA179" s="1688"/>
      <c r="BB179" s="1688"/>
      <c r="BC179" s="1369" t="s">
        <v>1863</v>
      </c>
      <c r="BD179" s="1595" t="s">
        <v>935</v>
      </c>
    </row>
    <row r="180" spans="1:58" ht="116" outlineLevel="1">
      <c r="A180" s="1491">
        <v>14.4</v>
      </c>
      <c r="B180" s="1530" t="s">
        <v>1924</v>
      </c>
      <c r="C180" s="1578" t="s">
        <v>936</v>
      </c>
      <c r="D180" s="1526" t="s">
        <v>1845</v>
      </c>
      <c r="E180" s="1579"/>
      <c r="F180" s="1334"/>
      <c r="G180" s="1408">
        <v>4.0199999999999996</v>
      </c>
      <c r="H180" s="577"/>
      <c r="I180" s="1315"/>
      <c r="J180" s="1315"/>
      <c r="K180" s="1402"/>
      <c r="L180" s="1337"/>
      <c r="M180" s="1337"/>
      <c r="N180" s="1339"/>
      <c r="O180" s="1393" t="s">
        <v>1925</v>
      </c>
      <c r="P180" s="1678">
        <v>0</v>
      </c>
      <c r="Q180" s="1678">
        <v>0</v>
      </c>
      <c r="R180" s="1678">
        <v>0</v>
      </c>
      <c r="S180" s="1678">
        <v>0</v>
      </c>
      <c r="T180" s="1678">
        <f t="shared" si="23"/>
        <v>0</v>
      </c>
      <c r="U180" s="1678">
        <v>0</v>
      </c>
      <c r="V180" s="1678">
        <v>0</v>
      </c>
      <c r="W180" s="1678">
        <v>0</v>
      </c>
      <c r="X180" s="1408">
        <v>4.0199999999999996</v>
      </c>
      <c r="Y180" s="1678">
        <v>0</v>
      </c>
      <c r="Z180" s="1678">
        <v>0</v>
      </c>
      <c r="AA180" s="1678">
        <v>0</v>
      </c>
      <c r="AB180" s="1678">
        <v>0</v>
      </c>
      <c r="AC180" s="1511"/>
      <c r="AD180" s="1511"/>
      <c r="AE180" s="1511"/>
      <c r="AF180" s="1511"/>
      <c r="AG180" s="1511"/>
      <c r="AH180" s="1511"/>
      <c r="AI180" s="1511"/>
      <c r="AJ180" s="1580">
        <v>1</v>
      </c>
      <c r="AK180" s="1511"/>
      <c r="AL180" s="1511"/>
      <c r="AM180" s="1511"/>
      <c r="AN180" s="1511"/>
      <c r="AO180" s="1511"/>
      <c r="AP180" s="1511"/>
      <c r="AQ180" s="1511"/>
      <c r="AR180" s="1511"/>
      <c r="AS180" s="1511">
        <f t="shared" si="24"/>
        <v>0</v>
      </c>
      <c r="AT180" s="1511"/>
      <c r="AU180" s="1511"/>
      <c r="AV180" s="1688"/>
      <c r="AW180" s="1409">
        <v>4.0199999999999996</v>
      </c>
      <c r="AX180" s="1688"/>
      <c r="AY180" s="1688"/>
      <c r="AZ180" s="1688"/>
      <c r="BA180" s="1688"/>
      <c r="BB180" s="1688"/>
      <c r="BC180" s="1369" t="s">
        <v>1863</v>
      </c>
      <c r="BD180" s="1595" t="s">
        <v>935</v>
      </c>
    </row>
    <row r="181" spans="1:58" ht="72.5" outlineLevel="1">
      <c r="A181" s="1491">
        <v>14.5</v>
      </c>
      <c r="B181" s="1530" t="s">
        <v>1926</v>
      </c>
      <c r="C181" s="1578" t="s">
        <v>936</v>
      </c>
      <c r="D181" s="1526" t="s">
        <v>1845</v>
      </c>
      <c r="E181" s="1579"/>
      <c r="F181" s="1334"/>
      <c r="G181" s="1408">
        <v>10</v>
      </c>
      <c r="H181" s="1408"/>
      <c r="I181" s="1379"/>
      <c r="J181" s="1379"/>
      <c r="K181" s="1402"/>
      <c r="L181" s="1337"/>
      <c r="M181" s="1337"/>
      <c r="N181" s="1339"/>
      <c r="O181" s="1393" t="s">
        <v>1927</v>
      </c>
      <c r="P181" s="1678">
        <v>0</v>
      </c>
      <c r="Q181" s="1678">
        <v>0</v>
      </c>
      <c r="R181" s="1678">
        <v>0</v>
      </c>
      <c r="S181" s="1678">
        <v>0</v>
      </c>
      <c r="T181" s="1678">
        <f t="shared" si="23"/>
        <v>0</v>
      </c>
      <c r="U181" s="1678">
        <v>0</v>
      </c>
      <c r="V181" s="1678">
        <v>0</v>
      </c>
      <c r="W181" s="1678">
        <v>0</v>
      </c>
      <c r="X181" s="1678">
        <v>0</v>
      </c>
      <c r="Y181" s="1408">
        <v>10</v>
      </c>
      <c r="Z181" s="1678">
        <v>0</v>
      </c>
      <c r="AA181" s="1678">
        <v>0</v>
      </c>
      <c r="AB181" s="1678">
        <v>0</v>
      </c>
      <c r="AC181" s="1511"/>
      <c r="AD181" s="1511"/>
      <c r="AE181" s="1511"/>
      <c r="AF181" s="1511"/>
      <c r="AG181" s="1511"/>
      <c r="AH181" s="1511"/>
      <c r="AI181" s="1511"/>
      <c r="AJ181" s="1511"/>
      <c r="AK181" s="1580">
        <v>1</v>
      </c>
      <c r="AL181" s="1511"/>
      <c r="AM181" s="1511"/>
      <c r="AN181" s="1511"/>
      <c r="AO181" s="1511"/>
      <c r="AP181" s="1511"/>
      <c r="AQ181" s="1511"/>
      <c r="AR181" s="1511"/>
      <c r="AS181" s="1511">
        <f t="shared" si="24"/>
        <v>0</v>
      </c>
      <c r="AT181" s="1511"/>
      <c r="AU181" s="1511"/>
      <c r="AV181" s="1688"/>
      <c r="AW181" s="1688"/>
      <c r="AX181" s="1409">
        <v>10</v>
      </c>
      <c r="AY181" s="1688"/>
      <c r="AZ181" s="1688"/>
      <c r="BA181" s="1688"/>
      <c r="BB181" s="1688"/>
      <c r="BC181" s="1369" t="s">
        <v>1863</v>
      </c>
      <c r="BD181" s="1595" t="s">
        <v>935</v>
      </c>
    </row>
    <row r="182" spans="1:58" ht="93" outlineLevel="1">
      <c r="A182" s="1491">
        <v>14.6</v>
      </c>
      <c r="B182" s="1530" t="s">
        <v>1928</v>
      </c>
      <c r="C182" s="1578" t="s">
        <v>936</v>
      </c>
      <c r="D182" s="1526" t="s">
        <v>1845</v>
      </c>
      <c r="E182" s="1579"/>
      <c r="F182" s="1334"/>
      <c r="G182" s="1408">
        <v>8</v>
      </c>
      <c r="H182" s="1408"/>
      <c r="I182" s="1379"/>
      <c r="J182" s="1379"/>
      <c r="K182" s="1402"/>
      <c r="L182" s="1337"/>
      <c r="M182" s="1337"/>
      <c r="N182" s="1339"/>
      <c r="O182" s="1418" t="s">
        <v>1929</v>
      </c>
      <c r="P182" s="1678">
        <v>0</v>
      </c>
      <c r="Q182" s="1678">
        <v>0</v>
      </c>
      <c r="R182" s="1678">
        <v>0</v>
      </c>
      <c r="S182" s="1678">
        <v>0</v>
      </c>
      <c r="T182" s="1678">
        <f t="shared" si="23"/>
        <v>0</v>
      </c>
      <c r="U182" s="1678">
        <v>0</v>
      </c>
      <c r="V182" s="1678">
        <v>0</v>
      </c>
      <c r="W182" s="1678">
        <v>0</v>
      </c>
      <c r="X182" s="1678">
        <v>0</v>
      </c>
      <c r="Y182" s="1408">
        <v>8</v>
      </c>
      <c r="Z182" s="1678">
        <v>0</v>
      </c>
      <c r="AA182" s="1678">
        <v>0</v>
      </c>
      <c r="AB182" s="1678">
        <v>0</v>
      </c>
      <c r="AC182" s="1511"/>
      <c r="AD182" s="1511"/>
      <c r="AE182" s="1511"/>
      <c r="AF182" s="1511"/>
      <c r="AG182" s="1511"/>
      <c r="AH182" s="1511"/>
      <c r="AI182" s="1511"/>
      <c r="AJ182" s="1511"/>
      <c r="AK182" s="1580">
        <v>1</v>
      </c>
      <c r="AL182" s="1511"/>
      <c r="AM182" s="1511"/>
      <c r="AN182" s="1511"/>
      <c r="AO182" s="1511"/>
      <c r="AP182" s="1511"/>
      <c r="AQ182" s="1511"/>
      <c r="AR182" s="1511"/>
      <c r="AS182" s="1511">
        <f t="shared" si="24"/>
        <v>0</v>
      </c>
      <c r="AT182" s="1511"/>
      <c r="AU182" s="1511"/>
      <c r="AV182" s="1688"/>
      <c r="AW182" s="1688"/>
      <c r="AX182" s="1409">
        <v>8</v>
      </c>
      <c r="AY182" s="1688"/>
      <c r="AZ182" s="1688"/>
      <c r="BA182" s="1688"/>
      <c r="BB182" s="1688"/>
      <c r="BC182" s="1369" t="s">
        <v>1863</v>
      </c>
      <c r="BD182" s="1595" t="s">
        <v>935</v>
      </c>
    </row>
    <row r="183" spans="1:58" ht="87" outlineLevel="1">
      <c r="A183" s="1491">
        <v>14.7</v>
      </c>
      <c r="B183" s="1530" t="s">
        <v>1930</v>
      </c>
      <c r="C183" s="1578" t="s">
        <v>936</v>
      </c>
      <c r="D183" s="1526" t="s">
        <v>1845</v>
      </c>
      <c r="E183" s="1579"/>
      <c r="F183" s="1334"/>
      <c r="G183" s="1408">
        <v>3</v>
      </c>
      <c r="H183" s="1408"/>
      <c r="I183" s="1379"/>
      <c r="J183" s="1379"/>
      <c r="K183" s="1402"/>
      <c r="L183" s="1337"/>
      <c r="M183" s="1337"/>
      <c r="N183" s="1339"/>
      <c r="O183" s="1393" t="s">
        <v>1931</v>
      </c>
      <c r="P183" s="1678">
        <v>0</v>
      </c>
      <c r="Q183" s="1678">
        <v>0</v>
      </c>
      <c r="R183" s="1678">
        <v>0</v>
      </c>
      <c r="S183" s="1678">
        <v>0</v>
      </c>
      <c r="T183" s="1678">
        <f t="shared" si="23"/>
        <v>0</v>
      </c>
      <c r="U183" s="1678">
        <v>0</v>
      </c>
      <c r="V183" s="1678">
        <v>0</v>
      </c>
      <c r="W183" s="1678">
        <v>0</v>
      </c>
      <c r="X183" s="1678">
        <v>0</v>
      </c>
      <c r="Y183" s="1408">
        <v>3</v>
      </c>
      <c r="Z183" s="1678">
        <v>0</v>
      </c>
      <c r="AA183" s="1678">
        <v>0</v>
      </c>
      <c r="AB183" s="1678">
        <v>0</v>
      </c>
      <c r="AC183" s="1511"/>
      <c r="AD183" s="1511"/>
      <c r="AE183" s="1511"/>
      <c r="AF183" s="1511"/>
      <c r="AG183" s="1511"/>
      <c r="AH183" s="1511"/>
      <c r="AI183" s="1511"/>
      <c r="AJ183" s="1511"/>
      <c r="AK183" s="1580">
        <v>1</v>
      </c>
      <c r="AL183" s="1511"/>
      <c r="AM183" s="1511"/>
      <c r="AN183" s="1511"/>
      <c r="AO183" s="1511"/>
      <c r="AP183" s="1511"/>
      <c r="AQ183" s="1511"/>
      <c r="AR183" s="1511"/>
      <c r="AS183" s="1511">
        <f t="shared" si="24"/>
        <v>0</v>
      </c>
      <c r="AT183" s="1511"/>
      <c r="AU183" s="1511"/>
      <c r="AV183" s="1688"/>
      <c r="AW183" s="1688"/>
      <c r="AX183" s="1409">
        <v>3</v>
      </c>
      <c r="AY183" s="1688"/>
      <c r="AZ183" s="1688"/>
      <c r="BA183" s="1688"/>
      <c r="BB183" s="1688"/>
      <c r="BC183" s="1369" t="s">
        <v>1863</v>
      </c>
      <c r="BD183" s="1595" t="s">
        <v>935</v>
      </c>
    </row>
    <row r="184" spans="1:58" ht="87" outlineLevel="1">
      <c r="A184" s="1491">
        <v>14.8</v>
      </c>
      <c r="B184" s="1530" t="s">
        <v>1932</v>
      </c>
      <c r="C184" s="1578" t="s">
        <v>936</v>
      </c>
      <c r="D184" s="1526" t="s">
        <v>1845</v>
      </c>
      <c r="E184" s="1579"/>
      <c r="F184" s="1334"/>
      <c r="G184" s="1408">
        <v>15</v>
      </c>
      <c r="H184" s="1408"/>
      <c r="I184" s="1379"/>
      <c r="J184" s="1379"/>
      <c r="K184" s="1402"/>
      <c r="L184" s="1337"/>
      <c r="M184" s="1337"/>
      <c r="N184" s="1339"/>
      <c r="O184" s="1393" t="s">
        <v>1931</v>
      </c>
      <c r="P184" s="1678">
        <v>0</v>
      </c>
      <c r="Q184" s="1678">
        <v>0</v>
      </c>
      <c r="R184" s="1678">
        <v>0</v>
      </c>
      <c r="S184" s="1678">
        <v>0</v>
      </c>
      <c r="T184" s="1678">
        <f t="shared" si="23"/>
        <v>0</v>
      </c>
      <c r="U184" s="1678">
        <v>0</v>
      </c>
      <c r="V184" s="1678">
        <v>0</v>
      </c>
      <c r="W184" s="1678">
        <v>0</v>
      </c>
      <c r="X184" s="1678">
        <v>0</v>
      </c>
      <c r="Y184" s="1408">
        <v>15</v>
      </c>
      <c r="Z184" s="1678">
        <v>0</v>
      </c>
      <c r="AA184" s="1678">
        <v>0</v>
      </c>
      <c r="AB184" s="1678">
        <v>0</v>
      </c>
      <c r="AC184" s="1511"/>
      <c r="AD184" s="1511"/>
      <c r="AE184" s="1511"/>
      <c r="AF184" s="1511"/>
      <c r="AG184" s="1511"/>
      <c r="AH184" s="1511"/>
      <c r="AI184" s="1511"/>
      <c r="AJ184" s="1511"/>
      <c r="AK184" s="1580">
        <v>1</v>
      </c>
      <c r="AL184" s="1511"/>
      <c r="AM184" s="1511"/>
      <c r="AN184" s="1511"/>
      <c r="AO184" s="1511"/>
      <c r="AP184" s="1511"/>
      <c r="AQ184" s="1511"/>
      <c r="AR184" s="1511"/>
      <c r="AS184" s="1511">
        <f t="shared" si="24"/>
        <v>0</v>
      </c>
      <c r="AT184" s="1511"/>
      <c r="AU184" s="1511"/>
      <c r="AV184" s="1688"/>
      <c r="AW184" s="1688"/>
      <c r="AX184" s="1409">
        <v>15</v>
      </c>
      <c r="AY184" s="1688"/>
      <c r="AZ184" s="1688"/>
      <c r="BA184" s="1688"/>
      <c r="BB184" s="1688"/>
      <c r="BC184" s="1369" t="s">
        <v>1863</v>
      </c>
      <c r="BD184" s="1595" t="s">
        <v>935</v>
      </c>
    </row>
    <row r="185" spans="1:58" ht="77.5" outlineLevel="1">
      <c r="A185" s="1491">
        <v>14.9</v>
      </c>
      <c r="B185" s="1530" t="s">
        <v>1933</v>
      </c>
      <c r="C185" s="1578" t="s">
        <v>936</v>
      </c>
      <c r="D185" s="1526" t="s">
        <v>1845</v>
      </c>
      <c r="E185" s="1579"/>
      <c r="F185" s="1334"/>
      <c r="G185" s="1408">
        <v>4</v>
      </c>
      <c r="H185" s="1408"/>
      <c r="I185" s="1379"/>
      <c r="J185" s="1379"/>
      <c r="K185" s="1402"/>
      <c r="L185" s="1337"/>
      <c r="M185" s="1337"/>
      <c r="N185" s="1339"/>
      <c r="O185" s="1419" t="s">
        <v>1934</v>
      </c>
      <c r="P185" s="1678">
        <v>0</v>
      </c>
      <c r="Q185" s="1678">
        <v>0</v>
      </c>
      <c r="R185" s="1678">
        <v>0</v>
      </c>
      <c r="S185" s="1678">
        <v>0</v>
      </c>
      <c r="T185" s="1678">
        <f t="shared" si="23"/>
        <v>0</v>
      </c>
      <c r="U185" s="1678">
        <v>0</v>
      </c>
      <c r="V185" s="1678">
        <v>0</v>
      </c>
      <c r="W185" s="1678">
        <v>0</v>
      </c>
      <c r="X185" s="1678">
        <v>0</v>
      </c>
      <c r="Y185" s="1408">
        <v>4</v>
      </c>
      <c r="Z185" s="1678">
        <v>0</v>
      </c>
      <c r="AA185" s="1678">
        <v>0</v>
      </c>
      <c r="AB185" s="1678">
        <v>0</v>
      </c>
      <c r="AC185" s="1511"/>
      <c r="AD185" s="1511"/>
      <c r="AE185" s="1511"/>
      <c r="AF185" s="1511"/>
      <c r="AG185" s="1511"/>
      <c r="AH185" s="1511"/>
      <c r="AI185" s="1511"/>
      <c r="AJ185" s="1511"/>
      <c r="AK185" s="1580">
        <v>1</v>
      </c>
      <c r="AL185" s="1511"/>
      <c r="AM185" s="1511"/>
      <c r="AN185" s="1511"/>
      <c r="AO185" s="1511"/>
      <c r="AP185" s="1511"/>
      <c r="AQ185" s="1511"/>
      <c r="AR185" s="1511"/>
      <c r="AS185" s="1511">
        <f t="shared" si="24"/>
        <v>0</v>
      </c>
      <c r="AT185" s="1511"/>
      <c r="AU185" s="1511"/>
      <c r="AV185" s="1688"/>
      <c r="AW185" s="1688"/>
      <c r="AX185" s="1409">
        <v>4</v>
      </c>
      <c r="AY185" s="1688"/>
      <c r="AZ185" s="1688"/>
      <c r="BA185" s="1688"/>
      <c r="BB185" s="1688"/>
      <c r="BC185" s="1369" t="s">
        <v>1863</v>
      </c>
      <c r="BD185" s="1595" t="s">
        <v>935</v>
      </c>
    </row>
    <row r="186" spans="1:58" ht="60" customHeight="1">
      <c r="A186" s="1533">
        <v>15</v>
      </c>
      <c r="B186" s="1534" t="s">
        <v>1935</v>
      </c>
      <c r="C186" s="1534" t="s">
        <v>929</v>
      </c>
      <c r="D186" s="1526" t="s">
        <v>1845</v>
      </c>
      <c r="E186" s="1511"/>
      <c r="F186" s="1511"/>
      <c r="G186" s="1511"/>
      <c r="H186" s="1511"/>
      <c r="I186" s="1693"/>
      <c r="J186" s="1693"/>
      <c r="K186" s="1511"/>
      <c r="L186" s="1511"/>
      <c r="M186" s="1511"/>
      <c r="N186" s="1511"/>
      <c r="O186" s="1419" t="s">
        <v>1936</v>
      </c>
      <c r="P186" s="1678">
        <v>0</v>
      </c>
      <c r="Q186" s="1678">
        <v>0</v>
      </c>
      <c r="R186" s="1678">
        <v>0</v>
      </c>
      <c r="S186" s="1678">
        <v>0</v>
      </c>
      <c r="T186" s="1678">
        <f t="shared" si="23"/>
        <v>0</v>
      </c>
      <c r="U186" s="1678">
        <v>0</v>
      </c>
      <c r="V186" s="1678">
        <v>0</v>
      </c>
      <c r="W186" s="1678">
        <v>0</v>
      </c>
      <c r="X186" s="1678">
        <v>0</v>
      </c>
      <c r="Y186" s="1678">
        <v>0</v>
      </c>
      <c r="Z186" s="1678">
        <v>0</v>
      </c>
      <c r="AA186" s="1678">
        <v>0</v>
      </c>
      <c r="AB186" s="1678">
        <v>0</v>
      </c>
      <c r="AC186" s="1511"/>
      <c r="AD186" s="1511"/>
      <c r="AE186" s="1511"/>
      <c r="AF186" s="1511"/>
      <c r="AG186" s="1511"/>
      <c r="AH186" s="1511"/>
      <c r="AI186" s="1511"/>
      <c r="AJ186" s="1511"/>
      <c r="AK186" s="1511"/>
      <c r="AL186" s="1511"/>
      <c r="AM186" s="1511"/>
      <c r="AN186" s="1511"/>
      <c r="AO186" s="1511"/>
      <c r="AP186" s="1511"/>
      <c r="AQ186" s="1511"/>
      <c r="AR186" s="1511"/>
      <c r="AS186" s="1511">
        <f t="shared" si="24"/>
        <v>0</v>
      </c>
      <c r="AT186" s="1511"/>
      <c r="AU186" s="1511"/>
      <c r="AV186" s="1688"/>
      <c r="AW186" s="1688"/>
      <c r="AX186" s="1688"/>
      <c r="AY186" s="1688"/>
      <c r="AZ186" s="1688"/>
      <c r="BA186" s="1688"/>
      <c r="BB186" s="1688"/>
      <c r="BC186" s="1688" t="s">
        <v>1863</v>
      </c>
      <c r="BD186" s="1688" t="s">
        <v>935</v>
      </c>
      <c r="BF186" s="1317"/>
    </row>
    <row r="187" spans="1:58" outlineLevel="1">
      <c r="A187" s="1491">
        <v>15.1</v>
      </c>
      <c r="B187" s="1530" t="s">
        <v>1937</v>
      </c>
      <c r="C187" s="1578" t="s">
        <v>936</v>
      </c>
      <c r="D187" s="1526" t="s">
        <v>1845</v>
      </c>
      <c r="E187" s="1579"/>
      <c r="F187" s="1334"/>
      <c r="G187" s="1408">
        <v>3</v>
      </c>
      <c r="H187" s="1408"/>
      <c r="I187" s="1379"/>
      <c r="J187" s="1379"/>
      <c r="K187" s="1402"/>
      <c r="L187" s="1337"/>
      <c r="M187" s="1337"/>
      <c r="N187" s="1339"/>
      <c r="O187" s="1511"/>
      <c r="P187" s="1678">
        <v>0</v>
      </c>
      <c r="Q187" s="1678">
        <v>0</v>
      </c>
      <c r="R187" s="1678">
        <v>0</v>
      </c>
      <c r="S187" s="1678">
        <v>0</v>
      </c>
      <c r="T187" s="1678">
        <f t="shared" si="23"/>
        <v>0</v>
      </c>
      <c r="U187" s="1678">
        <v>0</v>
      </c>
      <c r="V187" s="1678">
        <v>0</v>
      </c>
      <c r="W187" s="1678">
        <v>0</v>
      </c>
      <c r="X187" s="1678">
        <v>0</v>
      </c>
      <c r="Y187" s="1678">
        <v>0</v>
      </c>
      <c r="Z187" s="1408">
        <v>3</v>
      </c>
      <c r="AA187" s="1678">
        <v>0</v>
      </c>
      <c r="AB187" s="1678">
        <v>0</v>
      </c>
      <c r="AC187" s="1511"/>
      <c r="AD187" s="1511"/>
      <c r="AE187" s="1511"/>
      <c r="AF187" s="1511"/>
      <c r="AG187" s="1511"/>
      <c r="AH187" s="1511"/>
      <c r="AI187" s="1511"/>
      <c r="AJ187" s="1511"/>
      <c r="AK187" s="1511"/>
      <c r="AL187" s="1580">
        <v>1</v>
      </c>
      <c r="AM187" s="1511"/>
      <c r="AN187" s="1511"/>
      <c r="AO187" s="1511"/>
      <c r="AP187" s="1511"/>
      <c r="AQ187" s="1511"/>
      <c r="AR187" s="1511"/>
      <c r="AS187" s="1511">
        <f t="shared" si="24"/>
        <v>0</v>
      </c>
      <c r="AT187" s="1511"/>
      <c r="AU187" s="1511"/>
      <c r="AV187" s="1688"/>
      <c r="AW187" s="1688"/>
      <c r="AX187" s="1688"/>
      <c r="AY187" s="1409">
        <v>3</v>
      </c>
      <c r="AZ187" s="1688"/>
      <c r="BA187" s="1688"/>
      <c r="BB187" s="1688"/>
      <c r="BC187" s="1369" t="s">
        <v>1863</v>
      </c>
      <c r="BD187" s="1595" t="s">
        <v>935</v>
      </c>
    </row>
    <row r="188" spans="1:58" ht="72.5" outlineLevel="1">
      <c r="A188" s="1491">
        <v>15.2</v>
      </c>
      <c r="B188" s="1530" t="s">
        <v>1938</v>
      </c>
      <c r="C188" s="1578" t="s">
        <v>936</v>
      </c>
      <c r="D188" s="1526" t="s">
        <v>1845</v>
      </c>
      <c r="E188" s="1579"/>
      <c r="F188" s="1334"/>
      <c r="G188" s="1408">
        <v>8</v>
      </c>
      <c r="H188" s="1408"/>
      <c r="I188" s="1379"/>
      <c r="J188" s="1379"/>
      <c r="K188" s="1402"/>
      <c r="L188" s="1337"/>
      <c r="M188" s="1337"/>
      <c r="N188" s="1339"/>
      <c r="O188" s="1393" t="s">
        <v>1939</v>
      </c>
      <c r="P188" s="1678">
        <v>0</v>
      </c>
      <c r="Q188" s="1678">
        <v>0</v>
      </c>
      <c r="R188" s="1678">
        <v>0</v>
      </c>
      <c r="S188" s="1678">
        <v>0</v>
      </c>
      <c r="T188" s="1678">
        <f t="shared" si="23"/>
        <v>0</v>
      </c>
      <c r="U188" s="1678">
        <v>0</v>
      </c>
      <c r="V188" s="1678">
        <v>0</v>
      </c>
      <c r="W188" s="1678">
        <v>0</v>
      </c>
      <c r="X188" s="1678">
        <v>0</v>
      </c>
      <c r="Y188" s="1678">
        <v>0</v>
      </c>
      <c r="Z188" s="1408">
        <v>8</v>
      </c>
      <c r="AA188" s="1678">
        <v>0</v>
      </c>
      <c r="AB188" s="1678">
        <v>0</v>
      </c>
      <c r="AC188" s="1511"/>
      <c r="AD188" s="1511"/>
      <c r="AE188" s="1511"/>
      <c r="AF188" s="1511"/>
      <c r="AG188" s="1511"/>
      <c r="AH188" s="1511"/>
      <c r="AI188" s="1511"/>
      <c r="AJ188" s="1511"/>
      <c r="AK188" s="1511"/>
      <c r="AL188" s="1580">
        <v>1</v>
      </c>
      <c r="AM188" s="1511"/>
      <c r="AN188" s="1511"/>
      <c r="AO188" s="1511"/>
      <c r="AP188" s="1511"/>
      <c r="AQ188" s="1511"/>
      <c r="AR188" s="1511"/>
      <c r="AS188" s="1511">
        <f t="shared" si="24"/>
        <v>0</v>
      </c>
      <c r="AT188" s="1511"/>
      <c r="AU188" s="1511"/>
      <c r="AV188" s="1688"/>
      <c r="AW188" s="1688"/>
      <c r="AX188" s="1688"/>
      <c r="AY188" s="1409">
        <v>8</v>
      </c>
      <c r="AZ188" s="1688"/>
      <c r="BA188" s="1688"/>
      <c r="BB188" s="1688"/>
      <c r="BC188" s="1369" t="s">
        <v>1863</v>
      </c>
      <c r="BD188" s="1595" t="s">
        <v>935</v>
      </c>
    </row>
    <row r="189" spans="1:58" ht="87" outlineLevel="1">
      <c r="A189" s="1491">
        <v>15.3</v>
      </c>
      <c r="B189" s="1530" t="s">
        <v>1928</v>
      </c>
      <c r="C189" s="1578" t="s">
        <v>936</v>
      </c>
      <c r="D189" s="1526" t="s">
        <v>1845</v>
      </c>
      <c r="E189" s="1579"/>
      <c r="F189" s="1334"/>
      <c r="G189" s="1408">
        <v>8</v>
      </c>
      <c r="H189" s="1408"/>
      <c r="I189" s="1379"/>
      <c r="J189" s="1379"/>
      <c r="K189" s="1402"/>
      <c r="L189" s="1337"/>
      <c r="M189" s="1337"/>
      <c r="N189" s="1339"/>
      <c r="O189" s="1393" t="s">
        <v>1931</v>
      </c>
      <c r="P189" s="1678">
        <v>0</v>
      </c>
      <c r="Q189" s="1678">
        <v>0</v>
      </c>
      <c r="R189" s="1678">
        <v>0</v>
      </c>
      <c r="S189" s="1678">
        <v>0</v>
      </c>
      <c r="T189" s="1678">
        <f t="shared" si="23"/>
        <v>0</v>
      </c>
      <c r="U189" s="1678">
        <v>0</v>
      </c>
      <c r="V189" s="1678">
        <v>0</v>
      </c>
      <c r="W189" s="1678">
        <v>0</v>
      </c>
      <c r="X189" s="1678">
        <v>0</v>
      </c>
      <c r="Y189" s="1678">
        <v>0</v>
      </c>
      <c r="Z189" s="1408">
        <v>8</v>
      </c>
      <c r="AA189" s="1678">
        <v>0</v>
      </c>
      <c r="AB189" s="1678">
        <v>0</v>
      </c>
      <c r="AC189" s="1511"/>
      <c r="AD189" s="1511"/>
      <c r="AE189" s="1511"/>
      <c r="AF189" s="1511"/>
      <c r="AG189" s="1511"/>
      <c r="AH189" s="1511"/>
      <c r="AI189" s="1511"/>
      <c r="AJ189" s="1511"/>
      <c r="AK189" s="1511"/>
      <c r="AL189" s="1580">
        <v>1</v>
      </c>
      <c r="AM189" s="1511"/>
      <c r="AN189" s="1511"/>
      <c r="AO189" s="1511"/>
      <c r="AP189" s="1511"/>
      <c r="AQ189" s="1511"/>
      <c r="AR189" s="1511"/>
      <c r="AS189" s="1511">
        <f t="shared" si="24"/>
        <v>0</v>
      </c>
      <c r="AT189" s="1511"/>
      <c r="AU189" s="1511"/>
      <c r="AV189" s="1688"/>
      <c r="AW189" s="1688"/>
      <c r="AX189" s="1688"/>
      <c r="AY189" s="1409">
        <v>8</v>
      </c>
      <c r="AZ189" s="1688"/>
      <c r="BA189" s="1688"/>
      <c r="BB189" s="1688"/>
      <c r="BC189" s="1369" t="s">
        <v>1863</v>
      </c>
      <c r="BD189" s="1595" t="s">
        <v>935</v>
      </c>
    </row>
    <row r="190" spans="1:58" ht="87" outlineLevel="1">
      <c r="A190" s="1491">
        <v>15.4</v>
      </c>
      <c r="B190" s="1530" t="s">
        <v>1940</v>
      </c>
      <c r="C190" s="1578" t="s">
        <v>936</v>
      </c>
      <c r="D190" s="1526" t="s">
        <v>1845</v>
      </c>
      <c r="E190" s="1579"/>
      <c r="F190" s="1334"/>
      <c r="G190" s="1408">
        <v>4.5</v>
      </c>
      <c r="H190" s="1408"/>
      <c r="I190" s="1379"/>
      <c r="J190" s="1379"/>
      <c r="K190" s="1402"/>
      <c r="L190" s="1337"/>
      <c r="M190" s="1337"/>
      <c r="N190" s="1339"/>
      <c r="O190" s="1393" t="s">
        <v>1931</v>
      </c>
      <c r="P190" s="1678">
        <v>0</v>
      </c>
      <c r="Q190" s="1678">
        <v>0</v>
      </c>
      <c r="R190" s="1678">
        <v>0</v>
      </c>
      <c r="S190" s="1678">
        <v>0</v>
      </c>
      <c r="T190" s="1678">
        <f t="shared" si="23"/>
        <v>0</v>
      </c>
      <c r="U190" s="1678">
        <v>0</v>
      </c>
      <c r="V190" s="1678">
        <v>0</v>
      </c>
      <c r="W190" s="1678">
        <v>0</v>
      </c>
      <c r="X190" s="1678">
        <v>0</v>
      </c>
      <c r="Y190" s="1678">
        <v>0</v>
      </c>
      <c r="Z190" s="1678">
        <v>0</v>
      </c>
      <c r="AA190" s="1408">
        <v>4.5</v>
      </c>
      <c r="AB190" s="1678">
        <v>0</v>
      </c>
      <c r="AC190" s="1511"/>
      <c r="AD190" s="1511"/>
      <c r="AE190" s="1511"/>
      <c r="AF190" s="1511"/>
      <c r="AG190" s="1511"/>
      <c r="AH190" s="1511"/>
      <c r="AI190" s="1511"/>
      <c r="AJ190" s="1511"/>
      <c r="AK190" s="1511"/>
      <c r="AL190" s="1511"/>
      <c r="AM190" s="1580">
        <v>1</v>
      </c>
      <c r="AN190" s="1511"/>
      <c r="AO190" s="1511"/>
      <c r="AP190" s="1511"/>
      <c r="AQ190" s="1511"/>
      <c r="AR190" s="1511"/>
      <c r="AS190" s="1511">
        <f t="shared" si="24"/>
        <v>0</v>
      </c>
      <c r="AT190" s="1511"/>
      <c r="AU190" s="1511"/>
      <c r="AV190" s="1688"/>
      <c r="AW190" s="1688"/>
      <c r="AX190" s="1688"/>
      <c r="AY190" s="1688"/>
      <c r="AZ190" s="1409">
        <v>4.5</v>
      </c>
      <c r="BA190" s="1688"/>
      <c r="BB190" s="1688"/>
      <c r="BC190" s="1369" t="s">
        <v>1863</v>
      </c>
      <c r="BD190" s="1595" t="s">
        <v>935</v>
      </c>
    </row>
    <row r="191" spans="1:58" ht="15" customHeight="1" outlineLevel="1">
      <c r="A191" s="1491">
        <v>15.5</v>
      </c>
      <c r="B191" s="1530" t="s">
        <v>1941</v>
      </c>
      <c r="C191" s="1578" t="s">
        <v>936</v>
      </c>
      <c r="D191" s="1526" t="s">
        <v>1845</v>
      </c>
      <c r="E191" s="1579"/>
      <c r="F191" s="1334"/>
      <c r="G191" s="1408">
        <v>3</v>
      </c>
      <c r="H191" s="1408"/>
      <c r="I191" s="1379"/>
      <c r="J191" s="1379"/>
      <c r="K191" s="1402"/>
      <c r="L191" s="1337"/>
      <c r="M191" s="1337"/>
      <c r="N191" s="1339"/>
      <c r="O191" s="1917" t="s">
        <v>1942</v>
      </c>
      <c r="P191" s="1678">
        <v>0</v>
      </c>
      <c r="Q191" s="1678">
        <v>0</v>
      </c>
      <c r="R191" s="1678">
        <v>0</v>
      </c>
      <c r="S191" s="1678">
        <v>0</v>
      </c>
      <c r="T191" s="1678">
        <f t="shared" si="23"/>
        <v>0</v>
      </c>
      <c r="U191" s="1678">
        <v>0</v>
      </c>
      <c r="V191" s="1678">
        <v>0</v>
      </c>
      <c r="W191" s="1678">
        <v>0</v>
      </c>
      <c r="X191" s="1678">
        <v>0</v>
      </c>
      <c r="Y191" s="1678">
        <v>0</v>
      </c>
      <c r="Z191" s="1678">
        <v>0</v>
      </c>
      <c r="AA191" s="1408">
        <v>3</v>
      </c>
      <c r="AB191" s="1678">
        <v>0</v>
      </c>
      <c r="AC191" s="1511"/>
      <c r="AD191" s="1511"/>
      <c r="AE191" s="1511"/>
      <c r="AF191" s="1511"/>
      <c r="AG191" s="1511"/>
      <c r="AH191" s="1511"/>
      <c r="AI191" s="1511"/>
      <c r="AJ191" s="1511"/>
      <c r="AK191" s="1511"/>
      <c r="AL191" s="1511"/>
      <c r="AM191" s="1580">
        <v>1</v>
      </c>
      <c r="AN191" s="1511"/>
      <c r="AO191" s="1511"/>
      <c r="AP191" s="1511"/>
      <c r="AQ191" s="1511"/>
      <c r="AR191" s="1511"/>
      <c r="AS191" s="1511">
        <f t="shared" si="24"/>
        <v>0</v>
      </c>
      <c r="AT191" s="1511"/>
      <c r="AU191" s="1511"/>
      <c r="AV191" s="1688"/>
      <c r="AW191" s="1688"/>
      <c r="AX191" s="1688"/>
      <c r="AY191" s="1688"/>
      <c r="AZ191" s="1409">
        <v>3</v>
      </c>
      <c r="BA191" s="1688"/>
      <c r="BB191" s="1688"/>
      <c r="BC191" s="1369" t="s">
        <v>1863</v>
      </c>
      <c r="BD191" s="1595" t="s">
        <v>935</v>
      </c>
    </row>
    <row r="192" spans="1:58" outlineLevel="1">
      <c r="A192" s="1491">
        <v>15.6</v>
      </c>
      <c r="B192" s="1530" t="s">
        <v>1943</v>
      </c>
      <c r="C192" s="1578" t="s">
        <v>936</v>
      </c>
      <c r="D192" s="1526" t="s">
        <v>1845</v>
      </c>
      <c r="E192" s="1579"/>
      <c r="F192" s="1334"/>
      <c r="G192" s="1408">
        <v>4</v>
      </c>
      <c r="H192" s="1408"/>
      <c r="I192" s="1379"/>
      <c r="J192" s="1379"/>
      <c r="K192" s="1402"/>
      <c r="L192" s="1337"/>
      <c r="M192" s="1337"/>
      <c r="N192" s="1339"/>
      <c r="O192" s="1918"/>
      <c r="P192" s="1678">
        <v>0</v>
      </c>
      <c r="Q192" s="1678">
        <v>0</v>
      </c>
      <c r="R192" s="1678">
        <v>0</v>
      </c>
      <c r="S192" s="1678">
        <v>0</v>
      </c>
      <c r="T192" s="1678">
        <f t="shared" si="23"/>
        <v>0</v>
      </c>
      <c r="U192" s="1678">
        <v>0</v>
      </c>
      <c r="V192" s="1678">
        <v>0</v>
      </c>
      <c r="W192" s="1678">
        <v>0</v>
      </c>
      <c r="X192" s="1678">
        <v>0</v>
      </c>
      <c r="Y192" s="1678">
        <v>0</v>
      </c>
      <c r="Z192" s="1678">
        <v>0</v>
      </c>
      <c r="AA192" s="1408">
        <v>4</v>
      </c>
      <c r="AB192" s="1678">
        <v>0</v>
      </c>
      <c r="AC192" s="1511"/>
      <c r="AD192" s="1511"/>
      <c r="AE192" s="1511"/>
      <c r="AF192" s="1511"/>
      <c r="AG192" s="1511"/>
      <c r="AH192" s="1511"/>
      <c r="AI192" s="1511"/>
      <c r="AJ192" s="1511"/>
      <c r="AK192" s="1511"/>
      <c r="AL192" s="1511"/>
      <c r="AM192" s="1580">
        <v>1</v>
      </c>
      <c r="AN192" s="1511"/>
      <c r="AO192" s="1511"/>
      <c r="AP192" s="1511"/>
      <c r="AQ192" s="1511"/>
      <c r="AR192" s="1511"/>
      <c r="AS192" s="1511">
        <f t="shared" si="24"/>
        <v>0</v>
      </c>
      <c r="AT192" s="1511"/>
      <c r="AU192" s="1511"/>
      <c r="AV192" s="1688"/>
      <c r="AW192" s="1688"/>
      <c r="AX192" s="1688"/>
      <c r="AY192" s="1688"/>
      <c r="AZ192" s="1409">
        <v>4</v>
      </c>
      <c r="BA192" s="1688"/>
      <c r="BB192" s="1688"/>
      <c r="BC192" s="1369" t="s">
        <v>1863</v>
      </c>
      <c r="BD192" s="1595" t="s">
        <v>935</v>
      </c>
    </row>
    <row r="193" spans="1:58" ht="60" customHeight="1">
      <c r="A193" s="1533">
        <v>16</v>
      </c>
      <c r="B193" s="1534" t="s">
        <v>1944</v>
      </c>
      <c r="C193" s="1534" t="s">
        <v>929</v>
      </c>
      <c r="D193" s="1526" t="s">
        <v>1845</v>
      </c>
      <c r="E193" s="1511"/>
      <c r="F193" s="1511"/>
      <c r="G193" s="1511"/>
      <c r="H193" s="1511"/>
      <c r="I193" s="1693"/>
      <c r="J193" s="1693"/>
      <c r="K193" s="1511"/>
      <c r="L193" s="1511"/>
      <c r="M193" s="1511"/>
      <c r="N193" s="1511"/>
      <c r="O193" s="1919"/>
      <c r="P193" s="1678">
        <v>0</v>
      </c>
      <c r="Q193" s="1678">
        <v>0</v>
      </c>
      <c r="R193" s="1678">
        <v>0</v>
      </c>
      <c r="S193" s="1678">
        <v>0</v>
      </c>
      <c r="T193" s="1678">
        <f t="shared" si="23"/>
        <v>0</v>
      </c>
      <c r="U193" s="1678">
        <v>0</v>
      </c>
      <c r="V193" s="1678">
        <v>0</v>
      </c>
      <c r="W193" s="1678">
        <v>0</v>
      </c>
      <c r="X193" s="1678">
        <v>0</v>
      </c>
      <c r="Y193" s="1678">
        <v>0</v>
      </c>
      <c r="Z193" s="1678">
        <v>0</v>
      </c>
      <c r="AA193" s="1678">
        <v>0</v>
      </c>
      <c r="AB193" s="1678">
        <v>0</v>
      </c>
      <c r="AC193" s="1680"/>
      <c r="AD193" s="1680"/>
      <c r="AE193" s="1511"/>
      <c r="AF193" s="1511"/>
      <c r="AG193" s="1511"/>
      <c r="AH193" s="1511"/>
      <c r="AI193" s="1511"/>
      <c r="AJ193" s="1511"/>
      <c r="AK193" s="1511"/>
      <c r="AL193" s="1511"/>
      <c r="AM193" s="1511"/>
      <c r="AN193" s="1511"/>
      <c r="AO193" s="1511"/>
      <c r="AP193" s="1511"/>
      <c r="AQ193" s="1511"/>
      <c r="AR193" s="1511"/>
      <c r="AS193" s="1511">
        <f t="shared" si="24"/>
        <v>0</v>
      </c>
      <c r="AT193" s="1511"/>
      <c r="AU193" s="1511"/>
      <c r="AV193" s="1688"/>
      <c r="AW193" s="1688"/>
      <c r="AX193" s="1688"/>
      <c r="AY193" s="1688"/>
      <c r="AZ193" s="1688"/>
      <c r="BA193" s="1688"/>
      <c r="BB193" s="1688"/>
      <c r="BC193" s="1688" t="s">
        <v>1863</v>
      </c>
      <c r="BD193" s="1688" t="s">
        <v>935</v>
      </c>
      <c r="BF193" s="1317"/>
    </row>
    <row r="194" spans="1:58" outlineLevel="1">
      <c r="A194" s="1491">
        <v>16.100000000000001</v>
      </c>
      <c r="B194" s="1530" t="s">
        <v>1945</v>
      </c>
      <c r="C194" s="1578" t="s">
        <v>936</v>
      </c>
      <c r="D194" s="1526" t="s">
        <v>1845</v>
      </c>
      <c r="E194" s="1579"/>
      <c r="F194" s="1334"/>
      <c r="G194" s="1408">
        <v>5</v>
      </c>
      <c r="H194" s="1408"/>
      <c r="I194" s="1379"/>
      <c r="J194" s="1379"/>
      <c r="K194" s="1402"/>
      <c r="L194" s="1337"/>
      <c r="M194" s="1337"/>
      <c r="N194" s="1339"/>
      <c r="O194" s="1511"/>
      <c r="P194" s="1678">
        <v>0</v>
      </c>
      <c r="Q194" s="1678">
        <v>0</v>
      </c>
      <c r="R194" s="1678">
        <v>0</v>
      </c>
      <c r="S194" s="1678">
        <v>0</v>
      </c>
      <c r="T194" s="1678">
        <f t="shared" si="23"/>
        <v>0</v>
      </c>
      <c r="U194" s="1678">
        <v>0</v>
      </c>
      <c r="V194" s="1678">
        <v>0</v>
      </c>
      <c r="W194" s="1678">
        <v>0</v>
      </c>
      <c r="X194" s="1678">
        <v>0</v>
      </c>
      <c r="Y194" s="1678">
        <v>0</v>
      </c>
      <c r="Z194" s="1678">
        <v>0</v>
      </c>
      <c r="AA194" s="1678">
        <v>0</v>
      </c>
      <c r="AB194" s="1408">
        <v>5</v>
      </c>
      <c r="AC194" s="1511"/>
      <c r="AD194" s="1511"/>
      <c r="AE194" s="1511"/>
      <c r="AF194" s="1511"/>
      <c r="AG194" s="1511"/>
      <c r="AH194" s="1511"/>
      <c r="AI194" s="1511"/>
      <c r="AJ194" s="1511"/>
      <c r="AK194" s="1511"/>
      <c r="AL194" s="1511"/>
      <c r="AM194" s="1511"/>
      <c r="AN194" s="1580">
        <v>1</v>
      </c>
      <c r="AO194" s="1511"/>
      <c r="AP194" s="1511"/>
      <c r="AQ194" s="1511"/>
      <c r="AR194" s="1511"/>
      <c r="AS194" s="1511">
        <f t="shared" si="24"/>
        <v>0</v>
      </c>
      <c r="AT194" s="1511"/>
      <c r="AU194" s="1511"/>
      <c r="AV194" s="1688"/>
      <c r="AW194" s="1688"/>
      <c r="AX194" s="1688"/>
      <c r="AY194" s="1688"/>
      <c r="AZ194" s="1688"/>
      <c r="BA194" s="1409">
        <v>5</v>
      </c>
      <c r="BB194" s="1593"/>
      <c r="BC194" s="1369" t="s">
        <v>1863</v>
      </c>
      <c r="BD194" s="1595" t="s">
        <v>935</v>
      </c>
    </row>
    <row r="195" spans="1:58" ht="15" customHeight="1" outlineLevel="1">
      <c r="A195" s="1491">
        <v>16.2</v>
      </c>
      <c r="B195" s="1530" t="s">
        <v>1946</v>
      </c>
      <c r="C195" s="1578" t="s">
        <v>936</v>
      </c>
      <c r="D195" s="1526" t="s">
        <v>1845</v>
      </c>
      <c r="E195" s="1579"/>
      <c r="F195" s="1334"/>
      <c r="G195" s="1408">
        <v>10</v>
      </c>
      <c r="H195" s="1408"/>
      <c r="I195" s="1379"/>
      <c r="J195" s="1379"/>
      <c r="K195" s="1402"/>
      <c r="L195" s="1337"/>
      <c r="M195" s="1337"/>
      <c r="N195" s="1339"/>
      <c r="O195" s="1920" t="s">
        <v>1947</v>
      </c>
      <c r="P195" s="1678">
        <v>0</v>
      </c>
      <c r="Q195" s="1678">
        <v>0</v>
      </c>
      <c r="R195" s="1678">
        <v>0</v>
      </c>
      <c r="S195" s="1678">
        <v>0</v>
      </c>
      <c r="T195" s="1678">
        <f t="shared" si="23"/>
        <v>0</v>
      </c>
      <c r="U195" s="1678">
        <v>0</v>
      </c>
      <c r="V195" s="1678">
        <v>0</v>
      </c>
      <c r="W195" s="1678">
        <v>0</v>
      </c>
      <c r="X195" s="1678">
        <v>0</v>
      </c>
      <c r="Y195" s="1678">
        <v>0</v>
      </c>
      <c r="Z195" s="1678">
        <v>0</v>
      </c>
      <c r="AA195" s="1678">
        <v>0</v>
      </c>
      <c r="AB195" s="1408">
        <v>10</v>
      </c>
      <c r="AC195" s="1511"/>
      <c r="AD195" s="1511"/>
      <c r="AE195" s="1511"/>
      <c r="AF195" s="1511"/>
      <c r="AG195" s="1511"/>
      <c r="AH195" s="1511"/>
      <c r="AI195" s="1511"/>
      <c r="AJ195" s="1511"/>
      <c r="AK195" s="1511"/>
      <c r="AL195" s="1511"/>
      <c r="AM195" s="1511"/>
      <c r="AN195" s="1580">
        <v>1</v>
      </c>
      <c r="AO195" s="1511"/>
      <c r="AP195" s="1511"/>
      <c r="AQ195" s="1511"/>
      <c r="AR195" s="1511"/>
      <c r="AS195" s="1511">
        <f t="shared" si="24"/>
        <v>0</v>
      </c>
      <c r="AT195" s="1511"/>
      <c r="AU195" s="1511"/>
      <c r="AV195" s="1688"/>
      <c r="AW195" s="1688"/>
      <c r="AX195" s="1688"/>
      <c r="AY195" s="1688"/>
      <c r="AZ195" s="1688"/>
      <c r="BA195" s="1409">
        <v>10</v>
      </c>
      <c r="BB195" s="1593"/>
      <c r="BC195" s="1369" t="s">
        <v>1863</v>
      </c>
      <c r="BD195" s="1595" t="s">
        <v>935</v>
      </c>
    </row>
    <row r="196" spans="1:58" outlineLevel="1">
      <c r="A196" s="1491">
        <v>16.3</v>
      </c>
      <c r="B196" s="1530" t="s">
        <v>1948</v>
      </c>
      <c r="C196" s="1578" t="s">
        <v>936</v>
      </c>
      <c r="D196" s="1526" t="s">
        <v>1845</v>
      </c>
      <c r="E196" s="1579"/>
      <c r="F196" s="1334"/>
      <c r="G196" s="1408">
        <v>10</v>
      </c>
      <c r="H196" s="1408"/>
      <c r="I196" s="1379"/>
      <c r="J196" s="1379"/>
      <c r="K196" s="1402"/>
      <c r="L196" s="1337"/>
      <c r="M196" s="1337"/>
      <c r="N196" s="1339"/>
      <c r="O196" s="1921"/>
      <c r="P196" s="1678">
        <v>0</v>
      </c>
      <c r="Q196" s="1678">
        <v>0</v>
      </c>
      <c r="R196" s="1678">
        <v>0</v>
      </c>
      <c r="S196" s="1678">
        <v>0</v>
      </c>
      <c r="T196" s="1678">
        <f t="shared" si="23"/>
        <v>0</v>
      </c>
      <c r="U196" s="1678">
        <v>0</v>
      </c>
      <c r="V196" s="1678">
        <v>0</v>
      </c>
      <c r="W196" s="1678">
        <v>0</v>
      </c>
      <c r="X196" s="1678">
        <v>0</v>
      </c>
      <c r="Y196" s="1678">
        <v>0</v>
      </c>
      <c r="Z196" s="1678">
        <v>0</v>
      </c>
      <c r="AA196" s="1678">
        <v>0</v>
      </c>
      <c r="AB196" s="1408">
        <v>10</v>
      </c>
      <c r="AC196" s="1511"/>
      <c r="AD196" s="1511"/>
      <c r="AE196" s="1511"/>
      <c r="AF196" s="1511"/>
      <c r="AG196" s="1511"/>
      <c r="AH196" s="1511"/>
      <c r="AI196" s="1511"/>
      <c r="AJ196" s="1511"/>
      <c r="AK196" s="1511"/>
      <c r="AL196" s="1511"/>
      <c r="AM196" s="1511"/>
      <c r="AN196" s="1580">
        <v>1</v>
      </c>
      <c r="AO196" s="1511"/>
      <c r="AP196" s="1511"/>
      <c r="AQ196" s="1511"/>
      <c r="AR196" s="1511"/>
      <c r="AS196" s="1511">
        <f t="shared" si="24"/>
        <v>0</v>
      </c>
      <c r="AT196" s="1511"/>
      <c r="AU196" s="1511"/>
      <c r="AV196" s="1688"/>
      <c r="AW196" s="1688"/>
      <c r="AX196" s="1688"/>
      <c r="AY196" s="1688"/>
      <c r="AZ196" s="1688"/>
      <c r="BA196" s="1409">
        <v>10</v>
      </c>
      <c r="BB196" s="1593"/>
      <c r="BC196" s="1369" t="s">
        <v>1863</v>
      </c>
      <c r="BD196" s="1595" t="s">
        <v>935</v>
      </c>
    </row>
    <row r="197" spans="1:58" outlineLevel="1">
      <c r="A197" s="1491">
        <v>16.399999999999999</v>
      </c>
      <c r="B197" s="1530" t="s">
        <v>1949</v>
      </c>
      <c r="C197" s="1578" t="s">
        <v>936</v>
      </c>
      <c r="D197" s="1526" t="s">
        <v>1845</v>
      </c>
      <c r="E197" s="1579"/>
      <c r="F197" s="1334"/>
      <c r="G197" s="1408">
        <v>12</v>
      </c>
      <c r="H197" s="1408"/>
      <c r="I197" s="1379"/>
      <c r="J197" s="1379"/>
      <c r="K197" s="1402"/>
      <c r="L197" s="1337"/>
      <c r="M197" s="1337"/>
      <c r="N197" s="1339"/>
      <c r="O197" s="1921"/>
      <c r="P197" s="1678">
        <v>0</v>
      </c>
      <c r="Q197" s="1678">
        <v>0</v>
      </c>
      <c r="R197" s="1678">
        <v>0</v>
      </c>
      <c r="S197" s="1678">
        <v>0</v>
      </c>
      <c r="T197" s="1678">
        <f t="shared" si="23"/>
        <v>0</v>
      </c>
      <c r="U197" s="1678">
        <v>0</v>
      </c>
      <c r="V197" s="1678">
        <v>0</v>
      </c>
      <c r="W197" s="1678">
        <v>0</v>
      </c>
      <c r="X197" s="1678">
        <v>0</v>
      </c>
      <c r="Y197" s="1678">
        <v>0</v>
      </c>
      <c r="Z197" s="1678">
        <v>0</v>
      </c>
      <c r="AA197" s="1678">
        <v>0</v>
      </c>
      <c r="AB197" s="1408">
        <v>12</v>
      </c>
      <c r="AC197" s="1511"/>
      <c r="AD197" s="1511"/>
      <c r="AE197" s="1511"/>
      <c r="AF197" s="1511"/>
      <c r="AG197" s="1511"/>
      <c r="AH197" s="1511"/>
      <c r="AI197" s="1511"/>
      <c r="AJ197" s="1511"/>
      <c r="AK197" s="1511"/>
      <c r="AL197" s="1511"/>
      <c r="AM197" s="1511"/>
      <c r="AN197" s="1580">
        <v>1</v>
      </c>
      <c r="AO197" s="1511"/>
      <c r="AP197" s="1511"/>
      <c r="AQ197" s="1511"/>
      <c r="AR197" s="1511"/>
      <c r="AS197" s="1511">
        <f t="shared" si="24"/>
        <v>0</v>
      </c>
      <c r="AT197" s="1511"/>
      <c r="AU197" s="1511"/>
      <c r="AV197" s="1688"/>
      <c r="AW197" s="1688"/>
      <c r="AX197" s="1688"/>
      <c r="AY197" s="1688"/>
      <c r="AZ197" s="1688"/>
      <c r="BA197" s="1409">
        <v>12</v>
      </c>
      <c r="BB197" s="1593"/>
      <c r="BC197" s="1369" t="s">
        <v>1863</v>
      </c>
      <c r="BD197" s="1595" t="s">
        <v>935</v>
      </c>
    </row>
    <row r="198" spans="1:58" ht="29" outlineLevel="1">
      <c r="A198" s="1491">
        <v>16.5</v>
      </c>
      <c r="B198" s="1530" t="s">
        <v>1950</v>
      </c>
      <c r="C198" s="1578" t="s">
        <v>936</v>
      </c>
      <c r="D198" s="1526" t="s">
        <v>1845</v>
      </c>
      <c r="E198" s="1579"/>
      <c r="F198" s="1334"/>
      <c r="G198" s="1408">
        <v>10</v>
      </c>
      <c r="H198" s="1408"/>
      <c r="I198" s="1379"/>
      <c r="J198" s="1379"/>
      <c r="K198" s="1402"/>
      <c r="L198" s="1337"/>
      <c r="M198" s="1337"/>
      <c r="N198" s="1339"/>
      <c r="O198" s="1921"/>
      <c r="P198" s="1678">
        <v>0</v>
      </c>
      <c r="Q198" s="1678">
        <v>0</v>
      </c>
      <c r="R198" s="1678">
        <v>0</v>
      </c>
      <c r="S198" s="1678">
        <v>0</v>
      </c>
      <c r="T198" s="1678">
        <f t="shared" si="23"/>
        <v>0</v>
      </c>
      <c r="U198" s="1678">
        <v>0</v>
      </c>
      <c r="V198" s="1678">
        <v>0</v>
      </c>
      <c r="W198" s="1678">
        <v>0</v>
      </c>
      <c r="X198" s="1678">
        <v>0</v>
      </c>
      <c r="Y198" s="1678">
        <v>0</v>
      </c>
      <c r="Z198" s="1678">
        <v>0</v>
      </c>
      <c r="AA198" s="1678">
        <v>0</v>
      </c>
      <c r="AB198" s="1408">
        <v>10</v>
      </c>
      <c r="AC198" s="1511"/>
      <c r="AD198" s="1511"/>
      <c r="AE198" s="1511"/>
      <c r="AF198" s="1511"/>
      <c r="AG198" s="1511"/>
      <c r="AH198" s="1511"/>
      <c r="AI198" s="1511"/>
      <c r="AJ198" s="1511"/>
      <c r="AK198" s="1511"/>
      <c r="AL198" s="1511"/>
      <c r="AM198" s="1511"/>
      <c r="AN198" s="1580">
        <v>1</v>
      </c>
      <c r="AO198" s="1511"/>
      <c r="AP198" s="1511"/>
      <c r="AQ198" s="1511"/>
      <c r="AR198" s="1511"/>
      <c r="AS198" s="1511">
        <f t="shared" si="24"/>
        <v>0</v>
      </c>
      <c r="AT198" s="1511"/>
      <c r="AU198" s="1511"/>
      <c r="AV198" s="1688"/>
      <c r="AW198" s="1688"/>
      <c r="AX198" s="1688"/>
      <c r="AY198" s="1688"/>
      <c r="AZ198" s="1688"/>
      <c r="BA198" s="1409">
        <v>10</v>
      </c>
      <c r="BB198" s="1593"/>
      <c r="BC198" s="1369" t="s">
        <v>1863</v>
      </c>
      <c r="BD198" s="1595" t="s">
        <v>935</v>
      </c>
    </row>
    <row r="199" spans="1:58" outlineLevel="1">
      <c r="A199" s="1491">
        <v>16.600000000000001</v>
      </c>
      <c r="B199" s="1530" t="s">
        <v>1951</v>
      </c>
      <c r="C199" s="1578" t="s">
        <v>936</v>
      </c>
      <c r="D199" s="1526" t="s">
        <v>1845</v>
      </c>
      <c r="E199" s="1579"/>
      <c r="F199" s="1334"/>
      <c r="G199" s="1408">
        <v>12</v>
      </c>
      <c r="H199" s="1408"/>
      <c r="I199" s="1379"/>
      <c r="J199" s="1379"/>
      <c r="K199" s="1402"/>
      <c r="L199" s="1337"/>
      <c r="M199" s="1337"/>
      <c r="N199" s="1339"/>
      <c r="O199" s="1922"/>
      <c r="P199" s="1678">
        <v>0</v>
      </c>
      <c r="Q199" s="1678">
        <v>0</v>
      </c>
      <c r="R199" s="1678">
        <v>0</v>
      </c>
      <c r="S199" s="1678">
        <v>0</v>
      </c>
      <c r="T199" s="1678">
        <f t="shared" si="23"/>
        <v>0</v>
      </c>
      <c r="U199" s="1678">
        <v>0</v>
      </c>
      <c r="V199" s="1678">
        <v>0</v>
      </c>
      <c r="W199" s="1678">
        <v>0</v>
      </c>
      <c r="X199" s="1678">
        <v>0</v>
      </c>
      <c r="Y199" s="1678">
        <v>0</v>
      </c>
      <c r="Z199" s="1678">
        <v>0</v>
      </c>
      <c r="AA199" s="1678">
        <v>0</v>
      </c>
      <c r="AB199" s="1408">
        <v>12</v>
      </c>
      <c r="AC199" s="1511"/>
      <c r="AD199" s="1511"/>
      <c r="AE199" s="1511"/>
      <c r="AF199" s="1511"/>
      <c r="AG199" s="1511"/>
      <c r="AH199" s="1511"/>
      <c r="AI199" s="1511"/>
      <c r="AJ199" s="1511"/>
      <c r="AK199" s="1511"/>
      <c r="AL199" s="1511"/>
      <c r="AM199" s="1511"/>
      <c r="AN199" s="1580">
        <v>1</v>
      </c>
      <c r="AO199" s="1511"/>
      <c r="AP199" s="1511"/>
      <c r="AQ199" s="1511"/>
      <c r="AR199" s="1511"/>
      <c r="AS199" s="1511">
        <f t="shared" si="24"/>
        <v>0</v>
      </c>
      <c r="AT199" s="1511"/>
      <c r="AU199" s="1511"/>
      <c r="AV199" s="1688"/>
      <c r="AW199" s="1688"/>
      <c r="AX199" s="1688"/>
      <c r="AY199" s="1688"/>
      <c r="AZ199" s="1688"/>
      <c r="BA199" s="1409">
        <v>12</v>
      </c>
      <c r="BB199" s="1593"/>
      <c r="BC199" s="1369" t="s">
        <v>1863</v>
      </c>
      <c r="BD199" s="1595" t="s">
        <v>935</v>
      </c>
    </row>
    <row r="200" spans="1:58" ht="60" customHeight="1">
      <c r="A200" s="1533">
        <v>17</v>
      </c>
      <c r="B200" s="1534" t="s">
        <v>1952</v>
      </c>
      <c r="C200" s="1534" t="s">
        <v>929</v>
      </c>
      <c r="D200" s="1526" t="s">
        <v>1845</v>
      </c>
      <c r="E200" s="1511"/>
      <c r="F200" s="1511"/>
      <c r="G200" s="1511"/>
      <c r="H200" s="1511"/>
      <c r="I200" s="1693"/>
      <c r="J200" s="1693"/>
      <c r="K200" s="1511"/>
      <c r="L200" s="1511"/>
      <c r="M200" s="1511"/>
      <c r="N200" s="1511"/>
      <c r="O200" s="1511"/>
      <c r="P200" s="1678">
        <v>0</v>
      </c>
      <c r="Q200" s="1678">
        <v>0</v>
      </c>
      <c r="R200" s="1678">
        <v>0</v>
      </c>
      <c r="S200" s="1678">
        <v>0</v>
      </c>
      <c r="T200" s="1678">
        <f t="shared" si="23"/>
        <v>0</v>
      </c>
      <c r="U200" s="1678">
        <v>0</v>
      </c>
      <c r="V200" s="1678">
        <v>0</v>
      </c>
      <c r="W200" s="1678">
        <v>0</v>
      </c>
      <c r="X200" s="1678">
        <v>0</v>
      </c>
      <c r="Y200" s="1678">
        <v>0</v>
      </c>
      <c r="Z200" s="1678">
        <v>0</v>
      </c>
      <c r="AA200" s="1678">
        <v>0</v>
      </c>
      <c r="AB200" s="1678">
        <v>0</v>
      </c>
      <c r="AC200" s="1511"/>
      <c r="AD200" s="1511"/>
      <c r="AE200" s="1511"/>
      <c r="AF200" s="1511"/>
      <c r="AG200" s="1511"/>
      <c r="AH200" s="1511"/>
      <c r="AI200" s="1511"/>
      <c r="AJ200" s="1511"/>
      <c r="AK200" s="1511"/>
      <c r="AL200" s="1511"/>
      <c r="AM200" s="1511"/>
      <c r="AN200" s="1511"/>
      <c r="AO200" s="1511"/>
      <c r="AP200" s="1511"/>
      <c r="AQ200" s="1511"/>
      <c r="AR200" s="1511"/>
      <c r="AS200" s="1511">
        <f t="shared" si="24"/>
        <v>0</v>
      </c>
      <c r="AT200" s="1511"/>
      <c r="AU200" s="1511"/>
      <c r="AV200" s="1688"/>
      <c r="AW200" s="1688"/>
      <c r="AX200" s="1688"/>
      <c r="AY200" s="1688"/>
      <c r="AZ200" s="1688"/>
      <c r="BA200" s="1688"/>
      <c r="BB200" s="1679"/>
      <c r="BC200" s="1688" t="s">
        <v>1863</v>
      </c>
      <c r="BD200" s="1688" t="s">
        <v>935</v>
      </c>
      <c r="BF200" s="1317"/>
    </row>
    <row r="201" spans="1:58" ht="43.5" outlineLevel="1">
      <c r="A201" s="1491">
        <v>17.100000000000001</v>
      </c>
      <c r="B201" s="1530" t="s">
        <v>1953</v>
      </c>
      <c r="C201" s="1578" t="s">
        <v>936</v>
      </c>
      <c r="D201" s="1526" t="s">
        <v>1845</v>
      </c>
      <c r="E201" s="1579"/>
      <c r="F201" s="1334"/>
      <c r="G201" s="1408">
        <v>38</v>
      </c>
      <c r="H201" s="1511"/>
      <c r="I201" s="1379"/>
      <c r="J201" s="1379"/>
      <c r="K201" s="1402"/>
      <c r="L201" s="1337"/>
      <c r="M201" s="1337"/>
      <c r="N201" s="1339"/>
      <c r="O201" s="1393" t="s">
        <v>2182</v>
      </c>
      <c r="P201" s="1678">
        <v>0</v>
      </c>
      <c r="Q201" s="1678">
        <v>0</v>
      </c>
      <c r="R201" s="1678">
        <v>0</v>
      </c>
      <c r="S201" s="1678">
        <v>0</v>
      </c>
      <c r="T201" s="1678">
        <f t="shared" si="23"/>
        <v>0</v>
      </c>
      <c r="U201" s="1678">
        <v>0</v>
      </c>
      <c r="V201" s="1678">
        <v>0</v>
      </c>
      <c r="W201" s="1678">
        <v>0</v>
      </c>
      <c r="X201" s="1678">
        <v>0</v>
      </c>
      <c r="Y201" s="1678">
        <v>0</v>
      </c>
      <c r="Z201" s="1573">
        <v>38</v>
      </c>
      <c r="AA201" s="1678">
        <v>0</v>
      </c>
      <c r="AB201" s="1678">
        <v>0</v>
      </c>
      <c r="AC201" s="1511"/>
      <c r="AD201" s="1511"/>
      <c r="AE201" s="1511"/>
      <c r="AF201" s="1511"/>
      <c r="AG201" s="1511"/>
      <c r="AH201" s="1511"/>
      <c r="AI201" s="1511"/>
      <c r="AJ201" s="1511"/>
      <c r="AK201" s="1511"/>
      <c r="AL201" s="1580">
        <v>1</v>
      </c>
      <c r="AM201" s="1511"/>
      <c r="AN201" s="1511"/>
      <c r="AO201" s="1511"/>
      <c r="AP201" s="1511"/>
      <c r="AQ201" s="1511"/>
      <c r="AR201" s="1511"/>
      <c r="AS201" s="1511">
        <f t="shared" si="24"/>
        <v>0</v>
      </c>
      <c r="AT201" s="1511"/>
      <c r="AU201" s="1511"/>
      <c r="AV201" s="1688"/>
      <c r="AW201" s="1688"/>
      <c r="AX201" s="1688"/>
      <c r="AY201" s="1593">
        <v>38</v>
      </c>
      <c r="AZ201" s="1688"/>
      <c r="BA201" s="1688"/>
      <c r="BB201" s="1593"/>
      <c r="BC201" s="1369" t="s">
        <v>1863</v>
      </c>
      <c r="BD201" s="1595" t="s">
        <v>935</v>
      </c>
    </row>
    <row r="202" spans="1:58" ht="60" customHeight="1">
      <c r="A202" s="1533">
        <v>18</v>
      </c>
      <c r="B202" s="1534" t="s">
        <v>1954</v>
      </c>
      <c r="C202" s="1534" t="s">
        <v>929</v>
      </c>
      <c r="D202" s="1526" t="s">
        <v>1845</v>
      </c>
      <c r="E202" s="1511"/>
      <c r="F202" s="1511"/>
      <c r="G202" s="1511"/>
      <c r="H202" s="1511"/>
      <c r="I202" s="1693"/>
      <c r="J202" s="1693"/>
      <c r="K202" s="1511"/>
      <c r="L202" s="1511"/>
      <c r="M202" s="1511"/>
      <c r="N202" s="1511"/>
      <c r="O202" s="1336"/>
      <c r="P202" s="1678">
        <v>0</v>
      </c>
      <c r="Q202" s="1678">
        <v>0</v>
      </c>
      <c r="R202" s="1678">
        <v>0</v>
      </c>
      <c r="S202" s="1678">
        <v>0</v>
      </c>
      <c r="T202" s="1678">
        <f t="shared" si="23"/>
        <v>0</v>
      </c>
      <c r="U202" s="1678">
        <v>0</v>
      </c>
      <c r="V202" s="1678">
        <v>0</v>
      </c>
      <c r="W202" s="1678">
        <v>0</v>
      </c>
      <c r="X202" s="1678">
        <v>0</v>
      </c>
      <c r="Y202" s="1678">
        <v>0</v>
      </c>
      <c r="Z202" s="1678">
        <v>0</v>
      </c>
      <c r="AA202" s="1678">
        <v>0</v>
      </c>
      <c r="AB202" s="1678">
        <v>0</v>
      </c>
      <c r="AC202" s="1511"/>
      <c r="AD202" s="1511"/>
      <c r="AE202" s="1511"/>
      <c r="AF202" s="1511"/>
      <c r="AG202" s="1511"/>
      <c r="AH202" s="1511"/>
      <c r="AI202" s="1511"/>
      <c r="AJ202" s="1511"/>
      <c r="AK202" s="1511"/>
      <c r="AL202" s="1511"/>
      <c r="AM202" s="1511"/>
      <c r="AN202" s="1511"/>
      <c r="AO202" s="1511"/>
      <c r="AP202" s="1511"/>
      <c r="AQ202" s="1511"/>
      <c r="AR202" s="1511"/>
      <c r="AS202" s="1511">
        <f t="shared" si="24"/>
        <v>0</v>
      </c>
      <c r="AT202" s="1511"/>
      <c r="AU202" s="1511"/>
      <c r="AV202" s="1688"/>
      <c r="AW202" s="1688"/>
      <c r="AX202" s="1688"/>
      <c r="AY202" s="1688"/>
      <c r="AZ202" s="1688"/>
      <c r="BA202" s="1688"/>
      <c r="BB202" s="1679"/>
      <c r="BC202" s="1688" t="s">
        <v>1863</v>
      </c>
      <c r="BD202" s="1688" t="s">
        <v>935</v>
      </c>
      <c r="BF202" s="1317"/>
    </row>
    <row r="203" spans="1:58" ht="29" outlineLevel="1">
      <c r="A203" s="1491">
        <v>18.100000000000001</v>
      </c>
      <c r="B203" s="1530" t="s">
        <v>1955</v>
      </c>
      <c r="C203" s="1578" t="s">
        <v>936</v>
      </c>
      <c r="D203" s="1526" t="s">
        <v>1845</v>
      </c>
      <c r="E203" s="1579"/>
      <c r="F203" s="1334"/>
      <c r="G203" s="1408">
        <v>0.5</v>
      </c>
      <c r="H203" s="1511"/>
      <c r="I203" s="1379"/>
      <c r="J203" s="1379"/>
      <c r="K203" s="1402"/>
      <c r="L203" s="1337"/>
      <c r="M203" s="1337"/>
      <c r="N203" s="1339"/>
      <c r="O203" s="1393"/>
      <c r="P203" s="1678">
        <v>0</v>
      </c>
      <c r="Q203" s="1678">
        <v>0</v>
      </c>
      <c r="R203" s="1678">
        <v>0</v>
      </c>
      <c r="S203" s="1678">
        <v>0</v>
      </c>
      <c r="T203" s="1678">
        <f t="shared" ref="T203:T266" si="25">SUM(P203:S203)</f>
        <v>0</v>
      </c>
      <c r="U203" s="1678">
        <v>0</v>
      </c>
      <c r="V203" s="1678">
        <v>0</v>
      </c>
      <c r="W203" s="1678">
        <v>0</v>
      </c>
      <c r="X203" s="1408">
        <v>0.5</v>
      </c>
      <c r="Y203" s="1678">
        <v>0</v>
      </c>
      <c r="Z203" s="1678">
        <v>0</v>
      </c>
      <c r="AA203" s="1678">
        <v>0</v>
      </c>
      <c r="AB203" s="1678">
        <v>0</v>
      </c>
      <c r="AC203" s="1511"/>
      <c r="AD203" s="1511"/>
      <c r="AE203" s="1511"/>
      <c r="AF203" s="1511"/>
      <c r="AG203" s="1511"/>
      <c r="AH203" s="1511"/>
      <c r="AI203" s="1511"/>
      <c r="AJ203" s="1580">
        <v>1</v>
      </c>
      <c r="AK203" s="1511"/>
      <c r="AL203" s="1511"/>
      <c r="AM203" s="1511"/>
      <c r="AN203" s="1511"/>
      <c r="AO203" s="1511"/>
      <c r="AP203" s="1511"/>
      <c r="AQ203" s="1511"/>
      <c r="AR203" s="1511"/>
      <c r="AS203" s="1511">
        <f t="shared" ref="AS203:AS266" si="26">SUM(AO203:AR203)</f>
        <v>0</v>
      </c>
      <c r="AT203" s="1511"/>
      <c r="AU203" s="1511"/>
      <c r="AV203" s="1688"/>
      <c r="AW203" s="1409">
        <v>0.5</v>
      </c>
      <c r="AX203" s="1688"/>
      <c r="AY203" s="1688"/>
      <c r="AZ203" s="1688"/>
      <c r="BA203" s="1688"/>
      <c r="BB203" s="1593"/>
      <c r="BC203" s="1369" t="s">
        <v>1863</v>
      </c>
      <c r="BD203" s="1595" t="s">
        <v>935</v>
      </c>
    </row>
    <row r="204" spans="1:58" ht="29" outlineLevel="1">
      <c r="A204" s="1491">
        <v>18.2</v>
      </c>
      <c r="B204" s="1530" t="s">
        <v>1956</v>
      </c>
      <c r="C204" s="1578" t="s">
        <v>936</v>
      </c>
      <c r="D204" s="1526" t="s">
        <v>1845</v>
      </c>
      <c r="E204" s="1579"/>
      <c r="F204" s="1334"/>
      <c r="G204" s="1408">
        <v>6</v>
      </c>
      <c r="H204" s="1511"/>
      <c r="I204" s="1379"/>
      <c r="J204" s="1379"/>
      <c r="K204" s="1402"/>
      <c r="L204" s="1337"/>
      <c r="M204" s="1337"/>
      <c r="N204" s="1339"/>
      <c r="O204" s="1336" t="s">
        <v>2183</v>
      </c>
      <c r="P204" s="1678">
        <v>0</v>
      </c>
      <c r="Q204" s="1678">
        <v>0</v>
      </c>
      <c r="R204" s="1678">
        <v>0</v>
      </c>
      <c r="S204" s="1678">
        <v>0</v>
      </c>
      <c r="T204" s="1678">
        <f t="shared" si="25"/>
        <v>0</v>
      </c>
      <c r="U204" s="1678">
        <v>0</v>
      </c>
      <c r="V204" s="1678">
        <v>0</v>
      </c>
      <c r="W204" s="1678">
        <v>0</v>
      </c>
      <c r="X204" s="1408">
        <v>6</v>
      </c>
      <c r="Y204" s="1678">
        <v>0</v>
      </c>
      <c r="Z204" s="1678">
        <v>0</v>
      </c>
      <c r="AA204" s="1678">
        <v>0</v>
      </c>
      <c r="AB204" s="1678">
        <v>0</v>
      </c>
      <c r="AC204" s="1511"/>
      <c r="AD204" s="1511"/>
      <c r="AE204" s="1511"/>
      <c r="AF204" s="1511"/>
      <c r="AG204" s="1511"/>
      <c r="AH204" s="1511"/>
      <c r="AI204" s="1511"/>
      <c r="AJ204" s="1580">
        <v>1</v>
      </c>
      <c r="AK204" s="1511"/>
      <c r="AL204" s="1511"/>
      <c r="AM204" s="1511"/>
      <c r="AN204" s="1511"/>
      <c r="AO204" s="1511"/>
      <c r="AP204" s="1511"/>
      <c r="AQ204" s="1511"/>
      <c r="AR204" s="1511"/>
      <c r="AS204" s="1511">
        <f t="shared" si="26"/>
        <v>0</v>
      </c>
      <c r="AT204" s="1511"/>
      <c r="AU204" s="1511"/>
      <c r="AV204" s="1688"/>
      <c r="AW204" s="1409">
        <v>6</v>
      </c>
      <c r="AX204" s="1688"/>
      <c r="AY204" s="1688"/>
      <c r="AZ204" s="1688"/>
      <c r="BA204" s="1688"/>
      <c r="BB204" s="1593"/>
      <c r="BC204" s="1369" t="s">
        <v>1863</v>
      </c>
      <c r="BD204" s="1595" t="s">
        <v>935</v>
      </c>
    </row>
    <row r="205" spans="1:58" ht="58" outlineLevel="1">
      <c r="A205" s="1491">
        <v>18.3</v>
      </c>
      <c r="B205" s="1530" t="s">
        <v>1957</v>
      </c>
      <c r="C205" s="1578" t="s">
        <v>936</v>
      </c>
      <c r="D205" s="1526" t="s">
        <v>1845</v>
      </c>
      <c r="E205" s="1579"/>
      <c r="F205" s="1334"/>
      <c r="G205" s="1408">
        <v>0.5</v>
      </c>
      <c r="H205" s="1511"/>
      <c r="I205" s="1379"/>
      <c r="J205" s="1379"/>
      <c r="K205" s="1402"/>
      <c r="L205" s="1337"/>
      <c r="M205" s="1337"/>
      <c r="N205" s="1339"/>
      <c r="O205" s="1393" t="s">
        <v>2184</v>
      </c>
      <c r="P205" s="1678">
        <v>0</v>
      </c>
      <c r="Q205" s="1678">
        <v>0</v>
      </c>
      <c r="R205" s="1678">
        <v>0</v>
      </c>
      <c r="S205" s="1678">
        <v>0</v>
      </c>
      <c r="T205" s="1678">
        <f t="shared" si="25"/>
        <v>0</v>
      </c>
      <c r="U205" s="1678">
        <v>0</v>
      </c>
      <c r="V205" s="1678">
        <v>0</v>
      </c>
      <c r="W205" s="1678">
        <v>0</v>
      </c>
      <c r="X205" s="1408">
        <v>0.5</v>
      </c>
      <c r="Y205" s="1678">
        <v>0</v>
      </c>
      <c r="Z205" s="1678">
        <v>0</v>
      </c>
      <c r="AA205" s="1678">
        <v>0</v>
      </c>
      <c r="AB205" s="1678">
        <v>0</v>
      </c>
      <c r="AC205" s="1511"/>
      <c r="AD205" s="1511"/>
      <c r="AE205" s="1511"/>
      <c r="AF205" s="1511"/>
      <c r="AG205" s="1511"/>
      <c r="AH205" s="1511"/>
      <c r="AI205" s="1511"/>
      <c r="AJ205" s="1580">
        <v>1</v>
      </c>
      <c r="AK205" s="1511"/>
      <c r="AL205" s="1511"/>
      <c r="AM205" s="1511"/>
      <c r="AN205" s="1511"/>
      <c r="AO205" s="1511"/>
      <c r="AP205" s="1511"/>
      <c r="AQ205" s="1511"/>
      <c r="AR205" s="1511"/>
      <c r="AS205" s="1511">
        <f t="shared" si="26"/>
        <v>0</v>
      </c>
      <c r="AT205" s="1511"/>
      <c r="AU205" s="1511"/>
      <c r="AV205" s="1688"/>
      <c r="AW205" s="1409">
        <v>0.5</v>
      </c>
      <c r="AX205" s="1688"/>
      <c r="AY205" s="1688"/>
      <c r="AZ205" s="1688"/>
      <c r="BA205" s="1688"/>
      <c r="BB205" s="1593"/>
      <c r="BC205" s="1369" t="s">
        <v>1863</v>
      </c>
      <c r="BD205" s="1595" t="s">
        <v>935</v>
      </c>
    </row>
    <row r="206" spans="1:58" ht="58" outlineLevel="1">
      <c r="A206" s="1491">
        <v>18.399999999999999</v>
      </c>
      <c r="B206" s="1530" t="s">
        <v>1958</v>
      </c>
      <c r="C206" s="1578" t="s">
        <v>936</v>
      </c>
      <c r="D206" s="1526" t="s">
        <v>1845</v>
      </c>
      <c r="E206" s="1579"/>
      <c r="F206" s="1334"/>
      <c r="G206" s="1408">
        <v>0.4</v>
      </c>
      <c r="H206" s="1511"/>
      <c r="I206" s="1379"/>
      <c r="J206" s="1379"/>
      <c r="K206" s="1402"/>
      <c r="L206" s="1337"/>
      <c r="M206" s="1337"/>
      <c r="N206" s="1339"/>
      <c r="O206" s="1393" t="s">
        <v>2184</v>
      </c>
      <c r="P206" s="1678">
        <v>0</v>
      </c>
      <c r="Q206" s="1678">
        <v>0</v>
      </c>
      <c r="R206" s="1678">
        <v>0</v>
      </c>
      <c r="S206" s="1678">
        <v>0</v>
      </c>
      <c r="T206" s="1678">
        <f t="shared" si="25"/>
        <v>0</v>
      </c>
      <c r="U206" s="1678">
        <v>0</v>
      </c>
      <c r="V206" s="1678">
        <v>0</v>
      </c>
      <c r="W206" s="1678">
        <v>0</v>
      </c>
      <c r="X206" s="1408">
        <v>0.4</v>
      </c>
      <c r="Y206" s="1678">
        <v>0</v>
      </c>
      <c r="Z206" s="1678">
        <v>0</v>
      </c>
      <c r="AA206" s="1678">
        <v>0</v>
      </c>
      <c r="AB206" s="1678">
        <v>0</v>
      </c>
      <c r="AC206" s="1511"/>
      <c r="AD206" s="1511"/>
      <c r="AE206" s="1511"/>
      <c r="AF206" s="1511"/>
      <c r="AG206" s="1511"/>
      <c r="AH206" s="1511"/>
      <c r="AI206" s="1511"/>
      <c r="AJ206" s="1580">
        <v>1</v>
      </c>
      <c r="AK206" s="1511"/>
      <c r="AL206" s="1511"/>
      <c r="AM206" s="1511"/>
      <c r="AN206" s="1511"/>
      <c r="AO206" s="1511"/>
      <c r="AP206" s="1511"/>
      <c r="AQ206" s="1511"/>
      <c r="AR206" s="1511"/>
      <c r="AS206" s="1511">
        <f t="shared" si="26"/>
        <v>0</v>
      </c>
      <c r="AT206" s="1511"/>
      <c r="AU206" s="1511"/>
      <c r="AV206" s="1688"/>
      <c r="AW206" s="1409">
        <v>0.4</v>
      </c>
      <c r="AX206" s="1688"/>
      <c r="AY206" s="1688"/>
      <c r="AZ206" s="1688"/>
      <c r="BA206" s="1688"/>
      <c r="BB206" s="1593"/>
      <c r="BC206" s="1369" t="s">
        <v>1863</v>
      </c>
      <c r="BD206" s="1595" t="s">
        <v>935</v>
      </c>
    </row>
    <row r="207" spans="1:58" ht="29" outlineLevel="1">
      <c r="A207" s="1491">
        <v>18.5</v>
      </c>
      <c r="B207" s="1530" t="s">
        <v>1959</v>
      </c>
      <c r="C207" s="1578" t="s">
        <v>936</v>
      </c>
      <c r="D207" s="1526" t="s">
        <v>1845</v>
      </c>
      <c r="E207" s="1579"/>
      <c r="F207" s="1334"/>
      <c r="G207" s="1408">
        <v>1.5</v>
      </c>
      <c r="H207" s="1511"/>
      <c r="I207" s="1379"/>
      <c r="J207" s="1379"/>
      <c r="K207" s="1402"/>
      <c r="L207" s="1337"/>
      <c r="M207" s="1337"/>
      <c r="N207" s="1339"/>
      <c r="O207" s="1393" t="s">
        <v>2185</v>
      </c>
      <c r="P207" s="1678">
        <v>0</v>
      </c>
      <c r="Q207" s="1678">
        <v>0</v>
      </c>
      <c r="R207" s="1678">
        <v>0</v>
      </c>
      <c r="S207" s="1678">
        <v>0</v>
      </c>
      <c r="T207" s="1678">
        <f t="shared" si="25"/>
        <v>0</v>
      </c>
      <c r="U207" s="1678">
        <v>0</v>
      </c>
      <c r="V207" s="1678">
        <v>0</v>
      </c>
      <c r="W207" s="1678">
        <v>0</v>
      </c>
      <c r="X207" s="1408">
        <v>1.5</v>
      </c>
      <c r="Y207" s="1678">
        <v>0</v>
      </c>
      <c r="Z207" s="1678">
        <v>0</v>
      </c>
      <c r="AA207" s="1678">
        <v>0</v>
      </c>
      <c r="AB207" s="1678">
        <v>0</v>
      </c>
      <c r="AC207" s="1511"/>
      <c r="AD207" s="1511"/>
      <c r="AE207" s="1511"/>
      <c r="AF207" s="1511"/>
      <c r="AG207" s="1511"/>
      <c r="AH207" s="1511"/>
      <c r="AI207" s="1511"/>
      <c r="AJ207" s="1580">
        <v>1</v>
      </c>
      <c r="AK207" s="1511"/>
      <c r="AL207" s="1511"/>
      <c r="AM207" s="1511"/>
      <c r="AN207" s="1511"/>
      <c r="AO207" s="1511"/>
      <c r="AP207" s="1511"/>
      <c r="AQ207" s="1511"/>
      <c r="AR207" s="1511"/>
      <c r="AS207" s="1511">
        <f t="shared" si="26"/>
        <v>0</v>
      </c>
      <c r="AT207" s="1511"/>
      <c r="AU207" s="1511"/>
      <c r="AV207" s="1688"/>
      <c r="AW207" s="1409">
        <v>1.5</v>
      </c>
      <c r="AX207" s="1688"/>
      <c r="AY207" s="1688"/>
      <c r="AZ207" s="1688"/>
      <c r="BA207" s="1688"/>
      <c r="BB207" s="1593"/>
      <c r="BC207" s="1369" t="s">
        <v>1863</v>
      </c>
      <c r="BD207" s="1595" t="s">
        <v>935</v>
      </c>
    </row>
    <row r="208" spans="1:58" ht="29" outlineLevel="1">
      <c r="A208" s="1491">
        <v>18.600000000000001</v>
      </c>
      <c r="B208" s="1530" t="s">
        <v>1959</v>
      </c>
      <c r="C208" s="1578" t="s">
        <v>936</v>
      </c>
      <c r="D208" s="1526" t="s">
        <v>1845</v>
      </c>
      <c r="E208" s="1579"/>
      <c r="F208" s="1334"/>
      <c r="G208" s="1408">
        <v>2</v>
      </c>
      <c r="H208" s="1511"/>
      <c r="I208" s="1379"/>
      <c r="J208" s="1379"/>
      <c r="K208" s="1402"/>
      <c r="L208" s="1337"/>
      <c r="M208" s="1337"/>
      <c r="N208" s="1339"/>
      <c r="O208" s="1336"/>
      <c r="P208" s="1678">
        <v>0</v>
      </c>
      <c r="Q208" s="1678">
        <v>0</v>
      </c>
      <c r="R208" s="1678">
        <v>0</v>
      </c>
      <c r="S208" s="1678">
        <v>0</v>
      </c>
      <c r="T208" s="1678">
        <f t="shared" si="25"/>
        <v>0</v>
      </c>
      <c r="U208" s="1678">
        <v>0</v>
      </c>
      <c r="V208" s="1678">
        <v>0</v>
      </c>
      <c r="W208" s="1678">
        <v>0</v>
      </c>
      <c r="X208" s="1408">
        <v>2</v>
      </c>
      <c r="Y208" s="1678">
        <v>0</v>
      </c>
      <c r="Z208" s="1678">
        <v>0</v>
      </c>
      <c r="AA208" s="1678">
        <v>0</v>
      </c>
      <c r="AB208" s="1678">
        <v>0</v>
      </c>
      <c r="AC208" s="1511"/>
      <c r="AD208" s="1511"/>
      <c r="AE208" s="1511"/>
      <c r="AF208" s="1511"/>
      <c r="AG208" s="1511"/>
      <c r="AH208" s="1511"/>
      <c r="AI208" s="1511"/>
      <c r="AJ208" s="1580">
        <v>1</v>
      </c>
      <c r="AK208" s="1511"/>
      <c r="AL208" s="1511"/>
      <c r="AM208" s="1511"/>
      <c r="AN208" s="1511"/>
      <c r="AO208" s="1511"/>
      <c r="AP208" s="1511"/>
      <c r="AQ208" s="1511"/>
      <c r="AR208" s="1511"/>
      <c r="AS208" s="1511">
        <f t="shared" si="26"/>
        <v>0</v>
      </c>
      <c r="AT208" s="1511"/>
      <c r="AU208" s="1511"/>
      <c r="AV208" s="1688"/>
      <c r="AW208" s="1409">
        <v>2</v>
      </c>
      <c r="AX208" s="1688"/>
      <c r="AY208" s="1688"/>
      <c r="AZ208" s="1688"/>
      <c r="BA208" s="1688"/>
      <c r="BB208" s="1593"/>
      <c r="BC208" s="1369" t="s">
        <v>1863</v>
      </c>
      <c r="BD208" s="1595" t="s">
        <v>935</v>
      </c>
    </row>
    <row r="209" spans="1:58" ht="29" outlineLevel="1">
      <c r="A209" s="1491">
        <v>18.7</v>
      </c>
      <c r="B209" s="1530" t="s">
        <v>1960</v>
      </c>
      <c r="C209" s="1578" t="s">
        <v>936</v>
      </c>
      <c r="D209" s="1526" t="s">
        <v>1845</v>
      </c>
      <c r="E209" s="1579"/>
      <c r="F209" s="1334"/>
      <c r="G209" s="1408">
        <v>1</v>
      </c>
      <c r="H209" s="1511"/>
      <c r="I209" s="1379"/>
      <c r="J209" s="1379"/>
      <c r="K209" s="1402"/>
      <c r="L209" s="1337"/>
      <c r="M209" s="1337"/>
      <c r="N209" s="1339"/>
      <c r="O209" s="1393" t="s">
        <v>2184</v>
      </c>
      <c r="P209" s="1678">
        <v>0</v>
      </c>
      <c r="Q209" s="1678">
        <v>0</v>
      </c>
      <c r="R209" s="1678">
        <v>0</v>
      </c>
      <c r="S209" s="1678">
        <v>0</v>
      </c>
      <c r="T209" s="1678">
        <f t="shared" si="25"/>
        <v>0</v>
      </c>
      <c r="U209" s="1678">
        <v>0</v>
      </c>
      <c r="V209" s="1678">
        <v>0</v>
      </c>
      <c r="W209" s="1678">
        <v>0</v>
      </c>
      <c r="X209" s="1408">
        <v>1</v>
      </c>
      <c r="Y209" s="1678">
        <v>0</v>
      </c>
      <c r="Z209" s="1678">
        <v>0</v>
      </c>
      <c r="AA209" s="1678">
        <v>0</v>
      </c>
      <c r="AB209" s="1678">
        <v>0</v>
      </c>
      <c r="AC209" s="1511"/>
      <c r="AD209" s="1511"/>
      <c r="AE209" s="1511"/>
      <c r="AF209" s="1511"/>
      <c r="AG209" s="1511"/>
      <c r="AH209" s="1511"/>
      <c r="AI209" s="1511"/>
      <c r="AJ209" s="1580">
        <v>1</v>
      </c>
      <c r="AK209" s="1511"/>
      <c r="AL209" s="1511"/>
      <c r="AM209" s="1511"/>
      <c r="AN209" s="1511"/>
      <c r="AO209" s="1511"/>
      <c r="AP209" s="1511"/>
      <c r="AQ209" s="1511"/>
      <c r="AR209" s="1511"/>
      <c r="AS209" s="1511">
        <f t="shared" si="26"/>
        <v>0</v>
      </c>
      <c r="AT209" s="1511"/>
      <c r="AU209" s="1511"/>
      <c r="AV209" s="1688"/>
      <c r="AW209" s="1409">
        <v>1</v>
      </c>
      <c r="AX209" s="1688"/>
      <c r="AY209" s="1688"/>
      <c r="AZ209" s="1688"/>
      <c r="BA209" s="1688"/>
      <c r="BB209" s="1593"/>
      <c r="BC209" s="1369" t="s">
        <v>1863</v>
      </c>
      <c r="BD209" s="1595" t="s">
        <v>935</v>
      </c>
    </row>
    <row r="210" spans="1:58" ht="29" outlineLevel="1">
      <c r="A210" s="1491">
        <v>18.8</v>
      </c>
      <c r="B210" s="1530" t="s">
        <v>1961</v>
      </c>
      <c r="C210" s="1578" t="s">
        <v>936</v>
      </c>
      <c r="D210" s="1526" t="s">
        <v>1845</v>
      </c>
      <c r="E210" s="1579"/>
      <c r="F210" s="1334"/>
      <c r="G210" s="1408">
        <v>1.25</v>
      </c>
      <c r="H210" s="1511"/>
      <c r="I210" s="1379"/>
      <c r="J210" s="1379"/>
      <c r="K210" s="1402"/>
      <c r="L210" s="1337"/>
      <c r="M210" s="1337"/>
      <c r="N210" s="1339"/>
      <c r="O210" s="1393" t="s">
        <v>2184</v>
      </c>
      <c r="P210" s="1678">
        <v>0</v>
      </c>
      <c r="Q210" s="1678">
        <v>0</v>
      </c>
      <c r="R210" s="1678">
        <v>0</v>
      </c>
      <c r="S210" s="1678">
        <v>0</v>
      </c>
      <c r="T210" s="1678">
        <f t="shared" si="25"/>
        <v>0</v>
      </c>
      <c r="U210" s="1678">
        <v>0</v>
      </c>
      <c r="V210" s="1678">
        <v>0</v>
      </c>
      <c r="W210" s="1678">
        <v>0</v>
      </c>
      <c r="X210" s="1408">
        <v>1.25</v>
      </c>
      <c r="Y210" s="1678">
        <v>0</v>
      </c>
      <c r="Z210" s="1678">
        <v>0</v>
      </c>
      <c r="AA210" s="1678">
        <v>0</v>
      </c>
      <c r="AB210" s="1678">
        <v>0</v>
      </c>
      <c r="AC210" s="1511"/>
      <c r="AD210" s="1511"/>
      <c r="AE210" s="1511"/>
      <c r="AF210" s="1511"/>
      <c r="AG210" s="1511"/>
      <c r="AH210" s="1511"/>
      <c r="AI210" s="1511"/>
      <c r="AJ210" s="1580">
        <v>1</v>
      </c>
      <c r="AK210" s="1511"/>
      <c r="AL210" s="1511"/>
      <c r="AM210" s="1511"/>
      <c r="AN210" s="1511"/>
      <c r="AO210" s="1511"/>
      <c r="AP210" s="1511"/>
      <c r="AQ210" s="1511"/>
      <c r="AR210" s="1511"/>
      <c r="AS210" s="1511">
        <f t="shared" si="26"/>
        <v>0</v>
      </c>
      <c r="AT210" s="1511"/>
      <c r="AU210" s="1511"/>
      <c r="AV210" s="1688"/>
      <c r="AW210" s="1409">
        <v>1.25</v>
      </c>
      <c r="AX210" s="1688"/>
      <c r="AY210" s="1688"/>
      <c r="AZ210" s="1688"/>
      <c r="BA210" s="1688"/>
      <c r="BB210" s="1593"/>
      <c r="BC210" s="1369" t="s">
        <v>1863</v>
      </c>
      <c r="BD210" s="1595" t="s">
        <v>935</v>
      </c>
    </row>
    <row r="211" spans="1:58" ht="43.5" outlineLevel="1">
      <c r="A211" s="1491">
        <v>18.899999999999999</v>
      </c>
      <c r="B211" s="1530" t="s">
        <v>1962</v>
      </c>
      <c r="C211" s="1578" t="s">
        <v>936</v>
      </c>
      <c r="D211" s="1526" t="s">
        <v>1845</v>
      </c>
      <c r="E211" s="1579"/>
      <c r="F211" s="1334"/>
      <c r="G211" s="1408">
        <v>0.5</v>
      </c>
      <c r="H211" s="1511"/>
      <c r="I211" s="1379"/>
      <c r="J211" s="1379"/>
      <c r="K211" s="1402"/>
      <c r="L211" s="1337"/>
      <c r="M211" s="1337"/>
      <c r="N211" s="1339"/>
      <c r="O211" s="1393" t="s">
        <v>2186</v>
      </c>
      <c r="P211" s="1678">
        <v>0</v>
      </c>
      <c r="Q211" s="1678">
        <v>0</v>
      </c>
      <c r="R211" s="1678">
        <v>0</v>
      </c>
      <c r="S211" s="1678">
        <v>0</v>
      </c>
      <c r="T211" s="1678">
        <f t="shared" si="25"/>
        <v>0</v>
      </c>
      <c r="U211" s="1678">
        <v>0</v>
      </c>
      <c r="V211" s="1678">
        <v>0</v>
      </c>
      <c r="W211" s="1678">
        <v>0</v>
      </c>
      <c r="X211" s="1408">
        <v>0.5</v>
      </c>
      <c r="Y211" s="1678">
        <v>0</v>
      </c>
      <c r="Z211" s="1678">
        <v>0</v>
      </c>
      <c r="AA211" s="1678">
        <v>0</v>
      </c>
      <c r="AB211" s="1678">
        <v>0</v>
      </c>
      <c r="AC211" s="1511"/>
      <c r="AD211" s="1511"/>
      <c r="AE211" s="1511"/>
      <c r="AF211" s="1511"/>
      <c r="AG211" s="1511"/>
      <c r="AH211" s="1511"/>
      <c r="AI211" s="1511"/>
      <c r="AJ211" s="1580">
        <v>1</v>
      </c>
      <c r="AK211" s="1511"/>
      <c r="AL211" s="1511"/>
      <c r="AM211" s="1511"/>
      <c r="AN211" s="1511"/>
      <c r="AO211" s="1511"/>
      <c r="AP211" s="1511"/>
      <c r="AQ211" s="1511"/>
      <c r="AR211" s="1511"/>
      <c r="AS211" s="1511">
        <f t="shared" si="26"/>
        <v>0</v>
      </c>
      <c r="AT211" s="1511"/>
      <c r="AU211" s="1511"/>
      <c r="AV211" s="1688"/>
      <c r="AW211" s="1409">
        <v>0.5</v>
      </c>
      <c r="AX211" s="1688"/>
      <c r="AY211" s="1688"/>
      <c r="AZ211" s="1688"/>
      <c r="BA211" s="1688"/>
      <c r="BB211" s="1593"/>
      <c r="BC211" s="1369" t="s">
        <v>1863</v>
      </c>
      <c r="BD211" s="1595" t="s">
        <v>935</v>
      </c>
    </row>
    <row r="212" spans="1:58" ht="43.5" outlineLevel="1">
      <c r="A212" s="1491">
        <v>18.100000000000001</v>
      </c>
      <c r="B212" s="1530" t="s">
        <v>1963</v>
      </c>
      <c r="C212" s="1578" t="s">
        <v>936</v>
      </c>
      <c r="D212" s="1526" t="s">
        <v>1845</v>
      </c>
      <c r="E212" s="1579"/>
      <c r="F212" s="1334"/>
      <c r="G212" s="1408">
        <v>3.6</v>
      </c>
      <c r="H212" s="1511"/>
      <c r="I212" s="1379"/>
      <c r="J212" s="1379"/>
      <c r="K212" s="1402"/>
      <c r="L212" s="1337"/>
      <c r="M212" s="1337"/>
      <c r="N212" s="1339"/>
      <c r="O212" s="1393" t="s">
        <v>2187</v>
      </c>
      <c r="P212" s="1678">
        <v>0</v>
      </c>
      <c r="Q212" s="1678">
        <v>0</v>
      </c>
      <c r="R212" s="1678">
        <v>0</v>
      </c>
      <c r="S212" s="1678">
        <v>0</v>
      </c>
      <c r="T212" s="1678">
        <f t="shared" si="25"/>
        <v>0</v>
      </c>
      <c r="U212" s="1678">
        <v>0</v>
      </c>
      <c r="V212" s="1678">
        <v>0</v>
      </c>
      <c r="W212" s="1678">
        <v>0</v>
      </c>
      <c r="X212" s="1408">
        <v>3.6</v>
      </c>
      <c r="Y212" s="1678">
        <v>0</v>
      </c>
      <c r="Z212" s="1678">
        <v>0</v>
      </c>
      <c r="AA212" s="1678">
        <v>0</v>
      </c>
      <c r="AB212" s="1678">
        <v>0</v>
      </c>
      <c r="AC212" s="1511"/>
      <c r="AD212" s="1511"/>
      <c r="AE212" s="1511"/>
      <c r="AF212" s="1511"/>
      <c r="AG212" s="1511"/>
      <c r="AH212" s="1511"/>
      <c r="AI212" s="1511"/>
      <c r="AJ212" s="1580">
        <v>1</v>
      </c>
      <c r="AK212" s="1511"/>
      <c r="AL212" s="1511"/>
      <c r="AM212" s="1511"/>
      <c r="AN212" s="1511"/>
      <c r="AO212" s="1511"/>
      <c r="AP212" s="1511"/>
      <c r="AQ212" s="1511"/>
      <c r="AR212" s="1511"/>
      <c r="AS212" s="1511">
        <f t="shared" si="26"/>
        <v>0</v>
      </c>
      <c r="AT212" s="1511"/>
      <c r="AU212" s="1511"/>
      <c r="AV212" s="1688"/>
      <c r="AW212" s="1409">
        <v>3.6</v>
      </c>
      <c r="AX212" s="1688"/>
      <c r="AY212" s="1688"/>
      <c r="AZ212" s="1688"/>
      <c r="BA212" s="1688"/>
      <c r="BB212" s="1593"/>
      <c r="BC212" s="1369" t="s">
        <v>1863</v>
      </c>
      <c r="BD212" s="1595" t="s">
        <v>935</v>
      </c>
    </row>
    <row r="213" spans="1:58" ht="60" customHeight="1">
      <c r="A213" s="1533">
        <v>19</v>
      </c>
      <c r="B213" s="1534" t="s">
        <v>1954</v>
      </c>
      <c r="C213" s="1534" t="s">
        <v>929</v>
      </c>
      <c r="D213" s="1526" t="s">
        <v>1845</v>
      </c>
      <c r="E213" s="1676"/>
      <c r="F213" s="1676"/>
      <c r="G213" s="1511"/>
      <c r="H213" s="1511"/>
      <c r="I213" s="1315"/>
      <c r="J213" s="1315"/>
      <c r="K213" s="1511"/>
      <c r="L213" s="1511"/>
      <c r="M213" s="1511"/>
      <c r="N213" s="1511"/>
      <c r="O213" s="1511"/>
      <c r="P213" s="1678">
        <v>0</v>
      </c>
      <c r="Q213" s="1678">
        <v>0</v>
      </c>
      <c r="R213" s="1678">
        <v>0</v>
      </c>
      <c r="S213" s="1678">
        <v>0</v>
      </c>
      <c r="T213" s="1678">
        <f t="shared" si="25"/>
        <v>0</v>
      </c>
      <c r="U213" s="1678">
        <v>0</v>
      </c>
      <c r="V213" s="1678">
        <v>0</v>
      </c>
      <c r="W213" s="1678">
        <v>0</v>
      </c>
      <c r="X213" s="1678">
        <v>0</v>
      </c>
      <c r="Y213" s="1678">
        <v>0</v>
      </c>
      <c r="Z213" s="1678">
        <v>0</v>
      </c>
      <c r="AA213" s="1678">
        <v>0</v>
      </c>
      <c r="AB213" s="1678">
        <v>0</v>
      </c>
      <c r="AC213" s="1511"/>
      <c r="AD213" s="1511"/>
      <c r="AE213" s="1511"/>
      <c r="AF213" s="1511"/>
      <c r="AG213" s="1511"/>
      <c r="AH213" s="1511"/>
      <c r="AI213" s="1511"/>
      <c r="AJ213" s="1511"/>
      <c r="AK213" s="1511"/>
      <c r="AL213" s="1511"/>
      <c r="AM213" s="1511"/>
      <c r="AN213" s="1511"/>
      <c r="AO213" s="1511"/>
      <c r="AP213" s="1511"/>
      <c r="AQ213" s="1511"/>
      <c r="AR213" s="1511"/>
      <c r="AS213" s="1511">
        <f t="shared" si="26"/>
        <v>0</v>
      </c>
      <c r="AT213" s="1511"/>
      <c r="AU213" s="1511"/>
      <c r="AV213" s="1688"/>
      <c r="AW213" s="1688"/>
      <c r="AX213" s="1688"/>
      <c r="AY213" s="1688"/>
      <c r="AZ213" s="1688"/>
      <c r="BA213" s="1688"/>
      <c r="BB213" s="1679"/>
      <c r="BC213" s="1369" t="s">
        <v>1863</v>
      </c>
      <c r="BD213" s="1595" t="s">
        <v>935</v>
      </c>
      <c r="BF213" s="1317"/>
    </row>
    <row r="214" spans="1:58" ht="29" outlineLevel="1">
      <c r="A214" s="1491">
        <v>19.100000000000001</v>
      </c>
      <c r="B214" s="1530" t="s">
        <v>1964</v>
      </c>
      <c r="C214" s="1578" t="s">
        <v>936</v>
      </c>
      <c r="D214" s="1526" t="s">
        <v>1845</v>
      </c>
      <c r="E214" s="1579"/>
      <c r="F214" s="1334"/>
      <c r="G214" s="1408">
        <v>3</v>
      </c>
      <c r="H214" s="1511"/>
      <c r="I214" s="1379"/>
      <c r="J214" s="1379"/>
      <c r="K214" s="1402"/>
      <c r="L214" s="1337"/>
      <c r="M214" s="1337"/>
      <c r="N214" s="1339"/>
      <c r="O214" s="1393" t="s">
        <v>2188</v>
      </c>
      <c r="P214" s="1678">
        <v>0</v>
      </c>
      <c r="Q214" s="1678">
        <v>0</v>
      </c>
      <c r="R214" s="1678">
        <v>0</v>
      </c>
      <c r="S214" s="1678">
        <v>0</v>
      </c>
      <c r="T214" s="1678">
        <f t="shared" si="25"/>
        <v>0</v>
      </c>
      <c r="U214" s="1678">
        <v>0</v>
      </c>
      <c r="V214" s="1678">
        <v>0</v>
      </c>
      <c r="W214" s="1678">
        <v>0</v>
      </c>
      <c r="X214" s="1678">
        <v>0</v>
      </c>
      <c r="Y214" s="1408">
        <v>3</v>
      </c>
      <c r="Z214" s="1678">
        <v>0</v>
      </c>
      <c r="AA214" s="1678">
        <v>0</v>
      </c>
      <c r="AB214" s="1678">
        <v>0</v>
      </c>
      <c r="AC214" s="1511"/>
      <c r="AD214" s="1511"/>
      <c r="AE214" s="1511"/>
      <c r="AF214" s="1511"/>
      <c r="AG214" s="1511"/>
      <c r="AH214" s="1511"/>
      <c r="AI214" s="1511"/>
      <c r="AJ214" s="1511"/>
      <c r="AK214" s="1580">
        <v>1</v>
      </c>
      <c r="AL214" s="1511"/>
      <c r="AM214" s="1511"/>
      <c r="AN214" s="1511"/>
      <c r="AO214" s="1511"/>
      <c r="AP214" s="1511"/>
      <c r="AQ214" s="1511"/>
      <c r="AR214" s="1511"/>
      <c r="AS214" s="1511">
        <f t="shared" si="26"/>
        <v>0</v>
      </c>
      <c r="AT214" s="1511"/>
      <c r="AU214" s="1511"/>
      <c r="AV214" s="1688"/>
      <c r="AW214" s="1688"/>
      <c r="AX214" s="1409">
        <v>3</v>
      </c>
      <c r="AY214" s="1688"/>
      <c r="AZ214" s="1688"/>
      <c r="BA214" s="1688"/>
      <c r="BB214" s="1593"/>
      <c r="BC214" s="1369" t="s">
        <v>1863</v>
      </c>
      <c r="BD214" s="1595" t="s">
        <v>935</v>
      </c>
    </row>
    <row r="215" spans="1:58" ht="58" outlineLevel="1">
      <c r="A215" s="1491">
        <v>19.2</v>
      </c>
      <c r="B215" s="1530" t="s">
        <v>1965</v>
      </c>
      <c r="C215" s="1578" t="s">
        <v>936</v>
      </c>
      <c r="D215" s="1526" t="s">
        <v>1845</v>
      </c>
      <c r="E215" s="1579"/>
      <c r="F215" s="1334"/>
      <c r="G215" s="1408">
        <v>1.5</v>
      </c>
      <c r="H215" s="1511"/>
      <c r="I215" s="1379"/>
      <c r="J215" s="1379"/>
      <c r="K215" s="1402"/>
      <c r="L215" s="1337"/>
      <c r="M215" s="1337"/>
      <c r="N215" s="1339"/>
      <c r="O215" s="1393" t="s">
        <v>2189</v>
      </c>
      <c r="P215" s="1678">
        <v>0</v>
      </c>
      <c r="Q215" s="1678">
        <v>0</v>
      </c>
      <c r="R215" s="1678">
        <v>0</v>
      </c>
      <c r="S215" s="1678">
        <v>0</v>
      </c>
      <c r="T215" s="1678">
        <f t="shared" si="25"/>
        <v>0</v>
      </c>
      <c r="U215" s="1678">
        <v>0</v>
      </c>
      <c r="V215" s="1678">
        <v>0</v>
      </c>
      <c r="W215" s="1678">
        <v>0</v>
      </c>
      <c r="X215" s="1678">
        <v>0</v>
      </c>
      <c r="Y215" s="1408">
        <v>1.5</v>
      </c>
      <c r="Z215" s="1678">
        <v>0</v>
      </c>
      <c r="AA215" s="1678">
        <v>0</v>
      </c>
      <c r="AB215" s="1678">
        <v>0</v>
      </c>
      <c r="AC215" s="1511"/>
      <c r="AD215" s="1511"/>
      <c r="AE215" s="1511"/>
      <c r="AF215" s="1511"/>
      <c r="AG215" s="1511"/>
      <c r="AH215" s="1511"/>
      <c r="AI215" s="1511"/>
      <c r="AJ215" s="1511"/>
      <c r="AK215" s="1580">
        <v>1</v>
      </c>
      <c r="AL215" s="1511"/>
      <c r="AM215" s="1511"/>
      <c r="AN215" s="1511"/>
      <c r="AO215" s="1511"/>
      <c r="AP215" s="1511"/>
      <c r="AQ215" s="1511"/>
      <c r="AR215" s="1511"/>
      <c r="AS215" s="1511">
        <f t="shared" si="26"/>
        <v>0</v>
      </c>
      <c r="AT215" s="1511"/>
      <c r="AU215" s="1511"/>
      <c r="AV215" s="1688"/>
      <c r="AW215" s="1688"/>
      <c r="AX215" s="1409">
        <v>1.5</v>
      </c>
      <c r="AY215" s="1688"/>
      <c r="AZ215" s="1688"/>
      <c r="BA215" s="1688"/>
      <c r="BB215" s="1593"/>
      <c r="BC215" s="1369" t="s">
        <v>1863</v>
      </c>
      <c r="BD215" s="1595" t="s">
        <v>935</v>
      </c>
    </row>
    <row r="216" spans="1:58" ht="43.5" outlineLevel="1">
      <c r="A216" s="1491">
        <v>19.3</v>
      </c>
      <c r="B216" s="1530" t="s">
        <v>1966</v>
      </c>
      <c r="C216" s="1578" t="s">
        <v>936</v>
      </c>
      <c r="D216" s="1526" t="s">
        <v>1845</v>
      </c>
      <c r="E216" s="1579"/>
      <c r="F216" s="1334"/>
      <c r="G216" s="1408">
        <v>2.2999999999999998</v>
      </c>
      <c r="H216" s="1511"/>
      <c r="I216" s="1379"/>
      <c r="J216" s="1379"/>
      <c r="K216" s="1402"/>
      <c r="L216" s="1337"/>
      <c r="M216" s="1337"/>
      <c r="N216" s="1339"/>
      <c r="O216" s="1393" t="s">
        <v>2190</v>
      </c>
      <c r="P216" s="1678">
        <v>0</v>
      </c>
      <c r="Q216" s="1678">
        <v>0</v>
      </c>
      <c r="R216" s="1678">
        <v>0</v>
      </c>
      <c r="S216" s="1678">
        <v>0</v>
      </c>
      <c r="T216" s="1678">
        <f t="shared" si="25"/>
        <v>0</v>
      </c>
      <c r="U216" s="1678">
        <v>0</v>
      </c>
      <c r="V216" s="1678">
        <v>0</v>
      </c>
      <c r="W216" s="1678">
        <v>0</v>
      </c>
      <c r="X216" s="1678">
        <v>0</v>
      </c>
      <c r="Y216" s="1408">
        <v>2.2999999999999998</v>
      </c>
      <c r="Z216" s="1678">
        <v>0</v>
      </c>
      <c r="AA216" s="1678">
        <v>0</v>
      </c>
      <c r="AB216" s="1678">
        <v>0</v>
      </c>
      <c r="AC216" s="1511"/>
      <c r="AD216" s="1511"/>
      <c r="AE216" s="1511"/>
      <c r="AF216" s="1511"/>
      <c r="AG216" s="1511"/>
      <c r="AH216" s="1511"/>
      <c r="AI216" s="1511"/>
      <c r="AJ216" s="1511"/>
      <c r="AK216" s="1580">
        <v>1</v>
      </c>
      <c r="AL216" s="1511"/>
      <c r="AM216" s="1511"/>
      <c r="AN216" s="1511"/>
      <c r="AO216" s="1511"/>
      <c r="AP216" s="1511"/>
      <c r="AQ216" s="1511"/>
      <c r="AR216" s="1511"/>
      <c r="AS216" s="1511">
        <f t="shared" si="26"/>
        <v>0</v>
      </c>
      <c r="AT216" s="1511"/>
      <c r="AU216" s="1511"/>
      <c r="AV216" s="1688"/>
      <c r="AW216" s="1688"/>
      <c r="AX216" s="1409">
        <v>2.2999999999999998</v>
      </c>
      <c r="AY216" s="1688"/>
      <c r="AZ216" s="1688"/>
      <c r="BA216" s="1688"/>
      <c r="BB216" s="1593"/>
      <c r="BC216" s="1369" t="s">
        <v>1863</v>
      </c>
      <c r="BD216" s="1595" t="s">
        <v>935</v>
      </c>
    </row>
    <row r="217" spans="1:58" ht="43.5" outlineLevel="1">
      <c r="A217" s="1491">
        <v>19.399999999999999</v>
      </c>
      <c r="B217" s="1530" t="s">
        <v>1967</v>
      </c>
      <c r="C217" s="1578" t="s">
        <v>936</v>
      </c>
      <c r="D217" s="1526" t="s">
        <v>1845</v>
      </c>
      <c r="E217" s="1579"/>
      <c r="F217" s="1334"/>
      <c r="G217" s="1408">
        <v>1.2</v>
      </c>
      <c r="H217" s="1511"/>
      <c r="I217" s="1379"/>
      <c r="J217" s="1379"/>
      <c r="K217" s="1402"/>
      <c r="L217" s="1337"/>
      <c r="M217" s="1337"/>
      <c r="N217" s="1339"/>
      <c r="O217" s="1393" t="s">
        <v>2191</v>
      </c>
      <c r="P217" s="1678">
        <v>0</v>
      </c>
      <c r="Q217" s="1678">
        <v>0</v>
      </c>
      <c r="R217" s="1678">
        <v>0</v>
      </c>
      <c r="S217" s="1678">
        <v>0</v>
      </c>
      <c r="T217" s="1678">
        <f t="shared" si="25"/>
        <v>0</v>
      </c>
      <c r="U217" s="1678">
        <v>0</v>
      </c>
      <c r="V217" s="1678">
        <v>0</v>
      </c>
      <c r="W217" s="1678">
        <v>0</v>
      </c>
      <c r="X217" s="1678">
        <v>0</v>
      </c>
      <c r="Y217" s="1408">
        <v>1.2</v>
      </c>
      <c r="Z217" s="1678">
        <v>0</v>
      </c>
      <c r="AA217" s="1678">
        <v>0</v>
      </c>
      <c r="AB217" s="1678">
        <v>0</v>
      </c>
      <c r="AC217" s="1511"/>
      <c r="AD217" s="1511"/>
      <c r="AE217" s="1511"/>
      <c r="AF217" s="1511"/>
      <c r="AG217" s="1511"/>
      <c r="AH217" s="1511"/>
      <c r="AI217" s="1511"/>
      <c r="AJ217" s="1511"/>
      <c r="AK217" s="1580">
        <v>1</v>
      </c>
      <c r="AL217" s="1511"/>
      <c r="AM217" s="1511"/>
      <c r="AN217" s="1511"/>
      <c r="AO217" s="1511"/>
      <c r="AP217" s="1511"/>
      <c r="AQ217" s="1511"/>
      <c r="AR217" s="1511"/>
      <c r="AS217" s="1511">
        <f t="shared" si="26"/>
        <v>0</v>
      </c>
      <c r="AT217" s="1511"/>
      <c r="AU217" s="1511"/>
      <c r="AV217" s="1688"/>
      <c r="AW217" s="1688"/>
      <c r="AX217" s="1409">
        <v>1.2</v>
      </c>
      <c r="AY217" s="1688"/>
      <c r="AZ217" s="1688"/>
      <c r="BA217" s="1688"/>
      <c r="BB217" s="1593"/>
      <c r="BC217" s="1369" t="s">
        <v>1863</v>
      </c>
      <c r="BD217" s="1595" t="s">
        <v>935</v>
      </c>
    </row>
    <row r="218" spans="1:58" ht="43.5" outlineLevel="1">
      <c r="A218" s="1491">
        <v>19.5</v>
      </c>
      <c r="B218" s="1530" t="s">
        <v>1968</v>
      </c>
      <c r="C218" s="1578" t="s">
        <v>936</v>
      </c>
      <c r="D218" s="1526" t="s">
        <v>1845</v>
      </c>
      <c r="E218" s="1579"/>
      <c r="F218" s="1334"/>
      <c r="G218" s="1408">
        <v>6</v>
      </c>
      <c r="H218" s="1511"/>
      <c r="I218" s="1379"/>
      <c r="J218" s="1379"/>
      <c r="K218" s="1402"/>
      <c r="L218" s="1337"/>
      <c r="M218" s="1337"/>
      <c r="N218" s="1339"/>
      <c r="O218" s="1393" t="s">
        <v>2192</v>
      </c>
      <c r="P218" s="1678">
        <v>0</v>
      </c>
      <c r="Q218" s="1678">
        <v>0</v>
      </c>
      <c r="R218" s="1678">
        <v>0</v>
      </c>
      <c r="S218" s="1678">
        <v>0</v>
      </c>
      <c r="T218" s="1678">
        <f t="shared" si="25"/>
        <v>0</v>
      </c>
      <c r="U218" s="1678">
        <v>0</v>
      </c>
      <c r="V218" s="1678">
        <v>0</v>
      </c>
      <c r="W218" s="1678">
        <v>0</v>
      </c>
      <c r="X218" s="1678">
        <v>0</v>
      </c>
      <c r="Y218" s="1408">
        <v>6</v>
      </c>
      <c r="Z218" s="1678">
        <v>0</v>
      </c>
      <c r="AA218" s="1678">
        <v>0</v>
      </c>
      <c r="AB218" s="1678">
        <v>0</v>
      </c>
      <c r="AC218" s="1511"/>
      <c r="AD218" s="1511"/>
      <c r="AE218" s="1511"/>
      <c r="AF218" s="1511"/>
      <c r="AG218" s="1511"/>
      <c r="AH218" s="1511"/>
      <c r="AI218" s="1511"/>
      <c r="AJ218" s="1511"/>
      <c r="AK218" s="1580">
        <v>1</v>
      </c>
      <c r="AL218" s="1511"/>
      <c r="AM218" s="1511"/>
      <c r="AN218" s="1511"/>
      <c r="AO218" s="1511"/>
      <c r="AP218" s="1511"/>
      <c r="AQ218" s="1511"/>
      <c r="AR218" s="1511"/>
      <c r="AS218" s="1511">
        <f t="shared" si="26"/>
        <v>0</v>
      </c>
      <c r="AT218" s="1511"/>
      <c r="AU218" s="1511"/>
      <c r="AV218" s="1688"/>
      <c r="AW218" s="1688"/>
      <c r="AX218" s="1409">
        <v>6</v>
      </c>
      <c r="AY218" s="1688"/>
      <c r="AZ218" s="1688"/>
      <c r="BA218" s="1688"/>
      <c r="BB218" s="1593"/>
      <c r="BC218" s="1369" t="s">
        <v>1863</v>
      </c>
      <c r="BD218" s="1595" t="s">
        <v>935</v>
      </c>
    </row>
    <row r="219" spans="1:58" ht="43.5" outlineLevel="1">
      <c r="A219" s="1491">
        <v>19.600000000000001</v>
      </c>
      <c r="B219" s="1530" t="s">
        <v>1969</v>
      </c>
      <c r="C219" s="1578" t="s">
        <v>936</v>
      </c>
      <c r="D219" s="1526" t="s">
        <v>1845</v>
      </c>
      <c r="E219" s="1579"/>
      <c r="F219" s="1334"/>
      <c r="G219" s="1408">
        <v>1.2</v>
      </c>
      <c r="H219" s="1511"/>
      <c r="I219" s="1379"/>
      <c r="J219" s="1379"/>
      <c r="K219" s="1402"/>
      <c r="L219" s="1337"/>
      <c r="M219" s="1337"/>
      <c r="N219" s="1339"/>
      <c r="O219" s="1393" t="s">
        <v>2193</v>
      </c>
      <c r="P219" s="1678">
        <v>0</v>
      </c>
      <c r="Q219" s="1678">
        <v>0</v>
      </c>
      <c r="R219" s="1678">
        <v>0</v>
      </c>
      <c r="S219" s="1678">
        <v>0</v>
      </c>
      <c r="T219" s="1678">
        <f t="shared" si="25"/>
        <v>0</v>
      </c>
      <c r="U219" s="1678">
        <v>0</v>
      </c>
      <c r="V219" s="1678">
        <v>0</v>
      </c>
      <c r="W219" s="1678">
        <v>0</v>
      </c>
      <c r="X219" s="1678">
        <v>0</v>
      </c>
      <c r="Y219" s="1408">
        <v>1.2</v>
      </c>
      <c r="Z219" s="1678">
        <v>0</v>
      </c>
      <c r="AA219" s="1678">
        <v>0</v>
      </c>
      <c r="AB219" s="1678">
        <v>0</v>
      </c>
      <c r="AC219" s="1511"/>
      <c r="AD219" s="1511"/>
      <c r="AE219" s="1511"/>
      <c r="AF219" s="1511"/>
      <c r="AG219" s="1511"/>
      <c r="AH219" s="1511"/>
      <c r="AI219" s="1511"/>
      <c r="AJ219" s="1511"/>
      <c r="AK219" s="1580">
        <v>1</v>
      </c>
      <c r="AL219" s="1511"/>
      <c r="AM219" s="1511"/>
      <c r="AN219" s="1511"/>
      <c r="AO219" s="1511"/>
      <c r="AP219" s="1511"/>
      <c r="AQ219" s="1511"/>
      <c r="AR219" s="1511"/>
      <c r="AS219" s="1511">
        <f t="shared" si="26"/>
        <v>0</v>
      </c>
      <c r="AT219" s="1511"/>
      <c r="AU219" s="1511"/>
      <c r="AV219" s="1688"/>
      <c r="AW219" s="1688"/>
      <c r="AX219" s="1409">
        <v>1.2</v>
      </c>
      <c r="AY219" s="1688"/>
      <c r="AZ219" s="1688"/>
      <c r="BA219" s="1688"/>
      <c r="BB219" s="1593"/>
      <c r="BC219" s="1369" t="s">
        <v>1863</v>
      </c>
      <c r="BD219" s="1595" t="s">
        <v>935</v>
      </c>
    </row>
    <row r="220" spans="1:58" ht="60" customHeight="1">
      <c r="A220" s="1533">
        <v>20</v>
      </c>
      <c r="B220" s="1534" t="s">
        <v>1954</v>
      </c>
      <c r="C220" s="1533" t="s">
        <v>929</v>
      </c>
      <c r="D220" s="1526" t="s">
        <v>1845</v>
      </c>
      <c r="E220" s="1676"/>
      <c r="F220" s="1676"/>
      <c r="G220" s="1511"/>
      <c r="H220" s="1511"/>
      <c r="I220" s="1315"/>
      <c r="J220" s="1315"/>
      <c r="K220" s="1337"/>
      <c r="L220" s="1337"/>
      <c r="M220" s="1337"/>
      <c r="N220" s="1337"/>
      <c r="O220" s="1337"/>
      <c r="P220" s="1678">
        <v>0</v>
      </c>
      <c r="Q220" s="1678">
        <v>0</v>
      </c>
      <c r="R220" s="1678">
        <v>0</v>
      </c>
      <c r="S220" s="1678">
        <v>0</v>
      </c>
      <c r="T220" s="1678">
        <f t="shared" si="25"/>
        <v>0</v>
      </c>
      <c r="U220" s="1678">
        <v>0</v>
      </c>
      <c r="V220" s="1678">
        <v>0</v>
      </c>
      <c r="W220" s="1678">
        <v>0</v>
      </c>
      <c r="X220" s="1678">
        <v>0</v>
      </c>
      <c r="Y220" s="1678">
        <v>0</v>
      </c>
      <c r="Z220" s="1678">
        <v>0</v>
      </c>
      <c r="AA220" s="1678">
        <v>0</v>
      </c>
      <c r="AB220" s="1678">
        <v>0</v>
      </c>
      <c r="AC220" s="1680"/>
      <c r="AD220" s="1680"/>
      <c r="AE220" s="1511"/>
      <c r="AF220" s="1511"/>
      <c r="AG220" s="1511"/>
      <c r="AH220" s="1511"/>
      <c r="AI220" s="1511"/>
      <c r="AJ220" s="1511"/>
      <c r="AK220" s="1511"/>
      <c r="AL220" s="1511"/>
      <c r="AM220" s="1511"/>
      <c r="AN220" s="1511"/>
      <c r="AO220" s="1511"/>
      <c r="AP220" s="1511"/>
      <c r="AQ220" s="1511"/>
      <c r="AR220" s="1511"/>
      <c r="AS220" s="1511">
        <f t="shared" si="26"/>
        <v>0</v>
      </c>
      <c r="AT220" s="1511"/>
      <c r="AU220" s="1511"/>
      <c r="AV220" s="1688"/>
      <c r="AW220" s="1688"/>
      <c r="AX220" s="1688"/>
      <c r="AY220" s="1688"/>
      <c r="AZ220" s="1688"/>
      <c r="BA220" s="1688"/>
      <c r="BB220" s="1679"/>
      <c r="BC220" s="1369" t="s">
        <v>1863</v>
      </c>
      <c r="BD220" s="1595" t="s">
        <v>935</v>
      </c>
      <c r="BF220" s="1317"/>
    </row>
    <row r="221" spans="1:58" ht="58" outlineLevel="1">
      <c r="A221" s="1491">
        <v>20.100000000000001</v>
      </c>
      <c r="B221" s="1530" t="s">
        <v>1970</v>
      </c>
      <c r="C221" s="1578" t="s">
        <v>936</v>
      </c>
      <c r="D221" s="1526" t="s">
        <v>1845</v>
      </c>
      <c r="E221" s="1579"/>
      <c r="F221" s="1334"/>
      <c r="G221" s="1408">
        <v>21.25</v>
      </c>
      <c r="H221" s="1511"/>
      <c r="I221" s="1379"/>
      <c r="J221" s="1379"/>
      <c r="K221" s="1402"/>
      <c r="L221" s="1337"/>
      <c r="M221" s="1337"/>
      <c r="N221" s="1339"/>
      <c r="O221" s="1393" t="s">
        <v>2194</v>
      </c>
      <c r="P221" s="1678">
        <v>0</v>
      </c>
      <c r="Q221" s="1678">
        <v>0</v>
      </c>
      <c r="R221" s="1678">
        <v>0</v>
      </c>
      <c r="S221" s="1678">
        <v>0</v>
      </c>
      <c r="T221" s="1678">
        <f t="shared" si="25"/>
        <v>0</v>
      </c>
      <c r="U221" s="1678">
        <v>0</v>
      </c>
      <c r="V221" s="1678">
        <v>0</v>
      </c>
      <c r="W221" s="1678">
        <v>0</v>
      </c>
      <c r="X221" s="1678">
        <v>0</v>
      </c>
      <c r="Y221" s="1678">
        <v>0</v>
      </c>
      <c r="Z221" s="1408">
        <v>21.25</v>
      </c>
      <c r="AA221" s="1678">
        <v>0</v>
      </c>
      <c r="AB221" s="1678">
        <v>0</v>
      </c>
      <c r="AC221" s="1511"/>
      <c r="AD221" s="1511"/>
      <c r="AE221" s="1511"/>
      <c r="AF221" s="1511"/>
      <c r="AG221" s="1511"/>
      <c r="AH221" s="1511"/>
      <c r="AI221" s="1511"/>
      <c r="AJ221" s="1511"/>
      <c r="AK221" s="1511"/>
      <c r="AL221" s="1580">
        <v>1</v>
      </c>
      <c r="AM221" s="1511"/>
      <c r="AN221" s="1511"/>
      <c r="AO221" s="1511"/>
      <c r="AP221" s="1511"/>
      <c r="AQ221" s="1511"/>
      <c r="AR221" s="1511"/>
      <c r="AS221" s="1511">
        <f t="shared" si="26"/>
        <v>0</v>
      </c>
      <c r="AT221" s="1511"/>
      <c r="AU221" s="1511"/>
      <c r="AV221" s="1688"/>
      <c r="AW221" s="1688"/>
      <c r="AX221" s="1688"/>
      <c r="AY221" s="1409">
        <v>21.25</v>
      </c>
      <c r="AZ221" s="1688"/>
      <c r="BA221" s="1688"/>
      <c r="BB221" s="1593"/>
      <c r="BC221" s="1369" t="s">
        <v>1863</v>
      </c>
      <c r="BD221" s="1595" t="s">
        <v>935</v>
      </c>
    </row>
    <row r="222" spans="1:58" ht="58" outlineLevel="1">
      <c r="A222" s="1491">
        <v>20.2</v>
      </c>
      <c r="B222" s="1530" t="s">
        <v>1971</v>
      </c>
      <c r="C222" s="1578" t="s">
        <v>936</v>
      </c>
      <c r="D222" s="1526" t="s">
        <v>1845</v>
      </c>
      <c r="E222" s="1579"/>
      <c r="F222" s="1334"/>
      <c r="G222" s="1408">
        <v>3</v>
      </c>
      <c r="H222" s="1511"/>
      <c r="I222" s="1379"/>
      <c r="J222" s="1379"/>
      <c r="K222" s="1402"/>
      <c r="L222" s="1337"/>
      <c r="M222" s="1337"/>
      <c r="N222" s="1339"/>
      <c r="O222" s="1393" t="s">
        <v>2195</v>
      </c>
      <c r="P222" s="1678">
        <v>0</v>
      </c>
      <c r="Q222" s="1678">
        <v>0</v>
      </c>
      <c r="R222" s="1678">
        <v>0</v>
      </c>
      <c r="S222" s="1678">
        <v>0</v>
      </c>
      <c r="T222" s="1678">
        <f t="shared" si="25"/>
        <v>0</v>
      </c>
      <c r="U222" s="1678">
        <v>0</v>
      </c>
      <c r="V222" s="1678">
        <v>0</v>
      </c>
      <c r="W222" s="1678">
        <v>0</v>
      </c>
      <c r="X222" s="1678">
        <v>0</v>
      </c>
      <c r="Y222" s="1678">
        <v>0</v>
      </c>
      <c r="Z222" s="1408">
        <v>3</v>
      </c>
      <c r="AA222" s="1678">
        <v>0</v>
      </c>
      <c r="AB222" s="1678">
        <v>0</v>
      </c>
      <c r="AC222" s="1511"/>
      <c r="AD222" s="1511"/>
      <c r="AE222" s="1511"/>
      <c r="AF222" s="1511"/>
      <c r="AG222" s="1511"/>
      <c r="AH222" s="1511"/>
      <c r="AI222" s="1511"/>
      <c r="AJ222" s="1511"/>
      <c r="AK222" s="1511"/>
      <c r="AL222" s="1580">
        <v>1</v>
      </c>
      <c r="AM222" s="1511"/>
      <c r="AN222" s="1511"/>
      <c r="AO222" s="1511"/>
      <c r="AP222" s="1511"/>
      <c r="AQ222" s="1511"/>
      <c r="AR222" s="1511"/>
      <c r="AS222" s="1511">
        <f t="shared" si="26"/>
        <v>0</v>
      </c>
      <c r="AT222" s="1511"/>
      <c r="AU222" s="1511"/>
      <c r="AV222" s="1688"/>
      <c r="AW222" s="1688"/>
      <c r="AX222" s="1688"/>
      <c r="AY222" s="1409">
        <v>3</v>
      </c>
      <c r="AZ222" s="1688"/>
      <c r="BA222" s="1688"/>
      <c r="BB222" s="1593"/>
      <c r="BC222" s="1369" t="s">
        <v>1863</v>
      </c>
      <c r="BD222" s="1595" t="s">
        <v>935</v>
      </c>
    </row>
    <row r="223" spans="1:58" ht="60" customHeight="1">
      <c r="A223" s="1533">
        <v>21</v>
      </c>
      <c r="B223" s="1534" t="s">
        <v>1972</v>
      </c>
      <c r="C223" s="1533" t="s">
        <v>929</v>
      </c>
      <c r="D223" s="1526" t="s">
        <v>1845</v>
      </c>
      <c r="E223" s="1676"/>
      <c r="F223" s="1676"/>
      <c r="G223" s="1511"/>
      <c r="H223" s="1511"/>
      <c r="I223" s="1315"/>
      <c r="J223" s="1315"/>
      <c r="K223" s="1337"/>
      <c r="L223" s="1337"/>
      <c r="M223" s="1337"/>
      <c r="N223" s="1337"/>
      <c r="O223" s="1336"/>
      <c r="P223" s="1678">
        <v>0</v>
      </c>
      <c r="Q223" s="1678">
        <v>0</v>
      </c>
      <c r="R223" s="1678">
        <v>0</v>
      </c>
      <c r="S223" s="1678">
        <v>0</v>
      </c>
      <c r="T223" s="1678">
        <f t="shared" si="25"/>
        <v>0</v>
      </c>
      <c r="U223" s="1678">
        <v>0</v>
      </c>
      <c r="V223" s="1678">
        <v>0</v>
      </c>
      <c r="W223" s="1678">
        <v>0</v>
      </c>
      <c r="X223" s="1678">
        <v>0</v>
      </c>
      <c r="Y223" s="1678">
        <v>0</v>
      </c>
      <c r="Z223" s="1678">
        <v>0</v>
      </c>
      <c r="AA223" s="1678">
        <v>0</v>
      </c>
      <c r="AB223" s="1678">
        <v>0</v>
      </c>
      <c r="AC223" s="1680"/>
      <c r="AD223" s="1680"/>
      <c r="AE223" s="1511"/>
      <c r="AF223" s="1511"/>
      <c r="AG223" s="1511"/>
      <c r="AH223" s="1511"/>
      <c r="AI223" s="1511"/>
      <c r="AJ223" s="1511"/>
      <c r="AK223" s="1511"/>
      <c r="AL223" s="1511"/>
      <c r="AM223" s="1511"/>
      <c r="AN223" s="1511"/>
      <c r="AO223" s="1511"/>
      <c r="AP223" s="1511"/>
      <c r="AQ223" s="1511"/>
      <c r="AR223" s="1511"/>
      <c r="AS223" s="1511">
        <f t="shared" si="26"/>
        <v>0</v>
      </c>
      <c r="AT223" s="1511"/>
      <c r="AU223" s="1511"/>
      <c r="AV223" s="1688"/>
      <c r="AW223" s="1688"/>
      <c r="AX223" s="1688"/>
      <c r="AY223" s="1688"/>
      <c r="AZ223" s="1688"/>
      <c r="BA223" s="1688"/>
      <c r="BB223" s="1679"/>
      <c r="BC223" s="1688" t="s">
        <v>1863</v>
      </c>
      <c r="BD223" s="1688" t="s">
        <v>935</v>
      </c>
      <c r="BF223" s="1317"/>
    </row>
    <row r="224" spans="1:58" outlineLevel="1">
      <c r="A224" s="1491">
        <v>21.1</v>
      </c>
      <c r="B224" s="1530" t="s">
        <v>1973</v>
      </c>
      <c r="C224" s="1578" t="s">
        <v>936</v>
      </c>
      <c r="D224" s="1526" t="s">
        <v>1845</v>
      </c>
      <c r="E224" s="1579"/>
      <c r="F224" s="1334"/>
      <c r="G224" s="1408">
        <f>X224+Y224</f>
        <v>3.7800000000000002</v>
      </c>
      <c r="H224" s="1511"/>
      <c r="I224" s="1379"/>
      <c r="J224" s="1379"/>
      <c r="K224" s="1402"/>
      <c r="L224" s="1337"/>
      <c r="M224" s="1337"/>
      <c r="N224" s="1339"/>
      <c r="O224" s="1336" t="s">
        <v>1821</v>
      </c>
      <c r="P224" s="1678">
        <v>0</v>
      </c>
      <c r="Q224" s="1678">
        <v>0</v>
      </c>
      <c r="R224" s="1678">
        <v>0</v>
      </c>
      <c r="S224" s="1678">
        <v>0</v>
      </c>
      <c r="T224" s="1678">
        <f t="shared" si="25"/>
        <v>0</v>
      </c>
      <c r="U224" s="1678">
        <v>0</v>
      </c>
      <c r="V224" s="1678">
        <v>0</v>
      </c>
      <c r="W224" s="1678">
        <v>0</v>
      </c>
      <c r="X224" s="1573">
        <v>2.5</v>
      </c>
      <c r="Y224" s="1573">
        <v>1.28</v>
      </c>
      <c r="Z224" s="1678">
        <v>0</v>
      </c>
      <c r="AA224" s="1678">
        <v>0</v>
      </c>
      <c r="AB224" s="1678">
        <v>0</v>
      </c>
      <c r="AC224" s="1511"/>
      <c r="AD224" s="1511"/>
      <c r="AE224" s="1511"/>
      <c r="AF224" s="1511"/>
      <c r="AG224" s="1511"/>
      <c r="AH224" s="1511"/>
      <c r="AI224" s="1511"/>
      <c r="AJ224" s="1511"/>
      <c r="AK224" s="1580">
        <v>1</v>
      </c>
      <c r="AL224" s="1511"/>
      <c r="AM224" s="1511"/>
      <c r="AN224" s="1511"/>
      <c r="AO224" s="1511"/>
      <c r="AP224" s="1511"/>
      <c r="AQ224" s="1511"/>
      <c r="AR224" s="1511"/>
      <c r="AS224" s="1511">
        <f t="shared" si="26"/>
        <v>0</v>
      </c>
      <c r="AT224" s="1511"/>
      <c r="AU224" s="1511"/>
      <c r="AV224" s="1688"/>
      <c r="AW224" s="1688"/>
      <c r="AX224" s="1593">
        <v>3.7800000000000002</v>
      </c>
      <c r="AY224" s="1688"/>
      <c r="AZ224" s="1688"/>
      <c r="BA224" s="1688"/>
      <c r="BB224" s="1593"/>
      <c r="BC224" s="1369" t="s">
        <v>1863</v>
      </c>
      <c r="BD224" s="1595" t="s">
        <v>935</v>
      </c>
    </row>
    <row r="225" spans="1:74" ht="29" outlineLevel="1">
      <c r="A225" s="1491">
        <v>21.2</v>
      </c>
      <c r="B225" s="1530" t="s">
        <v>1974</v>
      </c>
      <c r="C225" s="1578" t="s">
        <v>936</v>
      </c>
      <c r="D225" s="1526" t="s">
        <v>1845</v>
      </c>
      <c r="E225" s="1579"/>
      <c r="F225" s="1334"/>
      <c r="G225" s="1408">
        <f t="shared" ref="G225:G227" si="27">X225+Y225</f>
        <v>3.46</v>
      </c>
      <c r="H225" s="1511"/>
      <c r="I225" s="1379"/>
      <c r="J225" s="1379"/>
      <c r="K225" s="1402"/>
      <c r="L225" s="1337"/>
      <c r="M225" s="1337"/>
      <c r="N225" s="1339"/>
      <c r="O225" s="1336" t="s">
        <v>1821</v>
      </c>
      <c r="P225" s="1678">
        <v>0</v>
      </c>
      <c r="Q225" s="1678">
        <v>0</v>
      </c>
      <c r="R225" s="1678">
        <v>0</v>
      </c>
      <c r="S225" s="1678">
        <v>0</v>
      </c>
      <c r="T225" s="1678">
        <f t="shared" si="25"/>
        <v>0</v>
      </c>
      <c r="U225" s="1678">
        <v>0</v>
      </c>
      <c r="V225" s="1678">
        <v>0</v>
      </c>
      <c r="W225" s="1678">
        <v>0</v>
      </c>
      <c r="X225" s="1573">
        <v>2.5</v>
      </c>
      <c r="Y225" s="1573">
        <v>0.96</v>
      </c>
      <c r="Z225" s="1678">
        <v>0</v>
      </c>
      <c r="AA225" s="1678">
        <v>0</v>
      </c>
      <c r="AB225" s="1678">
        <v>0</v>
      </c>
      <c r="AC225" s="1511"/>
      <c r="AD225" s="1511"/>
      <c r="AE225" s="1511"/>
      <c r="AF225" s="1511"/>
      <c r="AG225" s="1511"/>
      <c r="AH225" s="1511"/>
      <c r="AI225" s="1511"/>
      <c r="AJ225" s="1511"/>
      <c r="AK225" s="1580">
        <v>1</v>
      </c>
      <c r="AL225" s="1511"/>
      <c r="AM225" s="1511"/>
      <c r="AN225" s="1511"/>
      <c r="AO225" s="1511"/>
      <c r="AP225" s="1511"/>
      <c r="AQ225" s="1511"/>
      <c r="AR225" s="1511"/>
      <c r="AS225" s="1511">
        <f t="shared" si="26"/>
        <v>0</v>
      </c>
      <c r="AT225" s="1511"/>
      <c r="AU225" s="1511"/>
      <c r="AV225" s="1688"/>
      <c r="AW225" s="1688"/>
      <c r="AX225" s="1593">
        <v>3.46</v>
      </c>
      <c r="AY225" s="1688"/>
      <c r="AZ225" s="1688"/>
      <c r="BA225" s="1688"/>
      <c r="BB225" s="1593"/>
      <c r="BC225" s="1369" t="s">
        <v>1863</v>
      </c>
      <c r="BD225" s="1595" t="s">
        <v>935</v>
      </c>
    </row>
    <row r="226" spans="1:74" outlineLevel="1">
      <c r="A226" s="1491">
        <v>21.3</v>
      </c>
      <c r="B226" s="1530" t="s">
        <v>1975</v>
      </c>
      <c r="C226" s="1578" t="s">
        <v>936</v>
      </c>
      <c r="D226" s="1526" t="s">
        <v>1845</v>
      </c>
      <c r="E226" s="1579"/>
      <c r="F226" s="1334"/>
      <c r="G226" s="1408">
        <f t="shared" si="27"/>
        <v>1.8599999999999999</v>
      </c>
      <c r="H226" s="1511"/>
      <c r="I226" s="1379"/>
      <c r="J226" s="1379"/>
      <c r="K226" s="1402"/>
      <c r="L226" s="1337"/>
      <c r="M226" s="1337"/>
      <c r="N226" s="1339"/>
      <c r="O226" s="1336" t="s">
        <v>1826</v>
      </c>
      <c r="P226" s="1678">
        <v>0</v>
      </c>
      <c r="Q226" s="1678">
        <v>0</v>
      </c>
      <c r="R226" s="1678">
        <v>0</v>
      </c>
      <c r="S226" s="1678">
        <v>0</v>
      </c>
      <c r="T226" s="1678">
        <f t="shared" si="25"/>
        <v>0</v>
      </c>
      <c r="U226" s="1678">
        <v>0</v>
      </c>
      <c r="V226" s="1678">
        <v>0</v>
      </c>
      <c r="W226" s="1678">
        <v>0</v>
      </c>
      <c r="X226" s="1573">
        <v>1.5</v>
      </c>
      <c r="Y226" s="1573">
        <v>0.36</v>
      </c>
      <c r="Z226" s="1678">
        <v>0</v>
      </c>
      <c r="AA226" s="1678">
        <v>0</v>
      </c>
      <c r="AB226" s="1678">
        <v>0</v>
      </c>
      <c r="AC226" s="1511"/>
      <c r="AD226" s="1511"/>
      <c r="AE226" s="1511"/>
      <c r="AF226" s="1511"/>
      <c r="AG226" s="1511"/>
      <c r="AH226" s="1511"/>
      <c r="AI226" s="1511"/>
      <c r="AJ226" s="1511"/>
      <c r="AK226" s="1580">
        <v>1</v>
      </c>
      <c r="AL226" s="1511"/>
      <c r="AM226" s="1511"/>
      <c r="AN226" s="1511"/>
      <c r="AO226" s="1511"/>
      <c r="AP226" s="1511"/>
      <c r="AQ226" s="1511"/>
      <c r="AR226" s="1511"/>
      <c r="AS226" s="1511">
        <f t="shared" si="26"/>
        <v>0</v>
      </c>
      <c r="AT226" s="1511"/>
      <c r="AU226" s="1511"/>
      <c r="AV226" s="1688"/>
      <c r="AW226" s="1688"/>
      <c r="AX226" s="1593">
        <v>1.8599999999999999</v>
      </c>
      <c r="AY226" s="1688"/>
      <c r="AZ226" s="1688"/>
      <c r="BA226" s="1688"/>
      <c r="BB226" s="1593"/>
      <c r="BC226" s="1369" t="s">
        <v>1863</v>
      </c>
      <c r="BD226" s="1595" t="s">
        <v>935</v>
      </c>
    </row>
    <row r="227" spans="1:74" outlineLevel="1">
      <c r="A227" s="1491">
        <v>21.4</v>
      </c>
      <c r="B227" s="1530" t="s">
        <v>1976</v>
      </c>
      <c r="C227" s="1578" t="s">
        <v>936</v>
      </c>
      <c r="D227" s="1526" t="s">
        <v>1845</v>
      </c>
      <c r="E227" s="1579"/>
      <c r="F227" s="1334"/>
      <c r="G227" s="1408">
        <f t="shared" si="27"/>
        <v>2.13</v>
      </c>
      <c r="H227" s="1511"/>
      <c r="I227" s="1379"/>
      <c r="J227" s="1379"/>
      <c r="K227" s="1402"/>
      <c r="L227" s="1337"/>
      <c r="M227" s="1337"/>
      <c r="N227" s="1339"/>
      <c r="O227" s="1336" t="s">
        <v>1978</v>
      </c>
      <c r="P227" s="1678">
        <v>0</v>
      </c>
      <c r="Q227" s="1678">
        <v>0</v>
      </c>
      <c r="R227" s="1678">
        <v>0</v>
      </c>
      <c r="S227" s="1678">
        <v>0</v>
      </c>
      <c r="T227" s="1678">
        <f t="shared" si="25"/>
        <v>0</v>
      </c>
      <c r="U227" s="1678">
        <v>0</v>
      </c>
      <c r="V227" s="1678">
        <v>0</v>
      </c>
      <c r="W227" s="1678">
        <v>0</v>
      </c>
      <c r="X227" s="1573">
        <v>1.5</v>
      </c>
      <c r="Y227" s="1573">
        <v>0.63</v>
      </c>
      <c r="Z227" s="1678">
        <v>0</v>
      </c>
      <c r="AA227" s="1678">
        <v>0</v>
      </c>
      <c r="AB227" s="1678">
        <v>0</v>
      </c>
      <c r="AC227" s="1511"/>
      <c r="AD227" s="1511"/>
      <c r="AE227" s="1511"/>
      <c r="AF227" s="1511"/>
      <c r="AG227" s="1511"/>
      <c r="AH227" s="1511"/>
      <c r="AI227" s="1511"/>
      <c r="AJ227" s="1511"/>
      <c r="AK227" s="1580">
        <v>1</v>
      </c>
      <c r="AL227" s="1511"/>
      <c r="AM227" s="1511"/>
      <c r="AN227" s="1511"/>
      <c r="AO227" s="1511"/>
      <c r="AP227" s="1511"/>
      <c r="AQ227" s="1511"/>
      <c r="AR227" s="1511"/>
      <c r="AS227" s="1511">
        <f t="shared" si="26"/>
        <v>0</v>
      </c>
      <c r="AT227" s="1511"/>
      <c r="AU227" s="1511"/>
      <c r="AV227" s="1688"/>
      <c r="AW227" s="1688"/>
      <c r="AX227" s="1593">
        <v>2.13</v>
      </c>
      <c r="AY227" s="1688"/>
      <c r="AZ227" s="1688"/>
      <c r="BA227" s="1688"/>
      <c r="BB227" s="1593"/>
      <c r="BC227" s="1369" t="s">
        <v>1863</v>
      </c>
      <c r="BD227" s="1595" t="s">
        <v>935</v>
      </c>
    </row>
    <row r="228" spans="1:74" ht="60" customHeight="1">
      <c r="A228" s="1533">
        <v>22</v>
      </c>
      <c r="B228" s="1534" t="s">
        <v>1977</v>
      </c>
      <c r="C228" s="1533"/>
      <c r="D228" s="1526"/>
      <c r="E228" s="1676"/>
      <c r="F228" s="1676"/>
      <c r="G228" s="1511"/>
      <c r="H228" s="1511"/>
      <c r="I228" s="1315"/>
      <c r="J228" s="1315"/>
      <c r="K228" s="1337"/>
      <c r="L228" s="1337"/>
      <c r="M228" s="1337"/>
      <c r="N228" s="1337"/>
      <c r="P228" s="1678"/>
      <c r="Q228" s="1678"/>
      <c r="R228" s="1678"/>
      <c r="S228" s="1678"/>
      <c r="T228" s="1678">
        <f t="shared" si="25"/>
        <v>0</v>
      </c>
      <c r="U228" s="1678"/>
      <c r="V228" s="1678"/>
      <c r="W228" s="1678">
        <v>0</v>
      </c>
      <c r="X228" s="1678"/>
      <c r="Y228" s="1678"/>
      <c r="Z228" s="1678"/>
      <c r="AA228" s="1678"/>
      <c r="AB228" s="1678"/>
      <c r="AC228" s="1680"/>
      <c r="AD228" s="1680"/>
      <c r="AE228" s="1511"/>
      <c r="AF228" s="1511"/>
      <c r="AG228" s="1511"/>
      <c r="AH228" s="1511"/>
      <c r="AI228" s="1511"/>
      <c r="AJ228" s="1511"/>
      <c r="AK228" s="1511"/>
      <c r="AL228" s="1511"/>
      <c r="AM228" s="1511"/>
      <c r="AN228" s="1511"/>
      <c r="AO228" s="1511"/>
      <c r="AP228" s="1511"/>
      <c r="AQ228" s="1511"/>
      <c r="AR228" s="1511"/>
      <c r="AS228" s="1511">
        <f t="shared" si="26"/>
        <v>0</v>
      </c>
      <c r="AT228" s="1511"/>
      <c r="AU228" s="1511"/>
      <c r="AV228" s="1688"/>
      <c r="AW228" s="1688"/>
      <c r="AX228" s="1688"/>
      <c r="AY228" s="1688"/>
      <c r="AZ228" s="1688"/>
      <c r="BA228" s="1688"/>
      <c r="BB228" s="1679"/>
      <c r="BC228" s="1688"/>
      <c r="BD228" s="1688"/>
      <c r="BF228" s="1317"/>
    </row>
    <row r="229" spans="1:74">
      <c r="A229" s="1491">
        <v>22.1</v>
      </c>
      <c r="B229" s="1530" t="s">
        <v>1977</v>
      </c>
      <c r="C229" s="1578"/>
      <c r="D229" s="1526"/>
      <c r="E229" s="1579"/>
      <c r="F229" s="1334"/>
      <c r="G229" s="1408"/>
      <c r="H229" s="1511"/>
      <c r="I229" s="1379"/>
      <c r="J229" s="1379"/>
      <c r="K229" s="1402"/>
      <c r="L229" s="1337"/>
      <c r="M229" s="1337"/>
      <c r="N229" s="1339"/>
      <c r="O229" s="1336"/>
      <c r="P229" s="1678"/>
      <c r="Q229" s="1678"/>
      <c r="R229" s="1678"/>
      <c r="S229" s="1678"/>
      <c r="T229" s="1678">
        <f t="shared" si="25"/>
        <v>0</v>
      </c>
      <c r="U229" s="1678"/>
      <c r="V229" s="1678"/>
      <c r="W229" s="1678"/>
      <c r="X229" s="1678"/>
      <c r="Y229" s="1678"/>
      <c r="Z229" s="1573">
        <v>25</v>
      </c>
      <c r="AA229" s="1678"/>
      <c r="AB229" s="1678"/>
      <c r="AC229" s="1511"/>
      <c r="AD229" s="1511"/>
      <c r="AE229" s="1511"/>
      <c r="AF229" s="1511"/>
      <c r="AG229" s="1511"/>
      <c r="AH229" s="1511"/>
      <c r="AI229" s="1511"/>
      <c r="AJ229" s="1511"/>
      <c r="AK229" s="1580"/>
      <c r="AL229" s="1511"/>
      <c r="AM229" s="1511"/>
      <c r="AN229" s="1511"/>
      <c r="AO229" s="1511"/>
      <c r="AP229" s="1511"/>
      <c r="AQ229" s="1511"/>
      <c r="AR229" s="1511"/>
      <c r="AS229" s="1511">
        <f t="shared" si="26"/>
        <v>0</v>
      </c>
      <c r="AT229" s="1511"/>
      <c r="AU229" s="1511"/>
      <c r="AV229" s="1688"/>
      <c r="AW229" s="1688"/>
      <c r="AX229" s="1688"/>
      <c r="AY229" s="1593">
        <v>25</v>
      </c>
      <c r="AZ229" s="1688"/>
      <c r="BA229" s="1688"/>
      <c r="BB229" s="1593"/>
      <c r="BC229" s="1369"/>
      <c r="BD229" s="1595"/>
    </row>
    <row r="230" spans="1:74">
      <c r="A230" s="1420"/>
      <c r="B230" s="1421" t="s">
        <v>1979</v>
      </c>
      <c r="C230" s="1420"/>
      <c r="D230" s="1420"/>
      <c r="E230" s="1422"/>
      <c r="F230" s="1423"/>
      <c r="G230" s="1421"/>
      <c r="H230" s="1424"/>
      <c r="I230" s="1424"/>
      <c r="J230" s="1424"/>
      <c r="K230" s="1422"/>
      <c r="L230" s="1421"/>
      <c r="M230" s="1421"/>
      <c r="N230" s="1425"/>
      <c r="O230" s="1421"/>
      <c r="P230" s="1715"/>
      <c r="Q230" s="1716"/>
      <c r="R230" s="1716"/>
      <c r="S230" s="1716"/>
      <c r="T230" s="1715">
        <f t="shared" si="25"/>
        <v>0</v>
      </c>
      <c r="U230" s="1716"/>
      <c r="V230" s="1716"/>
      <c r="W230" s="1716"/>
      <c r="X230" s="1716"/>
      <c r="Y230" s="1716"/>
      <c r="Z230" s="1716"/>
      <c r="AA230" s="1716"/>
      <c r="AB230" s="1716"/>
      <c r="AC230" s="1717"/>
      <c r="AD230" s="1717"/>
      <c r="AE230" s="1717"/>
      <c r="AF230" s="1717"/>
      <c r="AG230" s="1717"/>
      <c r="AH230" s="1717"/>
      <c r="AI230" s="1717"/>
      <c r="AJ230" s="1717"/>
      <c r="AK230" s="1717"/>
      <c r="AL230" s="1717"/>
      <c r="AM230" s="1717"/>
      <c r="AN230" s="1717"/>
      <c r="AO230" s="1715"/>
      <c r="AP230" s="1716"/>
      <c r="AQ230" s="1716"/>
      <c r="AR230" s="1716"/>
      <c r="AS230" s="1715">
        <f t="shared" si="26"/>
        <v>0</v>
      </c>
      <c r="AT230" s="1718"/>
      <c r="AU230" s="1660"/>
      <c r="AV230" s="1660"/>
      <c r="AW230" s="1660"/>
      <c r="AX230" s="1660"/>
      <c r="AY230" s="1660"/>
      <c r="AZ230" s="1660"/>
      <c r="BA230" s="1660"/>
      <c r="BB230" s="1660"/>
      <c r="BC230" s="1403"/>
      <c r="BD230" s="1404"/>
      <c r="BE230" s="1421"/>
    </row>
    <row r="231" spans="1:74" ht="15.5">
      <c r="A231" s="1533"/>
      <c r="B231" s="1534"/>
      <c r="C231" s="1533"/>
      <c r="D231" s="1338"/>
      <c r="E231" s="1676"/>
      <c r="F231" s="1676"/>
      <c r="G231" s="1312"/>
      <c r="H231" s="1426"/>
      <c r="I231" s="1315"/>
      <c r="J231" s="1315"/>
      <c r="K231" s="1337"/>
      <c r="L231" s="1337"/>
      <c r="M231" s="1337"/>
      <c r="N231" s="1337"/>
      <c r="O231" s="1337"/>
      <c r="P231" s="1678"/>
      <c r="Q231" s="1678"/>
      <c r="R231" s="1678"/>
      <c r="S231" s="1678"/>
      <c r="T231" s="1678">
        <f t="shared" si="25"/>
        <v>0</v>
      </c>
      <c r="U231" s="1678"/>
      <c r="V231" s="1678"/>
      <c r="W231" s="1678"/>
      <c r="X231" s="1719"/>
      <c r="Y231" s="1511"/>
      <c r="Z231" s="1511"/>
      <c r="AA231" s="1511"/>
      <c r="AB231" s="1511"/>
      <c r="AC231" s="1680"/>
      <c r="AD231" s="1680"/>
      <c r="AE231" s="1511"/>
      <c r="AF231" s="1511"/>
      <c r="AG231" s="1511"/>
      <c r="AH231" s="1511"/>
      <c r="AI231" s="1511"/>
      <c r="AJ231" s="1580"/>
      <c r="AK231" s="1511"/>
      <c r="AL231" s="1511"/>
      <c r="AM231" s="1511"/>
      <c r="AN231" s="1511"/>
      <c r="AO231" s="1511"/>
      <c r="AP231" s="1511"/>
      <c r="AQ231" s="1511"/>
      <c r="AR231" s="1511"/>
      <c r="AS231" s="1511">
        <f t="shared" si="26"/>
        <v>0</v>
      </c>
      <c r="AT231" s="1511"/>
      <c r="AU231" s="1592"/>
      <c r="AV231" s="1592"/>
      <c r="AW231" s="1592"/>
      <c r="AX231" s="1592"/>
      <c r="AY231" s="1592"/>
      <c r="AZ231" s="1592"/>
      <c r="BA231" s="1592"/>
      <c r="BB231" s="1593"/>
      <c r="BC231" s="1369"/>
      <c r="BD231" s="1361"/>
      <c r="BE231" s="1684"/>
      <c r="BF231" s="1684"/>
      <c r="BH231" s="1317"/>
    </row>
    <row r="232" spans="1:74" s="1589" customFormat="1" ht="15.5">
      <c r="A232" s="1493"/>
      <c r="B232" s="1494" t="s">
        <v>1980</v>
      </c>
      <c r="C232" s="1582"/>
      <c r="D232" s="1495"/>
      <c r="E232" s="1583"/>
      <c r="F232" s="1341"/>
      <c r="G232" s="1342"/>
      <c r="H232" s="1496"/>
      <c r="I232" s="1349"/>
      <c r="J232" s="1349"/>
      <c r="K232" s="1341"/>
      <c r="L232" s="1370"/>
      <c r="M232" s="1371"/>
      <c r="N232" s="1372"/>
      <c r="O232" s="1427"/>
      <c r="P232" s="1584"/>
      <c r="Q232" s="1584"/>
      <c r="R232" s="1584"/>
      <c r="S232" s="1584"/>
      <c r="T232" s="1584">
        <f t="shared" si="25"/>
        <v>0</v>
      </c>
      <c r="U232" s="1720">
        <v>0.34312365099999997</v>
      </c>
      <c r="V232" s="1584">
        <v>0.56615120600000002</v>
      </c>
      <c r="W232" s="1584"/>
      <c r="X232" s="1584">
        <v>0.28999999999999998</v>
      </c>
      <c r="Y232" s="1584">
        <v>0.28999999999999998</v>
      </c>
      <c r="Z232" s="1584">
        <v>0.28999999999999998</v>
      </c>
      <c r="AA232" s="1584">
        <v>0.28999999999999998</v>
      </c>
      <c r="AB232" s="1584">
        <v>0.28999999999999998</v>
      </c>
      <c r="AC232" s="1585"/>
      <c r="AD232" s="1585"/>
      <c r="AE232" s="1585"/>
      <c r="AF232" s="1585"/>
      <c r="AG232" s="1585"/>
      <c r="AH232" s="1585"/>
      <c r="AI232" s="1585"/>
      <c r="AJ232" s="1585"/>
      <c r="AK232" s="1585"/>
      <c r="AL232" s="1585"/>
      <c r="AM232" s="1585"/>
      <c r="AN232" s="1585"/>
      <c r="AO232" s="1584"/>
      <c r="AP232" s="1584"/>
      <c r="AQ232" s="1584"/>
      <c r="AR232" s="1584"/>
      <c r="AS232" s="1584">
        <f t="shared" si="26"/>
        <v>0</v>
      </c>
      <c r="AT232" s="1584">
        <v>0.40371165099999995</v>
      </c>
      <c r="AU232" s="1721">
        <v>0.56615120600000002</v>
      </c>
      <c r="AV232" s="1659"/>
      <c r="AW232" s="1659">
        <v>0.28999999999999998</v>
      </c>
      <c r="AX232" s="1659">
        <v>0.28999999999999998</v>
      </c>
      <c r="AY232" s="1659">
        <v>0.28999999999999998</v>
      </c>
      <c r="AZ232" s="1659">
        <v>0.28999999999999998</v>
      </c>
      <c r="BA232" s="1659">
        <v>0.28999999999999998</v>
      </c>
      <c r="BB232" s="1722"/>
      <c r="BC232" s="1428"/>
      <c r="BD232" s="1723"/>
      <c r="BE232" s="1588"/>
    </row>
    <row r="233" spans="1:74" s="1430" customFormat="1">
      <c r="A233" s="1499"/>
      <c r="B233" s="1539"/>
      <c r="C233" s="1578"/>
      <c r="D233" s="1511"/>
      <c r="E233" s="1579"/>
      <c r="F233" s="1334"/>
      <c r="G233" s="1429"/>
      <c r="H233" s="1429"/>
      <c r="I233" s="1336"/>
      <c r="J233" s="1336"/>
      <c r="K233" s="1402"/>
      <c r="L233" s="1337"/>
      <c r="M233" s="1337"/>
      <c r="N233" s="1339"/>
      <c r="O233" s="1336"/>
      <c r="P233" s="1572"/>
      <c r="Q233" s="1573"/>
      <c r="R233" s="1573"/>
      <c r="S233" s="1573"/>
      <c r="T233" s="1572">
        <f t="shared" si="25"/>
        <v>0</v>
      </c>
      <c r="U233" s="1573"/>
      <c r="V233" s="1573"/>
      <c r="W233" s="1573">
        <v>0.28999999999999998</v>
      </c>
      <c r="X233" s="1573"/>
      <c r="Y233" s="1573"/>
      <c r="Z233" s="1573"/>
      <c r="AA233" s="1573"/>
      <c r="AB233" s="1573"/>
      <c r="AC233" s="1580"/>
      <c r="AD233" s="1580"/>
      <c r="AE233" s="1580"/>
      <c r="AF233" s="1580"/>
      <c r="AG233" s="1580"/>
      <c r="AH233" s="1580"/>
      <c r="AI233" s="1580"/>
      <c r="AJ233" s="1580"/>
      <c r="AK233" s="1580"/>
      <c r="AL233" s="1580"/>
      <c r="AM233" s="1580"/>
      <c r="AN233" s="1580"/>
      <c r="AO233" s="1572"/>
      <c r="AP233" s="1630"/>
      <c r="AQ233" s="1630"/>
      <c r="AR233" s="1724"/>
      <c r="AS233" s="1572">
        <f t="shared" si="26"/>
        <v>0</v>
      </c>
      <c r="AT233" s="1576"/>
      <c r="AU233" s="1593"/>
      <c r="AV233" s="1593">
        <v>0</v>
      </c>
      <c r="AW233" s="1593"/>
      <c r="AX233" s="1593"/>
      <c r="AY233" s="1593"/>
      <c r="AZ233" s="1593"/>
      <c r="BA233" s="1593"/>
      <c r="BB233" s="1593"/>
      <c r="BC233" s="1369"/>
      <c r="BD233" s="1595"/>
      <c r="BE233" s="1539"/>
    </row>
    <row r="234" spans="1:74" s="1589" customFormat="1" ht="15.5">
      <c r="A234" s="1493"/>
      <c r="B234" s="1494" t="s">
        <v>1981</v>
      </c>
      <c r="C234" s="1582"/>
      <c r="D234" s="1495"/>
      <c r="E234" s="1583"/>
      <c r="F234" s="1341"/>
      <c r="G234" s="1342"/>
      <c r="H234" s="1496"/>
      <c r="I234" s="1349"/>
      <c r="J234" s="1349"/>
      <c r="K234" s="1341"/>
      <c r="L234" s="1370"/>
      <c r="M234" s="1371"/>
      <c r="N234" s="1372"/>
      <c r="O234" s="1427"/>
      <c r="P234" s="1584"/>
      <c r="Q234" s="1584"/>
      <c r="R234" s="1584"/>
      <c r="S234" s="1584"/>
      <c r="T234" s="1584">
        <f t="shared" si="25"/>
        <v>0</v>
      </c>
      <c r="U234" s="1584"/>
      <c r="V234" s="1584"/>
      <c r="W234" s="1584"/>
      <c r="X234" s="1584"/>
      <c r="Y234" s="1584"/>
      <c r="Z234" s="1584"/>
      <c r="AA234" s="1584"/>
      <c r="AB234" s="1584"/>
      <c r="AC234" s="1585"/>
      <c r="AD234" s="1585"/>
      <c r="AE234" s="1585"/>
      <c r="AF234" s="1585"/>
      <c r="AG234" s="1585"/>
      <c r="AH234" s="1585"/>
      <c r="AI234" s="1585"/>
      <c r="AJ234" s="1585"/>
      <c r="AK234" s="1585"/>
      <c r="AL234" s="1585"/>
      <c r="AM234" s="1585"/>
      <c r="AN234" s="1585"/>
      <c r="AO234" s="1584"/>
      <c r="AP234" s="1584"/>
      <c r="AQ234" s="1584"/>
      <c r="AR234" s="1584"/>
      <c r="AS234" s="1584">
        <f t="shared" si="26"/>
        <v>0</v>
      </c>
      <c r="AT234" s="1584"/>
      <c r="AU234" s="1721"/>
      <c r="AV234" s="1721"/>
      <c r="AW234" s="1721"/>
      <c r="AX234" s="1721"/>
      <c r="AY234" s="1721"/>
      <c r="AZ234" s="1721"/>
      <c r="BA234" s="1721"/>
      <c r="BB234" s="1722"/>
      <c r="BC234" s="1428" t="s">
        <v>1982</v>
      </c>
      <c r="BD234" s="1723"/>
      <c r="BE234" s="1588"/>
    </row>
    <row r="235" spans="1:74" s="1430" customFormat="1" ht="21" customHeight="1" outlineLevel="1">
      <c r="A235" s="1499">
        <v>1</v>
      </c>
      <c r="B235" s="1539" t="s">
        <v>1983</v>
      </c>
      <c r="C235" s="1578"/>
      <c r="D235" s="1511" t="s">
        <v>934</v>
      </c>
      <c r="E235" s="1579"/>
      <c r="F235" s="1334"/>
      <c r="G235" s="1318"/>
      <c r="H235" s="1318"/>
      <c r="I235" s="1379"/>
      <c r="J235" s="1379"/>
      <c r="K235" s="1402"/>
      <c r="L235" s="1337"/>
      <c r="M235" s="1337"/>
      <c r="N235" s="1339" t="s">
        <v>1984</v>
      </c>
      <c r="O235" s="1336"/>
      <c r="P235" s="1598">
        <f t="shared" ref="P235:S266" si="28">BE235</f>
        <v>0</v>
      </c>
      <c r="Q235" s="1598">
        <f t="shared" si="28"/>
        <v>0</v>
      </c>
      <c r="R235" s="1573">
        <f t="shared" si="28"/>
        <v>3.1293089999999998E-3</v>
      </c>
      <c r="S235" s="1598">
        <f t="shared" si="28"/>
        <v>0</v>
      </c>
      <c r="T235" s="1598">
        <f t="shared" si="25"/>
        <v>3.1293089999999998E-3</v>
      </c>
      <c r="U235" s="1598">
        <f t="shared" ref="U235:U298" si="29">BI235</f>
        <v>0</v>
      </c>
      <c r="V235" s="1598">
        <v>0</v>
      </c>
      <c r="W235" s="1598"/>
      <c r="X235" s="1598"/>
      <c r="Y235" s="1598"/>
      <c r="Z235" s="1598"/>
      <c r="AA235" s="1598"/>
      <c r="AB235" s="1598"/>
      <c r="AC235" s="1598"/>
      <c r="AD235" s="1598"/>
      <c r="AE235" s="1598"/>
      <c r="AF235" s="1598"/>
      <c r="AG235" s="1598"/>
      <c r="AH235" s="1725"/>
      <c r="AI235" s="1725"/>
      <c r="AJ235" s="1725"/>
      <c r="AK235" s="1725"/>
      <c r="AL235" s="1725"/>
      <c r="AM235" s="1725"/>
      <c r="AN235" s="1725"/>
      <c r="AO235" s="1725"/>
      <c r="AP235" s="1725"/>
      <c r="AQ235" s="1725"/>
      <c r="AR235" s="1725"/>
      <c r="AS235" s="1725">
        <f t="shared" si="26"/>
        <v>0</v>
      </c>
      <c r="AT235" s="1725"/>
      <c r="AU235" s="1624">
        <v>0</v>
      </c>
      <c r="AV235" s="1624"/>
      <c r="AW235" s="1624">
        <v>0</v>
      </c>
      <c r="AX235" s="1624">
        <v>0</v>
      </c>
      <c r="AY235" s="1624">
        <v>0</v>
      </c>
      <c r="AZ235" s="1624">
        <v>0</v>
      </c>
      <c r="BA235" s="1624">
        <v>0</v>
      </c>
      <c r="BB235" s="1593"/>
      <c r="BC235" s="1726" t="s">
        <v>1985</v>
      </c>
      <c r="BD235" s="1595"/>
      <c r="BE235" s="1639">
        <v>0</v>
      </c>
      <c r="BF235" s="1642">
        <v>0</v>
      </c>
      <c r="BG235" s="1631">
        <v>3.1293089999999998E-3</v>
      </c>
      <c r="BH235" s="1598">
        <f t="shared" ref="BH235:BP263" si="30">CA235</f>
        <v>0</v>
      </c>
      <c r="BI235" s="1598">
        <f t="shared" si="30"/>
        <v>0</v>
      </c>
      <c r="BJ235" s="1598">
        <f t="shared" si="30"/>
        <v>0</v>
      </c>
      <c r="BK235" s="1598">
        <f t="shared" si="30"/>
        <v>0</v>
      </c>
      <c r="BL235" s="1598">
        <f t="shared" si="30"/>
        <v>0</v>
      </c>
      <c r="BM235" s="1598">
        <f t="shared" si="30"/>
        <v>0</v>
      </c>
      <c r="BN235" s="1598">
        <f t="shared" si="30"/>
        <v>0</v>
      </c>
      <c r="BO235" s="1598">
        <f t="shared" si="30"/>
        <v>0</v>
      </c>
      <c r="BP235" s="1598">
        <f t="shared" si="30"/>
        <v>0</v>
      </c>
      <c r="BQ235" s="1576"/>
      <c r="BR235" s="1727" t="s">
        <v>1985</v>
      </c>
      <c r="BS235" s="1581"/>
      <c r="BT235" s="1539"/>
      <c r="BU235" s="1430">
        <v>110100101</v>
      </c>
      <c r="BV235" s="1430" t="s">
        <v>1984</v>
      </c>
    </row>
    <row r="236" spans="1:74" s="1430" customFormat="1" outlineLevel="1">
      <c r="A236" s="1499">
        <v>2</v>
      </c>
      <c r="B236" s="1539" t="s">
        <v>1986</v>
      </c>
      <c r="C236" s="1578"/>
      <c r="D236" s="1511" t="s">
        <v>934</v>
      </c>
      <c r="E236" s="1579"/>
      <c r="F236" s="1334"/>
      <c r="G236" s="1318"/>
      <c r="H236" s="1318"/>
      <c r="I236" s="1379"/>
      <c r="J236" s="1379"/>
      <c r="K236" s="1402"/>
      <c r="L236" s="1337"/>
      <c r="M236" s="1337"/>
      <c r="N236" s="1339" t="s">
        <v>1984</v>
      </c>
      <c r="O236" s="1336"/>
      <c r="P236" s="1598">
        <f t="shared" si="28"/>
        <v>0</v>
      </c>
      <c r="Q236" s="1598">
        <f t="shared" si="28"/>
        <v>0</v>
      </c>
      <c r="R236" s="1573">
        <f t="shared" si="28"/>
        <v>1.0037712000000001E-2</v>
      </c>
      <c r="S236" s="1598">
        <f t="shared" si="28"/>
        <v>0</v>
      </c>
      <c r="T236" s="1598">
        <f t="shared" si="25"/>
        <v>1.0037712000000001E-2</v>
      </c>
      <c r="U236" s="1598">
        <f t="shared" si="29"/>
        <v>0</v>
      </c>
      <c r="V236" s="1598">
        <v>0</v>
      </c>
      <c r="W236" s="1598">
        <v>0</v>
      </c>
      <c r="X236" s="1598"/>
      <c r="Y236" s="1598"/>
      <c r="Z236" s="1598"/>
      <c r="AA236" s="1598"/>
      <c r="AB236" s="1598"/>
      <c r="AC236" s="1598"/>
      <c r="AD236" s="1598"/>
      <c r="AE236" s="1598"/>
      <c r="AF236" s="1598"/>
      <c r="AG236" s="1598"/>
      <c r="AH236" s="1725"/>
      <c r="AI236" s="1725"/>
      <c r="AJ236" s="1725"/>
      <c r="AK236" s="1725"/>
      <c r="AL236" s="1725"/>
      <c r="AM236" s="1725"/>
      <c r="AN236" s="1725"/>
      <c r="AO236" s="1725"/>
      <c r="AP236" s="1725"/>
      <c r="AQ236" s="1725"/>
      <c r="AR236" s="1725"/>
      <c r="AS236" s="1725">
        <f t="shared" si="26"/>
        <v>0</v>
      </c>
      <c r="AT236" s="1725"/>
      <c r="AU236" s="1624">
        <v>0</v>
      </c>
      <c r="AV236" s="1624">
        <v>0</v>
      </c>
      <c r="AW236" s="1624">
        <v>0</v>
      </c>
      <c r="AX236" s="1624">
        <v>0</v>
      </c>
      <c r="AY236" s="1624">
        <v>0</v>
      </c>
      <c r="AZ236" s="1624">
        <v>0</v>
      </c>
      <c r="BA236" s="1624">
        <v>0</v>
      </c>
      <c r="BB236" s="1593"/>
      <c r="BC236" s="1726" t="s">
        <v>1985</v>
      </c>
      <c r="BD236" s="1595"/>
      <c r="BE236" s="1639">
        <v>0</v>
      </c>
      <c r="BF236" s="1642">
        <v>0</v>
      </c>
      <c r="BG236" s="1631">
        <v>1.0037712000000001E-2</v>
      </c>
      <c r="BH236" s="1598">
        <f t="shared" si="30"/>
        <v>0</v>
      </c>
      <c r="BI236" s="1598">
        <f t="shared" si="30"/>
        <v>0</v>
      </c>
      <c r="BJ236" s="1598">
        <f t="shared" si="30"/>
        <v>0</v>
      </c>
      <c r="BK236" s="1598">
        <f t="shared" si="30"/>
        <v>0</v>
      </c>
      <c r="BL236" s="1598">
        <f t="shared" si="30"/>
        <v>0</v>
      </c>
      <c r="BM236" s="1598">
        <f t="shared" si="30"/>
        <v>0</v>
      </c>
      <c r="BN236" s="1598">
        <f t="shared" si="30"/>
        <v>0</v>
      </c>
      <c r="BO236" s="1598">
        <f t="shared" si="30"/>
        <v>0</v>
      </c>
      <c r="BP236" s="1598">
        <f t="shared" si="30"/>
        <v>0</v>
      </c>
      <c r="BQ236" s="1576"/>
      <c r="BR236" s="1727" t="s">
        <v>1985</v>
      </c>
      <c r="BS236" s="1581"/>
      <c r="BT236" s="1539"/>
      <c r="BU236" s="1430">
        <v>120100249</v>
      </c>
      <c r="BV236" s="1430" t="s">
        <v>1984</v>
      </c>
    </row>
    <row r="237" spans="1:74" s="1430" customFormat="1" outlineLevel="1">
      <c r="A237" s="1499">
        <v>3</v>
      </c>
      <c r="B237" s="1539" t="s">
        <v>1987</v>
      </c>
      <c r="C237" s="1578"/>
      <c r="D237" s="1511" t="s">
        <v>934</v>
      </c>
      <c r="E237" s="1579"/>
      <c r="F237" s="1334"/>
      <c r="G237" s="1318"/>
      <c r="H237" s="1318"/>
      <c r="I237" s="1379"/>
      <c r="J237" s="1379"/>
      <c r="K237" s="1402"/>
      <c r="L237" s="1337"/>
      <c r="M237" s="1337"/>
      <c r="N237" s="1339" t="s">
        <v>1984</v>
      </c>
      <c r="O237" s="1336"/>
      <c r="P237" s="1598">
        <f t="shared" si="28"/>
        <v>0</v>
      </c>
      <c r="Q237" s="1598">
        <f t="shared" si="28"/>
        <v>0</v>
      </c>
      <c r="R237" s="1573">
        <f t="shared" si="28"/>
        <v>4.578426E-3</v>
      </c>
      <c r="S237" s="1598">
        <f t="shared" si="28"/>
        <v>0</v>
      </c>
      <c r="T237" s="1598">
        <f t="shared" si="25"/>
        <v>4.578426E-3</v>
      </c>
      <c r="U237" s="1598">
        <f t="shared" si="29"/>
        <v>0</v>
      </c>
      <c r="V237" s="1598">
        <v>0</v>
      </c>
      <c r="W237" s="1598">
        <v>0</v>
      </c>
      <c r="X237" s="1598"/>
      <c r="Y237" s="1598"/>
      <c r="Z237" s="1598"/>
      <c r="AA237" s="1598"/>
      <c r="AB237" s="1598"/>
      <c r="AC237" s="1598"/>
      <c r="AD237" s="1598"/>
      <c r="AE237" s="1598"/>
      <c r="AF237" s="1598"/>
      <c r="AG237" s="1598"/>
      <c r="AH237" s="1725"/>
      <c r="AI237" s="1725"/>
      <c r="AJ237" s="1725"/>
      <c r="AK237" s="1725"/>
      <c r="AL237" s="1725"/>
      <c r="AM237" s="1725"/>
      <c r="AN237" s="1725"/>
      <c r="AO237" s="1725"/>
      <c r="AP237" s="1725"/>
      <c r="AQ237" s="1725"/>
      <c r="AR237" s="1725"/>
      <c r="AS237" s="1725">
        <f t="shared" si="26"/>
        <v>0</v>
      </c>
      <c r="AT237" s="1725"/>
      <c r="AU237" s="1624">
        <v>0</v>
      </c>
      <c r="AV237" s="1624">
        <v>0</v>
      </c>
      <c r="AW237" s="1624">
        <v>0</v>
      </c>
      <c r="AX237" s="1624">
        <v>0</v>
      </c>
      <c r="AY237" s="1624">
        <v>0</v>
      </c>
      <c r="AZ237" s="1624">
        <v>0</v>
      </c>
      <c r="BA237" s="1624">
        <v>0</v>
      </c>
      <c r="BB237" s="1593"/>
      <c r="BC237" s="1726" t="s">
        <v>1985</v>
      </c>
      <c r="BD237" s="1595"/>
      <c r="BE237" s="1639">
        <v>0</v>
      </c>
      <c r="BF237" s="1642">
        <v>0</v>
      </c>
      <c r="BG237" s="1631">
        <v>4.578426E-3</v>
      </c>
      <c r="BH237" s="1598">
        <f t="shared" si="30"/>
        <v>0</v>
      </c>
      <c r="BI237" s="1598">
        <f t="shared" si="30"/>
        <v>0</v>
      </c>
      <c r="BJ237" s="1598">
        <f t="shared" si="30"/>
        <v>0</v>
      </c>
      <c r="BK237" s="1598">
        <f t="shared" si="30"/>
        <v>0</v>
      </c>
      <c r="BL237" s="1598">
        <f t="shared" si="30"/>
        <v>0</v>
      </c>
      <c r="BM237" s="1598">
        <f t="shared" si="30"/>
        <v>0</v>
      </c>
      <c r="BN237" s="1598">
        <f t="shared" si="30"/>
        <v>0</v>
      </c>
      <c r="BO237" s="1598">
        <f t="shared" si="30"/>
        <v>0</v>
      </c>
      <c r="BP237" s="1598">
        <f t="shared" si="30"/>
        <v>0</v>
      </c>
      <c r="BQ237" s="1576"/>
      <c r="BR237" s="1727" t="s">
        <v>1985</v>
      </c>
      <c r="BS237" s="1581"/>
      <c r="BT237" s="1539"/>
      <c r="BU237" s="1430">
        <v>120100250</v>
      </c>
      <c r="BV237" s="1430" t="s">
        <v>1984</v>
      </c>
    </row>
    <row r="238" spans="1:74" s="1430" customFormat="1" ht="29" outlineLevel="1">
      <c r="A238" s="1499">
        <v>4</v>
      </c>
      <c r="B238" s="1539" t="s">
        <v>1988</v>
      </c>
      <c r="C238" s="1578"/>
      <c r="D238" s="1511" t="s">
        <v>934</v>
      </c>
      <c r="E238" s="1579"/>
      <c r="F238" s="1334"/>
      <c r="G238" s="1318"/>
      <c r="H238" s="1318"/>
      <c r="I238" s="1379"/>
      <c r="J238" s="1379"/>
      <c r="K238" s="1402"/>
      <c r="L238" s="1337"/>
      <c r="M238" s="1337"/>
      <c r="N238" s="1339" t="s">
        <v>1984</v>
      </c>
      <c r="O238" s="1336"/>
      <c r="P238" s="1598">
        <f t="shared" si="28"/>
        <v>0</v>
      </c>
      <c r="Q238" s="1598">
        <f t="shared" si="28"/>
        <v>0</v>
      </c>
      <c r="R238" s="1573">
        <f t="shared" si="28"/>
        <v>1.397639E-3</v>
      </c>
      <c r="S238" s="1598">
        <f t="shared" si="28"/>
        <v>0</v>
      </c>
      <c r="T238" s="1598">
        <f t="shared" si="25"/>
        <v>1.397639E-3</v>
      </c>
      <c r="U238" s="1598">
        <f t="shared" si="29"/>
        <v>0</v>
      </c>
      <c r="V238" s="1598">
        <v>0</v>
      </c>
      <c r="W238" s="1598">
        <v>0</v>
      </c>
      <c r="X238" s="1598"/>
      <c r="Y238" s="1598"/>
      <c r="Z238" s="1598"/>
      <c r="AA238" s="1598"/>
      <c r="AB238" s="1598"/>
      <c r="AC238" s="1598"/>
      <c r="AD238" s="1598"/>
      <c r="AE238" s="1598"/>
      <c r="AF238" s="1598"/>
      <c r="AG238" s="1598"/>
      <c r="AH238" s="1725"/>
      <c r="AI238" s="1725"/>
      <c r="AJ238" s="1725"/>
      <c r="AK238" s="1725"/>
      <c r="AL238" s="1725"/>
      <c r="AM238" s="1725"/>
      <c r="AN238" s="1725"/>
      <c r="AO238" s="1725"/>
      <c r="AP238" s="1725"/>
      <c r="AQ238" s="1725"/>
      <c r="AR238" s="1725"/>
      <c r="AS238" s="1725">
        <f t="shared" si="26"/>
        <v>0</v>
      </c>
      <c r="AT238" s="1725"/>
      <c r="AU238" s="1624">
        <v>0</v>
      </c>
      <c r="AV238" s="1624">
        <v>0</v>
      </c>
      <c r="AW238" s="1624">
        <v>0</v>
      </c>
      <c r="AX238" s="1624">
        <v>0</v>
      </c>
      <c r="AY238" s="1624">
        <v>0</v>
      </c>
      <c r="AZ238" s="1624">
        <v>0</v>
      </c>
      <c r="BA238" s="1624">
        <v>0</v>
      </c>
      <c r="BB238" s="1593"/>
      <c r="BC238" s="1726" t="s">
        <v>1985</v>
      </c>
      <c r="BD238" s="1595"/>
      <c r="BE238" s="1639">
        <v>0</v>
      </c>
      <c r="BF238" s="1642">
        <v>0</v>
      </c>
      <c r="BG238" s="1631">
        <v>1.397639E-3</v>
      </c>
      <c r="BH238" s="1598">
        <f t="shared" si="30"/>
        <v>0</v>
      </c>
      <c r="BI238" s="1598">
        <f t="shared" si="30"/>
        <v>0</v>
      </c>
      <c r="BJ238" s="1598">
        <f t="shared" si="30"/>
        <v>0</v>
      </c>
      <c r="BK238" s="1598">
        <f t="shared" si="30"/>
        <v>0</v>
      </c>
      <c r="BL238" s="1598">
        <f t="shared" si="30"/>
        <v>0</v>
      </c>
      <c r="BM238" s="1598">
        <f t="shared" si="30"/>
        <v>0</v>
      </c>
      <c r="BN238" s="1598">
        <f t="shared" si="30"/>
        <v>0</v>
      </c>
      <c r="BO238" s="1598">
        <f t="shared" si="30"/>
        <v>0</v>
      </c>
      <c r="BP238" s="1598">
        <f t="shared" si="30"/>
        <v>0</v>
      </c>
      <c r="BQ238" s="1576"/>
      <c r="BR238" s="1727" t="s">
        <v>1985</v>
      </c>
      <c r="BS238" s="1581"/>
      <c r="BT238" s="1539"/>
      <c r="BU238" s="1430">
        <v>120100251</v>
      </c>
      <c r="BV238" s="1430" t="s">
        <v>1984</v>
      </c>
    </row>
    <row r="239" spans="1:74" s="1430" customFormat="1" outlineLevel="1">
      <c r="A239" s="1499">
        <v>5</v>
      </c>
      <c r="B239" s="1539" t="s">
        <v>1989</v>
      </c>
      <c r="C239" s="1578"/>
      <c r="D239" s="1511" t="s">
        <v>934</v>
      </c>
      <c r="E239" s="1579"/>
      <c r="F239" s="1334"/>
      <c r="G239" s="1318"/>
      <c r="H239" s="1318"/>
      <c r="I239" s="1379"/>
      <c r="J239" s="1379"/>
      <c r="K239" s="1402"/>
      <c r="L239" s="1337"/>
      <c r="M239" s="1337"/>
      <c r="N239" s="1339" t="s">
        <v>1984</v>
      </c>
      <c r="O239" s="1336"/>
      <c r="P239" s="1598">
        <f t="shared" si="28"/>
        <v>0</v>
      </c>
      <c r="Q239" s="1598">
        <f t="shared" si="28"/>
        <v>0</v>
      </c>
      <c r="R239" s="1573">
        <f t="shared" si="28"/>
        <v>1.14825E-4</v>
      </c>
      <c r="S239" s="1598">
        <f t="shared" si="28"/>
        <v>0</v>
      </c>
      <c r="T239" s="1598">
        <f t="shared" si="25"/>
        <v>1.14825E-4</v>
      </c>
      <c r="U239" s="1598">
        <f t="shared" si="29"/>
        <v>0</v>
      </c>
      <c r="V239" s="1598">
        <v>0</v>
      </c>
      <c r="W239" s="1598">
        <v>0</v>
      </c>
      <c r="X239" s="1598"/>
      <c r="Y239" s="1598"/>
      <c r="Z239" s="1598"/>
      <c r="AA239" s="1598"/>
      <c r="AB239" s="1598"/>
      <c r="AC239" s="1598"/>
      <c r="AD239" s="1598"/>
      <c r="AE239" s="1598"/>
      <c r="AF239" s="1598"/>
      <c r="AG239" s="1598"/>
      <c r="AH239" s="1725"/>
      <c r="AI239" s="1725"/>
      <c r="AJ239" s="1725"/>
      <c r="AK239" s="1725"/>
      <c r="AL239" s="1725"/>
      <c r="AM239" s="1725"/>
      <c r="AN239" s="1725"/>
      <c r="AO239" s="1725"/>
      <c r="AP239" s="1725"/>
      <c r="AQ239" s="1725"/>
      <c r="AR239" s="1725"/>
      <c r="AS239" s="1725">
        <f t="shared" si="26"/>
        <v>0</v>
      </c>
      <c r="AT239" s="1725"/>
      <c r="AU239" s="1624">
        <v>0</v>
      </c>
      <c r="AV239" s="1624">
        <v>0</v>
      </c>
      <c r="AW239" s="1624">
        <v>0</v>
      </c>
      <c r="AX239" s="1624">
        <v>0</v>
      </c>
      <c r="AY239" s="1624">
        <v>0</v>
      </c>
      <c r="AZ239" s="1624">
        <v>0</v>
      </c>
      <c r="BA239" s="1624">
        <v>0</v>
      </c>
      <c r="BB239" s="1593"/>
      <c r="BC239" s="1726" t="s">
        <v>1985</v>
      </c>
      <c r="BD239" s="1595"/>
      <c r="BE239" s="1639">
        <v>0</v>
      </c>
      <c r="BF239" s="1642">
        <v>0</v>
      </c>
      <c r="BG239" s="1631">
        <v>1.14825E-4</v>
      </c>
      <c r="BH239" s="1598">
        <f t="shared" si="30"/>
        <v>0</v>
      </c>
      <c r="BI239" s="1598">
        <f t="shared" si="30"/>
        <v>0</v>
      </c>
      <c r="BJ239" s="1598">
        <f t="shared" si="30"/>
        <v>0</v>
      </c>
      <c r="BK239" s="1598">
        <f t="shared" si="30"/>
        <v>0</v>
      </c>
      <c r="BL239" s="1598">
        <f t="shared" si="30"/>
        <v>0</v>
      </c>
      <c r="BM239" s="1598">
        <f t="shared" si="30"/>
        <v>0</v>
      </c>
      <c r="BN239" s="1598">
        <f t="shared" si="30"/>
        <v>0</v>
      </c>
      <c r="BO239" s="1598">
        <f t="shared" si="30"/>
        <v>0</v>
      </c>
      <c r="BP239" s="1598">
        <f t="shared" si="30"/>
        <v>0</v>
      </c>
      <c r="BQ239" s="1576"/>
      <c r="BR239" s="1727" t="s">
        <v>1985</v>
      </c>
      <c r="BS239" s="1581"/>
      <c r="BT239" s="1539"/>
      <c r="BU239" s="1430">
        <v>120100252</v>
      </c>
      <c r="BV239" s="1430" t="s">
        <v>1984</v>
      </c>
    </row>
    <row r="240" spans="1:74" s="1430" customFormat="1" ht="29" outlineLevel="1">
      <c r="A240" s="1499">
        <v>6</v>
      </c>
      <c r="B240" s="1539" t="s">
        <v>1990</v>
      </c>
      <c r="C240" s="1578"/>
      <c r="D240" s="1511" t="s">
        <v>934</v>
      </c>
      <c r="E240" s="1579"/>
      <c r="F240" s="1334"/>
      <c r="G240" s="1318"/>
      <c r="H240" s="1318"/>
      <c r="I240" s="1379"/>
      <c r="J240" s="1379"/>
      <c r="K240" s="1402"/>
      <c r="L240" s="1337"/>
      <c r="M240" s="1337"/>
      <c r="N240" s="1339" t="s">
        <v>1984</v>
      </c>
      <c r="O240" s="1336"/>
      <c r="P240" s="1598">
        <f t="shared" si="28"/>
        <v>0</v>
      </c>
      <c r="Q240" s="1598">
        <f t="shared" si="28"/>
        <v>0</v>
      </c>
      <c r="R240" s="1573">
        <f t="shared" si="28"/>
        <v>1.05983E-4</v>
      </c>
      <c r="S240" s="1598">
        <f t="shared" si="28"/>
        <v>0</v>
      </c>
      <c r="T240" s="1598">
        <f t="shared" si="25"/>
        <v>1.05983E-4</v>
      </c>
      <c r="U240" s="1598">
        <f t="shared" si="29"/>
        <v>0</v>
      </c>
      <c r="V240" s="1598">
        <v>0</v>
      </c>
      <c r="W240" s="1598">
        <v>0</v>
      </c>
      <c r="X240" s="1598"/>
      <c r="Y240" s="1598"/>
      <c r="Z240" s="1598"/>
      <c r="AA240" s="1598"/>
      <c r="AB240" s="1598"/>
      <c r="AC240" s="1598"/>
      <c r="AD240" s="1598"/>
      <c r="AE240" s="1598"/>
      <c r="AF240" s="1598"/>
      <c r="AG240" s="1598"/>
      <c r="AH240" s="1725"/>
      <c r="AI240" s="1725"/>
      <c r="AJ240" s="1725"/>
      <c r="AK240" s="1725"/>
      <c r="AL240" s="1725"/>
      <c r="AM240" s="1725"/>
      <c r="AN240" s="1725"/>
      <c r="AO240" s="1725"/>
      <c r="AP240" s="1725"/>
      <c r="AQ240" s="1725"/>
      <c r="AR240" s="1725"/>
      <c r="AS240" s="1725">
        <f t="shared" si="26"/>
        <v>0</v>
      </c>
      <c r="AT240" s="1725"/>
      <c r="AU240" s="1624">
        <v>0</v>
      </c>
      <c r="AV240" s="1624">
        <v>0</v>
      </c>
      <c r="AW240" s="1624">
        <v>0</v>
      </c>
      <c r="AX240" s="1624">
        <v>0</v>
      </c>
      <c r="AY240" s="1624">
        <v>0</v>
      </c>
      <c r="AZ240" s="1624">
        <v>0</v>
      </c>
      <c r="BA240" s="1624">
        <v>0</v>
      </c>
      <c r="BB240" s="1593"/>
      <c r="BC240" s="1726" t="s">
        <v>1985</v>
      </c>
      <c r="BD240" s="1595"/>
      <c r="BE240" s="1639">
        <v>0</v>
      </c>
      <c r="BF240" s="1642">
        <v>0</v>
      </c>
      <c r="BG240" s="1631">
        <v>1.05983E-4</v>
      </c>
      <c r="BH240" s="1598">
        <f t="shared" si="30"/>
        <v>0</v>
      </c>
      <c r="BI240" s="1598">
        <f t="shared" si="30"/>
        <v>0</v>
      </c>
      <c r="BJ240" s="1598">
        <f t="shared" si="30"/>
        <v>0</v>
      </c>
      <c r="BK240" s="1598">
        <f t="shared" si="30"/>
        <v>0</v>
      </c>
      <c r="BL240" s="1598">
        <f t="shared" si="30"/>
        <v>0</v>
      </c>
      <c r="BM240" s="1598">
        <f t="shared" si="30"/>
        <v>0</v>
      </c>
      <c r="BN240" s="1598">
        <f t="shared" si="30"/>
        <v>0</v>
      </c>
      <c r="BO240" s="1598">
        <f t="shared" si="30"/>
        <v>0</v>
      </c>
      <c r="BP240" s="1598">
        <f t="shared" si="30"/>
        <v>0</v>
      </c>
      <c r="BQ240" s="1576"/>
      <c r="BR240" s="1727" t="s">
        <v>1985</v>
      </c>
      <c r="BS240" s="1581"/>
      <c r="BT240" s="1539"/>
      <c r="BU240" s="1430">
        <v>120100253</v>
      </c>
      <c r="BV240" s="1430" t="s">
        <v>1984</v>
      </c>
    </row>
    <row r="241" spans="1:74" s="1430" customFormat="1" outlineLevel="1">
      <c r="A241" s="1499">
        <v>7</v>
      </c>
      <c r="B241" s="1539" t="s">
        <v>1991</v>
      </c>
      <c r="C241" s="1578"/>
      <c r="D241" s="1511" t="s">
        <v>934</v>
      </c>
      <c r="E241" s="1579"/>
      <c r="F241" s="1334"/>
      <c r="G241" s="1318"/>
      <c r="H241" s="1318"/>
      <c r="I241" s="1379"/>
      <c r="J241" s="1379"/>
      <c r="K241" s="1402"/>
      <c r="L241" s="1337"/>
      <c r="M241" s="1337"/>
      <c r="N241" s="1339" t="s">
        <v>1984</v>
      </c>
      <c r="O241" s="1336"/>
      <c r="P241" s="1598">
        <f t="shared" si="28"/>
        <v>0</v>
      </c>
      <c r="Q241" s="1598">
        <f t="shared" si="28"/>
        <v>0</v>
      </c>
      <c r="R241" s="1573">
        <f t="shared" si="28"/>
        <v>6.9018599999999997E-4</v>
      </c>
      <c r="S241" s="1598">
        <f t="shared" si="28"/>
        <v>0</v>
      </c>
      <c r="T241" s="1598">
        <f t="shared" si="25"/>
        <v>6.9018599999999997E-4</v>
      </c>
      <c r="U241" s="1598">
        <f t="shared" si="29"/>
        <v>0</v>
      </c>
      <c r="V241" s="1598">
        <v>0</v>
      </c>
      <c r="W241" s="1598">
        <v>0</v>
      </c>
      <c r="X241" s="1598"/>
      <c r="Y241" s="1598"/>
      <c r="Z241" s="1598"/>
      <c r="AA241" s="1598"/>
      <c r="AB241" s="1598"/>
      <c r="AC241" s="1598"/>
      <c r="AD241" s="1598"/>
      <c r="AE241" s="1598"/>
      <c r="AF241" s="1598"/>
      <c r="AG241" s="1598"/>
      <c r="AH241" s="1725"/>
      <c r="AI241" s="1725"/>
      <c r="AJ241" s="1725"/>
      <c r="AK241" s="1725"/>
      <c r="AL241" s="1725"/>
      <c r="AM241" s="1725"/>
      <c r="AN241" s="1725"/>
      <c r="AO241" s="1725"/>
      <c r="AP241" s="1725"/>
      <c r="AQ241" s="1725"/>
      <c r="AR241" s="1725"/>
      <c r="AS241" s="1725">
        <f t="shared" si="26"/>
        <v>0</v>
      </c>
      <c r="AT241" s="1725"/>
      <c r="AU241" s="1624">
        <v>0</v>
      </c>
      <c r="AV241" s="1624">
        <v>0</v>
      </c>
      <c r="AW241" s="1624">
        <v>0</v>
      </c>
      <c r="AX241" s="1624">
        <v>0</v>
      </c>
      <c r="AY241" s="1624">
        <v>0</v>
      </c>
      <c r="AZ241" s="1624">
        <v>0</v>
      </c>
      <c r="BA241" s="1624">
        <v>0</v>
      </c>
      <c r="BB241" s="1593"/>
      <c r="BC241" s="1726" t="s">
        <v>1985</v>
      </c>
      <c r="BD241" s="1595"/>
      <c r="BE241" s="1598">
        <f t="shared" ref="BE241:BF295" si="31">BX241</f>
        <v>0</v>
      </c>
      <c r="BF241" s="1598">
        <f t="shared" si="31"/>
        <v>0</v>
      </c>
      <c r="BG241" s="1631">
        <v>6.9018599999999997E-4</v>
      </c>
      <c r="BH241" s="1598">
        <f t="shared" si="30"/>
        <v>0</v>
      </c>
      <c r="BI241" s="1598">
        <f t="shared" si="30"/>
        <v>0</v>
      </c>
      <c r="BJ241" s="1598">
        <f t="shared" si="30"/>
        <v>0</v>
      </c>
      <c r="BK241" s="1598">
        <f t="shared" si="30"/>
        <v>0</v>
      </c>
      <c r="BL241" s="1598">
        <f t="shared" si="30"/>
        <v>0</v>
      </c>
      <c r="BM241" s="1598">
        <f t="shared" si="30"/>
        <v>0</v>
      </c>
      <c r="BN241" s="1598">
        <f t="shared" si="30"/>
        <v>0</v>
      </c>
      <c r="BO241" s="1598">
        <f t="shared" si="30"/>
        <v>0</v>
      </c>
      <c r="BP241" s="1598">
        <f t="shared" si="30"/>
        <v>0</v>
      </c>
      <c r="BQ241" s="1576"/>
      <c r="BR241" s="1727" t="s">
        <v>1985</v>
      </c>
      <c r="BS241" s="1581"/>
      <c r="BT241" s="1539"/>
      <c r="BU241" s="1430">
        <v>120200937</v>
      </c>
      <c r="BV241" s="1430" t="s">
        <v>1984</v>
      </c>
    </row>
    <row r="242" spans="1:74" s="1430" customFormat="1" outlineLevel="1">
      <c r="A242" s="1499">
        <v>8</v>
      </c>
      <c r="B242" s="1539" t="s">
        <v>1992</v>
      </c>
      <c r="C242" s="1578"/>
      <c r="D242" s="1511" t="s">
        <v>934</v>
      </c>
      <c r="E242" s="1579"/>
      <c r="F242" s="1334"/>
      <c r="G242" s="1318"/>
      <c r="H242" s="1318"/>
      <c r="I242" s="1379"/>
      <c r="J242" s="1379"/>
      <c r="K242" s="1402"/>
      <c r="L242" s="1337"/>
      <c r="M242" s="1337"/>
      <c r="N242" s="1339" t="s">
        <v>1984</v>
      </c>
      <c r="O242" s="1336"/>
      <c r="P242" s="1598">
        <f t="shared" si="28"/>
        <v>0</v>
      </c>
      <c r="Q242" s="1598">
        <f t="shared" si="28"/>
        <v>0</v>
      </c>
      <c r="R242" s="1573">
        <f t="shared" si="28"/>
        <v>5.51437E-4</v>
      </c>
      <c r="S242" s="1598">
        <f t="shared" si="28"/>
        <v>0</v>
      </c>
      <c r="T242" s="1598">
        <f t="shared" si="25"/>
        <v>5.51437E-4</v>
      </c>
      <c r="U242" s="1598">
        <f t="shared" si="29"/>
        <v>0</v>
      </c>
      <c r="V242" s="1598">
        <v>0</v>
      </c>
      <c r="W242" s="1598">
        <v>0</v>
      </c>
      <c r="X242" s="1598"/>
      <c r="Y242" s="1598"/>
      <c r="Z242" s="1598"/>
      <c r="AA242" s="1598"/>
      <c r="AB242" s="1598"/>
      <c r="AC242" s="1598"/>
      <c r="AD242" s="1598"/>
      <c r="AE242" s="1598"/>
      <c r="AF242" s="1598"/>
      <c r="AG242" s="1598"/>
      <c r="AH242" s="1725"/>
      <c r="AI242" s="1725"/>
      <c r="AJ242" s="1725"/>
      <c r="AK242" s="1725"/>
      <c r="AL242" s="1725"/>
      <c r="AM242" s="1725"/>
      <c r="AN242" s="1725"/>
      <c r="AO242" s="1725"/>
      <c r="AP242" s="1725"/>
      <c r="AQ242" s="1725"/>
      <c r="AR242" s="1725"/>
      <c r="AS242" s="1725">
        <f t="shared" si="26"/>
        <v>0</v>
      </c>
      <c r="AT242" s="1725"/>
      <c r="AU242" s="1624">
        <v>0</v>
      </c>
      <c r="AV242" s="1624">
        <v>0</v>
      </c>
      <c r="AW242" s="1624">
        <v>0</v>
      </c>
      <c r="AX242" s="1624">
        <v>0</v>
      </c>
      <c r="AY242" s="1624">
        <v>0</v>
      </c>
      <c r="AZ242" s="1624">
        <v>0</v>
      </c>
      <c r="BA242" s="1624">
        <v>0</v>
      </c>
      <c r="BB242" s="1593"/>
      <c r="BC242" s="1726" t="s">
        <v>1985</v>
      </c>
      <c r="BD242" s="1595"/>
      <c r="BE242" s="1598">
        <f t="shared" si="31"/>
        <v>0</v>
      </c>
      <c r="BF242" s="1598">
        <f t="shared" si="31"/>
        <v>0</v>
      </c>
      <c r="BG242" s="1631">
        <v>5.51437E-4</v>
      </c>
      <c r="BH242" s="1598">
        <f t="shared" si="30"/>
        <v>0</v>
      </c>
      <c r="BI242" s="1598">
        <f t="shared" si="30"/>
        <v>0</v>
      </c>
      <c r="BJ242" s="1598">
        <f t="shared" si="30"/>
        <v>0</v>
      </c>
      <c r="BK242" s="1598">
        <f t="shared" si="30"/>
        <v>0</v>
      </c>
      <c r="BL242" s="1598">
        <f t="shared" si="30"/>
        <v>0</v>
      </c>
      <c r="BM242" s="1598">
        <f t="shared" si="30"/>
        <v>0</v>
      </c>
      <c r="BN242" s="1598">
        <f t="shared" si="30"/>
        <v>0</v>
      </c>
      <c r="BO242" s="1598">
        <f t="shared" si="30"/>
        <v>0</v>
      </c>
      <c r="BP242" s="1598">
        <f t="shared" si="30"/>
        <v>0</v>
      </c>
      <c r="BQ242" s="1576"/>
      <c r="BR242" s="1727" t="s">
        <v>1985</v>
      </c>
      <c r="BS242" s="1581"/>
      <c r="BT242" s="1539"/>
      <c r="BU242" s="1430">
        <v>120200938</v>
      </c>
      <c r="BV242" s="1430" t="s">
        <v>1984</v>
      </c>
    </row>
    <row r="243" spans="1:74" s="1430" customFormat="1" outlineLevel="1">
      <c r="A243" s="1499">
        <v>9</v>
      </c>
      <c r="B243" s="1539" t="s">
        <v>1993</v>
      </c>
      <c r="C243" s="1578"/>
      <c r="D243" s="1511" t="s">
        <v>934</v>
      </c>
      <c r="E243" s="1579"/>
      <c r="F243" s="1334"/>
      <c r="G243" s="1318"/>
      <c r="H243" s="1318"/>
      <c r="I243" s="1379"/>
      <c r="J243" s="1379"/>
      <c r="K243" s="1402"/>
      <c r="L243" s="1337"/>
      <c r="M243" s="1337"/>
      <c r="N243" s="1339" t="s">
        <v>1984</v>
      </c>
      <c r="O243" s="1336"/>
      <c r="P243" s="1598">
        <f t="shared" si="28"/>
        <v>0</v>
      </c>
      <c r="Q243" s="1598">
        <f t="shared" si="28"/>
        <v>0</v>
      </c>
      <c r="R243" s="1573">
        <f t="shared" si="28"/>
        <v>7.2491400000000001E-4</v>
      </c>
      <c r="S243" s="1598">
        <f t="shared" si="28"/>
        <v>0</v>
      </c>
      <c r="T243" s="1598">
        <f t="shared" si="25"/>
        <v>7.2491400000000001E-4</v>
      </c>
      <c r="U243" s="1598">
        <f t="shared" si="29"/>
        <v>0</v>
      </c>
      <c r="V243" s="1598">
        <v>0</v>
      </c>
      <c r="W243" s="1598">
        <v>0</v>
      </c>
      <c r="X243" s="1598"/>
      <c r="Y243" s="1598"/>
      <c r="Z243" s="1598"/>
      <c r="AA243" s="1598"/>
      <c r="AB243" s="1598"/>
      <c r="AC243" s="1598"/>
      <c r="AD243" s="1598"/>
      <c r="AE243" s="1598"/>
      <c r="AF243" s="1598"/>
      <c r="AG243" s="1598"/>
      <c r="AH243" s="1725"/>
      <c r="AI243" s="1725"/>
      <c r="AJ243" s="1725"/>
      <c r="AK243" s="1725"/>
      <c r="AL243" s="1725"/>
      <c r="AM243" s="1725"/>
      <c r="AN243" s="1725"/>
      <c r="AO243" s="1725"/>
      <c r="AP243" s="1725"/>
      <c r="AQ243" s="1725"/>
      <c r="AR243" s="1725"/>
      <c r="AS243" s="1725">
        <f t="shared" si="26"/>
        <v>0</v>
      </c>
      <c r="AT243" s="1725"/>
      <c r="AU243" s="1624">
        <v>0</v>
      </c>
      <c r="AV243" s="1624">
        <v>0</v>
      </c>
      <c r="AW243" s="1624">
        <v>0</v>
      </c>
      <c r="AX243" s="1624">
        <v>0</v>
      </c>
      <c r="AY243" s="1624">
        <v>0</v>
      </c>
      <c r="AZ243" s="1624">
        <v>0</v>
      </c>
      <c r="BA243" s="1624">
        <v>0</v>
      </c>
      <c r="BB243" s="1593"/>
      <c r="BC243" s="1726" t="s">
        <v>1985</v>
      </c>
      <c r="BD243" s="1595"/>
      <c r="BE243" s="1598">
        <f t="shared" si="31"/>
        <v>0</v>
      </c>
      <c r="BF243" s="1598">
        <f t="shared" si="31"/>
        <v>0</v>
      </c>
      <c r="BG243" s="1631">
        <v>7.2491400000000001E-4</v>
      </c>
      <c r="BH243" s="1598">
        <f t="shared" si="30"/>
        <v>0</v>
      </c>
      <c r="BI243" s="1598">
        <f t="shared" si="30"/>
        <v>0</v>
      </c>
      <c r="BJ243" s="1598">
        <f t="shared" si="30"/>
        <v>0</v>
      </c>
      <c r="BK243" s="1598">
        <f t="shared" si="30"/>
        <v>0</v>
      </c>
      <c r="BL243" s="1598">
        <f t="shared" si="30"/>
        <v>0</v>
      </c>
      <c r="BM243" s="1598">
        <f t="shared" si="30"/>
        <v>0</v>
      </c>
      <c r="BN243" s="1598">
        <f t="shared" si="30"/>
        <v>0</v>
      </c>
      <c r="BO243" s="1598">
        <f t="shared" si="30"/>
        <v>0</v>
      </c>
      <c r="BP243" s="1598">
        <f t="shared" si="30"/>
        <v>0</v>
      </c>
      <c r="BQ243" s="1576"/>
      <c r="BR243" s="1727" t="s">
        <v>1985</v>
      </c>
      <c r="BS243" s="1581"/>
      <c r="BT243" s="1539"/>
      <c r="BU243" s="1430">
        <v>120200939</v>
      </c>
      <c r="BV243" s="1430" t="s">
        <v>1984</v>
      </c>
    </row>
    <row r="244" spans="1:74" s="1430" customFormat="1" outlineLevel="1">
      <c r="A244" s="1499">
        <v>10</v>
      </c>
      <c r="B244" s="1539" t="s">
        <v>1994</v>
      </c>
      <c r="C244" s="1578"/>
      <c r="D244" s="1511" t="s">
        <v>934</v>
      </c>
      <c r="E244" s="1579"/>
      <c r="F244" s="1334"/>
      <c r="G244" s="1318"/>
      <c r="H244" s="1318"/>
      <c r="I244" s="1379"/>
      <c r="J244" s="1379"/>
      <c r="K244" s="1402"/>
      <c r="L244" s="1337"/>
      <c r="M244" s="1337"/>
      <c r="N244" s="1339" t="s">
        <v>1984</v>
      </c>
      <c r="O244" s="1336"/>
      <c r="P244" s="1598">
        <f t="shared" si="28"/>
        <v>0</v>
      </c>
      <c r="Q244" s="1598">
        <f t="shared" si="28"/>
        <v>0</v>
      </c>
      <c r="R244" s="1573">
        <f t="shared" si="28"/>
        <v>6.1109999999999996E-6</v>
      </c>
      <c r="S244" s="1598">
        <f t="shared" si="28"/>
        <v>0</v>
      </c>
      <c r="T244" s="1598">
        <f t="shared" si="25"/>
        <v>6.1109999999999996E-6</v>
      </c>
      <c r="U244" s="1598">
        <f t="shared" si="29"/>
        <v>0</v>
      </c>
      <c r="V244" s="1598">
        <v>0</v>
      </c>
      <c r="W244" s="1598">
        <v>0</v>
      </c>
      <c r="X244" s="1598"/>
      <c r="Y244" s="1598"/>
      <c r="Z244" s="1598"/>
      <c r="AA244" s="1598"/>
      <c r="AB244" s="1598"/>
      <c r="AC244" s="1598"/>
      <c r="AD244" s="1598"/>
      <c r="AE244" s="1598"/>
      <c r="AF244" s="1598"/>
      <c r="AG244" s="1598"/>
      <c r="AH244" s="1725"/>
      <c r="AI244" s="1725"/>
      <c r="AJ244" s="1725"/>
      <c r="AK244" s="1725"/>
      <c r="AL244" s="1725"/>
      <c r="AM244" s="1725"/>
      <c r="AN244" s="1725"/>
      <c r="AO244" s="1725"/>
      <c r="AP244" s="1725"/>
      <c r="AQ244" s="1725"/>
      <c r="AR244" s="1725"/>
      <c r="AS244" s="1725">
        <f t="shared" si="26"/>
        <v>0</v>
      </c>
      <c r="AT244" s="1725"/>
      <c r="AU244" s="1624">
        <v>0</v>
      </c>
      <c r="AV244" s="1624">
        <v>0</v>
      </c>
      <c r="AW244" s="1624">
        <v>0</v>
      </c>
      <c r="AX244" s="1624">
        <v>0</v>
      </c>
      <c r="AY244" s="1624">
        <v>0</v>
      </c>
      <c r="AZ244" s="1624">
        <v>0</v>
      </c>
      <c r="BA244" s="1624">
        <v>0</v>
      </c>
      <c r="BB244" s="1593"/>
      <c r="BC244" s="1726" t="s">
        <v>1985</v>
      </c>
      <c r="BD244" s="1595"/>
      <c r="BE244" s="1598">
        <f t="shared" si="31"/>
        <v>0</v>
      </c>
      <c r="BF244" s="1598">
        <f t="shared" si="31"/>
        <v>0</v>
      </c>
      <c r="BG244" s="1631">
        <v>6.1109999999999996E-6</v>
      </c>
      <c r="BH244" s="1598">
        <f t="shared" si="30"/>
        <v>0</v>
      </c>
      <c r="BI244" s="1598">
        <f t="shared" si="30"/>
        <v>0</v>
      </c>
      <c r="BJ244" s="1598">
        <f t="shared" si="30"/>
        <v>0</v>
      </c>
      <c r="BK244" s="1598">
        <f t="shared" si="30"/>
        <v>0</v>
      </c>
      <c r="BL244" s="1598">
        <f t="shared" si="30"/>
        <v>0</v>
      </c>
      <c r="BM244" s="1598">
        <f t="shared" si="30"/>
        <v>0</v>
      </c>
      <c r="BN244" s="1598">
        <f t="shared" si="30"/>
        <v>0</v>
      </c>
      <c r="BO244" s="1598">
        <f t="shared" si="30"/>
        <v>0</v>
      </c>
      <c r="BP244" s="1598">
        <f t="shared" si="30"/>
        <v>0</v>
      </c>
      <c r="BQ244" s="1576"/>
      <c r="BR244" s="1727" t="s">
        <v>1985</v>
      </c>
      <c r="BS244" s="1581"/>
      <c r="BT244" s="1539"/>
      <c r="BU244" s="1430">
        <v>120200940</v>
      </c>
      <c r="BV244" s="1430" t="s">
        <v>1984</v>
      </c>
    </row>
    <row r="245" spans="1:74" s="1430" customFormat="1" outlineLevel="1">
      <c r="A245" s="1499">
        <v>11</v>
      </c>
      <c r="B245" s="1539" t="s">
        <v>1995</v>
      </c>
      <c r="C245" s="1578"/>
      <c r="D245" s="1511" t="s">
        <v>934</v>
      </c>
      <c r="E245" s="1579"/>
      <c r="F245" s="1334"/>
      <c r="G245" s="1318"/>
      <c r="H245" s="1318"/>
      <c r="I245" s="1379"/>
      <c r="J245" s="1379"/>
      <c r="K245" s="1402"/>
      <c r="L245" s="1337"/>
      <c r="M245" s="1337"/>
      <c r="N245" s="1339" t="s">
        <v>1984</v>
      </c>
      <c r="O245" s="1336"/>
      <c r="P245" s="1598">
        <f t="shared" si="28"/>
        <v>0</v>
      </c>
      <c r="Q245" s="1598">
        <f t="shared" si="28"/>
        <v>0</v>
      </c>
      <c r="R245" s="1573">
        <f t="shared" si="28"/>
        <v>3.595E-5</v>
      </c>
      <c r="S245" s="1598">
        <f t="shared" si="28"/>
        <v>0</v>
      </c>
      <c r="T245" s="1598">
        <f t="shared" si="25"/>
        <v>3.595E-5</v>
      </c>
      <c r="U245" s="1598">
        <f t="shared" si="29"/>
        <v>0</v>
      </c>
      <c r="V245" s="1598">
        <v>0</v>
      </c>
      <c r="W245" s="1598">
        <v>0</v>
      </c>
      <c r="X245" s="1598"/>
      <c r="Y245" s="1598"/>
      <c r="Z245" s="1598"/>
      <c r="AA245" s="1598"/>
      <c r="AB245" s="1598"/>
      <c r="AC245" s="1598"/>
      <c r="AD245" s="1598"/>
      <c r="AE245" s="1598"/>
      <c r="AF245" s="1598"/>
      <c r="AG245" s="1598"/>
      <c r="AH245" s="1725"/>
      <c r="AI245" s="1725"/>
      <c r="AJ245" s="1725"/>
      <c r="AK245" s="1725"/>
      <c r="AL245" s="1725"/>
      <c r="AM245" s="1725"/>
      <c r="AN245" s="1725"/>
      <c r="AO245" s="1725"/>
      <c r="AP245" s="1725"/>
      <c r="AQ245" s="1725"/>
      <c r="AR245" s="1725"/>
      <c r="AS245" s="1725">
        <f t="shared" si="26"/>
        <v>0</v>
      </c>
      <c r="AT245" s="1725"/>
      <c r="AU245" s="1624">
        <v>0</v>
      </c>
      <c r="AV245" s="1624">
        <v>0</v>
      </c>
      <c r="AW245" s="1624">
        <v>0</v>
      </c>
      <c r="AX245" s="1624">
        <v>0</v>
      </c>
      <c r="AY245" s="1624">
        <v>0</v>
      </c>
      <c r="AZ245" s="1624">
        <v>0</v>
      </c>
      <c r="BA245" s="1624">
        <v>0</v>
      </c>
      <c r="BB245" s="1593"/>
      <c r="BC245" s="1726" t="s">
        <v>1985</v>
      </c>
      <c r="BD245" s="1595"/>
      <c r="BE245" s="1598">
        <f t="shared" si="31"/>
        <v>0</v>
      </c>
      <c r="BF245" s="1598">
        <f t="shared" si="31"/>
        <v>0</v>
      </c>
      <c r="BG245" s="1631">
        <v>3.595E-5</v>
      </c>
      <c r="BH245" s="1598">
        <f t="shared" si="30"/>
        <v>0</v>
      </c>
      <c r="BI245" s="1598">
        <f t="shared" si="30"/>
        <v>0</v>
      </c>
      <c r="BJ245" s="1598">
        <f t="shared" si="30"/>
        <v>0</v>
      </c>
      <c r="BK245" s="1598">
        <f t="shared" si="30"/>
        <v>0</v>
      </c>
      <c r="BL245" s="1598">
        <f t="shared" si="30"/>
        <v>0</v>
      </c>
      <c r="BM245" s="1598">
        <f t="shared" si="30"/>
        <v>0</v>
      </c>
      <c r="BN245" s="1598">
        <f t="shared" si="30"/>
        <v>0</v>
      </c>
      <c r="BO245" s="1598">
        <f t="shared" si="30"/>
        <v>0</v>
      </c>
      <c r="BP245" s="1598">
        <f t="shared" si="30"/>
        <v>0</v>
      </c>
      <c r="BQ245" s="1576"/>
      <c r="BR245" s="1727" t="s">
        <v>1985</v>
      </c>
      <c r="BS245" s="1581"/>
      <c r="BT245" s="1539"/>
      <c r="BU245" s="1430">
        <v>120200941</v>
      </c>
      <c r="BV245" s="1430" t="s">
        <v>1984</v>
      </c>
    </row>
    <row r="246" spans="1:74" s="1430" customFormat="1" ht="29" outlineLevel="1">
      <c r="A246" s="1499">
        <v>12</v>
      </c>
      <c r="B246" s="1539" t="s">
        <v>1996</v>
      </c>
      <c r="C246" s="1578"/>
      <c r="D246" s="1511" t="s">
        <v>934</v>
      </c>
      <c r="E246" s="1579"/>
      <c r="F246" s="1334"/>
      <c r="G246" s="1318"/>
      <c r="H246" s="1318"/>
      <c r="I246" s="1379"/>
      <c r="J246" s="1379"/>
      <c r="K246" s="1402"/>
      <c r="L246" s="1337"/>
      <c r="M246" s="1337"/>
      <c r="N246" s="1339" t="s">
        <v>1984</v>
      </c>
      <c r="O246" s="1336"/>
      <c r="P246" s="1598">
        <f t="shared" si="28"/>
        <v>0</v>
      </c>
      <c r="Q246" s="1598">
        <f t="shared" si="28"/>
        <v>0</v>
      </c>
      <c r="R246" s="1573">
        <f t="shared" si="28"/>
        <v>1.7243E-4</v>
      </c>
      <c r="S246" s="1598">
        <f t="shared" si="28"/>
        <v>0</v>
      </c>
      <c r="T246" s="1598">
        <f t="shared" si="25"/>
        <v>1.7243E-4</v>
      </c>
      <c r="U246" s="1598">
        <f t="shared" si="29"/>
        <v>0</v>
      </c>
      <c r="V246" s="1598">
        <v>0</v>
      </c>
      <c r="W246" s="1598">
        <v>0</v>
      </c>
      <c r="X246" s="1598"/>
      <c r="Y246" s="1598"/>
      <c r="Z246" s="1598"/>
      <c r="AA246" s="1598"/>
      <c r="AB246" s="1598"/>
      <c r="AC246" s="1598"/>
      <c r="AD246" s="1598"/>
      <c r="AE246" s="1598"/>
      <c r="AF246" s="1598"/>
      <c r="AG246" s="1598"/>
      <c r="AH246" s="1725"/>
      <c r="AI246" s="1725"/>
      <c r="AJ246" s="1725"/>
      <c r="AK246" s="1725"/>
      <c r="AL246" s="1725"/>
      <c r="AM246" s="1725"/>
      <c r="AN246" s="1725"/>
      <c r="AO246" s="1725"/>
      <c r="AP246" s="1725"/>
      <c r="AQ246" s="1725"/>
      <c r="AR246" s="1725"/>
      <c r="AS246" s="1725">
        <f t="shared" si="26"/>
        <v>0</v>
      </c>
      <c r="AT246" s="1725"/>
      <c r="AU246" s="1624">
        <v>0</v>
      </c>
      <c r="AV246" s="1624">
        <v>0</v>
      </c>
      <c r="AW246" s="1624">
        <v>0</v>
      </c>
      <c r="AX246" s="1624">
        <v>0</v>
      </c>
      <c r="AY246" s="1624">
        <v>0</v>
      </c>
      <c r="AZ246" s="1624">
        <v>0</v>
      </c>
      <c r="BA246" s="1624">
        <v>0</v>
      </c>
      <c r="BB246" s="1593"/>
      <c r="BC246" s="1728" t="s">
        <v>1997</v>
      </c>
      <c r="BD246" s="1595"/>
      <c r="BE246" s="1598">
        <f t="shared" si="31"/>
        <v>0</v>
      </c>
      <c r="BF246" s="1598">
        <f t="shared" si="31"/>
        <v>0</v>
      </c>
      <c r="BG246" s="1631">
        <v>1.7243E-4</v>
      </c>
      <c r="BH246" s="1598">
        <f t="shared" si="30"/>
        <v>0</v>
      </c>
      <c r="BI246" s="1598">
        <f t="shared" si="30"/>
        <v>0</v>
      </c>
      <c r="BJ246" s="1598">
        <f t="shared" si="30"/>
        <v>0</v>
      </c>
      <c r="BK246" s="1598">
        <f t="shared" si="30"/>
        <v>0</v>
      </c>
      <c r="BL246" s="1598">
        <f t="shared" si="30"/>
        <v>0</v>
      </c>
      <c r="BM246" s="1598">
        <f t="shared" si="30"/>
        <v>0</v>
      </c>
      <c r="BN246" s="1598">
        <f t="shared" si="30"/>
        <v>0</v>
      </c>
      <c r="BO246" s="1598">
        <f t="shared" si="30"/>
        <v>0</v>
      </c>
      <c r="BP246" s="1598">
        <f t="shared" si="30"/>
        <v>0</v>
      </c>
      <c r="BQ246" s="1576"/>
      <c r="BR246" s="1729" t="s">
        <v>1997</v>
      </c>
      <c r="BS246" s="1581"/>
      <c r="BT246" s="1539"/>
      <c r="BU246" s="1430">
        <v>120200942</v>
      </c>
      <c r="BV246" s="1430" t="s">
        <v>1984</v>
      </c>
    </row>
    <row r="247" spans="1:74" s="1430" customFormat="1" outlineLevel="1">
      <c r="A247" s="1499">
        <v>13</v>
      </c>
      <c r="B247" s="1539" t="s">
        <v>1998</v>
      </c>
      <c r="C247" s="1578"/>
      <c r="D247" s="1511" t="s">
        <v>934</v>
      </c>
      <c r="E247" s="1579"/>
      <c r="F247" s="1334"/>
      <c r="G247" s="1318"/>
      <c r="H247" s="1318"/>
      <c r="I247" s="1379"/>
      <c r="J247" s="1379"/>
      <c r="K247" s="1402"/>
      <c r="L247" s="1337"/>
      <c r="M247" s="1337"/>
      <c r="N247" s="1339" t="s">
        <v>1984</v>
      </c>
      <c r="O247" s="1336"/>
      <c r="P247" s="1598">
        <f t="shared" si="28"/>
        <v>0</v>
      </c>
      <c r="Q247" s="1598">
        <f t="shared" si="28"/>
        <v>0</v>
      </c>
      <c r="R247" s="1573">
        <f t="shared" si="28"/>
        <v>0.15765880700000001</v>
      </c>
      <c r="S247" s="1598">
        <f t="shared" si="28"/>
        <v>0</v>
      </c>
      <c r="T247" s="1598">
        <f t="shared" si="25"/>
        <v>0.15765880700000001</v>
      </c>
      <c r="U247" s="1598">
        <f t="shared" si="29"/>
        <v>0</v>
      </c>
      <c r="V247" s="1598">
        <v>0</v>
      </c>
      <c r="W247" s="1598">
        <v>0</v>
      </c>
      <c r="X247" s="1598"/>
      <c r="Y247" s="1598"/>
      <c r="Z247" s="1598"/>
      <c r="AA247" s="1598"/>
      <c r="AB247" s="1598"/>
      <c r="AC247" s="1598"/>
      <c r="AD247" s="1598"/>
      <c r="AE247" s="1598"/>
      <c r="AF247" s="1598"/>
      <c r="AG247" s="1598"/>
      <c r="AH247" s="1725"/>
      <c r="AI247" s="1725"/>
      <c r="AJ247" s="1725"/>
      <c r="AK247" s="1725"/>
      <c r="AL247" s="1725"/>
      <c r="AM247" s="1725"/>
      <c r="AN247" s="1725"/>
      <c r="AO247" s="1725"/>
      <c r="AP247" s="1725"/>
      <c r="AQ247" s="1725"/>
      <c r="AR247" s="1725"/>
      <c r="AS247" s="1725">
        <f t="shared" si="26"/>
        <v>0</v>
      </c>
      <c r="AT247" s="1725"/>
      <c r="AU247" s="1624">
        <v>0</v>
      </c>
      <c r="AV247" s="1624">
        <v>0</v>
      </c>
      <c r="AW247" s="1624">
        <v>0</v>
      </c>
      <c r="AX247" s="1624">
        <v>0</v>
      </c>
      <c r="AY247" s="1624">
        <v>0</v>
      </c>
      <c r="AZ247" s="1624">
        <v>0</v>
      </c>
      <c r="BA247" s="1624">
        <v>0</v>
      </c>
      <c r="BB247" s="1593"/>
      <c r="BC247" s="1728" t="s">
        <v>1997</v>
      </c>
      <c r="BD247" s="1595"/>
      <c r="BE247" s="1598">
        <f t="shared" si="31"/>
        <v>0</v>
      </c>
      <c r="BF247" s="1598">
        <f t="shared" si="31"/>
        <v>0</v>
      </c>
      <c r="BG247" s="1631">
        <v>0.15765880700000001</v>
      </c>
      <c r="BH247" s="1598">
        <f t="shared" si="30"/>
        <v>0</v>
      </c>
      <c r="BI247" s="1598">
        <f t="shared" si="30"/>
        <v>0</v>
      </c>
      <c r="BJ247" s="1598">
        <f t="shared" si="30"/>
        <v>0</v>
      </c>
      <c r="BK247" s="1598">
        <f t="shared" si="30"/>
        <v>0</v>
      </c>
      <c r="BL247" s="1598">
        <f t="shared" si="30"/>
        <v>0</v>
      </c>
      <c r="BM247" s="1598">
        <f t="shared" si="30"/>
        <v>0</v>
      </c>
      <c r="BN247" s="1598">
        <f t="shared" si="30"/>
        <v>0</v>
      </c>
      <c r="BO247" s="1598">
        <f t="shared" si="30"/>
        <v>0</v>
      </c>
      <c r="BP247" s="1598">
        <f t="shared" si="30"/>
        <v>0</v>
      </c>
      <c r="BQ247" s="1576"/>
      <c r="BR247" s="1729" t="s">
        <v>1997</v>
      </c>
      <c r="BS247" s="1581"/>
      <c r="BT247" s="1539"/>
      <c r="BU247" s="1430">
        <v>120200943</v>
      </c>
      <c r="BV247" s="1430" t="s">
        <v>1984</v>
      </c>
    </row>
    <row r="248" spans="1:74" s="1430" customFormat="1" outlineLevel="1">
      <c r="A248" s="1499">
        <v>14</v>
      </c>
      <c r="B248" s="1539" t="s">
        <v>1999</v>
      </c>
      <c r="C248" s="1578"/>
      <c r="D248" s="1511" t="s">
        <v>934</v>
      </c>
      <c r="E248" s="1579"/>
      <c r="F248" s="1334"/>
      <c r="G248" s="1318"/>
      <c r="H248" s="1318"/>
      <c r="I248" s="1379"/>
      <c r="J248" s="1379"/>
      <c r="K248" s="1402"/>
      <c r="L248" s="1337"/>
      <c r="M248" s="1337"/>
      <c r="N248" s="1339" t="s">
        <v>1984</v>
      </c>
      <c r="O248" s="1336"/>
      <c r="P248" s="1598">
        <f t="shared" si="28"/>
        <v>0</v>
      </c>
      <c r="Q248" s="1598">
        <f t="shared" si="28"/>
        <v>0</v>
      </c>
      <c r="R248" s="1573">
        <f t="shared" si="28"/>
        <v>4.1879999999999999E-5</v>
      </c>
      <c r="S248" s="1598">
        <f t="shared" si="28"/>
        <v>0</v>
      </c>
      <c r="T248" s="1598">
        <f t="shared" si="25"/>
        <v>4.1879999999999999E-5</v>
      </c>
      <c r="U248" s="1598">
        <f t="shared" si="29"/>
        <v>0</v>
      </c>
      <c r="V248" s="1598">
        <v>0</v>
      </c>
      <c r="W248" s="1598">
        <v>0</v>
      </c>
      <c r="X248" s="1598"/>
      <c r="Y248" s="1598"/>
      <c r="Z248" s="1598"/>
      <c r="AA248" s="1598"/>
      <c r="AB248" s="1598"/>
      <c r="AC248" s="1598"/>
      <c r="AD248" s="1598"/>
      <c r="AE248" s="1598"/>
      <c r="AF248" s="1598"/>
      <c r="AG248" s="1598"/>
      <c r="AH248" s="1725"/>
      <c r="AI248" s="1725"/>
      <c r="AJ248" s="1725"/>
      <c r="AK248" s="1725"/>
      <c r="AL248" s="1725"/>
      <c r="AM248" s="1725"/>
      <c r="AN248" s="1725"/>
      <c r="AO248" s="1725"/>
      <c r="AP248" s="1725"/>
      <c r="AQ248" s="1725"/>
      <c r="AR248" s="1725"/>
      <c r="AS248" s="1725">
        <f t="shared" si="26"/>
        <v>0</v>
      </c>
      <c r="AT248" s="1725"/>
      <c r="AU248" s="1624">
        <v>0</v>
      </c>
      <c r="AV248" s="1624">
        <v>0</v>
      </c>
      <c r="AW248" s="1624">
        <v>0</v>
      </c>
      <c r="AX248" s="1624">
        <v>0</v>
      </c>
      <c r="AY248" s="1624">
        <v>0</v>
      </c>
      <c r="AZ248" s="1624">
        <v>0</v>
      </c>
      <c r="BA248" s="1624">
        <v>0</v>
      </c>
      <c r="BB248" s="1593"/>
      <c r="BC248" s="1728" t="s">
        <v>1997</v>
      </c>
      <c r="BD248" s="1595"/>
      <c r="BE248" s="1598">
        <f t="shared" si="31"/>
        <v>0</v>
      </c>
      <c r="BF248" s="1598">
        <f t="shared" si="31"/>
        <v>0</v>
      </c>
      <c r="BG248" s="1631">
        <v>4.1879999999999999E-5</v>
      </c>
      <c r="BH248" s="1598">
        <f t="shared" si="30"/>
        <v>0</v>
      </c>
      <c r="BI248" s="1598">
        <f t="shared" si="30"/>
        <v>0</v>
      </c>
      <c r="BJ248" s="1598">
        <f t="shared" si="30"/>
        <v>0</v>
      </c>
      <c r="BK248" s="1598">
        <f t="shared" si="30"/>
        <v>0</v>
      </c>
      <c r="BL248" s="1598">
        <f t="shared" si="30"/>
        <v>0</v>
      </c>
      <c r="BM248" s="1598">
        <f t="shared" si="30"/>
        <v>0</v>
      </c>
      <c r="BN248" s="1598">
        <f t="shared" si="30"/>
        <v>0</v>
      </c>
      <c r="BO248" s="1598">
        <f t="shared" si="30"/>
        <v>0</v>
      </c>
      <c r="BP248" s="1598">
        <f t="shared" si="30"/>
        <v>0</v>
      </c>
      <c r="BQ248" s="1576"/>
      <c r="BR248" s="1729" t="s">
        <v>1997</v>
      </c>
      <c r="BS248" s="1581"/>
      <c r="BT248" s="1539"/>
      <c r="BU248" s="1430">
        <v>120200944</v>
      </c>
      <c r="BV248" s="1430" t="s">
        <v>1984</v>
      </c>
    </row>
    <row r="249" spans="1:74" s="1430" customFormat="1" outlineLevel="1">
      <c r="A249" s="1499">
        <v>15</v>
      </c>
      <c r="B249" s="1539" t="s">
        <v>2000</v>
      </c>
      <c r="C249" s="1578"/>
      <c r="D249" s="1511" t="s">
        <v>934</v>
      </c>
      <c r="E249" s="1579"/>
      <c r="F249" s="1334"/>
      <c r="G249" s="1318"/>
      <c r="H249" s="1318"/>
      <c r="I249" s="1379"/>
      <c r="J249" s="1379"/>
      <c r="K249" s="1402"/>
      <c r="L249" s="1337"/>
      <c r="M249" s="1337"/>
      <c r="N249" s="1339" t="s">
        <v>1984</v>
      </c>
      <c r="O249" s="1336"/>
      <c r="P249" s="1598">
        <f t="shared" si="28"/>
        <v>0</v>
      </c>
      <c r="Q249" s="1598">
        <f t="shared" si="28"/>
        <v>0</v>
      </c>
      <c r="R249" s="1573">
        <f t="shared" si="28"/>
        <v>5.6437999999999997E-5</v>
      </c>
      <c r="S249" s="1598">
        <f t="shared" si="28"/>
        <v>0</v>
      </c>
      <c r="T249" s="1598">
        <f t="shared" si="25"/>
        <v>5.6437999999999997E-5</v>
      </c>
      <c r="U249" s="1598">
        <f t="shared" si="29"/>
        <v>0</v>
      </c>
      <c r="V249" s="1598">
        <v>0</v>
      </c>
      <c r="W249" s="1598">
        <v>0</v>
      </c>
      <c r="X249" s="1598"/>
      <c r="Y249" s="1598"/>
      <c r="Z249" s="1598"/>
      <c r="AA249" s="1598"/>
      <c r="AB249" s="1598"/>
      <c r="AC249" s="1598"/>
      <c r="AD249" s="1598"/>
      <c r="AE249" s="1598"/>
      <c r="AF249" s="1598"/>
      <c r="AG249" s="1598"/>
      <c r="AH249" s="1725"/>
      <c r="AI249" s="1725"/>
      <c r="AJ249" s="1725"/>
      <c r="AK249" s="1725"/>
      <c r="AL249" s="1725"/>
      <c r="AM249" s="1725"/>
      <c r="AN249" s="1725"/>
      <c r="AO249" s="1725"/>
      <c r="AP249" s="1725"/>
      <c r="AQ249" s="1725"/>
      <c r="AR249" s="1725"/>
      <c r="AS249" s="1725">
        <f t="shared" si="26"/>
        <v>0</v>
      </c>
      <c r="AT249" s="1725"/>
      <c r="AU249" s="1624">
        <v>0</v>
      </c>
      <c r="AV249" s="1624">
        <v>0</v>
      </c>
      <c r="AW249" s="1624">
        <v>0</v>
      </c>
      <c r="AX249" s="1624">
        <v>0</v>
      </c>
      <c r="AY249" s="1624">
        <v>0</v>
      </c>
      <c r="AZ249" s="1624">
        <v>0</v>
      </c>
      <c r="BA249" s="1624">
        <v>0</v>
      </c>
      <c r="BB249" s="1593"/>
      <c r="BC249" s="1728" t="s">
        <v>1997</v>
      </c>
      <c r="BD249" s="1595"/>
      <c r="BE249" s="1598">
        <f t="shared" si="31"/>
        <v>0</v>
      </c>
      <c r="BF249" s="1598">
        <f t="shared" si="31"/>
        <v>0</v>
      </c>
      <c r="BG249" s="1631">
        <v>5.6437999999999997E-5</v>
      </c>
      <c r="BH249" s="1598">
        <f t="shared" si="30"/>
        <v>0</v>
      </c>
      <c r="BI249" s="1598">
        <f t="shared" si="30"/>
        <v>0</v>
      </c>
      <c r="BJ249" s="1598">
        <f t="shared" si="30"/>
        <v>0</v>
      </c>
      <c r="BK249" s="1598">
        <f t="shared" si="30"/>
        <v>0</v>
      </c>
      <c r="BL249" s="1598">
        <f t="shared" si="30"/>
        <v>0</v>
      </c>
      <c r="BM249" s="1598">
        <f t="shared" si="30"/>
        <v>0</v>
      </c>
      <c r="BN249" s="1598">
        <f t="shared" si="30"/>
        <v>0</v>
      </c>
      <c r="BO249" s="1598">
        <f t="shared" si="30"/>
        <v>0</v>
      </c>
      <c r="BP249" s="1598">
        <f t="shared" si="30"/>
        <v>0</v>
      </c>
      <c r="BQ249" s="1576"/>
      <c r="BR249" s="1729" t="s">
        <v>1997</v>
      </c>
      <c r="BS249" s="1581"/>
      <c r="BT249" s="1539"/>
      <c r="BU249" s="1430">
        <v>120200945</v>
      </c>
      <c r="BV249" s="1430" t="s">
        <v>1984</v>
      </c>
    </row>
    <row r="250" spans="1:74" s="1430" customFormat="1" ht="25" customHeight="1" outlineLevel="1">
      <c r="A250" s="1499">
        <v>16</v>
      </c>
      <c r="B250" s="1539" t="s">
        <v>2001</v>
      </c>
      <c r="C250" s="1578"/>
      <c r="D250" s="1511" t="s">
        <v>934</v>
      </c>
      <c r="E250" s="1579"/>
      <c r="F250" s="1334"/>
      <c r="G250" s="1318"/>
      <c r="H250" s="1318"/>
      <c r="I250" s="1379"/>
      <c r="J250" s="1379"/>
      <c r="K250" s="1402"/>
      <c r="L250" s="1337"/>
      <c r="M250" s="1337"/>
      <c r="N250" s="1339" t="s">
        <v>1984</v>
      </c>
      <c r="O250" s="1336"/>
      <c r="P250" s="1598">
        <f t="shared" si="28"/>
        <v>0</v>
      </c>
      <c r="Q250" s="1598">
        <f t="shared" si="28"/>
        <v>0</v>
      </c>
      <c r="R250" s="1573">
        <f t="shared" si="28"/>
        <v>1.224798E-3</v>
      </c>
      <c r="S250" s="1598">
        <f t="shared" si="28"/>
        <v>0</v>
      </c>
      <c r="T250" s="1598">
        <f t="shared" si="25"/>
        <v>1.224798E-3</v>
      </c>
      <c r="U250" s="1598">
        <f t="shared" si="29"/>
        <v>0</v>
      </c>
      <c r="V250" s="1598">
        <v>0</v>
      </c>
      <c r="W250" s="1598">
        <v>0</v>
      </c>
      <c r="X250" s="1598"/>
      <c r="Y250" s="1598"/>
      <c r="Z250" s="1598"/>
      <c r="AA250" s="1598"/>
      <c r="AB250" s="1598"/>
      <c r="AC250" s="1598"/>
      <c r="AD250" s="1598"/>
      <c r="AE250" s="1598"/>
      <c r="AF250" s="1598"/>
      <c r="AG250" s="1598"/>
      <c r="AH250" s="1725"/>
      <c r="AI250" s="1725"/>
      <c r="AJ250" s="1725"/>
      <c r="AK250" s="1725"/>
      <c r="AL250" s="1725"/>
      <c r="AM250" s="1725"/>
      <c r="AN250" s="1725"/>
      <c r="AO250" s="1725"/>
      <c r="AP250" s="1725"/>
      <c r="AQ250" s="1725"/>
      <c r="AR250" s="1725"/>
      <c r="AS250" s="1725">
        <f t="shared" si="26"/>
        <v>0</v>
      </c>
      <c r="AT250" s="1725"/>
      <c r="AU250" s="1624">
        <v>0</v>
      </c>
      <c r="AV250" s="1624">
        <v>0</v>
      </c>
      <c r="AW250" s="1624">
        <v>0</v>
      </c>
      <c r="AX250" s="1624">
        <v>0</v>
      </c>
      <c r="AY250" s="1624">
        <v>0</v>
      </c>
      <c r="AZ250" s="1624">
        <v>0</v>
      </c>
      <c r="BA250" s="1624">
        <v>0</v>
      </c>
      <c r="BB250" s="1593"/>
      <c r="BC250" s="1726" t="s">
        <v>1985</v>
      </c>
      <c r="BD250" s="1595"/>
      <c r="BE250" s="1598">
        <f t="shared" si="31"/>
        <v>0</v>
      </c>
      <c r="BF250" s="1598">
        <f t="shared" si="31"/>
        <v>0</v>
      </c>
      <c r="BG250" s="1631">
        <v>1.224798E-3</v>
      </c>
      <c r="BH250" s="1598">
        <f t="shared" si="30"/>
        <v>0</v>
      </c>
      <c r="BI250" s="1598">
        <f t="shared" si="30"/>
        <v>0</v>
      </c>
      <c r="BJ250" s="1598">
        <f t="shared" si="30"/>
        <v>0</v>
      </c>
      <c r="BK250" s="1598">
        <f t="shared" si="30"/>
        <v>0</v>
      </c>
      <c r="BL250" s="1598">
        <f t="shared" si="30"/>
        <v>0</v>
      </c>
      <c r="BM250" s="1598">
        <f t="shared" si="30"/>
        <v>0</v>
      </c>
      <c r="BN250" s="1598">
        <f t="shared" si="30"/>
        <v>0</v>
      </c>
      <c r="BO250" s="1598">
        <f t="shared" si="30"/>
        <v>0</v>
      </c>
      <c r="BP250" s="1598">
        <f t="shared" si="30"/>
        <v>0</v>
      </c>
      <c r="BQ250" s="1576"/>
      <c r="BR250" s="1727" t="s">
        <v>1985</v>
      </c>
      <c r="BS250" s="1581"/>
      <c r="BT250" s="1539"/>
      <c r="BU250" s="1730">
        <v>130100760</v>
      </c>
      <c r="BV250" s="1430" t="s">
        <v>1984</v>
      </c>
    </row>
    <row r="251" spans="1:74" s="1430" customFormat="1" outlineLevel="1">
      <c r="A251" s="1499">
        <v>17</v>
      </c>
      <c r="B251" s="1539" t="s">
        <v>2002</v>
      </c>
      <c r="C251" s="1578"/>
      <c r="D251" s="1511" t="s">
        <v>934</v>
      </c>
      <c r="E251" s="1579"/>
      <c r="F251" s="1334"/>
      <c r="G251" s="1318"/>
      <c r="H251" s="1318"/>
      <c r="I251" s="1379"/>
      <c r="J251" s="1379"/>
      <c r="K251" s="1402"/>
      <c r="L251" s="1337"/>
      <c r="M251" s="1337"/>
      <c r="N251" s="1339" t="s">
        <v>1984</v>
      </c>
      <c r="O251" s="1336"/>
      <c r="P251" s="1598">
        <f t="shared" si="28"/>
        <v>0</v>
      </c>
      <c r="Q251" s="1598">
        <f t="shared" si="28"/>
        <v>0</v>
      </c>
      <c r="R251" s="1573">
        <f t="shared" si="28"/>
        <v>1.1651750000000001E-3</v>
      </c>
      <c r="S251" s="1598">
        <f t="shared" si="28"/>
        <v>0</v>
      </c>
      <c r="T251" s="1598">
        <f t="shared" si="25"/>
        <v>1.1651750000000001E-3</v>
      </c>
      <c r="U251" s="1598">
        <f t="shared" si="29"/>
        <v>0</v>
      </c>
      <c r="V251" s="1598">
        <v>0</v>
      </c>
      <c r="W251" s="1598">
        <v>0</v>
      </c>
      <c r="X251" s="1598"/>
      <c r="Y251" s="1598"/>
      <c r="Z251" s="1598"/>
      <c r="AA251" s="1598"/>
      <c r="AB251" s="1598"/>
      <c r="AC251" s="1598"/>
      <c r="AD251" s="1598"/>
      <c r="AE251" s="1598"/>
      <c r="AF251" s="1598"/>
      <c r="AG251" s="1598"/>
      <c r="AH251" s="1725"/>
      <c r="AI251" s="1725"/>
      <c r="AJ251" s="1725"/>
      <c r="AK251" s="1725"/>
      <c r="AL251" s="1725"/>
      <c r="AM251" s="1725"/>
      <c r="AN251" s="1725"/>
      <c r="AO251" s="1725"/>
      <c r="AP251" s="1725"/>
      <c r="AQ251" s="1725"/>
      <c r="AR251" s="1725"/>
      <c r="AS251" s="1725">
        <f t="shared" si="26"/>
        <v>0</v>
      </c>
      <c r="AT251" s="1725"/>
      <c r="AU251" s="1624">
        <v>0</v>
      </c>
      <c r="AV251" s="1624">
        <v>0</v>
      </c>
      <c r="AW251" s="1624">
        <v>0</v>
      </c>
      <c r="AX251" s="1624">
        <v>0</v>
      </c>
      <c r="AY251" s="1624">
        <v>0</v>
      </c>
      <c r="AZ251" s="1624">
        <v>0</v>
      </c>
      <c r="BA251" s="1624">
        <v>0</v>
      </c>
      <c r="BB251" s="1593"/>
      <c r="BC251" s="1726" t="s">
        <v>1985</v>
      </c>
      <c r="BD251" s="1595"/>
      <c r="BE251" s="1598">
        <f t="shared" si="31"/>
        <v>0</v>
      </c>
      <c r="BF251" s="1598">
        <f t="shared" si="31"/>
        <v>0</v>
      </c>
      <c r="BG251" s="1631">
        <v>1.1651750000000001E-3</v>
      </c>
      <c r="BH251" s="1598">
        <f t="shared" si="30"/>
        <v>0</v>
      </c>
      <c r="BI251" s="1598">
        <f t="shared" si="30"/>
        <v>0</v>
      </c>
      <c r="BJ251" s="1598">
        <f t="shared" si="30"/>
        <v>0</v>
      </c>
      <c r="BK251" s="1598">
        <f t="shared" si="30"/>
        <v>0</v>
      </c>
      <c r="BL251" s="1598">
        <f t="shared" si="30"/>
        <v>0</v>
      </c>
      <c r="BM251" s="1598">
        <f t="shared" si="30"/>
        <v>0</v>
      </c>
      <c r="BN251" s="1598">
        <f t="shared" si="30"/>
        <v>0</v>
      </c>
      <c r="BO251" s="1598">
        <f t="shared" si="30"/>
        <v>0</v>
      </c>
      <c r="BP251" s="1598">
        <f t="shared" si="30"/>
        <v>0</v>
      </c>
      <c r="BQ251" s="1576"/>
      <c r="BR251" s="1727" t="s">
        <v>1985</v>
      </c>
      <c r="BS251" s="1581"/>
      <c r="BT251" s="1539"/>
      <c r="BU251" s="1430">
        <v>130100761</v>
      </c>
      <c r="BV251" s="1430" t="s">
        <v>1984</v>
      </c>
    </row>
    <row r="252" spans="1:74" s="1430" customFormat="1" outlineLevel="1">
      <c r="A252" s="1499">
        <v>18</v>
      </c>
      <c r="B252" s="1539" t="s">
        <v>2003</v>
      </c>
      <c r="C252" s="1578"/>
      <c r="D252" s="1511" t="s">
        <v>934</v>
      </c>
      <c r="E252" s="1579"/>
      <c r="F252" s="1334"/>
      <c r="G252" s="1318"/>
      <c r="H252" s="1318"/>
      <c r="I252" s="1379"/>
      <c r="J252" s="1379"/>
      <c r="K252" s="1402"/>
      <c r="L252" s="1337"/>
      <c r="M252" s="1337"/>
      <c r="N252" s="1339" t="s">
        <v>1984</v>
      </c>
      <c r="O252" s="1336"/>
      <c r="P252" s="1598">
        <f t="shared" si="28"/>
        <v>0</v>
      </c>
      <c r="Q252" s="1598">
        <f t="shared" si="28"/>
        <v>0</v>
      </c>
      <c r="R252" s="1573">
        <f t="shared" si="28"/>
        <v>1.9514200000000001E-4</v>
      </c>
      <c r="S252" s="1598">
        <f t="shared" si="28"/>
        <v>0</v>
      </c>
      <c r="T252" s="1598">
        <f t="shared" si="25"/>
        <v>1.9514200000000001E-4</v>
      </c>
      <c r="U252" s="1598">
        <f t="shared" si="29"/>
        <v>0</v>
      </c>
      <c r="V252" s="1598">
        <v>0</v>
      </c>
      <c r="W252" s="1598">
        <v>0</v>
      </c>
      <c r="X252" s="1598"/>
      <c r="Y252" s="1598"/>
      <c r="Z252" s="1598"/>
      <c r="AA252" s="1598"/>
      <c r="AB252" s="1598"/>
      <c r="AC252" s="1598"/>
      <c r="AD252" s="1598"/>
      <c r="AE252" s="1598"/>
      <c r="AF252" s="1598"/>
      <c r="AG252" s="1598"/>
      <c r="AH252" s="1725"/>
      <c r="AI252" s="1725"/>
      <c r="AJ252" s="1725"/>
      <c r="AK252" s="1725"/>
      <c r="AL252" s="1725"/>
      <c r="AM252" s="1725"/>
      <c r="AN252" s="1725"/>
      <c r="AO252" s="1725"/>
      <c r="AP252" s="1725"/>
      <c r="AQ252" s="1725"/>
      <c r="AR252" s="1725"/>
      <c r="AS252" s="1725">
        <f t="shared" si="26"/>
        <v>0</v>
      </c>
      <c r="AT252" s="1725"/>
      <c r="AU252" s="1624">
        <v>0</v>
      </c>
      <c r="AV252" s="1624">
        <v>0</v>
      </c>
      <c r="AW252" s="1624">
        <v>0</v>
      </c>
      <c r="AX252" s="1624">
        <v>0</v>
      </c>
      <c r="AY252" s="1624">
        <v>0</v>
      </c>
      <c r="AZ252" s="1624">
        <v>0</v>
      </c>
      <c r="BA252" s="1624">
        <v>0</v>
      </c>
      <c r="BB252" s="1593"/>
      <c r="BC252" s="1726" t="s">
        <v>1985</v>
      </c>
      <c r="BD252" s="1595"/>
      <c r="BE252" s="1598">
        <f t="shared" si="31"/>
        <v>0</v>
      </c>
      <c r="BF252" s="1598">
        <f t="shared" si="31"/>
        <v>0</v>
      </c>
      <c r="BG252" s="1631">
        <v>1.9514200000000001E-4</v>
      </c>
      <c r="BH252" s="1598">
        <f t="shared" si="30"/>
        <v>0</v>
      </c>
      <c r="BI252" s="1598">
        <f t="shared" si="30"/>
        <v>0</v>
      </c>
      <c r="BJ252" s="1598">
        <f t="shared" si="30"/>
        <v>0</v>
      </c>
      <c r="BK252" s="1598">
        <f t="shared" si="30"/>
        <v>0</v>
      </c>
      <c r="BL252" s="1598">
        <f t="shared" si="30"/>
        <v>0</v>
      </c>
      <c r="BM252" s="1598">
        <f t="shared" si="30"/>
        <v>0</v>
      </c>
      <c r="BN252" s="1598">
        <f t="shared" si="30"/>
        <v>0</v>
      </c>
      <c r="BO252" s="1598">
        <f t="shared" si="30"/>
        <v>0</v>
      </c>
      <c r="BP252" s="1598">
        <f t="shared" si="30"/>
        <v>0</v>
      </c>
      <c r="BQ252" s="1576"/>
      <c r="BR252" s="1727" t="s">
        <v>1985</v>
      </c>
      <c r="BS252" s="1581"/>
      <c r="BT252" s="1539"/>
      <c r="BU252" s="1430">
        <v>130100762</v>
      </c>
      <c r="BV252" s="1430" t="s">
        <v>1984</v>
      </c>
    </row>
    <row r="253" spans="1:74" s="1430" customFormat="1" ht="31" customHeight="1" outlineLevel="1">
      <c r="A253" s="1499">
        <v>19</v>
      </c>
      <c r="B253" s="1539" t="s">
        <v>2004</v>
      </c>
      <c r="C253" s="1578"/>
      <c r="D253" s="1511" t="s">
        <v>934</v>
      </c>
      <c r="E253" s="1579"/>
      <c r="F253" s="1334"/>
      <c r="G253" s="1318"/>
      <c r="H253" s="1318"/>
      <c r="I253" s="1379"/>
      <c r="J253" s="1379"/>
      <c r="K253" s="1402"/>
      <c r="L253" s="1337"/>
      <c r="M253" s="1337"/>
      <c r="N253" s="1339" t="s">
        <v>1984</v>
      </c>
      <c r="O253" s="1336"/>
      <c r="P253" s="1598">
        <f t="shared" si="28"/>
        <v>0</v>
      </c>
      <c r="Q253" s="1598">
        <f t="shared" si="28"/>
        <v>0</v>
      </c>
      <c r="R253" s="1573">
        <f t="shared" si="28"/>
        <v>5.2946099999999995E-4</v>
      </c>
      <c r="S253" s="1598">
        <f t="shared" si="28"/>
        <v>0</v>
      </c>
      <c r="T253" s="1598">
        <f t="shared" si="25"/>
        <v>5.2946099999999995E-4</v>
      </c>
      <c r="U253" s="1598">
        <f t="shared" si="29"/>
        <v>0</v>
      </c>
      <c r="V253" s="1598">
        <v>0</v>
      </c>
      <c r="W253" s="1598">
        <v>0</v>
      </c>
      <c r="X253" s="1598"/>
      <c r="Y253" s="1598"/>
      <c r="Z253" s="1598"/>
      <c r="AA253" s="1598"/>
      <c r="AB253" s="1598"/>
      <c r="AC253" s="1598"/>
      <c r="AD253" s="1598"/>
      <c r="AE253" s="1598"/>
      <c r="AF253" s="1598"/>
      <c r="AG253" s="1598"/>
      <c r="AH253" s="1725"/>
      <c r="AI253" s="1725"/>
      <c r="AJ253" s="1725"/>
      <c r="AK253" s="1725"/>
      <c r="AL253" s="1725"/>
      <c r="AM253" s="1725"/>
      <c r="AN253" s="1725"/>
      <c r="AO253" s="1725"/>
      <c r="AP253" s="1725"/>
      <c r="AQ253" s="1725"/>
      <c r="AR253" s="1725"/>
      <c r="AS253" s="1725">
        <f t="shared" si="26"/>
        <v>0</v>
      </c>
      <c r="AT253" s="1725"/>
      <c r="AU253" s="1624">
        <v>0</v>
      </c>
      <c r="AV253" s="1624">
        <v>0</v>
      </c>
      <c r="AW253" s="1624">
        <v>0</v>
      </c>
      <c r="AX253" s="1624">
        <v>0</v>
      </c>
      <c r="AY253" s="1624">
        <v>0</v>
      </c>
      <c r="AZ253" s="1624">
        <v>0</v>
      </c>
      <c r="BA253" s="1624">
        <v>0</v>
      </c>
      <c r="BB253" s="1593"/>
      <c r="BC253" s="1726" t="s">
        <v>1985</v>
      </c>
      <c r="BD253" s="1595"/>
      <c r="BE253" s="1598">
        <f t="shared" si="31"/>
        <v>0</v>
      </c>
      <c r="BF253" s="1598">
        <f t="shared" si="31"/>
        <v>0</v>
      </c>
      <c r="BG253" s="1631">
        <v>5.2946099999999995E-4</v>
      </c>
      <c r="BH253" s="1598">
        <f t="shared" si="30"/>
        <v>0</v>
      </c>
      <c r="BI253" s="1598">
        <f t="shared" si="30"/>
        <v>0</v>
      </c>
      <c r="BJ253" s="1598">
        <f t="shared" si="30"/>
        <v>0</v>
      </c>
      <c r="BK253" s="1598">
        <f t="shared" si="30"/>
        <v>0</v>
      </c>
      <c r="BL253" s="1598">
        <f t="shared" si="30"/>
        <v>0</v>
      </c>
      <c r="BM253" s="1598">
        <f t="shared" si="30"/>
        <v>0</v>
      </c>
      <c r="BN253" s="1598">
        <f t="shared" si="30"/>
        <v>0</v>
      </c>
      <c r="BO253" s="1598">
        <f t="shared" si="30"/>
        <v>0</v>
      </c>
      <c r="BP253" s="1598">
        <f t="shared" si="30"/>
        <v>0</v>
      </c>
      <c r="BQ253" s="1576"/>
      <c r="BR253" s="1727" t="s">
        <v>1985</v>
      </c>
      <c r="BS253" s="1581"/>
      <c r="BT253" s="1539"/>
      <c r="BU253" s="1430">
        <v>130100763</v>
      </c>
      <c r="BV253" s="1430" t="s">
        <v>1984</v>
      </c>
    </row>
    <row r="254" spans="1:74" s="1430" customFormat="1" ht="29.15" customHeight="1" outlineLevel="1">
      <c r="A254" s="1499">
        <v>20</v>
      </c>
      <c r="B254" s="1539" t="s">
        <v>2005</v>
      </c>
      <c r="C254" s="1578"/>
      <c r="D254" s="1511" t="s">
        <v>934</v>
      </c>
      <c r="E254" s="1579"/>
      <c r="F254" s="1334"/>
      <c r="G254" s="1318"/>
      <c r="H254" s="1318"/>
      <c r="I254" s="1379"/>
      <c r="J254" s="1379"/>
      <c r="K254" s="1402"/>
      <c r="L254" s="1337"/>
      <c r="M254" s="1337"/>
      <c r="N254" s="1339" t="s">
        <v>1984</v>
      </c>
      <c r="O254" s="1336"/>
      <c r="P254" s="1598">
        <f t="shared" si="28"/>
        <v>0</v>
      </c>
      <c r="Q254" s="1598">
        <f t="shared" si="28"/>
        <v>0</v>
      </c>
      <c r="R254" s="1573">
        <f t="shared" si="28"/>
        <v>1.79662E-4</v>
      </c>
      <c r="S254" s="1598">
        <f t="shared" si="28"/>
        <v>0</v>
      </c>
      <c r="T254" s="1598">
        <f t="shared" si="25"/>
        <v>1.79662E-4</v>
      </c>
      <c r="U254" s="1598">
        <f t="shared" si="29"/>
        <v>0</v>
      </c>
      <c r="V254" s="1598">
        <v>0</v>
      </c>
      <c r="W254" s="1598">
        <v>0</v>
      </c>
      <c r="X254" s="1598"/>
      <c r="Y254" s="1598"/>
      <c r="Z254" s="1598"/>
      <c r="AA254" s="1598"/>
      <c r="AB254" s="1598"/>
      <c r="AC254" s="1598"/>
      <c r="AD254" s="1598"/>
      <c r="AE254" s="1598"/>
      <c r="AF254" s="1598"/>
      <c r="AG254" s="1598"/>
      <c r="AH254" s="1725"/>
      <c r="AI254" s="1725"/>
      <c r="AJ254" s="1725"/>
      <c r="AK254" s="1725"/>
      <c r="AL254" s="1725"/>
      <c r="AM254" s="1725"/>
      <c r="AN254" s="1725"/>
      <c r="AO254" s="1725"/>
      <c r="AP254" s="1725"/>
      <c r="AQ254" s="1725"/>
      <c r="AR254" s="1725"/>
      <c r="AS254" s="1725">
        <f t="shared" si="26"/>
        <v>0</v>
      </c>
      <c r="AT254" s="1725"/>
      <c r="AU254" s="1624">
        <v>0</v>
      </c>
      <c r="AV254" s="1624">
        <v>0</v>
      </c>
      <c r="AW254" s="1624">
        <v>0</v>
      </c>
      <c r="AX254" s="1624">
        <v>0</v>
      </c>
      <c r="AY254" s="1624">
        <v>0</v>
      </c>
      <c r="AZ254" s="1624">
        <v>0</v>
      </c>
      <c r="BA254" s="1624">
        <v>0</v>
      </c>
      <c r="BB254" s="1593"/>
      <c r="BC254" s="1728" t="s">
        <v>1997</v>
      </c>
      <c r="BD254" s="1595"/>
      <c r="BE254" s="1598">
        <f t="shared" si="31"/>
        <v>0</v>
      </c>
      <c r="BF254" s="1598">
        <f t="shared" si="31"/>
        <v>0</v>
      </c>
      <c r="BG254" s="1631">
        <v>1.79662E-4</v>
      </c>
      <c r="BH254" s="1598">
        <f t="shared" si="30"/>
        <v>0</v>
      </c>
      <c r="BI254" s="1598">
        <f t="shared" si="30"/>
        <v>0</v>
      </c>
      <c r="BJ254" s="1598">
        <f t="shared" si="30"/>
        <v>0</v>
      </c>
      <c r="BK254" s="1598">
        <f t="shared" si="30"/>
        <v>0</v>
      </c>
      <c r="BL254" s="1598">
        <f t="shared" si="30"/>
        <v>0</v>
      </c>
      <c r="BM254" s="1598">
        <f t="shared" si="30"/>
        <v>0</v>
      </c>
      <c r="BN254" s="1598">
        <f t="shared" si="30"/>
        <v>0</v>
      </c>
      <c r="BO254" s="1598">
        <f t="shared" si="30"/>
        <v>0</v>
      </c>
      <c r="BP254" s="1598">
        <f t="shared" si="30"/>
        <v>0</v>
      </c>
      <c r="BQ254" s="1576"/>
      <c r="BR254" s="1729" t="s">
        <v>1997</v>
      </c>
      <c r="BS254" s="1581"/>
      <c r="BT254" s="1539"/>
      <c r="BU254" s="1430">
        <v>130100764</v>
      </c>
      <c r="BV254" s="1430" t="s">
        <v>1984</v>
      </c>
    </row>
    <row r="255" spans="1:74" s="1430" customFormat="1" ht="28" customHeight="1" outlineLevel="1">
      <c r="A255" s="1499">
        <v>21</v>
      </c>
      <c r="B255" s="1539" t="s">
        <v>2006</v>
      </c>
      <c r="C255" s="1578"/>
      <c r="D255" s="1511" t="s">
        <v>934</v>
      </c>
      <c r="E255" s="1579"/>
      <c r="F255" s="1334"/>
      <c r="G255" s="1318"/>
      <c r="H255" s="1318"/>
      <c r="I255" s="1379"/>
      <c r="J255" s="1379"/>
      <c r="K255" s="1402"/>
      <c r="L255" s="1337"/>
      <c r="M255" s="1337"/>
      <c r="N255" s="1339" t="s">
        <v>1984</v>
      </c>
      <c r="O255" s="1336"/>
      <c r="P255" s="1598">
        <f t="shared" si="28"/>
        <v>0</v>
      </c>
      <c r="Q255" s="1598">
        <f t="shared" si="28"/>
        <v>0</v>
      </c>
      <c r="R255" s="1573">
        <f t="shared" si="28"/>
        <v>0.37627639299999999</v>
      </c>
      <c r="S255" s="1598">
        <f t="shared" si="28"/>
        <v>0</v>
      </c>
      <c r="T255" s="1598">
        <f t="shared" si="25"/>
        <v>0.37627639299999999</v>
      </c>
      <c r="U255" s="1598">
        <f t="shared" si="29"/>
        <v>0</v>
      </c>
      <c r="V255" s="1598">
        <v>0</v>
      </c>
      <c r="W255" s="1598">
        <v>0</v>
      </c>
      <c r="X255" s="1598"/>
      <c r="Y255" s="1598"/>
      <c r="Z255" s="1598"/>
      <c r="AA255" s="1598"/>
      <c r="AB255" s="1598"/>
      <c r="AC255" s="1598"/>
      <c r="AD255" s="1598"/>
      <c r="AE255" s="1598"/>
      <c r="AF255" s="1598"/>
      <c r="AG255" s="1598"/>
      <c r="AH255" s="1725"/>
      <c r="AI255" s="1725"/>
      <c r="AJ255" s="1725"/>
      <c r="AK255" s="1725"/>
      <c r="AL255" s="1725"/>
      <c r="AM255" s="1725"/>
      <c r="AN255" s="1725"/>
      <c r="AO255" s="1725"/>
      <c r="AP255" s="1725"/>
      <c r="AQ255" s="1725"/>
      <c r="AR255" s="1725"/>
      <c r="AS255" s="1725">
        <f t="shared" si="26"/>
        <v>0</v>
      </c>
      <c r="AT255" s="1725"/>
      <c r="AU255" s="1624">
        <v>0</v>
      </c>
      <c r="AV255" s="1624">
        <v>0</v>
      </c>
      <c r="AW255" s="1624">
        <v>0</v>
      </c>
      <c r="AX255" s="1624">
        <v>0</v>
      </c>
      <c r="AY255" s="1624">
        <v>0</v>
      </c>
      <c r="AZ255" s="1624">
        <v>0</v>
      </c>
      <c r="BA255" s="1624">
        <v>0</v>
      </c>
      <c r="BB255" s="1593"/>
      <c r="BC255" s="1728" t="s">
        <v>1997</v>
      </c>
      <c r="BD255" s="1595"/>
      <c r="BE255" s="1598">
        <f t="shared" si="31"/>
        <v>0</v>
      </c>
      <c r="BF255" s="1598">
        <f t="shared" si="31"/>
        <v>0</v>
      </c>
      <c r="BG255" s="1631">
        <v>0.37627639299999999</v>
      </c>
      <c r="BH255" s="1598">
        <f t="shared" si="30"/>
        <v>0</v>
      </c>
      <c r="BI255" s="1598">
        <f t="shared" si="30"/>
        <v>0</v>
      </c>
      <c r="BJ255" s="1598">
        <f t="shared" si="30"/>
        <v>0</v>
      </c>
      <c r="BK255" s="1598">
        <f t="shared" si="30"/>
        <v>0</v>
      </c>
      <c r="BL255" s="1598">
        <f t="shared" si="30"/>
        <v>0</v>
      </c>
      <c r="BM255" s="1598">
        <f t="shared" si="30"/>
        <v>0</v>
      </c>
      <c r="BN255" s="1598">
        <f t="shared" si="30"/>
        <v>0</v>
      </c>
      <c r="BO255" s="1598">
        <f t="shared" si="30"/>
        <v>0</v>
      </c>
      <c r="BP255" s="1598">
        <f t="shared" si="30"/>
        <v>0</v>
      </c>
      <c r="BQ255" s="1576"/>
      <c r="BR255" s="1729" t="s">
        <v>1997</v>
      </c>
      <c r="BS255" s="1581"/>
      <c r="BT255" s="1539"/>
      <c r="BU255" s="1430">
        <v>130100765</v>
      </c>
      <c r="BV255" s="1430" t="s">
        <v>1984</v>
      </c>
    </row>
    <row r="256" spans="1:74" s="1430" customFormat="1" outlineLevel="1">
      <c r="A256" s="1499">
        <v>22</v>
      </c>
      <c r="B256" s="1539" t="s">
        <v>2007</v>
      </c>
      <c r="C256" s="1578"/>
      <c r="D256" s="1511" t="s">
        <v>934</v>
      </c>
      <c r="E256" s="1579"/>
      <c r="F256" s="1334"/>
      <c r="G256" s="1318"/>
      <c r="H256" s="1318"/>
      <c r="I256" s="1379"/>
      <c r="J256" s="1379"/>
      <c r="K256" s="1402"/>
      <c r="L256" s="1337"/>
      <c r="M256" s="1337"/>
      <c r="N256" s="1339" t="s">
        <v>1984</v>
      </c>
      <c r="O256" s="1336"/>
      <c r="P256" s="1598">
        <f t="shared" si="28"/>
        <v>0</v>
      </c>
      <c r="Q256" s="1598">
        <f t="shared" si="28"/>
        <v>0</v>
      </c>
      <c r="R256" s="1573">
        <f t="shared" si="28"/>
        <v>0.13615478800000003</v>
      </c>
      <c r="S256" s="1598">
        <f t="shared" si="28"/>
        <v>0</v>
      </c>
      <c r="T256" s="1598">
        <f t="shared" si="25"/>
        <v>0.13615478800000003</v>
      </c>
      <c r="U256" s="1598">
        <f t="shared" si="29"/>
        <v>0</v>
      </c>
      <c r="V256" s="1598">
        <v>0</v>
      </c>
      <c r="W256" s="1598">
        <v>0</v>
      </c>
      <c r="X256" s="1598"/>
      <c r="Y256" s="1598"/>
      <c r="Z256" s="1598"/>
      <c r="AA256" s="1598"/>
      <c r="AB256" s="1598"/>
      <c r="AC256" s="1598"/>
      <c r="AD256" s="1598"/>
      <c r="AE256" s="1598"/>
      <c r="AF256" s="1598"/>
      <c r="AG256" s="1598"/>
      <c r="AH256" s="1725"/>
      <c r="AI256" s="1725"/>
      <c r="AJ256" s="1725"/>
      <c r="AK256" s="1725"/>
      <c r="AL256" s="1725"/>
      <c r="AM256" s="1725"/>
      <c r="AN256" s="1725"/>
      <c r="AO256" s="1725"/>
      <c r="AP256" s="1725"/>
      <c r="AQ256" s="1725"/>
      <c r="AR256" s="1725"/>
      <c r="AS256" s="1725">
        <f t="shared" si="26"/>
        <v>0</v>
      </c>
      <c r="AT256" s="1725"/>
      <c r="AU256" s="1624">
        <v>0</v>
      </c>
      <c r="AV256" s="1624">
        <v>0</v>
      </c>
      <c r="AW256" s="1624">
        <v>0</v>
      </c>
      <c r="AX256" s="1624">
        <v>0</v>
      </c>
      <c r="AY256" s="1624">
        <v>0</v>
      </c>
      <c r="AZ256" s="1624">
        <v>0</v>
      </c>
      <c r="BA256" s="1624">
        <v>0</v>
      </c>
      <c r="BB256" s="1731"/>
      <c r="BC256" s="1726" t="s">
        <v>1985</v>
      </c>
      <c r="BD256" s="1595"/>
      <c r="BE256" s="1598">
        <f t="shared" si="31"/>
        <v>0</v>
      </c>
      <c r="BF256" s="1598">
        <f t="shared" si="31"/>
        <v>0</v>
      </c>
      <c r="BG256" s="1732">
        <f>0.213588988-0.0774342</f>
        <v>0.13615478800000003</v>
      </c>
      <c r="BH256" s="1598">
        <f t="shared" si="30"/>
        <v>0</v>
      </c>
      <c r="BI256" s="1598">
        <f t="shared" si="30"/>
        <v>0</v>
      </c>
      <c r="BJ256" s="1598">
        <f t="shared" si="30"/>
        <v>0</v>
      </c>
      <c r="BK256" s="1598">
        <f t="shared" si="30"/>
        <v>0</v>
      </c>
      <c r="BL256" s="1598">
        <f t="shared" si="30"/>
        <v>0</v>
      </c>
      <c r="BM256" s="1598">
        <f t="shared" si="30"/>
        <v>0</v>
      </c>
      <c r="BN256" s="1598">
        <f t="shared" si="30"/>
        <v>0</v>
      </c>
      <c r="BO256" s="1598">
        <f t="shared" si="30"/>
        <v>0</v>
      </c>
      <c r="BP256" s="1598">
        <f t="shared" si="30"/>
        <v>0</v>
      </c>
      <c r="BQ256" s="1733"/>
      <c r="BR256" s="1727" t="s">
        <v>1985</v>
      </c>
      <c r="BS256" s="1581"/>
      <c r="BT256" s="1539"/>
      <c r="BU256" s="1430">
        <v>140100483</v>
      </c>
      <c r="BV256" s="1430" t="s">
        <v>1984</v>
      </c>
    </row>
    <row r="257" spans="1:74" s="1430" customFormat="1" outlineLevel="1">
      <c r="A257" s="1499">
        <v>23</v>
      </c>
      <c r="B257" s="1539" t="s">
        <v>2008</v>
      </c>
      <c r="C257" s="1578"/>
      <c r="D257" s="1511" t="s">
        <v>934</v>
      </c>
      <c r="E257" s="1579"/>
      <c r="F257" s="1334"/>
      <c r="G257" s="1318"/>
      <c r="H257" s="1318"/>
      <c r="I257" s="1379"/>
      <c r="J257" s="1379"/>
      <c r="K257" s="1402"/>
      <c r="L257" s="1337"/>
      <c r="M257" s="1337"/>
      <c r="N257" s="1339" t="s">
        <v>1984</v>
      </c>
      <c r="O257" s="1336"/>
      <c r="P257" s="1598">
        <f t="shared" si="28"/>
        <v>0</v>
      </c>
      <c r="Q257" s="1598">
        <f t="shared" si="28"/>
        <v>0</v>
      </c>
      <c r="R257" s="1573">
        <f t="shared" si="28"/>
        <v>9.1029900000000005E-4</v>
      </c>
      <c r="S257" s="1598">
        <f t="shared" si="28"/>
        <v>0</v>
      </c>
      <c r="T257" s="1598">
        <f t="shared" si="25"/>
        <v>9.1029900000000005E-4</v>
      </c>
      <c r="U257" s="1598">
        <f t="shared" si="29"/>
        <v>0</v>
      </c>
      <c r="V257" s="1598">
        <v>0</v>
      </c>
      <c r="W257" s="1598">
        <v>0</v>
      </c>
      <c r="X257" s="1598"/>
      <c r="Y257" s="1598"/>
      <c r="Z257" s="1598"/>
      <c r="AA257" s="1598"/>
      <c r="AB257" s="1598"/>
      <c r="AC257" s="1598"/>
      <c r="AD257" s="1598"/>
      <c r="AE257" s="1598"/>
      <c r="AF257" s="1598"/>
      <c r="AG257" s="1598"/>
      <c r="AH257" s="1725"/>
      <c r="AI257" s="1725"/>
      <c r="AJ257" s="1725"/>
      <c r="AK257" s="1725"/>
      <c r="AL257" s="1725"/>
      <c r="AM257" s="1725"/>
      <c r="AN257" s="1725"/>
      <c r="AO257" s="1725"/>
      <c r="AP257" s="1725"/>
      <c r="AQ257" s="1725"/>
      <c r="AR257" s="1725"/>
      <c r="AS257" s="1725">
        <f t="shared" si="26"/>
        <v>0</v>
      </c>
      <c r="AT257" s="1725"/>
      <c r="AU257" s="1624">
        <v>0</v>
      </c>
      <c r="AV257" s="1624">
        <v>0</v>
      </c>
      <c r="AW257" s="1624">
        <v>0</v>
      </c>
      <c r="AX257" s="1624">
        <v>0</v>
      </c>
      <c r="AY257" s="1624">
        <v>0</v>
      </c>
      <c r="AZ257" s="1624">
        <v>0</v>
      </c>
      <c r="BA257" s="1624">
        <v>0</v>
      </c>
      <c r="BB257" s="1593"/>
      <c r="BC257" s="1726" t="s">
        <v>1985</v>
      </c>
      <c r="BD257" s="1595"/>
      <c r="BE257" s="1598">
        <f t="shared" si="31"/>
        <v>0</v>
      </c>
      <c r="BF257" s="1598">
        <f t="shared" si="31"/>
        <v>0</v>
      </c>
      <c r="BG257" s="1631">
        <v>9.1029900000000005E-4</v>
      </c>
      <c r="BH257" s="1598">
        <f t="shared" si="30"/>
        <v>0</v>
      </c>
      <c r="BI257" s="1598">
        <f t="shared" si="30"/>
        <v>0</v>
      </c>
      <c r="BJ257" s="1598">
        <f t="shared" si="30"/>
        <v>0</v>
      </c>
      <c r="BK257" s="1598">
        <f t="shared" si="30"/>
        <v>0</v>
      </c>
      <c r="BL257" s="1598">
        <f t="shared" si="30"/>
        <v>0</v>
      </c>
      <c r="BM257" s="1598">
        <f t="shared" si="30"/>
        <v>0</v>
      </c>
      <c r="BN257" s="1598">
        <f t="shared" si="30"/>
        <v>0</v>
      </c>
      <c r="BO257" s="1598">
        <f t="shared" si="30"/>
        <v>0</v>
      </c>
      <c r="BP257" s="1598">
        <f t="shared" si="30"/>
        <v>0</v>
      </c>
      <c r="BQ257" s="1576"/>
      <c r="BR257" s="1727" t="s">
        <v>1985</v>
      </c>
      <c r="BS257" s="1581"/>
      <c r="BT257" s="1539"/>
      <c r="BU257" s="1430">
        <v>140200326</v>
      </c>
      <c r="BV257" s="1430" t="s">
        <v>1984</v>
      </c>
    </row>
    <row r="258" spans="1:74" s="1430" customFormat="1" outlineLevel="1">
      <c r="A258" s="1499">
        <v>24</v>
      </c>
      <c r="B258" s="1539" t="s">
        <v>2009</v>
      </c>
      <c r="C258" s="1578"/>
      <c r="D258" s="1511" t="s">
        <v>934</v>
      </c>
      <c r="E258" s="1579"/>
      <c r="F258" s="1334"/>
      <c r="G258" s="1318"/>
      <c r="H258" s="1318"/>
      <c r="I258" s="1379"/>
      <c r="J258" s="1379"/>
      <c r="K258" s="1402"/>
      <c r="L258" s="1337"/>
      <c r="M258" s="1337"/>
      <c r="N258" s="1339" t="s">
        <v>1984</v>
      </c>
      <c r="O258" s="1336"/>
      <c r="P258" s="1598">
        <f t="shared" si="28"/>
        <v>0</v>
      </c>
      <c r="Q258" s="1598">
        <f t="shared" si="28"/>
        <v>0</v>
      </c>
      <c r="R258" s="1573">
        <f t="shared" si="28"/>
        <v>4.1823400000000002E-4</v>
      </c>
      <c r="S258" s="1598">
        <f t="shared" si="28"/>
        <v>0</v>
      </c>
      <c r="T258" s="1598">
        <f t="shared" si="25"/>
        <v>4.1823400000000002E-4</v>
      </c>
      <c r="U258" s="1598">
        <f t="shared" si="29"/>
        <v>0</v>
      </c>
      <c r="V258" s="1598">
        <v>0</v>
      </c>
      <c r="W258" s="1598">
        <v>0</v>
      </c>
      <c r="X258" s="1598"/>
      <c r="Y258" s="1598"/>
      <c r="Z258" s="1598"/>
      <c r="AA258" s="1598"/>
      <c r="AB258" s="1598"/>
      <c r="AC258" s="1598"/>
      <c r="AD258" s="1598"/>
      <c r="AE258" s="1598"/>
      <c r="AF258" s="1598"/>
      <c r="AG258" s="1598"/>
      <c r="AH258" s="1725"/>
      <c r="AI258" s="1725"/>
      <c r="AJ258" s="1725"/>
      <c r="AK258" s="1725"/>
      <c r="AL258" s="1725"/>
      <c r="AM258" s="1725"/>
      <c r="AN258" s="1725"/>
      <c r="AO258" s="1725"/>
      <c r="AP258" s="1725"/>
      <c r="AQ258" s="1725"/>
      <c r="AR258" s="1725"/>
      <c r="AS258" s="1725">
        <f t="shared" si="26"/>
        <v>0</v>
      </c>
      <c r="AT258" s="1725"/>
      <c r="AU258" s="1624">
        <v>0</v>
      </c>
      <c r="AV258" s="1624">
        <v>0</v>
      </c>
      <c r="AW258" s="1624">
        <v>0</v>
      </c>
      <c r="AX258" s="1624">
        <v>0</v>
      </c>
      <c r="AY258" s="1624">
        <v>0</v>
      </c>
      <c r="AZ258" s="1624">
        <v>0</v>
      </c>
      <c r="BA258" s="1624">
        <v>0</v>
      </c>
      <c r="BB258" s="1593"/>
      <c r="BC258" s="1726" t="s">
        <v>1985</v>
      </c>
      <c r="BD258" s="1595"/>
      <c r="BE258" s="1598">
        <f t="shared" si="31"/>
        <v>0</v>
      </c>
      <c r="BF258" s="1598">
        <f t="shared" si="31"/>
        <v>0</v>
      </c>
      <c r="BG258" s="1631">
        <v>4.1823400000000002E-4</v>
      </c>
      <c r="BH258" s="1598">
        <f t="shared" si="30"/>
        <v>0</v>
      </c>
      <c r="BI258" s="1598">
        <f t="shared" si="30"/>
        <v>0</v>
      </c>
      <c r="BJ258" s="1598">
        <f t="shared" si="30"/>
        <v>0</v>
      </c>
      <c r="BK258" s="1598">
        <f t="shared" si="30"/>
        <v>0</v>
      </c>
      <c r="BL258" s="1598">
        <f t="shared" si="30"/>
        <v>0</v>
      </c>
      <c r="BM258" s="1598">
        <f t="shared" si="30"/>
        <v>0</v>
      </c>
      <c r="BN258" s="1598">
        <f t="shared" si="30"/>
        <v>0</v>
      </c>
      <c r="BO258" s="1598">
        <f t="shared" si="30"/>
        <v>0</v>
      </c>
      <c r="BP258" s="1598">
        <f t="shared" si="30"/>
        <v>0</v>
      </c>
      <c r="BQ258" s="1576"/>
      <c r="BR258" s="1727" t="s">
        <v>1985</v>
      </c>
      <c r="BS258" s="1581"/>
      <c r="BT258" s="1539"/>
      <c r="BU258" s="1430">
        <v>140200327</v>
      </c>
      <c r="BV258" s="1430" t="s">
        <v>1984</v>
      </c>
    </row>
    <row r="259" spans="1:74" s="1430" customFormat="1" outlineLevel="1">
      <c r="A259" s="1499">
        <v>25</v>
      </c>
      <c r="B259" s="1539" t="s">
        <v>2010</v>
      </c>
      <c r="C259" s="1578"/>
      <c r="D259" s="1511" t="s">
        <v>934</v>
      </c>
      <c r="E259" s="1579"/>
      <c r="F259" s="1334"/>
      <c r="G259" s="1318"/>
      <c r="H259" s="1318"/>
      <c r="I259" s="1379"/>
      <c r="J259" s="1379"/>
      <c r="K259" s="1402"/>
      <c r="L259" s="1337"/>
      <c r="M259" s="1337"/>
      <c r="N259" s="1339" t="s">
        <v>1984</v>
      </c>
      <c r="O259" s="1336"/>
      <c r="P259" s="1598">
        <f t="shared" si="28"/>
        <v>0</v>
      </c>
      <c r="Q259" s="1598">
        <f t="shared" si="28"/>
        <v>0</v>
      </c>
      <c r="R259" s="1573">
        <f t="shared" si="28"/>
        <v>5.31695E-4</v>
      </c>
      <c r="S259" s="1598">
        <f t="shared" si="28"/>
        <v>0</v>
      </c>
      <c r="T259" s="1598">
        <f t="shared" si="25"/>
        <v>5.31695E-4</v>
      </c>
      <c r="U259" s="1598">
        <f t="shared" si="29"/>
        <v>0</v>
      </c>
      <c r="V259" s="1598">
        <v>0</v>
      </c>
      <c r="W259" s="1598">
        <v>0</v>
      </c>
      <c r="X259" s="1598"/>
      <c r="Y259" s="1598"/>
      <c r="Z259" s="1598"/>
      <c r="AA259" s="1598"/>
      <c r="AB259" s="1598"/>
      <c r="AC259" s="1598"/>
      <c r="AD259" s="1598"/>
      <c r="AE259" s="1598"/>
      <c r="AF259" s="1598"/>
      <c r="AG259" s="1598"/>
      <c r="AH259" s="1725"/>
      <c r="AI259" s="1725"/>
      <c r="AJ259" s="1725"/>
      <c r="AK259" s="1725"/>
      <c r="AL259" s="1725"/>
      <c r="AM259" s="1725"/>
      <c r="AN259" s="1725"/>
      <c r="AO259" s="1725"/>
      <c r="AP259" s="1725"/>
      <c r="AQ259" s="1725"/>
      <c r="AR259" s="1725"/>
      <c r="AS259" s="1725">
        <f t="shared" si="26"/>
        <v>0</v>
      </c>
      <c r="AT259" s="1725"/>
      <c r="AU259" s="1624">
        <v>0</v>
      </c>
      <c r="AV259" s="1624">
        <v>0</v>
      </c>
      <c r="AW259" s="1624">
        <v>0</v>
      </c>
      <c r="AX259" s="1624">
        <v>0</v>
      </c>
      <c r="AY259" s="1624">
        <v>0</v>
      </c>
      <c r="AZ259" s="1624">
        <v>0</v>
      </c>
      <c r="BA259" s="1624">
        <v>0</v>
      </c>
      <c r="BB259" s="1593"/>
      <c r="BC259" s="1726" t="s">
        <v>1985</v>
      </c>
      <c r="BD259" s="1595"/>
      <c r="BE259" s="1598">
        <f t="shared" si="31"/>
        <v>0</v>
      </c>
      <c r="BF259" s="1598">
        <f t="shared" si="31"/>
        <v>0</v>
      </c>
      <c r="BG259" s="1631">
        <v>5.31695E-4</v>
      </c>
      <c r="BH259" s="1598">
        <f t="shared" si="30"/>
        <v>0</v>
      </c>
      <c r="BI259" s="1598">
        <f t="shared" si="30"/>
        <v>0</v>
      </c>
      <c r="BJ259" s="1598">
        <f t="shared" si="30"/>
        <v>0</v>
      </c>
      <c r="BK259" s="1598">
        <f t="shared" si="30"/>
        <v>0</v>
      </c>
      <c r="BL259" s="1598">
        <f t="shared" si="30"/>
        <v>0</v>
      </c>
      <c r="BM259" s="1598">
        <f t="shared" si="30"/>
        <v>0</v>
      </c>
      <c r="BN259" s="1598">
        <f t="shared" si="30"/>
        <v>0</v>
      </c>
      <c r="BO259" s="1598">
        <f t="shared" si="30"/>
        <v>0</v>
      </c>
      <c r="BP259" s="1598">
        <f t="shared" si="30"/>
        <v>0</v>
      </c>
      <c r="BQ259" s="1576"/>
      <c r="BR259" s="1727" t="s">
        <v>1985</v>
      </c>
      <c r="BS259" s="1581"/>
      <c r="BT259" s="1539"/>
      <c r="BU259" s="1430">
        <v>1501006753</v>
      </c>
      <c r="BV259" s="1430" t="s">
        <v>1984</v>
      </c>
    </row>
    <row r="260" spans="1:74" s="1430" customFormat="1" outlineLevel="1">
      <c r="A260" s="1499">
        <v>26</v>
      </c>
      <c r="B260" s="1539" t="s">
        <v>2011</v>
      </c>
      <c r="C260" s="1578"/>
      <c r="D260" s="1511" t="s">
        <v>934</v>
      </c>
      <c r="E260" s="1579"/>
      <c r="F260" s="1334"/>
      <c r="G260" s="1318"/>
      <c r="H260" s="1318"/>
      <c r="I260" s="1379"/>
      <c r="J260" s="1379"/>
      <c r="K260" s="1402"/>
      <c r="L260" s="1337"/>
      <c r="M260" s="1337"/>
      <c r="N260" s="1339" t="s">
        <v>1984</v>
      </c>
      <c r="O260" s="1336"/>
      <c r="P260" s="1598">
        <f t="shared" si="28"/>
        <v>0</v>
      </c>
      <c r="Q260" s="1598">
        <f t="shared" si="28"/>
        <v>0</v>
      </c>
      <c r="R260" s="1573">
        <f t="shared" si="28"/>
        <v>6.1116199999999999E-3</v>
      </c>
      <c r="S260" s="1598">
        <f t="shared" si="28"/>
        <v>0</v>
      </c>
      <c r="T260" s="1598">
        <f t="shared" si="25"/>
        <v>6.1116199999999999E-3</v>
      </c>
      <c r="U260" s="1598">
        <f t="shared" si="29"/>
        <v>0</v>
      </c>
      <c r="V260" s="1598">
        <v>0</v>
      </c>
      <c r="W260" s="1598">
        <v>0</v>
      </c>
      <c r="X260" s="1598"/>
      <c r="Y260" s="1598"/>
      <c r="Z260" s="1598"/>
      <c r="AA260" s="1598"/>
      <c r="AB260" s="1598"/>
      <c r="AC260" s="1598"/>
      <c r="AD260" s="1598"/>
      <c r="AE260" s="1598"/>
      <c r="AF260" s="1598"/>
      <c r="AG260" s="1598"/>
      <c r="AH260" s="1725"/>
      <c r="AI260" s="1725"/>
      <c r="AJ260" s="1725"/>
      <c r="AK260" s="1725"/>
      <c r="AL260" s="1725"/>
      <c r="AM260" s="1725"/>
      <c r="AN260" s="1725"/>
      <c r="AO260" s="1725"/>
      <c r="AP260" s="1725"/>
      <c r="AQ260" s="1725"/>
      <c r="AR260" s="1725"/>
      <c r="AS260" s="1725">
        <f t="shared" si="26"/>
        <v>0</v>
      </c>
      <c r="AT260" s="1725"/>
      <c r="AU260" s="1624">
        <v>0</v>
      </c>
      <c r="AV260" s="1624">
        <v>0</v>
      </c>
      <c r="AW260" s="1624">
        <v>0</v>
      </c>
      <c r="AX260" s="1624">
        <v>0</v>
      </c>
      <c r="AY260" s="1624">
        <v>0</v>
      </c>
      <c r="AZ260" s="1624">
        <v>0</v>
      </c>
      <c r="BA260" s="1624">
        <v>0</v>
      </c>
      <c r="BB260" s="1593"/>
      <c r="BC260" s="1726" t="s">
        <v>1985</v>
      </c>
      <c r="BD260" s="1595"/>
      <c r="BE260" s="1598">
        <f t="shared" si="31"/>
        <v>0</v>
      </c>
      <c r="BF260" s="1598">
        <f t="shared" si="31"/>
        <v>0</v>
      </c>
      <c r="BG260" s="1631">
        <v>6.1116199999999999E-3</v>
      </c>
      <c r="BH260" s="1598">
        <f t="shared" si="30"/>
        <v>0</v>
      </c>
      <c r="BI260" s="1598">
        <f t="shared" si="30"/>
        <v>0</v>
      </c>
      <c r="BJ260" s="1598">
        <f t="shared" si="30"/>
        <v>0</v>
      </c>
      <c r="BK260" s="1598">
        <f t="shared" si="30"/>
        <v>0</v>
      </c>
      <c r="BL260" s="1598">
        <f t="shared" si="30"/>
        <v>0</v>
      </c>
      <c r="BM260" s="1598">
        <f t="shared" si="30"/>
        <v>0</v>
      </c>
      <c r="BN260" s="1598">
        <f t="shared" si="30"/>
        <v>0</v>
      </c>
      <c r="BO260" s="1598">
        <f t="shared" si="30"/>
        <v>0</v>
      </c>
      <c r="BP260" s="1598">
        <f t="shared" si="30"/>
        <v>0</v>
      </c>
      <c r="BQ260" s="1576"/>
      <c r="BR260" s="1727" t="s">
        <v>1985</v>
      </c>
      <c r="BS260" s="1581"/>
      <c r="BT260" s="1539"/>
      <c r="BU260" s="1430">
        <v>1501006754</v>
      </c>
      <c r="BV260" s="1430" t="s">
        <v>1984</v>
      </c>
    </row>
    <row r="261" spans="1:74" s="1430" customFormat="1" outlineLevel="1">
      <c r="A261" s="1499">
        <v>27</v>
      </c>
      <c r="B261" s="1539" t="s">
        <v>2012</v>
      </c>
      <c r="C261" s="1578"/>
      <c r="D261" s="1511" t="s">
        <v>934</v>
      </c>
      <c r="E261" s="1579"/>
      <c r="F261" s="1334"/>
      <c r="G261" s="1318"/>
      <c r="H261" s="1318"/>
      <c r="I261" s="1379"/>
      <c r="J261" s="1379"/>
      <c r="K261" s="1402"/>
      <c r="L261" s="1337"/>
      <c r="M261" s="1337"/>
      <c r="N261" s="1339" t="s">
        <v>1984</v>
      </c>
      <c r="O261" s="1336"/>
      <c r="P261" s="1598">
        <f t="shared" si="28"/>
        <v>0</v>
      </c>
      <c r="Q261" s="1598">
        <f t="shared" si="28"/>
        <v>0</v>
      </c>
      <c r="R261" s="1573">
        <f t="shared" si="28"/>
        <v>1.11659E-4</v>
      </c>
      <c r="S261" s="1598">
        <f t="shared" si="28"/>
        <v>0</v>
      </c>
      <c r="T261" s="1598">
        <f t="shared" si="25"/>
        <v>1.11659E-4</v>
      </c>
      <c r="U261" s="1598">
        <f t="shared" si="29"/>
        <v>0</v>
      </c>
      <c r="V261" s="1598">
        <v>0</v>
      </c>
      <c r="W261" s="1598">
        <v>0</v>
      </c>
      <c r="X261" s="1598"/>
      <c r="Y261" s="1598"/>
      <c r="Z261" s="1598"/>
      <c r="AA261" s="1598"/>
      <c r="AB261" s="1598"/>
      <c r="AC261" s="1598"/>
      <c r="AD261" s="1598"/>
      <c r="AE261" s="1598"/>
      <c r="AF261" s="1598"/>
      <c r="AG261" s="1598"/>
      <c r="AH261" s="1725"/>
      <c r="AI261" s="1725"/>
      <c r="AJ261" s="1725"/>
      <c r="AK261" s="1725"/>
      <c r="AL261" s="1725"/>
      <c r="AM261" s="1725"/>
      <c r="AN261" s="1725"/>
      <c r="AO261" s="1725"/>
      <c r="AP261" s="1725"/>
      <c r="AQ261" s="1725"/>
      <c r="AR261" s="1725"/>
      <c r="AS261" s="1725">
        <f t="shared" si="26"/>
        <v>0</v>
      </c>
      <c r="AT261" s="1725"/>
      <c r="AU261" s="1624">
        <v>0</v>
      </c>
      <c r="AV261" s="1624">
        <v>0</v>
      </c>
      <c r="AW261" s="1624">
        <v>0</v>
      </c>
      <c r="AX261" s="1624">
        <v>0</v>
      </c>
      <c r="AY261" s="1624">
        <v>0</v>
      </c>
      <c r="AZ261" s="1624">
        <v>0</v>
      </c>
      <c r="BA261" s="1624">
        <v>0</v>
      </c>
      <c r="BB261" s="1593"/>
      <c r="BC261" s="1726" t="s">
        <v>1985</v>
      </c>
      <c r="BD261" s="1595"/>
      <c r="BE261" s="1598">
        <f t="shared" si="31"/>
        <v>0</v>
      </c>
      <c r="BF261" s="1598">
        <f t="shared" si="31"/>
        <v>0</v>
      </c>
      <c r="BG261" s="1631">
        <v>1.11659E-4</v>
      </c>
      <c r="BH261" s="1598">
        <f t="shared" si="30"/>
        <v>0</v>
      </c>
      <c r="BI261" s="1598">
        <f t="shared" si="30"/>
        <v>0</v>
      </c>
      <c r="BJ261" s="1598">
        <f t="shared" si="30"/>
        <v>0</v>
      </c>
      <c r="BK261" s="1598">
        <f t="shared" si="30"/>
        <v>0</v>
      </c>
      <c r="BL261" s="1598">
        <f t="shared" si="30"/>
        <v>0</v>
      </c>
      <c r="BM261" s="1598">
        <f t="shared" si="30"/>
        <v>0</v>
      </c>
      <c r="BN261" s="1598">
        <f t="shared" si="30"/>
        <v>0</v>
      </c>
      <c r="BO261" s="1598">
        <f t="shared" si="30"/>
        <v>0</v>
      </c>
      <c r="BP261" s="1598">
        <f t="shared" si="30"/>
        <v>0</v>
      </c>
      <c r="BQ261" s="1576"/>
      <c r="BR261" s="1727" t="s">
        <v>1985</v>
      </c>
      <c r="BS261" s="1581"/>
      <c r="BT261" s="1539"/>
      <c r="BU261" s="1430">
        <v>1501006755</v>
      </c>
      <c r="BV261" s="1430" t="s">
        <v>1984</v>
      </c>
    </row>
    <row r="262" spans="1:74" s="1430" customFormat="1" outlineLevel="1">
      <c r="A262" s="1499">
        <v>28</v>
      </c>
      <c r="B262" s="1539" t="s">
        <v>2013</v>
      </c>
      <c r="C262" s="1578"/>
      <c r="D262" s="1511" t="s">
        <v>934</v>
      </c>
      <c r="E262" s="1579"/>
      <c r="F262" s="1334"/>
      <c r="G262" s="1318"/>
      <c r="H262" s="1318"/>
      <c r="I262" s="1379"/>
      <c r="J262" s="1379"/>
      <c r="K262" s="1402"/>
      <c r="L262" s="1337"/>
      <c r="M262" s="1337"/>
      <c r="N262" s="1339" t="s">
        <v>1984</v>
      </c>
      <c r="O262" s="1336"/>
      <c r="P262" s="1598">
        <f t="shared" si="28"/>
        <v>0</v>
      </c>
      <c r="Q262" s="1598">
        <f t="shared" si="28"/>
        <v>0</v>
      </c>
      <c r="R262" s="1573">
        <f t="shared" si="28"/>
        <v>1.11659E-4</v>
      </c>
      <c r="S262" s="1598">
        <f t="shared" si="28"/>
        <v>0</v>
      </c>
      <c r="T262" s="1598">
        <f t="shared" si="25"/>
        <v>1.11659E-4</v>
      </c>
      <c r="U262" s="1598">
        <f t="shared" si="29"/>
        <v>0</v>
      </c>
      <c r="V262" s="1598">
        <v>0</v>
      </c>
      <c r="W262" s="1598">
        <v>0</v>
      </c>
      <c r="X262" s="1598"/>
      <c r="Y262" s="1598"/>
      <c r="Z262" s="1598"/>
      <c r="AA262" s="1598"/>
      <c r="AB262" s="1598"/>
      <c r="AC262" s="1598"/>
      <c r="AD262" s="1598"/>
      <c r="AE262" s="1598"/>
      <c r="AF262" s="1598"/>
      <c r="AG262" s="1598"/>
      <c r="AH262" s="1725"/>
      <c r="AI262" s="1725"/>
      <c r="AJ262" s="1725"/>
      <c r="AK262" s="1725"/>
      <c r="AL262" s="1725"/>
      <c r="AM262" s="1725"/>
      <c r="AN262" s="1725"/>
      <c r="AO262" s="1725"/>
      <c r="AP262" s="1725"/>
      <c r="AQ262" s="1725"/>
      <c r="AR262" s="1725"/>
      <c r="AS262" s="1725">
        <f t="shared" si="26"/>
        <v>0</v>
      </c>
      <c r="AT262" s="1725"/>
      <c r="AU262" s="1624">
        <v>0</v>
      </c>
      <c r="AV262" s="1624">
        <v>0</v>
      </c>
      <c r="AW262" s="1624">
        <v>0</v>
      </c>
      <c r="AX262" s="1624">
        <v>0</v>
      </c>
      <c r="AY262" s="1624">
        <v>0</v>
      </c>
      <c r="AZ262" s="1624">
        <v>0</v>
      </c>
      <c r="BA262" s="1624">
        <v>0</v>
      </c>
      <c r="BB262" s="1593"/>
      <c r="BC262" s="1726" t="s">
        <v>1985</v>
      </c>
      <c r="BD262" s="1595"/>
      <c r="BE262" s="1598">
        <f t="shared" si="31"/>
        <v>0</v>
      </c>
      <c r="BF262" s="1598">
        <f t="shared" si="31"/>
        <v>0</v>
      </c>
      <c r="BG262" s="1631">
        <v>1.11659E-4</v>
      </c>
      <c r="BH262" s="1598">
        <f t="shared" si="30"/>
        <v>0</v>
      </c>
      <c r="BI262" s="1598">
        <f t="shared" si="30"/>
        <v>0</v>
      </c>
      <c r="BJ262" s="1598">
        <f t="shared" si="30"/>
        <v>0</v>
      </c>
      <c r="BK262" s="1598">
        <f t="shared" si="30"/>
        <v>0</v>
      </c>
      <c r="BL262" s="1598">
        <f t="shared" si="30"/>
        <v>0</v>
      </c>
      <c r="BM262" s="1598">
        <f t="shared" si="30"/>
        <v>0</v>
      </c>
      <c r="BN262" s="1598">
        <f t="shared" si="30"/>
        <v>0</v>
      </c>
      <c r="BO262" s="1598">
        <f t="shared" si="30"/>
        <v>0</v>
      </c>
      <c r="BP262" s="1598">
        <f t="shared" si="30"/>
        <v>0</v>
      </c>
      <c r="BQ262" s="1576"/>
      <c r="BR262" s="1727" t="s">
        <v>1985</v>
      </c>
      <c r="BS262" s="1581"/>
      <c r="BT262" s="1539"/>
      <c r="BU262" s="1430">
        <v>1501006756</v>
      </c>
      <c r="BV262" s="1430" t="s">
        <v>1984</v>
      </c>
    </row>
    <row r="263" spans="1:74" s="1430" customFormat="1" outlineLevel="1">
      <c r="A263" s="1499">
        <v>29</v>
      </c>
      <c r="B263" s="1539" t="s">
        <v>2014</v>
      </c>
      <c r="C263" s="1578"/>
      <c r="D263" s="1511" t="s">
        <v>934</v>
      </c>
      <c r="E263" s="1579"/>
      <c r="F263" s="1334"/>
      <c r="G263" s="1318"/>
      <c r="H263" s="1318"/>
      <c r="I263" s="1379"/>
      <c r="J263" s="1379"/>
      <c r="K263" s="1402"/>
      <c r="L263" s="1337"/>
      <c r="M263" s="1337"/>
      <c r="N263" s="1339" t="s">
        <v>1984</v>
      </c>
      <c r="O263" s="1336"/>
      <c r="P263" s="1598">
        <f t="shared" si="28"/>
        <v>0</v>
      </c>
      <c r="Q263" s="1598">
        <f t="shared" si="28"/>
        <v>0</v>
      </c>
      <c r="R263" s="1573">
        <f t="shared" si="28"/>
        <v>2.23317E-4</v>
      </c>
      <c r="S263" s="1598">
        <f t="shared" si="28"/>
        <v>0</v>
      </c>
      <c r="T263" s="1598">
        <f t="shared" si="25"/>
        <v>2.23317E-4</v>
      </c>
      <c r="U263" s="1598">
        <f t="shared" si="29"/>
        <v>0</v>
      </c>
      <c r="V263" s="1598">
        <v>0</v>
      </c>
      <c r="W263" s="1598">
        <v>0</v>
      </c>
      <c r="X263" s="1598"/>
      <c r="Y263" s="1598"/>
      <c r="Z263" s="1598"/>
      <c r="AA263" s="1598"/>
      <c r="AB263" s="1598"/>
      <c r="AC263" s="1598"/>
      <c r="AD263" s="1598"/>
      <c r="AE263" s="1598"/>
      <c r="AF263" s="1598"/>
      <c r="AG263" s="1598"/>
      <c r="AH263" s="1725"/>
      <c r="AI263" s="1725"/>
      <c r="AJ263" s="1725"/>
      <c r="AK263" s="1725"/>
      <c r="AL263" s="1725"/>
      <c r="AM263" s="1725"/>
      <c r="AN263" s="1725"/>
      <c r="AO263" s="1725"/>
      <c r="AP263" s="1725"/>
      <c r="AQ263" s="1725"/>
      <c r="AR263" s="1725"/>
      <c r="AS263" s="1725">
        <f t="shared" si="26"/>
        <v>0</v>
      </c>
      <c r="AT263" s="1725"/>
      <c r="AU263" s="1624">
        <v>0</v>
      </c>
      <c r="AV263" s="1624">
        <v>0</v>
      </c>
      <c r="AW263" s="1624">
        <v>0</v>
      </c>
      <c r="AX263" s="1624">
        <v>0</v>
      </c>
      <c r="AY263" s="1624">
        <v>0</v>
      </c>
      <c r="AZ263" s="1624">
        <v>0</v>
      </c>
      <c r="BA263" s="1624">
        <v>0</v>
      </c>
      <c r="BB263" s="1593"/>
      <c r="BC263" s="1726" t="s">
        <v>1985</v>
      </c>
      <c r="BD263" s="1595"/>
      <c r="BE263" s="1598">
        <f t="shared" si="31"/>
        <v>0</v>
      </c>
      <c r="BF263" s="1598">
        <f t="shared" si="31"/>
        <v>0</v>
      </c>
      <c r="BG263" s="1631">
        <v>2.23317E-4</v>
      </c>
      <c r="BH263" s="1598">
        <f t="shared" si="30"/>
        <v>0</v>
      </c>
      <c r="BI263" s="1598">
        <f t="shared" si="30"/>
        <v>0</v>
      </c>
      <c r="BJ263" s="1598">
        <f t="shared" si="30"/>
        <v>0</v>
      </c>
      <c r="BK263" s="1598">
        <f t="shared" ref="BK263:BP305" si="32">CD263</f>
        <v>0</v>
      </c>
      <c r="BL263" s="1598">
        <f t="shared" si="32"/>
        <v>0</v>
      </c>
      <c r="BM263" s="1598">
        <f t="shared" si="32"/>
        <v>0</v>
      </c>
      <c r="BN263" s="1598">
        <f t="shared" si="32"/>
        <v>0</v>
      </c>
      <c r="BO263" s="1598">
        <f t="shared" si="32"/>
        <v>0</v>
      </c>
      <c r="BP263" s="1598">
        <f t="shared" si="32"/>
        <v>0</v>
      </c>
      <c r="BQ263" s="1576"/>
      <c r="BR263" s="1727" t="s">
        <v>1985</v>
      </c>
      <c r="BS263" s="1581"/>
      <c r="BT263" s="1539"/>
      <c r="BU263" s="1430">
        <v>1501006757</v>
      </c>
      <c r="BV263" s="1430" t="s">
        <v>1984</v>
      </c>
    </row>
    <row r="264" spans="1:74" s="1430" customFormat="1" outlineLevel="1">
      <c r="A264" s="1499">
        <v>30</v>
      </c>
      <c r="B264" s="1539" t="s">
        <v>2015</v>
      </c>
      <c r="C264" s="1578"/>
      <c r="D264" s="1511" t="s">
        <v>934</v>
      </c>
      <c r="E264" s="1579"/>
      <c r="F264" s="1334"/>
      <c r="G264" s="1318"/>
      <c r="H264" s="1318"/>
      <c r="I264" s="1379"/>
      <c r="J264" s="1379"/>
      <c r="K264" s="1402"/>
      <c r="L264" s="1337"/>
      <c r="M264" s="1337"/>
      <c r="N264" s="1339" t="s">
        <v>1984</v>
      </c>
      <c r="O264" s="1336"/>
      <c r="P264" s="1598">
        <f t="shared" si="28"/>
        <v>0</v>
      </c>
      <c r="Q264" s="1598">
        <f t="shared" si="28"/>
        <v>0</v>
      </c>
      <c r="R264" s="1573">
        <f t="shared" si="28"/>
        <v>1.98259E-4</v>
      </c>
      <c r="S264" s="1598">
        <f t="shared" si="28"/>
        <v>0</v>
      </c>
      <c r="T264" s="1598">
        <f t="shared" si="25"/>
        <v>1.98259E-4</v>
      </c>
      <c r="U264" s="1598">
        <f t="shared" si="29"/>
        <v>0</v>
      </c>
      <c r="V264" s="1598">
        <v>0</v>
      </c>
      <c r="W264" s="1598">
        <v>0</v>
      </c>
      <c r="X264" s="1598"/>
      <c r="Y264" s="1598"/>
      <c r="Z264" s="1598"/>
      <c r="AA264" s="1598"/>
      <c r="AB264" s="1598"/>
      <c r="AC264" s="1598"/>
      <c r="AD264" s="1598"/>
      <c r="AE264" s="1598"/>
      <c r="AF264" s="1598"/>
      <c r="AG264" s="1598"/>
      <c r="AH264" s="1725"/>
      <c r="AI264" s="1725"/>
      <c r="AJ264" s="1725"/>
      <c r="AK264" s="1725"/>
      <c r="AL264" s="1725"/>
      <c r="AM264" s="1725"/>
      <c r="AN264" s="1725"/>
      <c r="AO264" s="1725"/>
      <c r="AP264" s="1725"/>
      <c r="AQ264" s="1725"/>
      <c r="AR264" s="1725"/>
      <c r="AS264" s="1725">
        <f t="shared" si="26"/>
        <v>0</v>
      </c>
      <c r="AT264" s="1725"/>
      <c r="AU264" s="1624">
        <v>0</v>
      </c>
      <c r="AV264" s="1624">
        <v>0</v>
      </c>
      <c r="AW264" s="1624">
        <v>0</v>
      </c>
      <c r="AX264" s="1624">
        <v>0</v>
      </c>
      <c r="AY264" s="1624">
        <v>0</v>
      </c>
      <c r="AZ264" s="1624">
        <v>0</v>
      </c>
      <c r="BA264" s="1624">
        <v>0</v>
      </c>
      <c r="BB264" s="1593"/>
      <c r="BC264" s="1726" t="s">
        <v>1985</v>
      </c>
      <c r="BD264" s="1595"/>
      <c r="BE264" s="1598">
        <f t="shared" si="31"/>
        <v>0</v>
      </c>
      <c r="BF264" s="1598">
        <f t="shared" si="31"/>
        <v>0</v>
      </c>
      <c r="BG264" s="1631">
        <v>1.98259E-4</v>
      </c>
      <c r="BH264" s="1598">
        <f t="shared" ref="BH264:BN324" si="33">CA264</f>
        <v>0</v>
      </c>
      <c r="BI264" s="1598">
        <f t="shared" si="33"/>
        <v>0</v>
      </c>
      <c r="BJ264" s="1598">
        <f t="shared" si="33"/>
        <v>0</v>
      </c>
      <c r="BK264" s="1598">
        <f t="shared" si="32"/>
        <v>0</v>
      </c>
      <c r="BL264" s="1598">
        <f t="shared" si="32"/>
        <v>0</v>
      </c>
      <c r="BM264" s="1598">
        <f t="shared" si="32"/>
        <v>0</v>
      </c>
      <c r="BN264" s="1598">
        <f t="shared" si="32"/>
        <v>0</v>
      </c>
      <c r="BO264" s="1598">
        <f t="shared" si="32"/>
        <v>0</v>
      </c>
      <c r="BP264" s="1598">
        <f t="shared" si="32"/>
        <v>0</v>
      </c>
      <c r="BQ264" s="1576"/>
      <c r="BR264" s="1727" t="s">
        <v>1985</v>
      </c>
      <c r="BS264" s="1581"/>
      <c r="BT264" s="1539"/>
      <c r="BU264" s="1430">
        <v>1501006758</v>
      </c>
      <c r="BV264" s="1430" t="s">
        <v>1984</v>
      </c>
    </row>
    <row r="265" spans="1:74" s="1430" customFormat="1" ht="29" outlineLevel="1">
      <c r="A265" s="1499">
        <v>31</v>
      </c>
      <c r="B265" s="1539" t="s">
        <v>2016</v>
      </c>
      <c r="C265" s="1578"/>
      <c r="D265" s="1511" t="s">
        <v>934</v>
      </c>
      <c r="E265" s="1579"/>
      <c r="F265" s="1334"/>
      <c r="G265" s="1318"/>
      <c r="H265" s="1318"/>
      <c r="I265" s="1379"/>
      <c r="J265" s="1379"/>
      <c r="K265" s="1402"/>
      <c r="L265" s="1337"/>
      <c r="M265" s="1337"/>
      <c r="N265" s="1339" t="s">
        <v>1984</v>
      </c>
      <c r="O265" s="1336"/>
      <c r="P265" s="1598">
        <f t="shared" si="28"/>
        <v>0</v>
      </c>
      <c r="Q265" s="1598">
        <f t="shared" si="28"/>
        <v>0</v>
      </c>
      <c r="R265" s="1573">
        <f t="shared" si="28"/>
        <v>1.392536E-3</v>
      </c>
      <c r="S265" s="1598">
        <f t="shared" si="28"/>
        <v>0</v>
      </c>
      <c r="T265" s="1598">
        <f t="shared" si="25"/>
        <v>1.392536E-3</v>
      </c>
      <c r="U265" s="1598">
        <f t="shared" si="29"/>
        <v>0</v>
      </c>
      <c r="V265" s="1598">
        <v>0</v>
      </c>
      <c r="W265" s="1598">
        <v>0</v>
      </c>
      <c r="X265" s="1598"/>
      <c r="Y265" s="1598"/>
      <c r="Z265" s="1598"/>
      <c r="AA265" s="1598"/>
      <c r="AB265" s="1598"/>
      <c r="AC265" s="1598"/>
      <c r="AD265" s="1598"/>
      <c r="AE265" s="1598"/>
      <c r="AF265" s="1598"/>
      <c r="AG265" s="1598"/>
      <c r="AH265" s="1725"/>
      <c r="AI265" s="1725"/>
      <c r="AJ265" s="1725"/>
      <c r="AK265" s="1725"/>
      <c r="AL265" s="1725"/>
      <c r="AM265" s="1725"/>
      <c r="AN265" s="1725"/>
      <c r="AO265" s="1725"/>
      <c r="AP265" s="1725"/>
      <c r="AQ265" s="1725"/>
      <c r="AR265" s="1725"/>
      <c r="AS265" s="1725">
        <f t="shared" si="26"/>
        <v>0</v>
      </c>
      <c r="AT265" s="1725"/>
      <c r="AU265" s="1624">
        <v>0</v>
      </c>
      <c r="AV265" s="1624">
        <v>0</v>
      </c>
      <c r="AW265" s="1624">
        <v>0</v>
      </c>
      <c r="AX265" s="1624">
        <v>0</v>
      </c>
      <c r="AY265" s="1624">
        <v>0</v>
      </c>
      <c r="AZ265" s="1624">
        <v>0</v>
      </c>
      <c r="BA265" s="1624">
        <v>0</v>
      </c>
      <c r="BB265" s="1593"/>
      <c r="BC265" s="1726" t="s">
        <v>1985</v>
      </c>
      <c r="BD265" s="1595"/>
      <c r="BE265" s="1598">
        <f t="shared" si="31"/>
        <v>0</v>
      </c>
      <c r="BF265" s="1598">
        <f t="shared" si="31"/>
        <v>0</v>
      </c>
      <c r="BG265" s="1631">
        <v>1.392536E-3</v>
      </c>
      <c r="BH265" s="1598">
        <f t="shared" si="33"/>
        <v>0</v>
      </c>
      <c r="BI265" s="1598">
        <f t="shared" si="33"/>
        <v>0</v>
      </c>
      <c r="BJ265" s="1598">
        <f t="shared" si="33"/>
        <v>0</v>
      </c>
      <c r="BK265" s="1598">
        <f t="shared" si="32"/>
        <v>0</v>
      </c>
      <c r="BL265" s="1598">
        <f t="shared" si="32"/>
        <v>0</v>
      </c>
      <c r="BM265" s="1598">
        <f t="shared" si="32"/>
        <v>0</v>
      </c>
      <c r="BN265" s="1598">
        <f t="shared" si="32"/>
        <v>0</v>
      </c>
      <c r="BO265" s="1598">
        <f t="shared" si="32"/>
        <v>0</v>
      </c>
      <c r="BP265" s="1598">
        <f t="shared" si="32"/>
        <v>0</v>
      </c>
      <c r="BQ265" s="1576"/>
      <c r="BR265" s="1727" t="s">
        <v>1985</v>
      </c>
      <c r="BS265" s="1581"/>
      <c r="BT265" s="1539"/>
      <c r="BU265" s="1430">
        <v>1501006759</v>
      </c>
      <c r="BV265" s="1430" t="s">
        <v>1984</v>
      </c>
    </row>
    <row r="266" spans="1:74" s="1430" customFormat="1" ht="26.15" customHeight="1" outlineLevel="1">
      <c r="A266" s="1499">
        <v>32</v>
      </c>
      <c r="B266" s="1539" t="s">
        <v>2017</v>
      </c>
      <c r="C266" s="1578"/>
      <c r="D266" s="1511" t="s">
        <v>934</v>
      </c>
      <c r="E266" s="1579"/>
      <c r="F266" s="1334"/>
      <c r="G266" s="1318"/>
      <c r="H266" s="1318"/>
      <c r="I266" s="1379"/>
      <c r="J266" s="1379"/>
      <c r="K266" s="1402"/>
      <c r="L266" s="1337"/>
      <c r="M266" s="1337"/>
      <c r="N266" s="1339" t="s">
        <v>1984</v>
      </c>
      <c r="O266" s="1336"/>
      <c r="P266" s="1598">
        <f t="shared" si="28"/>
        <v>0</v>
      </c>
      <c r="Q266" s="1598">
        <f t="shared" si="28"/>
        <v>0</v>
      </c>
      <c r="R266" s="1573">
        <f t="shared" si="28"/>
        <v>7.0722000000000005E-4</v>
      </c>
      <c r="S266" s="1598">
        <f t="shared" si="28"/>
        <v>0</v>
      </c>
      <c r="T266" s="1598">
        <f t="shared" si="25"/>
        <v>7.0722000000000005E-4</v>
      </c>
      <c r="U266" s="1598">
        <f t="shared" si="29"/>
        <v>0</v>
      </c>
      <c r="V266" s="1598">
        <v>0</v>
      </c>
      <c r="W266" s="1598">
        <v>0</v>
      </c>
      <c r="X266" s="1598"/>
      <c r="Y266" s="1598"/>
      <c r="Z266" s="1598"/>
      <c r="AA266" s="1598"/>
      <c r="AB266" s="1598"/>
      <c r="AC266" s="1598"/>
      <c r="AD266" s="1598"/>
      <c r="AE266" s="1598"/>
      <c r="AF266" s="1598"/>
      <c r="AG266" s="1598"/>
      <c r="AH266" s="1725"/>
      <c r="AI266" s="1725"/>
      <c r="AJ266" s="1725"/>
      <c r="AK266" s="1725"/>
      <c r="AL266" s="1725"/>
      <c r="AM266" s="1725"/>
      <c r="AN266" s="1725"/>
      <c r="AO266" s="1725"/>
      <c r="AP266" s="1725"/>
      <c r="AQ266" s="1725"/>
      <c r="AR266" s="1725"/>
      <c r="AS266" s="1725">
        <f t="shared" si="26"/>
        <v>0</v>
      </c>
      <c r="AT266" s="1725"/>
      <c r="AU266" s="1624">
        <v>0</v>
      </c>
      <c r="AV266" s="1624">
        <v>0</v>
      </c>
      <c r="AW266" s="1624">
        <v>0</v>
      </c>
      <c r="AX266" s="1624">
        <v>0</v>
      </c>
      <c r="AY266" s="1624">
        <v>0</v>
      </c>
      <c r="AZ266" s="1624">
        <v>0</v>
      </c>
      <c r="BA266" s="1624">
        <v>0</v>
      </c>
      <c r="BB266" s="1593"/>
      <c r="BC266" s="1726" t="s">
        <v>1985</v>
      </c>
      <c r="BD266" s="1595"/>
      <c r="BE266" s="1598">
        <f t="shared" si="31"/>
        <v>0</v>
      </c>
      <c r="BF266" s="1598">
        <f t="shared" si="31"/>
        <v>0</v>
      </c>
      <c r="BG266" s="1631">
        <v>7.0722000000000005E-4</v>
      </c>
      <c r="BH266" s="1598">
        <f t="shared" si="33"/>
        <v>0</v>
      </c>
      <c r="BI266" s="1598">
        <f t="shared" si="33"/>
        <v>0</v>
      </c>
      <c r="BJ266" s="1598">
        <f t="shared" si="33"/>
        <v>0</v>
      </c>
      <c r="BK266" s="1598">
        <f t="shared" si="32"/>
        <v>0</v>
      </c>
      <c r="BL266" s="1598">
        <f t="shared" si="32"/>
        <v>0</v>
      </c>
      <c r="BM266" s="1598">
        <f t="shared" si="32"/>
        <v>0</v>
      </c>
      <c r="BN266" s="1598">
        <f t="shared" si="32"/>
        <v>0</v>
      </c>
      <c r="BO266" s="1598">
        <f t="shared" si="32"/>
        <v>0</v>
      </c>
      <c r="BP266" s="1598">
        <f t="shared" si="32"/>
        <v>0</v>
      </c>
      <c r="BQ266" s="1576"/>
      <c r="BR266" s="1727" t="s">
        <v>1985</v>
      </c>
      <c r="BS266" s="1581"/>
      <c r="BT266" s="1539"/>
      <c r="BU266" s="1430">
        <v>1501006760</v>
      </c>
      <c r="BV266" s="1430" t="s">
        <v>1984</v>
      </c>
    </row>
    <row r="267" spans="1:74" s="1430" customFormat="1" ht="26.15" customHeight="1" outlineLevel="1">
      <c r="A267" s="1499">
        <v>33</v>
      </c>
      <c r="B267" s="1539" t="s">
        <v>2018</v>
      </c>
      <c r="C267" s="1578"/>
      <c r="D267" s="1511" t="s">
        <v>934</v>
      </c>
      <c r="E267" s="1579"/>
      <c r="F267" s="1334"/>
      <c r="G267" s="1318"/>
      <c r="H267" s="1318"/>
      <c r="I267" s="1379"/>
      <c r="J267" s="1379"/>
      <c r="K267" s="1402"/>
      <c r="L267" s="1337"/>
      <c r="M267" s="1337"/>
      <c r="N267" s="1339" t="s">
        <v>1984</v>
      </c>
      <c r="O267" s="1336"/>
      <c r="P267" s="1598">
        <f t="shared" ref="P267:S298" si="34">BE267</f>
        <v>0</v>
      </c>
      <c r="Q267" s="1598">
        <f t="shared" si="34"/>
        <v>0</v>
      </c>
      <c r="R267" s="1573">
        <f t="shared" si="34"/>
        <v>4.2763499999999999E-4</v>
      </c>
      <c r="S267" s="1598">
        <f t="shared" si="34"/>
        <v>0</v>
      </c>
      <c r="T267" s="1598">
        <f t="shared" ref="T267:T330" si="35">SUM(P267:S267)</f>
        <v>4.2763499999999999E-4</v>
      </c>
      <c r="U267" s="1598">
        <f t="shared" si="29"/>
        <v>0</v>
      </c>
      <c r="V267" s="1598">
        <v>0</v>
      </c>
      <c r="W267" s="1598">
        <v>0</v>
      </c>
      <c r="X267" s="1598"/>
      <c r="Y267" s="1598"/>
      <c r="Z267" s="1598"/>
      <c r="AA267" s="1598"/>
      <c r="AB267" s="1598"/>
      <c r="AC267" s="1598"/>
      <c r="AD267" s="1598"/>
      <c r="AE267" s="1598"/>
      <c r="AF267" s="1598"/>
      <c r="AG267" s="1598"/>
      <c r="AH267" s="1725"/>
      <c r="AI267" s="1725"/>
      <c r="AJ267" s="1725"/>
      <c r="AK267" s="1725"/>
      <c r="AL267" s="1725"/>
      <c r="AM267" s="1725"/>
      <c r="AN267" s="1725"/>
      <c r="AO267" s="1725"/>
      <c r="AP267" s="1725"/>
      <c r="AQ267" s="1725"/>
      <c r="AR267" s="1725"/>
      <c r="AS267" s="1725">
        <f t="shared" ref="AS267:AS330" si="36">SUM(AO267:AR267)</f>
        <v>0</v>
      </c>
      <c r="AT267" s="1725"/>
      <c r="AU267" s="1624">
        <v>0</v>
      </c>
      <c r="AV267" s="1624">
        <v>0</v>
      </c>
      <c r="AW267" s="1624">
        <v>0</v>
      </c>
      <c r="AX267" s="1624">
        <v>0</v>
      </c>
      <c r="AY267" s="1624">
        <v>0</v>
      </c>
      <c r="AZ267" s="1624">
        <v>0</v>
      </c>
      <c r="BA267" s="1624">
        <v>0</v>
      </c>
      <c r="BB267" s="1593"/>
      <c r="BC267" s="1726" t="s">
        <v>1985</v>
      </c>
      <c r="BD267" s="1595"/>
      <c r="BE267" s="1598">
        <f t="shared" si="31"/>
        <v>0</v>
      </c>
      <c r="BF267" s="1598">
        <f t="shared" si="31"/>
        <v>0</v>
      </c>
      <c r="BG267" s="1631">
        <v>4.2763499999999999E-4</v>
      </c>
      <c r="BH267" s="1598">
        <f t="shared" si="33"/>
        <v>0</v>
      </c>
      <c r="BI267" s="1598">
        <f t="shared" si="33"/>
        <v>0</v>
      </c>
      <c r="BJ267" s="1598">
        <f t="shared" si="33"/>
        <v>0</v>
      </c>
      <c r="BK267" s="1598">
        <f t="shared" si="32"/>
        <v>0</v>
      </c>
      <c r="BL267" s="1598">
        <f t="shared" si="32"/>
        <v>0</v>
      </c>
      <c r="BM267" s="1598">
        <f t="shared" si="32"/>
        <v>0</v>
      </c>
      <c r="BN267" s="1598">
        <f t="shared" si="32"/>
        <v>0</v>
      </c>
      <c r="BO267" s="1598">
        <f t="shared" si="32"/>
        <v>0</v>
      </c>
      <c r="BP267" s="1598">
        <f t="shared" si="32"/>
        <v>0</v>
      </c>
      <c r="BQ267" s="1576"/>
      <c r="BR267" s="1727" t="s">
        <v>1985</v>
      </c>
      <c r="BS267" s="1581"/>
      <c r="BT267" s="1539"/>
      <c r="BU267" s="1430">
        <v>1501006761</v>
      </c>
      <c r="BV267" s="1430" t="s">
        <v>1984</v>
      </c>
    </row>
    <row r="268" spans="1:74" s="1430" customFormat="1" ht="26.15" customHeight="1" outlineLevel="1">
      <c r="A268" s="1499">
        <v>34</v>
      </c>
      <c r="B268" s="1539" t="s">
        <v>2019</v>
      </c>
      <c r="C268" s="1578"/>
      <c r="D268" s="1511" t="s">
        <v>934</v>
      </c>
      <c r="E268" s="1579"/>
      <c r="F268" s="1334"/>
      <c r="G268" s="1318"/>
      <c r="H268" s="1318"/>
      <c r="I268" s="1379"/>
      <c r="J268" s="1379"/>
      <c r="K268" s="1402"/>
      <c r="L268" s="1337"/>
      <c r="M268" s="1337"/>
      <c r="N268" s="1339" t="s">
        <v>1984</v>
      </c>
      <c r="O268" s="1336"/>
      <c r="P268" s="1598">
        <f t="shared" si="34"/>
        <v>0</v>
      </c>
      <c r="Q268" s="1598">
        <f t="shared" si="34"/>
        <v>0</v>
      </c>
      <c r="R268" s="1573">
        <f t="shared" si="34"/>
        <v>4.612672E-3</v>
      </c>
      <c r="S268" s="1598">
        <f t="shared" si="34"/>
        <v>0</v>
      </c>
      <c r="T268" s="1598">
        <f t="shared" si="35"/>
        <v>4.612672E-3</v>
      </c>
      <c r="U268" s="1598">
        <f t="shared" si="29"/>
        <v>0</v>
      </c>
      <c r="V268" s="1598">
        <v>0</v>
      </c>
      <c r="W268" s="1598">
        <v>0</v>
      </c>
      <c r="X268" s="1598"/>
      <c r="Y268" s="1598"/>
      <c r="Z268" s="1598"/>
      <c r="AA268" s="1598"/>
      <c r="AB268" s="1598"/>
      <c r="AC268" s="1598"/>
      <c r="AD268" s="1598"/>
      <c r="AE268" s="1598"/>
      <c r="AF268" s="1598"/>
      <c r="AG268" s="1598"/>
      <c r="AH268" s="1725"/>
      <c r="AI268" s="1725"/>
      <c r="AJ268" s="1725"/>
      <c r="AK268" s="1725"/>
      <c r="AL268" s="1725"/>
      <c r="AM268" s="1725"/>
      <c r="AN268" s="1725"/>
      <c r="AO268" s="1725"/>
      <c r="AP268" s="1725"/>
      <c r="AQ268" s="1725"/>
      <c r="AR268" s="1725"/>
      <c r="AS268" s="1725">
        <f t="shared" si="36"/>
        <v>0</v>
      </c>
      <c r="AT268" s="1725"/>
      <c r="AU268" s="1624">
        <v>0</v>
      </c>
      <c r="AV268" s="1624">
        <v>0</v>
      </c>
      <c r="AW268" s="1624">
        <v>0</v>
      </c>
      <c r="AX268" s="1624">
        <v>0</v>
      </c>
      <c r="AY268" s="1624">
        <v>0</v>
      </c>
      <c r="AZ268" s="1624">
        <v>0</v>
      </c>
      <c r="BA268" s="1624">
        <v>0</v>
      </c>
      <c r="BB268" s="1593"/>
      <c r="BC268" s="1726" t="s">
        <v>1985</v>
      </c>
      <c r="BD268" s="1595"/>
      <c r="BE268" s="1598">
        <f t="shared" si="31"/>
        <v>0</v>
      </c>
      <c r="BF268" s="1598">
        <f t="shared" si="31"/>
        <v>0</v>
      </c>
      <c r="BG268" s="1631">
        <v>4.612672E-3</v>
      </c>
      <c r="BH268" s="1598">
        <f t="shared" si="33"/>
        <v>0</v>
      </c>
      <c r="BI268" s="1598">
        <f t="shared" si="33"/>
        <v>0</v>
      </c>
      <c r="BJ268" s="1598">
        <f t="shared" si="33"/>
        <v>0</v>
      </c>
      <c r="BK268" s="1598">
        <f t="shared" si="32"/>
        <v>0</v>
      </c>
      <c r="BL268" s="1598">
        <f t="shared" si="32"/>
        <v>0</v>
      </c>
      <c r="BM268" s="1598">
        <f t="shared" si="32"/>
        <v>0</v>
      </c>
      <c r="BN268" s="1598">
        <f t="shared" si="32"/>
        <v>0</v>
      </c>
      <c r="BO268" s="1598">
        <f t="shared" si="32"/>
        <v>0</v>
      </c>
      <c r="BP268" s="1598">
        <f t="shared" si="32"/>
        <v>0</v>
      </c>
      <c r="BQ268" s="1576"/>
      <c r="BR268" s="1727" t="s">
        <v>1985</v>
      </c>
      <c r="BS268" s="1581"/>
      <c r="BT268" s="1539"/>
      <c r="BU268" s="1430">
        <v>1501006762</v>
      </c>
      <c r="BV268" s="1430" t="s">
        <v>1984</v>
      </c>
    </row>
    <row r="269" spans="1:74" s="1430" customFormat="1" outlineLevel="1">
      <c r="A269" s="1499">
        <v>35</v>
      </c>
      <c r="B269" s="1539" t="s">
        <v>2020</v>
      </c>
      <c r="C269" s="1578"/>
      <c r="D269" s="1511" t="s">
        <v>934</v>
      </c>
      <c r="E269" s="1579"/>
      <c r="F269" s="1334"/>
      <c r="G269" s="1318"/>
      <c r="H269" s="1318"/>
      <c r="I269" s="1379"/>
      <c r="J269" s="1379"/>
      <c r="K269" s="1402"/>
      <c r="L269" s="1337"/>
      <c r="M269" s="1337"/>
      <c r="N269" s="1339" t="s">
        <v>1984</v>
      </c>
      <c r="O269" s="1336"/>
      <c r="P269" s="1598">
        <f t="shared" si="34"/>
        <v>0</v>
      </c>
      <c r="Q269" s="1598">
        <f t="shared" si="34"/>
        <v>0</v>
      </c>
      <c r="R269" s="1573">
        <f t="shared" si="34"/>
        <v>6.3898000000000004E-5</v>
      </c>
      <c r="S269" s="1598">
        <f t="shared" si="34"/>
        <v>0</v>
      </c>
      <c r="T269" s="1598">
        <f t="shared" si="35"/>
        <v>6.3898000000000004E-5</v>
      </c>
      <c r="U269" s="1598">
        <f t="shared" si="29"/>
        <v>0</v>
      </c>
      <c r="V269" s="1598">
        <v>0</v>
      </c>
      <c r="W269" s="1598">
        <v>0</v>
      </c>
      <c r="X269" s="1598"/>
      <c r="Y269" s="1598"/>
      <c r="Z269" s="1598"/>
      <c r="AA269" s="1598"/>
      <c r="AB269" s="1598"/>
      <c r="AC269" s="1598"/>
      <c r="AD269" s="1598"/>
      <c r="AE269" s="1598"/>
      <c r="AF269" s="1598"/>
      <c r="AG269" s="1598"/>
      <c r="AH269" s="1725"/>
      <c r="AI269" s="1725"/>
      <c r="AJ269" s="1725"/>
      <c r="AK269" s="1725"/>
      <c r="AL269" s="1725"/>
      <c r="AM269" s="1725"/>
      <c r="AN269" s="1725"/>
      <c r="AO269" s="1725"/>
      <c r="AP269" s="1725"/>
      <c r="AQ269" s="1725"/>
      <c r="AR269" s="1725"/>
      <c r="AS269" s="1725">
        <f t="shared" si="36"/>
        <v>0</v>
      </c>
      <c r="AT269" s="1725"/>
      <c r="AU269" s="1624">
        <v>0</v>
      </c>
      <c r="AV269" s="1624">
        <v>0</v>
      </c>
      <c r="AW269" s="1624">
        <v>0</v>
      </c>
      <c r="AX269" s="1624">
        <v>0</v>
      </c>
      <c r="AY269" s="1624">
        <v>0</v>
      </c>
      <c r="AZ269" s="1624">
        <v>0</v>
      </c>
      <c r="BA269" s="1624">
        <v>0</v>
      </c>
      <c r="BB269" s="1593"/>
      <c r="BC269" s="1726" t="s">
        <v>1985</v>
      </c>
      <c r="BD269" s="1595"/>
      <c r="BE269" s="1598">
        <f t="shared" si="31"/>
        <v>0</v>
      </c>
      <c r="BF269" s="1598">
        <f t="shared" si="31"/>
        <v>0</v>
      </c>
      <c r="BG269" s="1631">
        <v>6.3898000000000004E-5</v>
      </c>
      <c r="BH269" s="1598">
        <f t="shared" si="33"/>
        <v>0</v>
      </c>
      <c r="BI269" s="1598">
        <f t="shared" si="33"/>
        <v>0</v>
      </c>
      <c r="BJ269" s="1598">
        <f t="shared" si="33"/>
        <v>0</v>
      </c>
      <c r="BK269" s="1598">
        <f t="shared" si="32"/>
        <v>0</v>
      </c>
      <c r="BL269" s="1598">
        <f t="shared" si="32"/>
        <v>0</v>
      </c>
      <c r="BM269" s="1598">
        <f t="shared" si="32"/>
        <v>0</v>
      </c>
      <c r="BN269" s="1598">
        <f t="shared" si="32"/>
        <v>0</v>
      </c>
      <c r="BO269" s="1598">
        <f t="shared" si="32"/>
        <v>0</v>
      </c>
      <c r="BP269" s="1598">
        <f t="shared" si="32"/>
        <v>0</v>
      </c>
      <c r="BQ269" s="1576"/>
      <c r="BR269" s="1727" t="s">
        <v>1985</v>
      </c>
      <c r="BS269" s="1581"/>
      <c r="BT269" s="1539"/>
      <c r="BU269" s="1430">
        <v>1501006763</v>
      </c>
      <c r="BV269" s="1430" t="s">
        <v>1984</v>
      </c>
    </row>
    <row r="270" spans="1:74" s="1430" customFormat="1" outlineLevel="1">
      <c r="A270" s="1499">
        <v>36</v>
      </c>
      <c r="B270" s="1539" t="s">
        <v>2021</v>
      </c>
      <c r="C270" s="1578"/>
      <c r="D270" s="1511" t="s">
        <v>934</v>
      </c>
      <c r="E270" s="1579"/>
      <c r="F270" s="1334"/>
      <c r="G270" s="1318"/>
      <c r="H270" s="1318"/>
      <c r="I270" s="1379"/>
      <c r="J270" s="1379"/>
      <c r="K270" s="1402"/>
      <c r="L270" s="1337"/>
      <c r="M270" s="1337"/>
      <c r="N270" s="1339" t="s">
        <v>1984</v>
      </c>
      <c r="O270" s="1336"/>
      <c r="P270" s="1598">
        <f t="shared" si="34"/>
        <v>0</v>
      </c>
      <c r="Q270" s="1598">
        <f t="shared" si="34"/>
        <v>0</v>
      </c>
      <c r="R270" s="1573">
        <f t="shared" si="34"/>
        <v>9.4041100000000005E-4</v>
      </c>
      <c r="S270" s="1598">
        <f t="shared" si="34"/>
        <v>0</v>
      </c>
      <c r="T270" s="1598">
        <f t="shared" si="35"/>
        <v>9.4041100000000005E-4</v>
      </c>
      <c r="U270" s="1598">
        <f t="shared" si="29"/>
        <v>0</v>
      </c>
      <c r="V270" s="1598">
        <v>0</v>
      </c>
      <c r="W270" s="1598">
        <v>0</v>
      </c>
      <c r="X270" s="1598"/>
      <c r="Y270" s="1598"/>
      <c r="Z270" s="1598"/>
      <c r="AA270" s="1598"/>
      <c r="AB270" s="1598"/>
      <c r="AC270" s="1598"/>
      <c r="AD270" s="1598"/>
      <c r="AE270" s="1598"/>
      <c r="AF270" s="1598"/>
      <c r="AG270" s="1598"/>
      <c r="AH270" s="1725"/>
      <c r="AI270" s="1725"/>
      <c r="AJ270" s="1725"/>
      <c r="AK270" s="1725"/>
      <c r="AL270" s="1725"/>
      <c r="AM270" s="1725"/>
      <c r="AN270" s="1725"/>
      <c r="AO270" s="1725"/>
      <c r="AP270" s="1725"/>
      <c r="AQ270" s="1725"/>
      <c r="AR270" s="1725"/>
      <c r="AS270" s="1725">
        <f t="shared" si="36"/>
        <v>0</v>
      </c>
      <c r="AT270" s="1725"/>
      <c r="AU270" s="1624">
        <v>0</v>
      </c>
      <c r="AV270" s="1624">
        <v>0</v>
      </c>
      <c r="AW270" s="1624">
        <v>0</v>
      </c>
      <c r="AX270" s="1624">
        <v>0</v>
      </c>
      <c r="AY270" s="1624">
        <v>0</v>
      </c>
      <c r="AZ270" s="1624">
        <v>0</v>
      </c>
      <c r="BA270" s="1624">
        <v>0</v>
      </c>
      <c r="BB270" s="1593"/>
      <c r="BC270" s="1726" t="s">
        <v>1985</v>
      </c>
      <c r="BD270" s="1595"/>
      <c r="BE270" s="1598">
        <f t="shared" si="31"/>
        <v>0</v>
      </c>
      <c r="BF270" s="1598">
        <f t="shared" si="31"/>
        <v>0</v>
      </c>
      <c r="BG270" s="1631">
        <v>9.4041100000000005E-4</v>
      </c>
      <c r="BH270" s="1598">
        <f t="shared" si="33"/>
        <v>0</v>
      </c>
      <c r="BI270" s="1598">
        <f t="shared" si="33"/>
        <v>0</v>
      </c>
      <c r="BJ270" s="1598">
        <f t="shared" si="33"/>
        <v>0</v>
      </c>
      <c r="BK270" s="1598">
        <f t="shared" si="32"/>
        <v>0</v>
      </c>
      <c r="BL270" s="1598">
        <f t="shared" si="32"/>
        <v>0</v>
      </c>
      <c r="BM270" s="1598">
        <f t="shared" si="32"/>
        <v>0</v>
      </c>
      <c r="BN270" s="1598">
        <f t="shared" si="32"/>
        <v>0</v>
      </c>
      <c r="BO270" s="1598">
        <f t="shared" si="32"/>
        <v>0</v>
      </c>
      <c r="BP270" s="1598">
        <f t="shared" si="32"/>
        <v>0</v>
      </c>
      <c r="BQ270" s="1576"/>
      <c r="BR270" s="1727" t="s">
        <v>1985</v>
      </c>
      <c r="BS270" s="1581"/>
      <c r="BT270" s="1539"/>
      <c r="BU270" s="1430">
        <v>1501006764</v>
      </c>
      <c r="BV270" s="1430" t="s">
        <v>1984</v>
      </c>
    </row>
    <row r="271" spans="1:74" s="1430" customFormat="1" outlineLevel="1">
      <c r="A271" s="1499">
        <v>37</v>
      </c>
      <c r="B271" s="1539" t="s">
        <v>2022</v>
      </c>
      <c r="C271" s="1578"/>
      <c r="D271" s="1511" t="s">
        <v>934</v>
      </c>
      <c r="E271" s="1579"/>
      <c r="F271" s="1334"/>
      <c r="G271" s="1318"/>
      <c r="H271" s="1318"/>
      <c r="I271" s="1379"/>
      <c r="J271" s="1379"/>
      <c r="K271" s="1402"/>
      <c r="L271" s="1337"/>
      <c r="M271" s="1337"/>
      <c r="N271" s="1339" t="s">
        <v>1984</v>
      </c>
      <c r="O271" s="1336"/>
      <c r="P271" s="1598">
        <f t="shared" si="34"/>
        <v>0</v>
      </c>
      <c r="Q271" s="1598">
        <f t="shared" si="34"/>
        <v>0</v>
      </c>
      <c r="R271" s="1573">
        <f t="shared" si="34"/>
        <v>7.4704199999999995E-4</v>
      </c>
      <c r="S271" s="1598">
        <f t="shared" si="34"/>
        <v>0</v>
      </c>
      <c r="T271" s="1598">
        <f t="shared" si="35"/>
        <v>7.4704199999999995E-4</v>
      </c>
      <c r="U271" s="1598">
        <f t="shared" si="29"/>
        <v>0</v>
      </c>
      <c r="V271" s="1598">
        <v>0</v>
      </c>
      <c r="W271" s="1598">
        <v>0</v>
      </c>
      <c r="X271" s="1598"/>
      <c r="Y271" s="1598"/>
      <c r="Z271" s="1598"/>
      <c r="AA271" s="1598"/>
      <c r="AB271" s="1598"/>
      <c r="AC271" s="1598"/>
      <c r="AD271" s="1598"/>
      <c r="AE271" s="1598"/>
      <c r="AF271" s="1598"/>
      <c r="AG271" s="1598"/>
      <c r="AH271" s="1725"/>
      <c r="AI271" s="1725"/>
      <c r="AJ271" s="1725"/>
      <c r="AK271" s="1725"/>
      <c r="AL271" s="1725"/>
      <c r="AM271" s="1725"/>
      <c r="AN271" s="1725"/>
      <c r="AO271" s="1725"/>
      <c r="AP271" s="1725"/>
      <c r="AQ271" s="1725"/>
      <c r="AR271" s="1725"/>
      <c r="AS271" s="1725">
        <f t="shared" si="36"/>
        <v>0</v>
      </c>
      <c r="AT271" s="1725"/>
      <c r="AU271" s="1624">
        <v>0</v>
      </c>
      <c r="AV271" s="1624">
        <v>0</v>
      </c>
      <c r="AW271" s="1624">
        <v>0</v>
      </c>
      <c r="AX271" s="1624">
        <v>0</v>
      </c>
      <c r="AY271" s="1624">
        <v>0</v>
      </c>
      <c r="AZ271" s="1624">
        <v>0</v>
      </c>
      <c r="BA271" s="1624">
        <v>0</v>
      </c>
      <c r="BB271" s="1593"/>
      <c r="BC271" s="1726" t="s">
        <v>1985</v>
      </c>
      <c r="BD271" s="1595"/>
      <c r="BE271" s="1598">
        <f t="shared" si="31"/>
        <v>0</v>
      </c>
      <c r="BF271" s="1598">
        <f t="shared" si="31"/>
        <v>0</v>
      </c>
      <c r="BG271" s="1631">
        <v>7.4704199999999995E-4</v>
      </c>
      <c r="BH271" s="1598">
        <f t="shared" si="33"/>
        <v>0</v>
      </c>
      <c r="BI271" s="1598">
        <f t="shared" si="33"/>
        <v>0</v>
      </c>
      <c r="BJ271" s="1598">
        <f t="shared" si="33"/>
        <v>0</v>
      </c>
      <c r="BK271" s="1598">
        <f t="shared" si="32"/>
        <v>0</v>
      </c>
      <c r="BL271" s="1598">
        <f t="shared" si="32"/>
        <v>0</v>
      </c>
      <c r="BM271" s="1598">
        <f t="shared" si="32"/>
        <v>0</v>
      </c>
      <c r="BN271" s="1598">
        <f t="shared" si="32"/>
        <v>0</v>
      </c>
      <c r="BO271" s="1598">
        <f t="shared" si="32"/>
        <v>0</v>
      </c>
      <c r="BP271" s="1598">
        <f t="shared" si="32"/>
        <v>0</v>
      </c>
      <c r="BQ271" s="1576"/>
      <c r="BR271" s="1727" t="s">
        <v>1985</v>
      </c>
      <c r="BS271" s="1581"/>
      <c r="BT271" s="1539"/>
      <c r="BU271" s="1430">
        <v>1501006765</v>
      </c>
      <c r="BV271" s="1430" t="s">
        <v>1984</v>
      </c>
    </row>
    <row r="272" spans="1:74" s="1430" customFormat="1" outlineLevel="1">
      <c r="A272" s="1499">
        <v>38</v>
      </c>
      <c r="B272" s="1539" t="s">
        <v>2023</v>
      </c>
      <c r="C272" s="1578"/>
      <c r="D272" s="1511" t="s">
        <v>934</v>
      </c>
      <c r="E272" s="1579"/>
      <c r="F272" s="1334"/>
      <c r="G272" s="1318"/>
      <c r="H272" s="1318"/>
      <c r="I272" s="1379"/>
      <c r="J272" s="1379"/>
      <c r="K272" s="1402"/>
      <c r="L272" s="1337"/>
      <c r="M272" s="1337"/>
      <c r="N272" s="1339" t="s">
        <v>1984</v>
      </c>
      <c r="O272" s="1336"/>
      <c r="P272" s="1598">
        <f t="shared" si="34"/>
        <v>0</v>
      </c>
      <c r="Q272" s="1598">
        <f t="shared" si="34"/>
        <v>0</v>
      </c>
      <c r="R272" s="1573">
        <f t="shared" si="34"/>
        <v>2.8485300000000001E-4</v>
      </c>
      <c r="S272" s="1598">
        <f t="shared" si="34"/>
        <v>0</v>
      </c>
      <c r="T272" s="1598">
        <f t="shared" si="35"/>
        <v>2.8485300000000001E-4</v>
      </c>
      <c r="U272" s="1598">
        <f t="shared" si="29"/>
        <v>0</v>
      </c>
      <c r="V272" s="1598">
        <v>0</v>
      </c>
      <c r="W272" s="1598">
        <v>0</v>
      </c>
      <c r="X272" s="1598"/>
      <c r="Y272" s="1598"/>
      <c r="Z272" s="1598"/>
      <c r="AA272" s="1598"/>
      <c r="AB272" s="1598"/>
      <c r="AC272" s="1598"/>
      <c r="AD272" s="1598"/>
      <c r="AE272" s="1598"/>
      <c r="AF272" s="1598"/>
      <c r="AG272" s="1598"/>
      <c r="AH272" s="1725"/>
      <c r="AI272" s="1725"/>
      <c r="AJ272" s="1725"/>
      <c r="AK272" s="1725"/>
      <c r="AL272" s="1725"/>
      <c r="AM272" s="1725"/>
      <c r="AN272" s="1725"/>
      <c r="AO272" s="1725"/>
      <c r="AP272" s="1725"/>
      <c r="AQ272" s="1725"/>
      <c r="AR272" s="1725"/>
      <c r="AS272" s="1725">
        <f t="shared" si="36"/>
        <v>0</v>
      </c>
      <c r="AT272" s="1725"/>
      <c r="AU272" s="1624">
        <v>0</v>
      </c>
      <c r="AV272" s="1624">
        <v>0</v>
      </c>
      <c r="AW272" s="1624">
        <v>0</v>
      </c>
      <c r="AX272" s="1624">
        <v>0</v>
      </c>
      <c r="AY272" s="1624">
        <v>0</v>
      </c>
      <c r="AZ272" s="1624">
        <v>0</v>
      </c>
      <c r="BA272" s="1624">
        <v>0</v>
      </c>
      <c r="BB272" s="1593"/>
      <c r="BC272" s="1726" t="s">
        <v>1985</v>
      </c>
      <c r="BD272" s="1595"/>
      <c r="BE272" s="1598">
        <f t="shared" si="31"/>
        <v>0</v>
      </c>
      <c r="BF272" s="1598">
        <f t="shared" si="31"/>
        <v>0</v>
      </c>
      <c r="BG272" s="1631">
        <v>2.8485300000000001E-4</v>
      </c>
      <c r="BH272" s="1598">
        <f t="shared" si="33"/>
        <v>0</v>
      </c>
      <c r="BI272" s="1598">
        <f t="shared" si="33"/>
        <v>0</v>
      </c>
      <c r="BJ272" s="1598">
        <f t="shared" si="33"/>
        <v>0</v>
      </c>
      <c r="BK272" s="1598">
        <f t="shared" si="32"/>
        <v>0</v>
      </c>
      <c r="BL272" s="1598">
        <f t="shared" si="32"/>
        <v>0</v>
      </c>
      <c r="BM272" s="1598">
        <f t="shared" si="32"/>
        <v>0</v>
      </c>
      <c r="BN272" s="1598">
        <f t="shared" si="32"/>
        <v>0</v>
      </c>
      <c r="BO272" s="1598">
        <f t="shared" si="32"/>
        <v>0</v>
      </c>
      <c r="BP272" s="1598">
        <f t="shared" si="32"/>
        <v>0</v>
      </c>
      <c r="BQ272" s="1576"/>
      <c r="BR272" s="1727" t="s">
        <v>1985</v>
      </c>
      <c r="BS272" s="1581"/>
      <c r="BT272" s="1539"/>
      <c r="BU272" s="1430">
        <v>1501006766</v>
      </c>
      <c r="BV272" s="1430" t="s">
        <v>1984</v>
      </c>
    </row>
    <row r="273" spans="1:74" s="1430" customFormat="1" outlineLevel="1">
      <c r="A273" s="1499">
        <v>39</v>
      </c>
      <c r="B273" s="1539" t="s">
        <v>2024</v>
      </c>
      <c r="C273" s="1578"/>
      <c r="D273" s="1511" t="s">
        <v>934</v>
      </c>
      <c r="E273" s="1579"/>
      <c r="F273" s="1334"/>
      <c r="G273" s="1318"/>
      <c r="H273" s="1318"/>
      <c r="I273" s="1379"/>
      <c r="J273" s="1379"/>
      <c r="K273" s="1402"/>
      <c r="L273" s="1337"/>
      <c r="M273" s="1337"/>
      <c r="N273" s="1339" t="s">
        <v>1984</v>
      </c>
      <c r="O273" s="1336"/>
      <c r="P273" s="1598">
        <f t="shared" si="34"/>
        <v>0</v>
      </c>
      <c r="Q273" s="1598">
        <f t="shared" si="34"/>
        <v>0</v>
      </c>
      <c r="R273" s="1573">
        <f t="shared" si="34"/>
        <v>1.5851400000000001E-4</v>
      </c>
      <c r="S273" s="1598">
        <f t="shared" si="34"/>
        <v>0</v>
      </c>
      <c r="T273" s="1598">
        <f t="shared" si="35"/>
        <v>1.5851400000000001E-4</v>
      </c>
      <c r="U273" s="1598">
        <f t="shared" si="29"/>
        <v>0</v>
      </c>
      <c r="V273" s="1598">
        <v>0</v>
      </c>
      <c r="W273" s="1598">
        <v>0</v>
      </c>
      <c r="X273" s="1598"/>
      <c r="Y273" s="1598"/>
      <c r="Z273" s="1598"/>
      <c r="AA273" s="1598"/>
      <c r="AB273" s="1598"/>
      <c r="AC273" s="1598"/>
      <c r="AD273" s="1598"/>
      <c r="AE273" s="1598"/>
      <c r="AF273" s="1598"/>
      <c r="AG273" s="1598"/>
      <c r="AH273" s="1725"/>
      <c r="AI273" s="1725"/>
      <c r="AJ273" s="1725"/>
      <c r="AK273" s="1725"/>
      <c r="AL273" s="1725"/>
      <c r="AM273" s="1725"/>
      <c r="AN273" s="1725"/>
      <c r="AO273" s="1725"/>
      <c r="AP273" s="1725"/>
      <c r="AQ273" s="1725"/>
      <c r="AR273" s="1725"/>
      <c r="AS273" s="1725">
        <f t="shared" si="36"/>
        <v>0</v>
      </c>
      <c r="AT273" s="1725"/>
      <c r="AU273" s="1624">
        <v>0</v>
      </c>
      <c r="AV273" s="1624">
        <v>0</v>
      </c>
      <c r="AW273" s="1624">
        <v>0</v>
      </c>
      <c r="AX273" s="1624">
        <v>0</v>
      </c>
      <c r="AY273" s="1624">
        <v>0</v>
      </c>
      <c r="AZ273" s="1624">
        <v>0</v>
      </c>
      <c r="BA273" s="1624">
        <v>0</v>
      </c>
      <c r="BB273" s="1593"/>
      <c r="BC273" s="1726" t="s">
        <v>1985</v>
      </c>
      <c r="BD273" s="1595"/>
      <c r="BE273" s="1598">
        <f t="shared" si="31"/>
        <v>0</v>
      </c>
      <c r="BF273" s="1598">
        <f t="shared" si="31"/>
        <v>0</v>
      </c>
      <c r="BG273" s="1631">
        <v>1.5851400000000001E-4</v>
      </c>
      <c r="BH273" s="1598">
        <f t="shared" si="33"/>
        <v>0</v>
      </c>
      <c r="BI273" s="1598">
        <f t="shared" si="33"/>
        <v>0</v>
      </c>
      <c r="BJ273" s="1598">
        <f t="shared" si="33"/>
        <v>0</v>
      </c>
      <c r="BK273" s="1598">
        <f t="shared" si="32"/>
        <v>0</v>
      </c>
      <c r="BL273" s="1598">
        <f t="shared" si="32"/>
        <v>0</v>
      </c>
      <c r="BM273" s="1598">
        <f t="shared" si="32"/>
        <v>0</v>
      </c>
      <c r="BN273" s="1598">
        <f t="shared" si="32"/>
        <v>0</v>
      </c>
      <c r="BO273" s="1598">
        <f t="shared" si="32"/>
        <v>0</v>
      </c>
      <c r="BP273" s="1598">
        <f t="shared" si="32"/>
        <v>0</v>
      </c>
      <c r="BQ273" s="1576"/>
      <c r="BR273" s="1727" t="s">
        <v>1985</v>
      </c>
      <c r="BS273" s="1581"/>
      <c r="BT273" s="1539"/>
      <c r="BU273" s="1430">
        <v>1501006767</v>
      </c>
      <c r="BV273" s="1430" t="s">
        <v>1984</v>
      </c>
    </row>
    <row r="274" spans="1:74" s="1430" customFormat="1" ht="29" outlineLevel="1">
      <c r="A274" s="1499">
        <v>40</v>
      </c>
      <c r="B274" s="1539" t="s">
        <v>2025</v>
      </c>
      <c r="C274" s="1578"/>
      <c r="D274" s="1511" t="s">
        <v>934</v>
      </c>
      <c r="E274" s="1579"/>
      <c r="F274" s="1334"/>
      <c r="G274" s="1318"/>
      <c r="H274" s="1318"/>
      <c r="I274" s="1379"/>
      <c r="J274" s="1379"/>
      <c r="K274" s="1402"/>
      <c r="L274" s="1337"/>
      <c r="M274" s="1337"/>
      <c r="N274" s="1339" t="s">
        <v>1984</v>
      </c>
      <c r="O274" s="1336"/>
      <c r="P274" s="1598">
        <f t="shared" si="34"/>
        <v>0</v>
      </c>
      <c r="Q274" s="1598">
        <f t="shared" si="34"/>
        <v>0</v>
      </c>
      <c r="R274" s="1573">
        <f t="shared" si="34"/>
        <v>5.5407899999999996E-4</v>
      </c>
      <c r="S274" s="1598">
        <f t="shared" si="34"/>
        <v>0</v>
      </c>
      <c r="T274" s="1598">
        <f t="shared" si="35"/>
        <v>5.5407899999999996E-4</v>
      </c>
      <c r="U274" s="1598">
        <f t="shared" si="29"/>
        <v>0</v>
      </c>
      <c r="V274" s="1598">
        <v>0</v>
      </c>
      <c r="W274" s="1598">
        <v>0</v>
      </c>
      <c r="X274" s="1598"/>
      <c r="Y274" s="1598"/>
      <c r="Z274" s="1598"/>
      <c r="AA274" s="1598"/>
      <c r="AB274" s="1598"/>
      <c r="AC274" s="1598"/>
      <c r="AD274" s="1598"/>
      <c r="AE274" s="1598"/>
      <c r="AF274" s="1598"/>
      <c r="AG274" s="1598"/>
      <c r="AH274" s="1725"/>
      <c r="AI274" s="1725"/>
      <c r="AJ274" s="1725"/>
      <c r="AK274" s="1725"/>
      <c r="AL274" s="1725"/>
      <c r="AM274" s="1725"/>
      <c r="AN274" s="1725"/>
      <c r="AO274" s="1725"/>
      <c r="AP274" s="1725"/>
      <c r="AQ274" s="1725"/>
      <c r="AR274" s="1725"/>
      <c r="AS274" s="1725">
        <f t="shared" si="36"/>
        <v>0</v>
      </c>
      <c r="AT274" s="1725"/>
      <c r="AU274" s="1624">
        <v>0</v>
      </c>
      <c r="AV274" s="1624">
        <v>0</v>
      </c>
      <c r="AW274" s="1624">
        <v>0</v>
      </c>
      <c r="AX274" s="1624">
        <v>0</v>
      </c>
      <c r="AY274" s="1624">
        <v>0</v>
      </c>
      <c r="AZ274" s="1624">
        <v>0</v>
      </c>
      <c r="BA274" s="1624">
        <v>0</v>
      </c>
      <c r="BB274" s="1593"/>
      <c r="BC274" s="1726" t="s">
        <v>1985</v>
      </c>
      <c r="BD274" s="1595"/>
      <c r="BE274" s="1598">
        <f t="shared" si="31"/>
        <v>0</v>
      </c>
      <c r="BF274" s="1598">
        <f t="shared" si="31"/>
        <v>0</v>
      </c>
      <c r="BG274" s="1631">
        <v>5.5407899999999996E-4</v>
      </c>
      <c r="BH274" s="1598">
        <f t="shared" si="33"/>
        <v>0</v>
      </c>
      <c r="BI274" s="1598">
        <f t="shared" si="33"/>
        <v>0</v>
      </c>
      <c r="BJ274" s="1598">
        <f t="shared" si="33"/>
        <v>0</v>
      </c>
      <c r="BK274" s="1598">
        <f t="shared" si="32"/>
        <v>0</v>
      </c>
      <c r="BL274" s="1598">
        <f t="shared" si="32"/>
        <v>0</v>
      </c>
      <c r="BM274" s="1598">
        <f t="shared" si="32"/>
        <v>0</v>
      </c>
      <c r="BN274" s="1598">
        <f t="shared" si="32"/>
        <v>0</v>
      </c>
      <c r="BO274" s="1598">
        <f t="shared" si="32"/>
        <v>0</v>
      </c>
      <c r="BP274" s="1598">
        <f t="shared" si="32"/>
        <v>0</v>
      </c>
      <c r="BQ274" s="1576"/>
      <c r="BR274" s="1727" t="s">
        <v>1985</v>
      </c>
      <c r="BS274" s="1581"/>
      <c r="BT274" s="1539"/>
      <c r="BU274" s="1430">
        <v>1501006768</v>
      </c>
      <c r="BV274" s="1430" t="s">
        <v>1984</v>
      </c>
    </row>
    <row r="275" spans="1:74" s="1430" customFormat="1" outlineLevel="1">
      <c r="A275" s="1499">
        <v>41</v>
      </c>
      <c r="B275" s="1539" t="s">
        <v>2026</v>
      </c>
      <c r="C275" s="1578"/>
      <c r="D275" s="1511" t="s">
        <v>934</v>
      </c>
      <c r="E275" s="1579"/>
      <c r="F275" s="1334"/>
      <c r="G275" s="1318"/>
      <c r="H275" s="1318"/>
      <c r="I275" s="1379"/>
      <c r="J275" s="1379"/>
      <c r="K275" s="1402"/>
      <c r="L275" s="1337"/>
      <c r="M275" s="1337"/>
      <c r="N275" s="1339" t="s">
        <v>1984</v>
      </c>
      <c r="O275" s="1336"/>
      <c r="P275" s="1598">
        <f t="shared" si="34"/>
        <v>0</v>
      </c>
      <c r="Q275" s="1598">
        <f t="shared" si="34"/>
        <v>0</v>
      </c>
      <c r="R275" s="1573">
        <f t="shared" si="34"/>
        <v>2.6945000000000002E-4</v>
      </c>
      <c r="S275" s="1598">
        <f t="shared" si="34"/>
        <v>0</v>
      </c>
      <c r="T275" s="1598">
        <f t="shared" si="35"/>
        <v>2.6945000000000002E-4</v>
      </c>
      <c r="U275" s="1598">
        <f t="shared" si="29"/>
        <v>0</v>
      </c>
      <c r="V275" s="1598">
        <v>0</v>
      </c>
      <c r="W275" s="1598">
        <v>0</v>
      </c>
      <c r="X275" s="1598"/>
      <c r="Y275" s="1598"/>
      <c r="Z275" s="1598"/>
      <c r="AA275" s="1598"/>
      <c r="AB275" s="1598"/>
      <c r="AC275" s="1598"/>
      <c r="AD275" s="1598"/>
      <c r="AE275" s="1598"/>
      <c r="AF275" s="1598"/>
      <c r="AG275" s="1598"/>
      <c r="AH275" s="1725"/>
      <c r="AI275" s="1725"/>
      <c r="AJ275" s="1725"/>
      <c r="AK275" s="1725"/>
      <c r="AL275" s="1725"/>
      <c r="AM275" s="1725"/>
      <c r="AN275" s="1725"/>
      <c r="AO275" s="1725"/>
      <c r="AP275" s="1725"/>
      <c r="AQ275" s="1725"/>
      <c r="AR275" s="1725"/>
      <c r="AS275" s="1725">
        <f t="shared" si="36"/>
        <v>0</v>
      </c>
      <c r="AT275" s="1725"/>
      <c r="AU275" s="1624">
        <v>0</v>
      </c>
      <c r="AV275" s="1624">
        <v>0</v>
      </c>
      <c r="AW275" s="1624">
        <v>0</v>
      </c>
      <c r="AX275" s="1624">
        <v>0</v>
      </c>
      <c r="AY275" s="1624">
        <v>0</v>
      </c>
      <c r="AZ275" s="1624">
        <v>0</v>
      </c>
      <c r="BA275" s="1624">
        <v>0</v>
      </c>
      <c r="BB275" s="1593"/>
      <c r="BC275" s="1726" t="s">
        <v>1985</v>
      </c>
      <c r="BD275" s="1595"/>
      <c r="BE275" s="1598">
        <f t="shared" si="31"/>
        <v>0</v>
      </c>
      <c r="BF275" s="1598">
        <f t="shared" si="31"/>
        <v>0</v>
      </c>
      <c r="BG275" s="1631">
        <v>2.6945000000000002E-4</v>
      </c>
      <c r="BH275" s="1598">
        <f t="shared" si="33"/>
        <v>0</v>
      </c>
      <c r="BI275" s="1598">
        <f t="shared" si="33"/>
        <v>0</v>
      </c>
      <c r="BJ275" s="1598">
        <f t="shared" si="33"/>
        <v>0</v>
      </c>
      <c r="BK275" s="1598">
        <f t="shared" si="32"/>
        <v>0</v>
      </c>
      <c r="BL275" s="1598">
        <f t="shared" si="32"/>
        <v>0</v>
      </c>
      <c r="BM275" s="1598">
        <f t="shared" si="32"/>
        <v>0</v>
      </c>
      <c r="BN275" s="1598">
        <f t="shared" si="32"/>
        <v>0</v>
      </c>
      <c r="BO275" s="1598">
        <f t="shared" si="32"/>
        <v>0</v>
      </c>
      <c r="BP275" s="1598">
        <f t="shared" si="32"/>
        <v>0</v>
      </c>
      <c r="BQ275" s="1576"/>
      <c r="BR275" s="1727" t="s">
        <v>1985</v>
      </c>
      <c r="BS275" s="1581"/>
      <c r="BT275" s="1539"/>
      <c r="BU275" s="1430">
        <v>1501006769</v>
      </c>
      <c r="BV275" s="1430" t="s">
        <v>1984</v>
      </c>
    </row>
    <row r="276" spans="1:74" s="1430" customFormat="1" outlineLevel="1">
      <c r="A276" s="1499">
        <v>42</v>
      </c>
      <c r="B276" s="1539" t="s">
        <v>2027</v>
      </c>
      <c r="C276" s="1578"/>
      <c r="D276" s="1511" t="s">
        <v>934</v>
      </c>
      <c r="E276" s="1579"/>
      <c r="F276" s="1334"/>
      <c r="G276" s="1318"/>
      <c r="H276" s="1318"/>
      <c r="I276" s="1379"/>
      <c r="J276" s="1379"/>
      <c r="K276" s="1402"/>
      <c r="L276" s="1337"/>
      <c r="M276" s="1337"/>
      <c r="N276" s="1339" t="s">
        <v>1984</v>
      </c>
      <c r="O276" s="1336"/>
      <c r="P276" s="1598">
        <f t="shared" si="34"/>
        <v>0</v>
      </c>
      <c r="Q276" s="1598">
        <f t="shared" si="34"/>
        <v>0</v>
      </c>
      <c r="R276" s="1573">
        <f t="shared" si="34"/>
        <v>1.64229E-4</v>
      </c>
      <c r="S276" s="1598">
        <f t="shared" si="34"/>
        <v>0</v>
      </c>
      <c r="T276" s="1598">
        <f t="shared" si="35"/>
        <v>1.64229E-4</v>
      </c>
      <c r="U276" s="1598">
        <f t="shared" si="29"/>
        <v>0</v>
      </c>
      <c r="V276" s="1598">
        <v>0</v>
      </c>
      <c r="W276" s="1598">
        <v>0</v>
      </c>
      <c r="X276" s="1598"/>
      <c r="Y276" s="1598"/>
      <c r="Z276" s="1598"/>
      <c r="AA276" s="1598"/>
      <c r="AB276" s="1598"/>
      <c r="AC276" s="1598"/>
      <c r="AD276" s="1598"/>
      <c r="AE276" s="1598"/>
      <c r="AF276" s="1598"/>
      <c r="AG276" s="1598"/>
      <c r="AH276" s="1725"/>
      <c r="AI276" s="1725"/>
      <c r="AJ276" s="1725"/>
      <c r="AK276" s="1725"/>
      <c r="AL276" s="1725"/>
      <c r="AM276" s="1725"/>
      <c r="AN276" s="1725"/>
      <c r="AO276" s="1725"/>
      <c r="AP276" s="1725"/>
      <c r="AQ276" s="1725"/>
      <c r="AR276" s="1725"/>
      <c r="AS276" s="1725">
        <f t="shared" si="36"/>
        <v>0</v>
      </c>
      <c r="AT276" s="1725"/>
      <c r="AU276" s="1624">
        <v>0</v>
      </c>
      <c r="AV276" s="1624">
        <v>0</v>
      </c>
      <c r="AW276" s="1624">
        <v>0</v>
      </c>
      <c r="AX276" s="1624">
        <v>0</v>
      </c>
      <c r="AY276" s="1624">
        <v>0</v>
      </c>
      <c r="AZ276" s="1624">
        <v>0</v>
      </c>
      <c r="BA276" s="1624">
        <v>0</v>
      </c>
      <c r="BB276" s="1593"/>
      <c r="BC276" s="1726" t="s">
        <v>1985</v>
      </c>
      <c r="BD276" s="1595"/>
      <c r="BE276" s="1598">
        <f t="shared" si="31"/>
        <v>0</v>
      </c>
      <c r="BF276" s="1598">
        <f t="shared" si="31"/>
        <v>0</v>
      </c>
      <c r="BG276" s="1631">
        <v>1.64229E-4</v>
      </c>
      <c r="BH276" s="1598">
        <f t="shared" si="33"/>
        <v>0</v>
      </c>
      <c r="BI276" s="1598">
        <f t="shared" si="33"/>
        <v>0</v>
      </c>
      <c r="BJ276" s="1598">
        <f t="shared" si="33"/>
        <v>0</v>
      </c>
      <c r="BK276" s="1598">
        <f t="shared" si="32"/>
        <v>0</v>
      </c>
      <c r="BL276" s="1598">
        <f t="shared" si="32"/>
        <v>0</v>
      </c>
      <c r="BM276" s="1598">
        <f t="shared" si="32"/>
        <v>0</v>
      </c>
      <c r="BN276" s="1598">
        <f t="shared" si="32"/>
        <v>0</v>
      </c>
      <c r="BO276" s="1598">
        <f t="shared" si="32"/>
        <v>0</v>
      </c>
      <c r="BP276" s="1598">
        <f t="shared" si="32"/>
        <v>0</v>
      </c>
      <c r="BQ276" s="1576"/>
      <c r="BR276" s="1727" t="s">
        <v>1985</v>
      </c>
      <c r="BS276" s="1581"/>
      <c r="BT276" s="1539"/>
      <c r="BU276" s="1430">
        <v>1501006770</v>
      </c>
      <c r="BV276" s="1430" t="s">
        <v>1984</v>
      </c>
    </row>
    <row r="277" spans="1:74" s="1430" customFormat="1" outlineLevel="1">
      <c r="A277" s="1499">
        <v>43</v>
      </c>
      <c r="B277" s="1539" t="s">
        <v>2028</v>
      </c>
      <c r="C277" s="1578"/>
      <c r="D277" s="1511" t="s">
        <v>934</v>
      </c>
      <c r="E277" s="1579"/>
      <c r="F277" s="1334"/>
      <c r="G277" s="1318"/>
      <c r="H277" s="1318"/>
      <c r="I277" s="1379"/>
      <c r="J277" s="1379"/>
      <c r="K277" s="1402"/>
      <c r="L277" s="1337"/>
      <c r="M277" s="1337"/>
      <c r="N277" s="1339" t="s">
        <v>1984</v>
      </c>
      <c r="O277" s="1336"/>
      <c r="P277" s="1598">
        <f t="shared" si="34"/>
        <v>0</v>
      </c>
      <c r="Q277" s="1598">
        <f t="shared" si="34"/>
        <v>0</v>
      </c>
      <c r="R277" s="1573">
        <f t="shared" si="34"/>
        <v>1.7302000000000001E-5</v>
      </c>
      <c r="S277" s="1598">
        <f t="shared" si="34"/>
        <v>0</v>
      </c>
      <c r="T277" s="1598">
        <f t="shared" si="35"/>
        <v>1.7302000000000001E-5</v>
      </c>
      <c r="U277" s="1598">
        <f t="shared" si="29"/>
        <v>0</v>
      </c>
      <c r="V277" s="1598">
        <v>0</v>
      </c>
      <c r="W277" s="1598">
        <v>0</v>
      </c>
      <c r="X277" s="1598"/>
      <c r="Y277" s="1598"/>
      <c r="Z277" s="1598"/>
      <c r="AA277" s="1598"/>
      <c r="AB277" s="1598"/>
      <c r="AC277" s="1598"/>
      <c r="AD277" s="1598"/>
      <c r="AE277" s="1598"/>
      <c r="AF277" s="1598"/>
      <c r="AG277" s="1598"/>
      <c r="AH277" s="1725"/>
      <c r="AI277" s="1725"/>
      <c r="AJ277" s="1725"/>
      <c r="AK277" s="1725"/>
      <c r="AL277" s="1725"/>
      <c r="AM277" s="1725"/>
      <c r="AN277" s="1725"/>
      <c r="AO277" s="1725"/>
      <c r="AP277" s="1725"/>
      <c r="AQ277" s="1725"/>
      <c r="AR277" s="1725"/>
      <c r="AS277" s="1725">
        <f t="shared" si="36"/>
        <v>0</v>
      </c>
      <c r="AT277" s="1725"/>
      <c r="AU277" s="1624">
        <v>0</v>
      </c>
      <c r="AV277" s="1624">
        <v>0</v>
      </c>
      <c r="AW277" s="1624">
        <v>0</v>
      </c>
      <c r="AX277" s="1624">
        <v>0</v>
      </c>
      <c r="AY277" s="1624">
        <v>0</v>
      </c>
      <c r="AZ277" s="1624">
        <v>0</v>
      </c>
      <c r="BA277" s="1624">
        <v>0</v>
      </c>
      <c r="BB277" s="1593"/>
      <c r="BC277" s="1726" t="s">
        <v>1985</v>
      </c>
      <c r="BD277" s="1595"/>
      <c r="BE277" s="1598">
        <f t="shared" si="31"/>
        <v>0</v>
      </c>
      <c r="BF277" s="1598">
        <f t="shared" si="31"/>
        <v>0</v>
      </c>
      <c r="BG277" s="1631">
        <v>1.7302000000000001E-5</v>
      </c>
      <c r="BH277" s="1598">
        <f t="shared" si="33"/>
        <v>0</v>
      </c>
      <c r="BI277" s="1598">
        <f t="shared" si="33"/>
        <v>0</v>
      </c>
      <c r="BJ277" s="1598">
        <f t="shared" si="33"/>
        <v>0</v>
      </c>
      <c r="BK277" s="1598">
        <f t="shared" si="32"/>
        <v>0</v>
      </c>
      <c r="BL277" s="1598">
        <f t="shared" si="32"/>
        <v>0</v>
      </c>
      <c r="BM277" s="1598">
        <f t="shared" si="32"/>
        <v>0</v>
      </c>
      <c r="BN277" s="1598">
        <f t="shared" si="32"/>
        <v>0</v>
      </c>
      <c r="BO277" s="1598">
        <f t="shared" si="32"/>
        <v>0</v>
      </c>
      <c r="BP277" s="1598">
        <f t="shared" si="32"/>
        <v>0</v>
      </c>
      <c r="BQ277" s="1576"/>
      <c r="BR277" s="1727" t="s">
        <v>1985</v>
      </c>
      <c r="BS277" s="1581"/>
      <c r="BT277" s="1539"/>
      <c r="BU277" s="1430">
        <v>1501006771</v>
      </c>
      <c r="BV277" s="1430" t="s">
        <v>1984</v>
      </c>
    </row>
    <row r="278" spans="1:74" s="1430" customFormat="1" ht="30" customHeight="1" outlineLevel="1">
      <c r="A278" s="1499">
        <v>44</v>
      </c>
      <c r="B278" s="1539" t="s">
        <v>2029</v>
      </c>
      <c r="C278" s="1578"/>
      <c r="D278" s="1511" t="s">
        <v>934</v>
      </c>
      <c r="E278" s="1579"/>
      <c r="F278" s="1334"/>
      <c r="G278" s="1318"/>
      <c r="H278" s="1318"/>
      <c r="I278" s="1379"/>
      <c r="J278" s="1379"/>
      <c r="K278" s="1402"/>
      <c r="L278" s="1337"/>
      <c r="M278" s="1337"/>
      <c r="N278" s="1339" t="s">
        <v>1984</v>
      </c>
      <c r="O278" s="1336"/>
      <c r="P278" s="1598">
        <f t="shared" si="34"/>
        <v>0</v>
      </c>
      <c r="Q278" s="1598">
        <f t="shared" si="34"/>
        <v>0</v>
      </c>
      <c r="R278" s="1573">
        <f t="shared" si="34"/>
        <v>8.551E-6</v>
      </c>
      <c r="S278" s="1598">
        <f t="shared" si="34"/>
        <v>0</v>
      </c>
      <c r="T278" s="1598">
        <f t="shared" si="35"/>
        <v>8.551E-6</v>
      </c>
      <c r="U278" s="1598">
        <f t="shared" si="29"/>
        <v>0</v>
      </c>
      <c r="V278" s="1598">
        <v>0</v>
      </c>
      <c r="W278" s="1598">
        <v>0</v>
      </c>
      <c r="X278" s="1598"/>
      <c r="Y278" s="1598"/>
      <c r="Z278" s="1598"/>
      <c r="AA278" s="1598"/>
      <c r="AB278" s="1598"/>
      <c r="AC278" s="1598"/>
      <c r="AD278" s="1598"/>
      <c r="AE278" s="1598"/>
      <c r="AF278" s="1598"/>
      <c r="AG278" s="1598"/>
      <c r="AH278" s="1725"/>
      <c r="AI278" s="1725"/>
      <c r="AJ278" s="1725"/>
      <c r="AK278" s="1725"/>
      <c r="AL278" s="1725"/>
      <c r="AM278" s="1725"/>
      <c r="AN278" s="1725"/>
      <c r="AO278" s="1725"/>
      <c r="AP278" s="1725"/>
      <c r="AQ278" s="1725"/>
      <c r="AR278" s="1725"/>
      <c r="AS278" s="1725">
        <f t="shared" si="36"/>
        <v>0</v>
      </c>
      <c r="AT278" s="1725"/>
      <c r="AU278" s="1624">
        <v>0</v>
      </c>
      <c r="AV278" s="1624">
        <v>0</v>
      </c>
      <c r="AW278" s="1624">
        <v>0</v>
      </c>
      <c r="AX278" s="1624">
        <v>0</v>
      </c>
      <c r="AY278" s="1624">
        <v>0</v>
      </c>
      <c r="AZ278" s="1624">
        <v>0</v>
      </c>
      <c r="BA278" s="1624">
        <v>0</v>
      </c>
      <c r="BB278" s="1593"/>
      <c r="BC278" s="1726" t="s">
        <v>1985</v>
      </c>
      <c r="BD278" s="1595"/>
      <c r="BE278" s="1598">
        <f t="shared" si="31"/>
        <v>0</v>
      </c>
      <c r="BF278" s="1598">
        <f t="shared" si="31"/>
        <v>0</v>
      </c>
      <c r="BG278" s="1631">
        <v>8.551E-6</v>
      </c>
      <c r="BH278" s="1598">
        <f t="shared" si="33"/>
        <v>0</v>
      </c>
      <c r="BI278" s="1598">
        <f t="shared" si="33"/>
        <v>0</v>
      </c>
      <c r="BJ278" s="1598">
        <f t="shared" si="33"/>
        <v>0</v>
      </c>
      <c r="BK278" s="1598">
        <f t="shared" si="32"/>
        <v>0</v>
      </c>
      <c r="BL278" s="1598">
        <f t="shared" si="32"/>
        <v>0</v>
      </c>
      <c r="BM278" s="1598">
        <f t="shared" si="32"/>
        <v>0</v>
      </c>
      <c r="BN278" s="1598">
        <f t="shared" si="32"/>
        <v>0</v>
      </c>
      <c r="BO278" s="1598">
        <f t="shared" si="32"/>
        <v>0</v>
      </c>
      <c r="BP278" s="1598">
        <f t="shared" si="32"/>
        <v>0</v>
      </c>
      <c r="BQ278" s="1576"/>
      <c r="BR278" s="1727" t="s">
        <v>1985</v>
      </c>
      <c r="BS278" s="1581"/>
      <c r="BT278" s="1539"/>
      <c r="BU278" s="1430">
        <v>1501006772</v>
      </c>
      <c r="BV278" s="1430" t="s">
        <v>1984</v>
      </c>
    </row>
    <row r="279" spans="1:74" s="1430" customFormat="1" ht="30" customHeight="1" outlineLevel="1">
      <c r="A279" s="1499">
        <v>45</v>
      </c>
      <c r="B279" s="1539" t="s">
        <v>2030</v>
      </c>
      <c r="C279" s="1578"/>
      <c r="D279" s="1511" t="s">
        <v>934</v>
      </c>
      <c r="E279" s="1579"/>
      <c r="F279" s="1334"/>
      <c r="G279" s="1318"/>
      <c r="H279" s="1318"/>
      <c r="I279" s="1379"/>
      <c r="J279" s="1379"/>
      <c r="K279" s="1402"/>
      <c r="L279" s="1337"/>
      <c r="M279" s="1337"/>
      <c r="N279" s="1339" t="s">
        <v>1984</v>
      </c>
      <c r="O279" s="1336"/>
      <c r="P279" s="1598">
        <f t="shared" si="34"/>
        <v>0</v>
      </c>
      <c r="Q279" s="1598">
        <f t="shared" si="34"/>
        <v>0</v>
      </c>
      <c r="R279" s="1573">
        <f t="shared" si="34"/>
        <v>1.6923E-5</v>
      </c>
      <c r="S279" s="1598">
        <f t="shared" si="34"/>
        <v>0</v>
      </c>
      <c r="T279" s="1598">
        <f t="shared" si="35"/>
        <v>1.6923E-5</v>
      </c>
      <c r="U279" s="1598">
        <f t="shared" si="29"/>
        <v>0</v>
      </c>
      <c r="V279" s="1598">
        <v>0</v>
      </c>
      <c r="W279" s="1598">
        <v>0</v>
      </c>
      <c r="X279" s="1598"/>
      <c r="Y279" s="1598"/>
      <c r="Z279" s="1598"/>
      <c r="AA279" s="1598"/>
      <c r="AB279" s="1598"/>
      <c r="AC279" s="1598"/>
      <c r="AD279" s="1598"/>
      <c r="AE279" s="1598"/>
      <c r="AF279" s="1598"/>
      <c r="AG279" s="1598"/>
      <c r="AH279" s="1725"/>
      <c r="AI279" s="1725"/>
      <c r="AJ279" s="1725"/>
      <c r="AK279" s="1725"/>
      <c r="AL279" s="1725"/>
      <c r="AM279" s="1725"/>
      <c r="AN279" s="1725"/>
      <c r="AO279" s="1725"/>
      <c r="AP279" s="1725"/>
      <c r="AQ279" s="1725"/>
      <c r="AR279" s="1725"/>
      <c r="AS279" s="1725">
        <f t="shared" si="36"/>
        <v>0</v>
      </c>
      <c r="AT279" s="1725"/>
      <c r="AU279" s="1624">
        <v>0</v>
      </c>
      <c r="AV279" s="1624">
        <v>0</v>
      </c>
      <c r="AW279" s="1624">
        <v>0</v>
      </c>
      <c r="AX279" s="1624">
        <v>0</v>
      </c>
      <c r="AY279" s="1624">
        <v>0</v>
      </c>
      <c r="AZ279" s="1624">
        <v>0</v>
      </c>
      <c r="BA279" s="1624">
        <v>0</v>
      </c>
      <c r="BB279" s="1593"/>
      <c r="BC279" s="1726" t="s">
        <v>1985</v>
      </c>
      <c r="BD279" s="1595"/>
      <c r="BE279" s="1598">
        <f t="shared" si="31"/>
        <v>0</v>
      </c>
      <c r="BF279" s="1598">
        <f t="shared" si="31"/>
        <v>0</v>
      </c>
      <c r="BG279" s="1631">
        <v>1.6923E-5</v>
      </c>
      <c r="BH279" s="1598">
        <f t="shared" si="33"/>
        <v>0</v>
      </c>
      <c r="BI279" s="1598">
        <f t="shared" si="33"/>
        <v>0</v>
      </c>
      <c r="BJ279" s="1598">
        <f t="shared" si="33"/>
        <v>0</v>
      </c>
      <c r="BK279" s="1598">
        <f t="shared" si="32"/>
        <v>0</v>
      </c>
      <c r="BL279" s="1598">
        <f t="shared" si="32"/>
        <v>0</v>
      </c>
      <c r="BM279" s="1598">
        <f t="shared" si="32"/>
        <v>0</v>
      </c>
      <c r="BN279" s="1598">
        <f t="shared" si="32"/>
        <v>0</v>
      </c>
      <c r="BO279" s="1598">
        <f t="shared" si="32"/>
        <v>0</v>
      </c>
      <c r="BP279" s="1598">
        <f t="shared" si="32"/>
        <v>0</v>
      </c>
      <c r="BQ279" s="1576"/>
      <c r="BR279" s="1727" t="s">
        <v>1985</v>
      </c>
      <c r="BS279" s="1581"/>
      <c r="BT279" s="1539"/>
      <c r="BU279" s="1430">
        <v>1501006773</v>
      </c>
      <c r="BV279" s="1430" t="s">
        <v>1984</v>
      </c>
    </row>
    <row r="280" spans="1:74" s="1430" customFormat="1" ht="28" customHeight="1" outlineLevel="1">
      <c r="A280" s="1499">
        <v>46</v>
      </c>
      <c r="B280" s="1539" t="s">
        <v>2031</v>
      </c>
      <c r="C280" s="1578"/>
      <c r="D280" s="1511" t="s">
        <v>934</v>
      </c>
      <c r="E280" s="1579"/>
      <c r="F280" s="1334"/>
      <c r="G280" s="1318"/>
      <c r="H280" s="1318"/>
      <c r="I280" s="1379"/>
      <c r="J280" s="1379"/>
      <c r="K280" s="1402"/>
      <c r="L280" s="1337"/>
      <c r="M280" s="1337"/>
      <c r="N280" s="1339" t="s">
        <v>1984</v>
      </c>
      <c r="O280" s="1336"/>
      <c r="P280" s="1598">
        <f t="shared" si="34"/>
        <v>0</v>
      </c>
      <c r="Q280" s="1598">
        <f t="shared" si="34"/>
        <v>0</v>
      </c>
      <c r="R280" s="1573">
        <f t="shared" si="34"/>
        <v>5.8934000000000002E-5</v>
      </c>
      <c r="S280" s="1598">
        <f t="shared" si="34"/>
        <v>0</v>
      </c>
      <c r="T280" s="1598">
        <f t="shared" si="35"/>
        <v>5.8934000000000002E-5</v>
      </c>
      <c r="U280" s="1598">
        <f t="shared" si="29"/>
        <v>0</v>
      </c>
      <c r="V280" s="1598">
        <v>0</v>
      </c>
      <c r="W280" s="1598">
        <v>0</v>
      </c>
      <c r="X280" s="1598"/>
      <c r="Y280" s="1598"/>
      <c r="Z280" s="1598"/>
      <c r="AA280" s="1598"/>
      <c r="AB280" s="1598"/>
      <c r="AC280" s="1598"/>
      <c r="AD280" s="1598"/>
      <c r="AE280" s="1598"/>
      <c r="AF280" s="1598"/>
      <c r="AG280" s="1598"/>
      <c r="AH280" s="1725"/>
      <c r="AI280" s="1725"/>
      <c r="AJ280" s="1725"/>
      <c r="AK280" s="1725"/>
      <c r="AL280" s="1725"/>
      <c r="AM280" s="1725"/>
      <c r="AN280" s="1725"/>
      <c r="AO280" s="1725"/>
      <c r="AP280" s="1725"/>
      <c r="AQ280" s="1725"/>
      <c r="AR280" s="1725"/>
      <c r="AS280" s="1725">
        <f t="shared" si="36"/>
        <v>0</v>
      </c>
      <c r="AT280" s="1725"/>
      <c r="AU280" s="1624">
        <v>0</v>
      </c>
      <c r="AV280" s="1624">
        <v>0</v>
      </c>
      <c r="AW280" s="1624">
        <v>0</v>
      </c>
      <c r="AX280" s="1624">
        <v>0</v>
      </c>
      <c r="AY280" s="1624">
        <v>0</v>
      </c>
      <c r="AZ280" s="1624">
        <v>0</v>
      </c>
      <c r="BA280" s="1624">
        <v>0</v>
      </c>
      <c r="BB280" s="1593"/>
      <c r="BC280" s="1726" t="s">
        <v>1985</v>
      </c>
      <c r="BD280" s="1595"/>
      <c r="BE280" s="1598">
        <f t="shared" si="31"/>
        <v>0</v>
      </c>
      <c r="BF280" s="1598">
        <f t="shared" si="31"/>
        <v>0</v>
      </c>
      <c r="BG280" s="1631">
        <v>5.8934000000000002E-5</v>
      </c>
      <c r="BH280" s="1598">
        <f t="shared" si="33"/>
        <v>0</v>
      </c>
      <c r="BI280" s="1598">
        <f t="shared" si="33"/>
        <v>0</v>
      </c>
      <c r="BJ280" s="1598">
        <f t="shared" si="33"/>
        <v>0</v>
      </c>
      <c r="BK280" s="1598">
        <f t="shared" si="32"/>
        <v>0</v>
      </c>
      <c r="BL280" s="1598">
        <f t="shared" si="32"/>
        <v>0</v>
      </c>
      <c r="BM280" s="1598">
        <f t="shared" si="32"/>
        <v>0</v>
      </c>
      <c r="BN280" s="1598">
        <f t="shared" si="32"/>
        <v>0</v>
      </c>
      <c r="BO280" s="1598">
        <f t="shared" si="32"/>
        <v>0</v>
      </c>
      <c r="BP280" s="1598">
        <f t="shared" si="32"/>
        <v>0</v>
      </c>
      <c r="BQ280" s="1576"/>
      <c r="BR280" s="1727" t="s">
        <v>1985</v>
      </c>
      <c r="BS280" s="1581"/>
      <c r="BT280" s="1539"/>
      <c r="BU280" s="1430">
        <v>1501006774</v>
      </c>
      <c r="BV280" s="1430" t="s">
        <v>1984</v>
      </c>
    </row>
    <row r="281" spans="1:74" s="1430" customFormat="1" ht="31" customHeight="1" outlineLevel="1">
      <c r="A281" s="1499">
        <v>47</v>
      </c>
      <c r="B281" s="1539" t="s">
        <v>2032</v>
      </c>
      <c r="C281" s="1578"/>
      <c r="D281" s="1511" t="s">
        <v>934</v>
      </c>
      <c r="E281" s="1579"/>
      <c r="F281" s="1334"/>
      <c r="G281" s="1318"/>
      <c r="H281" s="1318"/>
      <c r="I281" s="1379"/>
      <c r="J281" s="1379"/>
      <c r="K281" s="1402"/>
      <c r="L281" s="1337"/>
      <c r="M281" s="1337"/>
      <c r="N281" s="1339" t="s">
        <v>1984</v>
      </c>
      <c r="O281" s="1336"/>
      <c r="P281" s="1598">
        <f t="shared" si="34"/>
        <v>0</v>
      </c>
      <c r="Q281" s="1598">
        <f t="shared" si="34"/>
        <v>0</v>
      </c>
      <c r="R281" s="1573">
        <f t="shared" si="34"/>
        <v>1.4947300000000001E-4</v>
      </c>
      <c r="S281" s="1598">
        <f t="shared" si="34"/>
        <v>0</v>
      </c>
      <c r="T281" s="1598">
        <f t="shared" si="35"/>
        <v>1.4947300000000001E-4</v>
      </c>
      <c r="U281" s="1598">
        <f t="shared" si="29"/>
        <v>0</v>
      </c>
      <c r="V281" s="1598">
        <v>0</v>
      </c>
      <c r="W281" s="1598">
        <v>0</v>
      </c>
      <c r="X281" s="1598"/>
      <c r="Y281" s="1598"/>
      <c r="Z281" s="1598"/>
      <c r="AA281" s="1598"/>
      <c r="AB281" s="1598"/>
      <c r="AC281" s="1598"/>
      <c r="AD281" s="1598"/>
      <c r="AE281" s="1598"/>
      <c r="AF281" s="1598"/>
      <c r="AG281" s="1598"/>
      <c r="AH281" s="1725"/>
      <c r="AI281" s="1725"/>
      <c r="AJ281" s="1725"/>
      <c r="AK281" s="1725"/>
      <c r="AL281" s="1725"/>
      <c r="AM281" s="1725"/>
      <c r="AN281" s="1725"/>
      <c r="AO281" s="1725"/>
      <c r="AP281" s="1725"/>
      <c r="AQ281" s="1725"/>
      <c r="AR281" s="1725"/>
      <c r="AS281" s="1725">
        <f t="shared" si="36"/>
        <v>0</v>
      </c>
      <c r="AT281" s="1725"/>
      <c r="AU281" s="1624">
        <v>0</v>
      </c>
      <c r="AV281" s="1624">
        <v>0</v>
      </c>
      <c r="AW281" s="1624">
        <v>0</v>
      </c>
      <c r="AX281" s="1624">
        <v>0</v>
      </c>
      <c r="AY281" s="1624">
        <v>0</v>
      </c>
      <c r="AZ281" s="1624">
        <v>0</v>
      </c>
      <c r="BA281" s="1624">
        <v>0</v>
      </c>
      <c r="BB281" s="1593"/>
      <c r="BC281" s="1726" t="s">
        <v>1985</v>
      </c>
      <c r="BD281" s="1595"/>
      <c r="BE281" s="1598">
        <f t="shared" si="31"/>
        <v>0</v>
      </c>
      <c r="BF281" s="1598">
        <f t="shared" si="31"/>
        <v>0</v>
      </c>
      <c r="BG281" s="1631">
        <v>1.4947300000000001E-4</v>
      </c>
      <c r="BH281" s="1598">
        <f t="shared" si="33"/>
        <v>0</v>
      </c>
      <c r="BI281" s="1598">
        <f t="shared" si="33"/>
        <v>0</v>
      </c>
      <c r="BJ281" s="1598">
        <f t="shared" si="33"/>
        <v>0</v>
      </c>
      <c r="BK281" s="1598">
        <f t="shared" si="32"/>
        <v>0</v>
      </c>
      <c r="BL281" s="1598">
        <f t="shared" si="32"/>
        <v>0</v>
      </c>
      <c r="BM281" s="1598">
        <f t="shared" si="32"/>
        <v>0</v>
      </c>
      <c r="BN281" s="1598">
        <f t="shared" si="32"/>
        <v>0</v>
      </c>
      <c r="BO281" s="1598">
        <f t="shared" si="32"/>
        <v>0</v>
      </c>
      <c r="BP281" s="1598">
        <f t="shared" si="32"/>
        <v>0</v>
      </c>
      <c r="BQ281" s="1576"/>
      <c r="BR281" s="1727" t="s">
        <v>1985</v>
      </c>
      <c r="BS281" s="1581"/>
      <c r="BT281" s="1539"/>
      <c r="BU281" s="1430">
        <v>1501006775</v>
      </c>
      <c r="BV281" s="1430" t="s">
        <v>1984</v>
      </c>
    </row>
    <row r="282" spans="1:74" s="1430" customFormat="1" ht="28" customHeight="1" outlineLevel="1">
      <c r="A282" s="1499">
        <v>48</v>
      </c>
      <c r="B282" s="1539" t="s">
        <v>2033</v>
      </c>
      <c r="C282" s="1578"/>
      <c r="D282" s="1511" t="s">
        <v>934</v>
      </c>
      <c r="E282" s="1579"/>
      <c r="F282" s="1334"/>
      <c r="G282" s="1318"/>
      <c r="H282" s="1318"/>
      <c r="I282" s="1379"/>
      <c r="J282" s="1379"/>
      <c r="K282" s="1402"/>
      <c r="L282" s="1337"/>
      <c r="M282" s="1337"/>
      <c r="N282" s="1339" t="s">
        <v>1984</v>
      </c>
      <c r="O282" s="1336"/>
      <c r="P282" s="1598">
        <f t="shared" si="34"/>
        <v>0</v>
      </c>
      <c r="Q282" s="1598">
        <f t="shared" si="34"/>
        <v>0</v>
      </c>
      <c r="R282" s="1573">
        <f t="shared" si="34"/>
        <v>4.5158999999999999E-5</v>
      </c>
      <c r="S282" s="1598">
        <f t="shared" si="34"/>
        <v>0</v>
      </c>
      <c r="T282" s="1598">
        <f t="shared" si="35"/>
        <v>4.5158999999999999E-5</v>
      </c>
      <c r="U282" s="1598">
        <f t="shared" si="29"/>
        <v>0</v>
      </c>
      <c r="V282" s="1598">
        <v>0</v>
      </c>
      <c r="W282" s="1598">
        <v>0</v>
      </c>
      <c r="X282" s="1598"/>
      <c r="Y282" s="1598"/>
      <c r="Z282" s="1598"/>
      <c r="AA282" s="1598"/>
      <c r="AB282" s="1598"/>
      <c r="AC282" s="1598"/>
      <c r="AD282" s="1598"/>
      <c r="AE282" s="1598"/>
      <c r="AF282" s="1598"/>
      <c r="AG282" s="1598"/>
      <c r="AH282" s="1725"/>
      <c r="AI282" s="1725"/>
      <c r="AJ282" s="1725"/>
      <c r="AK282" s="1725"/>
      <c r="AL282" s="1725"/>
      <c r="AM282" s="1725"/>
      <c r="AN282" s="1725"/>
      <c r="AO282" s="1725"/>
      <c r="AP282" s="1725"/>
      <c r="AQ282" s="1725"/>
      <c r="AR282" s="1725"/>
      <c r="AS282" s="1725">
        <f t="shared" si="36"/>
        <v>0</v>
      </c>
      <c r="AT282" s="1725"/>
      <c r="AU282" s="1624">
        <v>0</v>
      </c>
      <c r="AV282" s="1624">
        <v>0</v>
      </c>
      <c r="AW282" s="1624">
        <v>0</v>
      </c>
      <c r="AX282" s="1624">
        <v>0</v>
      </c>
      <c r="AY282" s="1624">
        <v>0</v>
      </c>
      <c r="AZ282" s="1624">
        <v>0</v>
      </c>
      <c r="BA282" s="1624">
        <v>0</v>
      </c>
      <c r="BB282" s="1593"/>
      <c r="BC282" s="1726" t="s">
        <v>1985</v>
      </c>
      <c r="BD282" s="1595"/>
      <c r="BE282" s="1598">
        <f t="shared" si="31"/>
        <v>0</v>
      </c>
      <c r="BF282" s="1598">
        <f t="shared" si="31"/>
        <v>0</v>
      </c>
      <c r="BG282" s="1631">
        <v>4.5158999999999999E-5</v>
      </c>
      <c r="BH282" s="1598">
        <f t="shared" si="33"/>
        <v>0</v>
      </c>
      <c r="BI282" s="1598">
        <f t="shared" si="33"/>
        <v>0</v>
      </c>
      <c r="BJ282" s="1598">
        <f t="shared" si="33"/>
        <v>0</v>
      </c>
      <c r="BK282" s="1598">
        <f t="shared" si="32"/>
        <v>0</v>
      </c>
      <c r="BL282" s="1598">
        <f t="shared" si="32"/>
        <v>0</v>
      </c>
      <c r="BM282" s="1598">
        <f t="shared" si="32"/>
        <v>0</v>
      </c>
      <c r="BN282" s="1598">
        <f t="shared" si="32"/>
        <v>0</v>
      </c>
      <c r="BO282" s="1598">
        <f t="shared" si="32"/>
        <v>0</v>
      </c>
      <c r="BP282" s="1598">
        <f t="shared" si="32"/>
        <v>0</v>
      </c>
      <c r="BQ282" s="1576"/>
      <c r="BR282" s="1727" t="s">
        <v>1985</v>
      </c>
      <c r="BS282" s="1581"/>
      <c r="BT282" s="1539"/>
      <c r="BU282" s="1430">
        <v>1501006776</v>
      </c>
      <c r="BV282" s="1430" t="s">
        <v>1984</v>
      </c>
    </row>
    <row r="283" spans="1:74" s="1430" customFormat="1" outlineLevel="1">
      <c r="A283" s="1499">
        <v>49</v>
      </c>
      <c r="B283" s="1539" t="s">
        <v>2034</v>
      </c>
      <c r="C283" s="1578"/>
      <c r="D283" s="1511" t="s">
        <v>934</v>
      </c>
      <c r="E283" s="1579"/>
      <c r="F283" s="1334"/>
      <c r="G283" s="1318"/>
      <c r="H283" s="1318"/>
      <c r="I283" s="1379"/>
      <c r="J283" s="1379"/>
      <c r="K283" s="1402"/>
      <c r="L283" s="1337"/>
      <c r="M283" s="1337"/>
      <c r="N283" s="1339" t="s">
        <v>1984</v>
      </c>
      <c r="O283" s="1336"/>
      <c r="P283" s="1598">
        <f t="shared" si="34"/>
        <v>0</v>
      </c>
      <c r="Q283" s="1598">
        <f t="shared" si="34"/>
        <v>0</v>
      </c>
      <c r="R283" s="1573">
        <f t="shared" si="34"/>
        <v>3.4220000000000001E-5</v>
      </c>
      <c r="S283" s="1598">
        <f t="shared" si="34"/>
        <v>0</v>
      </c>
      <c r="T283" s="1598">
        <f t="shared" si="35"/>
        <v>3.4220000000000001E-5</v>
      </c>
      <c r="U283" s="1598">
        <f t="shared" si="29"/>
        <v>0</v>
      </c>
      <c r="V283" s="1598">
        <v>0</v>
      </c>
      <c r="W283" s="1598">
        <v>0</v>
      </c>
      <c r="X283" s="1598"/>
      <c r="Y283" s="1598"/>
      <c r="Z283" s="1598"/>
      <c r="AA283" s="1598"/>
      <c r="AB283" s="1598"/>
      <c r="AC283" s="1598"/>
      <c r="AD283" s="1598"/>
      <c r="AE283" s="1598"/>
      <c r="AF283" s="1598"/>
      <c r="AG283" s="1598"/>
      <c r="AH283" s="1725"/>
      <c r="AI283" s="1725"/>
      <c r="AJ283" s="1725"/>
      <c r="AK283" s="1725"/>
      <c r="AL283" s="1725"/>
      <c r="AM283" s="1725"/>
      <c r="AN283" s="1725"/>
      <c r="AO283" s="1725"/>
      <c r="AP283" s="1725"/>
      <c r="AQ283" s="1725"/>
      <c r="AR283" s="1725"/>
      <c r="AS283" s="1725">
        <f t="shared" si="36"/>
        <v>0</v>
      </c>
      <c r="AT283" s="1725"/>
      <c r="AU283" s="1624">
        <v>0</v>
      </c>
      <c r="AV283" s="1624">
        <v>0</v>
      </c>
      <c r="AW283" s="1624">
        <v>0</v>
      </c>
      <c r="AX283" s="1624">
        <v>0</v>
      </c>
      <c r="AY283" s="1624">
        <v>0</v>
      </c>
      <c r="AZ283" s="1624">
        <v>0</v>
      </c>
      <c r="BA283" s="1624">
        <v>0</v>
      </c>
      <c r="BB283" s="1593"/>
      <c r="BC283" s="1726" t="s">
        <v>1985</v>
      </c>
      <c r="BD283" s="1595"/>
      <c r="BE283" s="1598">
        <f t="shared" si="31"/>
        <v>0</v>
      </c>
      <c r="BF283" s="1598">
        <f t="shared" si="31"/>
        <v>0</v>
      </c>
      <c r="BG283" s="1631">
        <v>3.4220000000000001E-5</v>
      </c>
      <c r="BH283" s="1598">
        <f t="shared" si="33"/>
        <v>0</v>
      </c>
      <c r="BI283" s="1598">
        <f t="shared" si="33"/>
        <v>0</v>
      </c>
      <c r="BJ283" s="1598">
        <f t="shared" si="33"/>
        <v>0</v>
      </c>
      <c r="BK283" s="1598">
        <f t="shared" si="32"/>
        <v>0</v>
      </c>
      <c r="BL283" s="1598">
        <f t="shared" si="32"/>
        <v>0</v>
      </c>
      <c r="BM283" s="1598">
        <f t="shared" si="32"/>
        <v>0</v>
      </c>
      <c r="BN283" s="1598">
        <f t="shared" si="32"/>
        <v>0</v>
      </c>
      <c r="BO283" s="1598">
        <f t="shared" si="32"/>
        <v>0</v>
      </c>
      <c r="BP283" s="1598">
        <f t="shared" si="32"/>
        <v>0</v>
      </c>
      <c r="BQ283" s="1576"/>
      <c r="BR283" s="1727" t="s">
        <v>1985</v>
      </c>
      <c r="BS283" s="1581"/>
      <c r="BT283" s="1539"/>
      <c r="BU283" s="1430">
        <v>1501006777</v>
      </c>
      <c r="BV283" s="1430" t="s">
        <v>1984</v>
      </c>
    </row>
    <row r="284" spans="1:74" s="1430" customFormat="1" outlineLevel="1">
      <c r="A284" s="1499">
        <v>50</v>
      </c>
      <c r="B284" s="1539" t="s">
        <v>2035</v>
      </c>
      <c r="C284" s="1578"/>
      <c r="D284" s="1511" t="s">
        <v>934</v>
      </c>
      <c r="E284" s="1579"/>
      <c r="F284" s="1334"/>
      <c r="G284" s="1318"/>
      <c r="H284" s="1318"/>
      <c r="I284" s="1379"/>
      <c r="J284" s="1379"/>
      <c r="K284" s="1402"/>
      <c r="L284" s="1337"/>
      <c r="M284" s="1337"/>
      <c r="N284" s="1339" t="s">
        <v>1984</v>
      </c>
      <c r="O284" s="1336"/>
      <c r="P284" s="1598">
        <f t="shared" si="34"/>
        <v>0</v>
      </c>
      <c r="Q284" s="1598">
        <f t="shared" si="34"/>
        <v>0</v>
      </c>
      <c r="R284" s="1573">
        <f t="shared" si="34"/>
        <v>4.409E-5</v>
      </c>
      <c r="S284" s="1598">
        <f t="shared" si="34"/>
        <v>0</v>
      </c>
      <c r="T284" s="1598">
        <f t="shared" si="35"/>
        <v>4.409E-5</v>
      </c>
      <c r="U284" s="1598">
        <f t="shared" si="29"/>
        <v>0</v>
      </c>
      <c r="V284" s="1598">
        <v>0</v>
      </c>
      <c r="W284" s="1598">
        <v>0</v>
      </c>
      <c r="X284" s="1598"/>
      <c r="Y284" s="1598"/>
      <c r="Z284" s="1598"/>
      <c r="AA284" s="1598"/>
      <c r="AB284" s="1598"/>
      <c r="AC284" s="1598"/>
      <c r="AD284" s="1598"/>
      <c r="AE284" s="1598"/>
      <c r="AF284" s="1598"/>
      <c r="AG284" s="1598"/>
      <c r="AH284" s="1725"/>
      <c r="AI284" s="1725"/>
      <c r="AJ284" s="1725"/>
      <c r="AK284" s="1725"/>
      <c r="AL284" s="1725"/>
      <c r="AM284" s="1725"/>
      <c r="AN284" s="1725"/>
      <c r="AO284" s="1725"/>
      <c r="AP284" s="1725"/>
      <c r="AQ284" s="1725"/>
      <c r="AR284" s="1725"/>
      <c r="AS284" s="1725">
        <f t="shared" si="36"/>
        <v>0</v>
      </c>
      <c r="AT284" s="1725"/>
      <c r="AU284" s="1624">
        <v>0</v>
      </c>
      <c r="AV284" s="1624">
        <v>0</v>
      </c>
      <c r="AW284" s="1624">
        <v>0</v>
      </c>
      <c r="AX284" s="1624">
        <v>0</v>
      </c>
      <c r="AY284" s="1624">
        <v>0</v>
      </c>
      <c r="AZ284" s="1624">
        <v>0</v>
      </c>
      <c r="BA284" s="1624">
        <v>0</v>
      </c>
      <c r="BB284" s="1593"/>
      <c r="BC284" s="1726" t="s">
        <v>1985</v>
      </c>
      <c r="BD284" s="1595"/>
      <c r="BE284" s="1598">
        <f t="shared" si="31"/>
        <v>0</v>
      </c>
      <c r="BF284" s="1598">
        <f t="shared" si="31"/>
        <v>0</v>
      </c>
      <c r="BG284" s="1631">
        <v>4.409E-5</v>
      </c>
      <c r="BH284" s="1598">
        <f t="shared" si="33"/>
        <v>0</v>
      </c>
      <c r="BI284" s="1598">
        <f t="shared" si="33"/>
        <v>0</v>
      </c>
      <c r="BJ284" s="1598">
        <f t="shared" si="33"/>
        <v>0</v>
      </c>
      <c r="BK284" s="1598">
        <f t="shared" si="32"/>
        <v>0</v>
      </c>
      <c r="BL284" s="1598">
        <f t="shared" si="32"/>
        <v>0</v>
      </c>
      <c r="BM284" s="1598">
        <f t="shared" si="32"/>
        <v>0</v>
      </c>
      <c r="BN284" s="1598">
        <f t="shared" si="32"/>
        <v>0</v>
      </c>
      <c r="BO284" s="1598">
        <f t="shared" si="32"/>
        <v>0</v>
      </c>
      <c r="BP284" s="1598">
        <f t="shared" si="32"/>
        <v>0</v>
      </c>
      <c r="BQ284" s="1576"/>
      <c r="BR284" s="1727" t="s">
        <v>1985</v>
      </c>
      <c r="BS284" s="1581"/>
      <c r="BT284" s="1539"/>
      <c r="BU284" s="1430">
        <v>1501006778</v>
      </c>
      <c r="BV284" s="1430" t="s">
        <v>1984</v>
      </c>
    </row>
    <row r="285" spans="1:74" s="1430" customFormat="1" ht="33" customHeight="1" outlineLevel="1">
      <c r="A285" s="1499">
        <v>51</v>
      </c>
      <c r="B285" s="1539" t="s">
        <v>2036</v>
      </c>
      <c r="C285" s="1578"/>
      <c r="D285" s="1511" t="s">
        <v>934</v>
      </c>
      <c r="E285" s="1579"/>
      <c r="F285" s="1334"/>
      <c r="G285" s="1318"/>
      <c r="H285" s="1318"/>
      <c r="I285" s="1379"/>
      <c r="J285" s="1379"/>
      <c r="K285" s="1402"/>
      <c r="L285" s="1337"/>
      <c r="M285" s="1337"/>
      <c r="N285" s="1339" t="s">
        <v>1984</v>
      </c>
      <c r="O285" s="1336"/>
      <c r="P285" s="1598">
        <f t="shared" si="34"/>
        <v>0</v>
      </c>
      <c r="Q285" s="1598">
        <f t="shared" si="34"/>
        <v>0</v>
      </c>
      <c r="R285" s="1573">
        <f t="shared" si="34"/>
        <v>8.5750000000000001E-6</v>
      </c>
      <c r="S285" s="1598">
        <f t="shared" si="34"/>
        <v>0</v>
      </c>
      <c r="T285" s="1598">
        <f t="shared" si="35"/>
        <v>8.5750000000000001E-6</v>
      </c>
      <c r="U285" s="1598">
        <f t="shared" si="29"/>
        <v>0</v>
      </c>
      <c r="V285" s="1598">
        <v>0</v>
      </c>
      <c r="W285" s="1598">
        <v>0</v>
      </c>
      <c r="X285" s="1598"/>
      <c r="Y285" s="1598"/>
      <c r="Z285" s="1598"/>
      <c r="AA285" s="1598"/>
      <c r="AB285" s="1598"/>
      <c r="AC285" s="1598"/>
      <c r="AD285" s="1598"/>
      <c r="AE285" s="1598"/>
      <c r="AF285" s="1598"/>
      <c r="AG285" s="1598"/>
      <c r="AH285" s="1725"/>
      <c r="AI285" s="1725"/>
      <c r="AJ285" s="1725"/>
      <c r="AK285" s="1725"/>
      <c r="AL285" s="1725"/>
      <c r="AM285" s="1725"/>
      <c r="AN285" s="1725"/>
      <c r="AO285" s="1725"/>
      <c r="AP285" s="1725"/>
      <c r="AQ285" s="1725"/>
      <c r="AR285" s="1725"/>
      <c r="AS285" s="1725">
        <f t="shared" si="36"/>
        <v>0</v>
      </c>
      <c r="AT285" s="1725"/>
      <c r="AU285" s="1624">
        <v>0</v>
      </c>
      <c r="AV285" s="1624">
        <v>0</v>
      </c>
      <c r="AW285" s="1624">
        <v>0</v>
      </c>
      <c r="AX285" s="1624">
        <v>0</v>
      </c>
      <c r="AY285" s="1624">
        <v>0</v>
      </c>
      <c r="AZ285" s="1624">
        <v>0</v>
      </c>
      <c r="BA285" s="1624">
        <v>0</v>
      </c>
      <c r="BB285" s="1593"/>
      <c r="BC285" s="1726" t="s">
        <v>1985</v>
      </c>
      <c r="BD285" s="1595"/>
      <c r="BE285" s="1598">
        <f t="shared" si="31"/>
        <v>0</v>
      </c>
      <c r="BF285" s="1598">
        <f t="shared" si="31"/>
        <v>0</v>
      </c>
      <c r="BG285" s="1631">
        <v>8.5750000000000001E-6</v>
      </c>
      <c r="BH285" s="1598">
        <f t="shared" si="33"/>
        <v>0</v>
      </c>
      <c r="BI285" s="1598">
        <f t="shared" si="33"/>
        <v>0</v>
      </c>
      <c r="BJ285" s="1598">
        <f t="shared" si="33"/>
        <v>0</v>
      </c>
      <c r="BK285" s="1598">
        <f t="shared" si="32"/>
        <v>0</v>
      </c>
      <c r="BL285" s="1598">
        <f t="shared" si="32"/>
        <v>0</v>
      </c>
      <c r="BM285" s="1598">
        <f t="shared" si="32"/>
        <v>0</v>
      </c>
      <c r="BN285" s="1598">
        <f t="shared" si="32"/>
        <v>0</v>
      </c>
      <c r="BO285" s="1598">
        <f t="shared" si="32"/>
        <v>0</v>
      </c>
      <c r="BP285" s="1598">
        <f t="shared" si="32"/>
        <v>0</v>
      </c>
      <c r="BQ285" s="1576"/>
      <c r="BR285" s="1727" t="s">
        <v>1985</v>
      </c>
      <c r="BS285" s="1581"/>
      <c r="BT285" s="1539"/>
      <c r="BU285" s="1430">
        <v>1501006779</v>
      </c>
      <c r="BV285" s="1430" t="s">
        <v>1984</v>
      </c>
    </row>
    <row r="286" spans="1:74" s="1430" customFormat="1" outlineLevel="1">
      <c r="A286" s="1499">
        <v>52</v>
      </c>
      <c r="B286" s="1539" t="s">
        <v>2037</v>
      </c>
      <c r="C286" s="1578"/>
      <c r="D286" s="1511" t="s">
        <v>934</v>
      </c>
      <c r="E286" s="1579"/>
      <c r="F286" s="1334"/>
      <c r="G286" s="1318"/>
      <c r="H286" s="1318"/>
      <c r="I286" s="1379"/>
      <c r="J286" s="1379"/>
      <c r="K286" s="1402"/>
      <c r="L286" s="1337"/>
      <c r="M286" s="1337"/>
      <c r="N286" s="1339" t="s">
        <v>1984</v>
      </c>
      <c r="O286" s="1336"/>
      <c r="P286" s="1598">
        <f t="shared" si="34"/>
        <v>0</v>
      </c>
      <c r="Q286" s="1598">
        <f t="shared" si="34"/>
        <v>0</v>
      </c>
      <c r="R286" s="1573">
        <f t="shared" si="34"/>
        <v>1.38462E-4</v>
      </c>
      <c r="S286" s="1598">
        <f t="shared" si="34"/>
        <v>0</v>
      </c>
      <c r="T286" s="1598">
        <f t="shared" si="35"/>
        <v>1.38462E-4</v>
      </c>
      <c r="U286" s="1598">
        <f t="shared" si="29"/>
        <v>0</v>
      </c>
      <c r="V286" s="1598">
        <v>0</v>
      </c>
      <c r="W286" s="1598">
        <v>0</v>
      </c>
      <c r="X286" s="1598"/>
      <c r="Y286" s="1598"/>
      <c r="Z286" s="1598"/>
      <c r="AA286" s="1598"/>
      <c r="AB286" s="1598"/>
      <c r="AC286" s="1598"/>
      <c r="AD286" s="1598"/>
      <c r="AE286" s="1598"/>
      <c r="AF286" s="1598"/>
      <c r="AG286" s="1598"/>
      <c r="AH286" s="1725"/>
      <c r="AI286" s="1725"/>
      <c r="AJ286" s="1725"/>
      <c r="AK286" s="1725"/>
      <c r="AL286" s="1725"/>
      <c r="AM286" s="1725"/>
      <c r="AN286" s="1725"/>
      <c r="AO286" s="1725"/>
      <c r="AP286" s="1725"/>
      <c r="AQ286" s="1725"/>
      <c r="AR286" s="1725"/>
      <c r="AS286" s="1725">
        <f t="shared" si="36"/>
        <v>0</v>
      </c>
      <c r="AT286" s="1725"/>
      <c r="AU286" s="1624">
        <v>0</v>
      </c>
      <c r="AV286" s="1624">
        <v>0</v>
      </c>
      <c r="AW286" s="1624">
        <v>0</v>
      </c>
      <c r="AX286" s="1624">
        <v>0</v>
      </c>
      <c r="AY286" s="1624">
        <v>0</v>
      </c>
      <c r="AZ286" s="1624">
        <v>0</v>
      </c>
      <c r="BA286" s="1624">
        <v>0</v>
      </c>
      <c r="BB286" s="1593"/>
      <c r="BC286" s="1726" t="s">
        <v>1985</v>
      </c>
      <c r="BD286" s="1595"/>
      <c r="BE286" s="1598">
        <f t="shared" si="31"/>
        <v>0</v>
      </c>
      <c r="BF286" s="1598">
        <f t="shared" si="31"/>
        <v>0</v>
      </c>
      <c r="BG286" s="1631">
        <v>1.38462E-4</v>
      </c>
      <c r="BH286" s="1598">
        <f t="shared" si="33"/>
        <v>0</v>
      </c>
      <c r="BI286" s="1598">
        <f t="shared" si="33"/>
        <v>0</v>
      </c>
      <c r="BJ286" s="1598">
        <f t="shared" si="33"/>
        <v>0</v>
      </c>
      <c r="BK286" s="1598">
        <f t="shared" si="32"/>
        <v>0</v>
      </c>
      <c r="BL286" s="1598">
        <f t="shared" si="32"/>
        <v>0</v>
      </c>
      <c r="BM286" s="1598">
        <f t="shared" si="32"/>
        <v>0</v>
      </c>
      <c r="BN286" s="1598">
        <f t="shared" si="32"/>
        <v>0</v>
      </c>
      <c r="BO286" s="1598">
        <f t="shared" si="32"/>
        <v>0</v>
      </c>
      <c r="BP286" s="1598">
        <f t="shared" si="32"/>
        <v>0</v>
      </c>
      <c r="BQ286" s="1576"/>
      <c r="BR286" s="1727" t="s">
        <v>1985</v>
      </c>
      <c r="BS286" s="1581"/>
      <c r="BT286" s="1539"/>
      <c r="BU286" s="1430">
        <v>1501006780</v>
      </c>
      <c r="BV286" s="1430" t="s">
        <v>1984</v>
      </c>
    </row>
    <row r="287" spans="1:74" s="1430" customFormat="1" ht="31" customHeight="1" outlineLevel="1">
      <c r="A287" s="1499">
        <v>53</v>
      </c>
      <c r="B287" s="1539" t="s">
        <v>2038</v>
      </c>
      <c r="C287" s="1578"/>
      <c r="D287" s="1511" t="s">
        <v>934</v>
      </c>
      <c r="E287" s="1579"/>
      <c r="F287" s="1334"/>
      <c r="G287" s="1318"/>
      <c r="H287" s="1318"/>
      <c r="I287" s="1379"/>
      <c r="J287" s="1379"/>
      <c r="K287" s="1402"/>
      <c r="L287" s="1337"/>
      <c r="M287" s="1337"/>
      <c r="N287" s="1339" t="s">
        <v>1984</v>
      </c>
      <c r="O287" s="1336"/>
      <c r="P287" s="1598">
        <f t="shared" si="34"/>
        <v>0</v>
      </c>
      <c r="Q287" s="1598">
        <f t="shared" si="34"/>
        <v>0</v>
      </c>
      <c r="R287" s="1573">
        <f t="shared" si="34"/>
        <v>3.5627999999999998E-5</v>
      </c>
      <c r="S287" s="1598">
        <f t="shared" si="34"/>
        <v>0</v>
      </c>
      <c r="T287" s="1598">
        <f t="shared" si="35"/>
        <v>3.5627999999999998E-5</v>
      </c>
      <c r="U287" s="1598">
        <f t="shared" si="29"/>
        <v>0</v>
      </c>
      <c r="V287" s="1598">
        <v>0</v>
      </c>
      <c r="W287" s="1598">
        <v>0</v>
      </c>
      <c r="X287" s="1598"/>
      <c r="Y287" s="1598"/>
      <c r="Z287" s="1598"/>
      <c r="AA287" s="1598"/>
      <c r="AB287" s="1598"/>
      <c r="AC287" s="1598"/>
      <c r="AD287" s="1598"/>
      <c r="AE287" s="1598"/>
      <c r="AF287" s="1598"/>
      <c r="AG287" s="1598"/>
      <c r="AH287" s="1725"/>
      <c r="AI287" s="1725"/>
      <c r="AJ287" s="1725"/>
      <c r="AK287" s="1725"/>
      <c r="AL287" s="1725"/>
      <c r="AM287" s="1725"/>
      <c r="AN287" s="1725"/>
      <c r="AO287" s="1725"/>
      <c r="AP287" s="1725"/>
      <c r="AQ287" s="1725"/>
      <c r="AR287" s="1725"/>
      <c r="AS287" s="1725">
        <f t="shared" si="36"/>
        <v>0</v>
      </c>
      <c r="AT287" s="1725"/>
      <c r="AU287" s="1624">
        <v>0</v>
      </c>
      <c r="AV287" s="1624">
        <v>0</v>
      </c>
      <c r="AW287" s="1624">
        <v>0</v>
      </c>
      <c r="AX287" s="1624">
        <v>0</v>
      </c>
      <c r="AY287" s="1624">
        <v>0</v>
      </c>
      <c r="AZ287" s="1624">
        <v>0</v>
      </c>
      <c r="BA287" s="1624">
        <v>0</v>
      </c>
      <c r="BB287" s="1593"/>
      <c r="BC287" s="1726" t="s">
        <v>1985</v>
      </c>
      <c r="BD287" s="1595"/>
      <c r="BE287" s="1598">
        <f t="shared" si="31"/>
        <v>0</v>
      </c>
      <c r="BF287" s="1598">
        <f t="shared" si="31"/>
        <v>0</v>
      </c>
      <c r="BG287" s="1631">
        <v>3.5627999999999998E-5</v>
      </c>
      <c r="BH287" s="1598">
        <f t="shared" si="33"/>
        <v>0</v>
      </c>
      <c r="BI287" s="1598">
        <f t="shared" si="33"/>
        <v>0</v>
      </c>
      <c r="BJ287" s="1598">
        <f t="shared" si="33"/>
        <v>0</v>
      </c>
      <c r="BK287" s="1598">
        <f t="shared" si="32"/>
        <v>0</v>
      </c>
      <c r="BL287" s="1598">
        <f t="shared" si="32"/>
        <v>0</v>
      </c>
      <c r="BM287" s="1598">
        <f t="shared" si="32"/>
        <v>0</v>
      </c>
      <c r="BN287" s="1598">
        <f t="shared" si="32"/>
        <v>0</v>
      </c>
      <c r="BO287" s="1598">
        <f t="shared" si="32"/>
        <v>0</v>
      </c>
      <c r="BP287" s="1598">
        <f t="shared" si="32"/>
        <v>0</v>
      </c>
      <c r="BQ287" s="1576"/>
      <c r="BR287" s="1727" t="s">
        <v>1985</v>
      </c>
      <c r="BS287" s="1581"/>
      <c r="BT287" s="1539"/>
      <c r="BU287" s="1430">
        <v>1501006781</v>
      </c>
      <c r="BV287" s="1430" t="s">
        <v>1984</v>
      </c>
    </row>
    <row r="288" spans="1:74" s="1430" customFormat="1" outlineLevel="1">
      <c r="A288" s="1499">
        <v>54</v>
      </c>
      <c r="B288" s="1539" t="s">
        <v>2039</v>
      </c>
      <c r="C288" s="1578"/>
      <c r="D288" s="1511" t="s">
        <v>934</v>
      </c>
      <c r="E288" s="1579"/>
      <c r="F288" s="1334"/>
      <c r="G288" s="1318"/>
      <c r="H288" s="1318"/>
      <c r="I288" s="1379"/>
      <c r="J288" s="1379"/>
      <c r="K288" s="1402"/>
      <c r="L288" s="1337"/>
      <c r="M288" s="1337"/>
      <c r="N288" s="1339" t="s">
        <v>1984</v>
      </c>
      <c r="O288" s="1336"/>
      <c r="P288" s="1598">
        <f t="shared" si="34"/>
        <v>0</v>
      </c>
      <c r="Q288" s="1598">
        <f t="shared" si="34"/>
        <v>0</v>
      </c>
      <c r="R288" s="1573">
        <f t="shared" si="34"/>
        <v>1.7813999999999999E-5</v>
      </c>
      <c r="S288" s="1598">
        <f t="shared" si="34"/>
        <v>0</v>
      </c>
      <c r="T288" s="1598">
        <f t="shared" si="35"/>
        <v>1.7813999999999999E-5</v>
      </c>
      <c r="U288" s="1598">
        <f t="shared" si="29"/>
        <v>0</v>
      </c>
      <c r="V288" s="1598">
        <v>0</v>
      </c>
      <c r="W288" s="1598">
        <v>0</v>
      </c>
      <c r="X288" s="1598"/>
      <c r="Y288" s="1598"/>
      <c r="Z288" s="1598"/>
      <c r="AA288" s="1598"/>
      <c r="AB288" s="1598"/>
      <c r="AC288" s="1598"/>
      <c r="AD288" s="1598"/>
      <c r="AE288" s="1598"/>
      <c r="AF288" s="1598"/>
      <c r="AG288" s="1598"/>
      <c r="AH288" s="1725"/>
      <c r="AI288" s="1725"/>
      <c r="AJ288" s="1725"/>
      <c r="AK288" s="1725"/>
      <c r="AL288" s="1725"/>
      <c r="AM288" s="1725"/>
      <c r="AN288" s="1725"/>
      <c r="AO288" s="1725"/>
      <c r="AP288" s="1725"/>
      <c r="AQ288" s="1725"/>
      <c r="AR288" s="1725"/>
      <c r="AS288" s="1725">
        <f t="shared" si="36"/>
        <v>0</v>
      </c>
      <c r="AT288" s="1725"/>
      <c r="AU288" s="1624">
        <v>0</v>
      </c>
      <c r="AV288" s="1624">
        <v>0</v>
      </c>
      <c r="AW288" s="1624">
        <v>0</v>
      </c>
      <c r="AX288" s="1624">
        <v>0</v>
      </c>
      <c r="AY288" s="1624">
        <v>0</v>
      </c>
      <c r="AZ288" s="1624">
        <v>0</v>
      </c>
      <c r="BA288" s="1624">
        <v>0</v>
      </c>
      <c r="BB288" s="1593"/>
      <c r="BC288" s="1726" t="s">
        <v>1985</v>
      </c>
      <c r="BD288" s="1595"/>
      <c r="BE288" s="1598">
        <f t="shared" si="31"/>
        <v>0</v>
      </c>
      <c r="BF288" s="1598">
        <f t="shared" si="31"/>
        <v>0</v>
      </c>
      <c r="BG288" s="1631">
        <v>1.7813999999999999E-5</v>
      </c>
      <c r="BH288" s="1598">
        <f t="shared" si="33"/>
        <v>0</v>
      </c>
      <c r="BI288" s="1598">
        <f t="shared" si="33"/>
        <v>0</v>
      </c>
      <c r="BJ288" s="1598">
        <f t="shared" si="33"/>
        <v>0</v>
      </c>
      <c r="BK288" s="1598">
        <f t="shared" si="32"/>
        <v>0</v>
      </c>
      <c r="BL288" s="1598">
        <f t="shared" si="32"/>
        <v>0</v>
      </c>
      <c r="BM288" s="1598">
        <f t="shared" si="32"/>
        <v>0</v>
      </c>
      <c r="BN288" s="1598">
        <f t="shared" si="32"/>
        <v>0</v>
      </c>
      <c r="BO288" s="1598">
        <f t="shared" si="32"/>
        <v>0</v>
      </c>
      <c r="BP288" s="1598">
        <f t="shared" si="32"/>
        <v>0</v>
      </c>
      <c r="BQ288" s="1576"/>
      <c r="BR288" s="1727" t="s">
        <v>1985</v>
      </c>
      <c r="BS288" s="1581"/>
      <c r="BT288" s="1539"/>
      <c r="BU288" s="1430">
        <v>1501006782</v>
      </c>
      <c r="BV288" s="1430" t="s">
        <v>1984</v>
      </c>
    </row>
    <row r="289" spans="1:74" s="1430" customFormat="1" ht="40" customHeight="1" outlineLevel="1">
      <c r="A289" s="1499">
        <v>55</v>
      </c>
      <c r="B289" s="1539" t="s">
        <v>2040</v>
      </c>
      <c r="C289" s="1578"/>
      <c r="D289" s="1511" t="s">
        <v>934</v>
      </c>
      <c r="E289" s="1579"/>
      <c r="F289" s="1334"/>
      <c r="G289" s="1318"/>
      <c r="H289" s="1318"/>
      <c r="I289" s="1379"/>
      <c r="J289" s="1379"/>
      <c r="K289" s="1402"/>
      <c r="L289" s="1337"/>
      <c r="M289" s="1337"/>
      <c r="N289" s="1339" t="s">
        <v>1984</v>
      </c>
      <c r="O289" s="1336"/>
      <c r="P289" s="1598">
        <f t="shared" si="34"/>
        <v>0</v>
      </c>
      <c r="Q289" s="1598">
        <f t="shared" si="34"/>
        <v>0</v>
      </c>
      <c r="R289" s="1573">
        <f t="shared" si="34"/>
        <v>6.5769099999999996E-4</v>
      </c>
      <c r="S289" s="1598">
        <f t="shared" si="34"/>
        <v>0</v>
      </c>
      <c r="T289" s="1598">
        <f t="shared" si="35"/>
        <v>6.5769099999999996E-4</v>
      </c>
      <c r="U289" s="1598">
        <f t="shared" si="29"/>
        <v>0</v>
      </c>
      <c r="V289" s="1598">
        <v>0</v>
      </c>
      <c r="W289" s="1598">
        <v>0</v>
      </c>
      <c r="X289" s="1598"/>
      <c r="Y289" s="1598"/>
      <c r="Z289" s="1598"/>
      <c r="AA289" s="1598"/>
      <c r="AB289" s="1598"/>
      <c r="AC289" s="1598"/>
      <c r="AD289" s="1598"/>
      <c r="AE289" s="1598"/>
      <c r="AF289" s="1598"/>
      <c r="AG289" s="1598"/>
      <c r="AH289" s="1725"/>
      <c r="AI289" s="1725"/>
      <c r="AJ289" s="1725"/>
      <c r="AK289" s="1725"/>
      <c r="AL289" s="1725"/>
      <c r="AM289" s="1725"/>
      <c r="AN289" s="1725"/>
      <c r="AO289" s="1725"/>
      <c r="AP289" s="1725"/>
      <c r="AQ289" s="1725"/>
      <c r="AR289" s="1725"/>
      <c r="AS289" s="1725">
        <f t="shared" si="36"/>
        <v>0</v>
      </c>
      <c r="AT289" s="1725"/>
      <c r="AU289" s="1624">
        <v>0</v>
      </c>
      <c r="AV289" s="1624">
        <v>0</v>
      </c>
      <c r="AW289" s="1624">
        <v>0</v>
      </c>
      <c r="AX289" s="1624">
        <v>0</v>
      </c>
      <c r="AY289" s="1624">
        <v>0</v>
      </c>
      <c r="AZ289" s="1624">
        <v>0</v>
      </c>
      <c r="BA289" s="1624">
        <v>0</v>
      </c>
      <c r="BB289" s="1593"/>
      <c r="BC289" s="1726" t="s">
        <v>1985</v>
      </c>
      <c r="BD289" s="1595"/>
      <c r="BE289" s="1598">
        <f t="shared" si="31"/>
        <v>0</v>
      </c>
      <c r="BF289" s="1598">
        <f t="shared" si="31"/>
        <v>0</v>
      </c>
      <c r="BG289" s="1631">
        <v>6.5769099999999996E-4</v>
      </c>
      <c r="BH289" s="1598">
        <f t="shared" si="33"/>
        <v>0</v>
      </c>
      <c r="BI289" s="1598">
        <f t="shared" si="33"/>
        <v>0</v>
      </c>
      <c r="BJ289" s="1598">
        <f t="shared" si="33"/>
        <v>0</v>
      </c>
      <c r="BK289" s="1598">
        <f t="shared" si="32"/>
        <v>0</v>
      </c>
      <c r="BL289" s="1598">
        <f t="shared" si="32"/>
        <v>0</v>
      </c>
      <c r="BM289" s="1598">
        <f t="shared" si="32"/>
        <v>0</v>
      </c>
      <c r="BN289" s="1598">
        <f t="shared" si="32"/>
        <v>0</v>
      </c>
      <c r="BO289" s="1598">
        <f t="shared" si="32"/>
        <v>0</v>
      </c>
      <c r="BP289" s="1598">
        <f t="shared" si="32"/>
        <v>0</v>
      </c>
      <c r="BQ289" s="1576"/>
      <c r="BR289" s="1727" t="s">
        <v>1985</v>
      </c>
      <c r="BS289" s="1581"/>
      <c r="BT289" s="1539"/>
      <c r="BU289" s="1430">
        <v>1501006783</v>
      </c>
      <c r="BV289" s="1430" t="s">
        <v>1984</v>
      </c>
    </row>
    <row r="290" spans="1:74" s="1430" customFormat="1" outlineLevel="1">
      <c r="A290" s="1499">
        <v>56</v>
      </c>
      <c r="B290" s="1539" t="s">
        <v>2041</v>
      </c>
      <c r="C290" s="1578"/>
      <c r="D290" s="1511" t="s">
        <v>934</v>
      </c>
      <c r="E290" s="1579"/>
      <c r="F290" s="1334"/>
      <c r="G290" s="1318"/>
      <c r="H290" s="1318"/>
      <c r="I290" s="1379"/>
      <c r="J290" s="1379"/>
      <c r="K290" s="1402"/>
      <c r="L290" s="1337"/>
      <c r="M290" s="1337"/>
      <c r="N290" s="1339" t="s">
        <v>1984</v>
      </c>
      <c r="O290" s="1336"/>
      <c r="P290" s="1598">
        <f t="shared" si="34"/>
        <v>0</v>
      </c>
      <c r="Q290" s="1598">
        <f t="shared" si="34"/>
        <v>0</v>
      </c>
      <c r="R290" s="1573">
        <f t="shared" si="34"/>
        <v>1.9338999999999999E-5</v>
      </c>
      <c r="S290" s="1598">
        <f t="shared" si="34"/>
        <v>0</v>
      </c>
      <c r="T290" s="1598">
        <f t="shared" si="35"/>
        <v>1.9338999999999999E-5</v>
      </c>
      <c r="U290" s="1598">
        <f t="shared" si="29"/>
        <v>0</v>
      </c>
      <c r="V290" s="1598">
        <v>0</v>
      </c>
      <c r="W290" s="1598">
        <v>0</v>
      </c>
      <c r="X290" s="1598"/>
      <c r="Y290" s="1598"/>
      <c r="Z290" s="1598"/>
      <c r="AA290" s="1598"/>
      <c r="AB290" s="1598"/>
      <c r="AC290" s="1598"/>
      <c r="AD290" s="1598"/>
      <c r="AE290" s="1598"/>
      <c r="AF290" s="1598"/>
      <c r="AG290" s="1598"/>
      <c r="AH290" s="1725"/>
      <c r="AI290" s="1725"/>
      <c r="AJ290" s="1725"/>
      <c r="AK290" s="1725"/>
      <c r="AL290" s="1725"/>
      <c r="AM290" s="1725"/>
      <c r="AN290" s="1725"/>
      <c r="AO290" s="1725"/>
      <c r="AP290" s="1725"/>
      <c r="AQ290" s="1725"/>
      <c r="AR290" s="1725"/>
      <c r="AS290" s="1725">
        <f t="shared" si="36"/>
        <v>0</v>
      </c>
      <c r="AT290" s="1725"/>
      <c r="AU290" s="1624">
        <v>0</v>
      </c>
      <c r="AV290" s="1624">
        <v>0</v>
      </c>
      <c r="AW290" s="1624">
        <v>0</v>
      </c>
      <c r="AX290" s="1624">
        <v>0</v>
      </c>
      <c r="AY290" s="1624">
        <v>0</v>
      </c>
      <c r="AZ290" s="1624">
        <v>0</v>
      </c>
      <c r="BA290" s="1624">
        <v>0</v>
      </c>
      <c r="BB290" s="1593"/>
      <c r="BC290" s="1726" t="s">
        <v>1985</v>
      </c>
      <c r="BD290" s="1595"/>
      <c r="BE290" s="1598">
        <f t="shared" si="31"/>
        <v>0</v>
      </c>
      <c r="BF290" s="1598">
        <f t="shared" si="31"/>
        <v>0</v>
      </c>
      <c r="BG290" s="1631">
        <v>1.9338999999999999E-5</v>
      </c>
      <c r="BH290" s="1598">
        <f t="shared" si="33"/>
        <v>0</v>
      </c>
      <c r="BI290" s="1598">
        <f t="shared" si="33"/>
        <v>0</v>
      </c>
      <c r="BJ290" s="1598">
        <f t="shared" si="33"/>
        <v>0</v>
      </c>
      <c r="BK290" s="1598">
        <f t="shared" si="32"/>
        <v>0</v>
      </c>
      <c r="BL290" s="1598">
        <f t="shared" si="32"/>
        <v>0</v>
      </c>
      <c r="BM290" s="1598">
        <f t="shared" si="32"/>
        <v>0</v>
      </c>
      <c r="BN290" s="1598">
        <f t="shared" si="32"/>
        <v>0</v>
      </c>
      <c r="BO290" s="1598">
        <f t="shared" si="32"/>
        <v>0</v>
      </c>
      <c r="BP290" s="1598">
        <f t="shared" si="32"/>
        <v>0</v>
      </c>
      <c r="BQ290" s="1576"/>
      <c r="BR290" s="1727" t="s">
        <v>1985</v>
      </c>
      <c r="BS290" s="1581"/>
      <c r="BT290" s="1539"/>
      <c r="BU290" s="1430">
        <v>1501006784</v>
      </c>
      <c r="BV290" s="1430" t="s">
        <v>1984</v>
      </c>
    </row>
    <row r="291" spans="1:74" s="1430" customFormat="1" ht="28" customHeight="1" outlineLevel="1">
      <c r="A291" s="1499">
        <v>57</v>
      </c>
      <c r="B291" s="1539" t="s">
        <v>2042</v>
      </c>
      <c r="C291" s="1578"/>
      <c r="D291" s="1511" t="s">
        <v>934</v>
      </c>
      <c r="E291" s="1579"/>
      <c r="F291" s="1334"/>
      <c r="G291" s="1318"/>
      <c r="H291" s="1318"/>
      <c r="I291" s="1379"/>
      <c r="J291" s="1379"/>
      <c r="K291" s="1402"/>
      <c r="L291" s="1337"/>
      <c r="M291" s="1337"/>
      <c r="N291" s="1339" t="s">
        <v>1984</v>
      </c>
      <c r="O291" s="1336"/>
      <c r="P291" s="1598">
        <f t="shared" si="34"/>
        <v>0</v>
      </c>
      <c r="Q291" s="1598">
        <f t="shared" si="34"/>
        <v>0</v>
      </c>
      <c r="R291" s="1573">
        <f t="shared" si="34"/>
        <v>1.4134799999999999E-4</v>
      </c>
      <c r="S291" s="1598">
        <f t="shared" si="34"/>
        <v>0</v>
      </c>
      <c r="T291" s="1598">
        <f t="shared" si="35"/>
        <v>1.4134799999999999E-4</v>
      </c>
      <c r="U291" s="1598">
        <f t="shared" si="29"/>
        <v>0</v>
      </c>
      <c r="V291" s="1598">
        <v>0</v>
      </c>
      <c r="W291" s="1598">
        <v>0</v>
      </c>
      <c r="X291" s="1598"/>
      <c r="Y291" s="1598"/>
      <c r="Z291" s="1598"/>
      <c r="AA291" s="1598"/>
      <c r="AB291" s="1598"/>
      <c r="AC291" s="1598"/>
      <c r="AD291" s="1598"/>
      <c r="AE291" s="1598"/>
      <c r="AF291" s="1598"/>
      <c r="AG291" s="1598"/>
      <c r="AH291" s="1725"/>
      <c r="AI291" s="1725"/>
      <c r="AJ291" s="1725"/>
      <c r="AK291" s="1725"/>
      <c r="AL291" s="1725"/>
      <c r="AM291" s="1725"/>
      <c r="AN291" s="1725"/>
      <c r="AO291" s="1725"/>
      <c r="AP291" s="1725"/>
      <c r="AQ291" s="1725"/>
      <c r="AR291" s="1725"/>
      <c r="AS291" s="1725">
        <f t="shared" si="36"/>
        <v>0</v>
      </c>
      <c r="AT291" s="1725"/>
      <c r="AU291" s="1624">
        <v>0</v>
      </c>
      <c r="AV291" s="1624">
        <v>0</v>
      </c>
      <c r="AW291" s="1624">
        <v>0</v>
      </c>
      <c r="AX291" s="1624">
        <v>0</v>
      </c>
      <c r="AY291" s="1624">
        <v>0</v>
      </c>
      <c r="AZ291" s="1624">
        <v>0</v>
      </c>
      <c r="BA291" s="1624">
        <v>0</v>
      </c>
      <c r="BB291" s="1593"/>
      <c r="BC291" s="1726" t="s">
        <v>1985</v>
      </c>
      <c r="BD291" s="1595"/>
      <c r="BE291" s="1598">
        <f t="shared" si="31"/>
        <v>0</v>
      </c>
      <c r="BF291" s="1598">
        <f t="shared" si="31"/>
        <v>0</v>
      </c>
      <c r="BG291" s="1631">
        <v>1.4134799999999999E-4</v>
      </c>
      <c r="BH291" s="1598">
        <f t="shared" si="33"/>
        <v>0</v>
      </c>
      <c r="BI291" s="1598">
        <f t="shared" si="33"/>
        <v>0</v>
      </c>
      <c r="BJ291" s="1598">
        <f t="shared" si="33"/>
        <v>0</v>
      </c>
      <c r="BK291" s="1598">
        <f t="shared" si="32"/>
        <v>0</v>
      </c>
      <c r="BL291" s="1598">
        <f t="shared" si="32"/>
        <v>0</v>
      </c>
      <c r="BM291" s="1598">
        <f t="shared" si="32"/>
        <v>0</v>
      </c>
      <c r="BN291" s="1598">
        <f t="shared" si="32"/>
        <v>0</v>
      </c>
      <c r="BO291" s="1598">
        <f t="shared" si="32"/>
        <v>0</v>
      </c>
      <c r="BP291" s="1598">
        <f t="shared" si="32"/>
        <v>0</v>
      </c>
      <c r="BQ291" s="1576"/>
      <c r="BR291" s="1727" t="s">
        <v>1985</v>
      </c>
      <c r="BS291" s="1581"/>
      <c r="BT291" s="1539"/>
      <c r="BU291" s="1430">
        <v>1501006785</v>
      </c>
      <c r="BV291" s="1430" t="s">
        <v>1984</v>
      </c>
    </row>
    <row r="292" spans="1:74" s="1430" customFormat="1" ht="33" customHeight="1" outlineLevel="1">
      <c r="A292" s="1499">
        <v>58</v>
      </c>
      <c r="B292" s="1539" t="s">
        <v>2043</v>
      </c>
      <c r="C292" s="1578"/>
      <c r="D292" s="1511" t="s">
        <v>934</v>
      </c>
      <c r="E292" s="1579"/>
      <c r="F292" s="1334"/>
      <c r="G292" s="1318"/>
      <c r="H292" s="1318"/>
      <c r="I292" s="1379"/>
      <c r="J292" s="1379"/>
      <c r="K292" s="1402"/>
      <c r="L292" s="1337"/>
      <c r="M292" s="1337"/>
      <c r="N292" s="1339" t="s">
        <v>1984</v>
      </c>
      <c r="O292" s="1336"/>
      <c r="P292" s="1598">
        <f t="shared" si="34"/>
        <v>0</v>
      </c>
      <c r="Q292" s="1598">
        <f t="shared" si="34"/>
        <v>0</v>
      </c>
      <c r="R292" s="1573">
        <f t="shared" si="34"/>
        <v>6.5490000000000007E-2</v>
      </c>
      <c r="S292" s="1598">
        <f t="shared" si="34"/>
        <v>0</v>
      </c>
      <c r="T292" s="1598">
        <f t="shared" si="35"/>
        <v>6.5490000000000007E-2</v>
      </c>
      <c r="U292" s="1598">
        <f t="shared" si="29"/>
        <v>0</v>
      </c>
      <c r="V292" s="1598">
        <v>0</v>
      </c>
      <c r="W292" s="1598">
        <v>0</v>
      </c>
      <c r="X292" s="1598"/>
      <c r="Y292" s="1598"/>
      <c r="Z292" s="1598"/>
      <c r="AA292" s="1598"/>
      <c r="AB292" s="1598"/>
      <c r="AC292" s="1598"/>
      <c r="AD292" s="1598"/>
      <c r="AE292" s="1598"/>
      <c r="AF292" s="1598"/>
      <c r="AG292" s="1598"/>
      <c r="AH292" s="1725"/>
      <c r="AI292" s="1725"/>
      <c r="AJ292" s="1725"/>
      <c r="AK292" s="1725"/>
      <c r="AL292" s="1725"/>
      <c r="AM292" s="1725"/>
      <c r="AN292" s="1725"/>
      <c r="AO292" s="1725"/>
      <c r="AP292" s="1725"/>
      <c r="AQ292" s="1725"/>
      <c r="AR292" s="1725"/>
      <c r="AS292" s="1725">
        <f t="shared" si="36"/>
        <v>0</v>
      </c>
      <c r="AT292" s="1725"/>
      <c r="AU292" s="1624">
        <v>0</v>
      </c>
      <c r="AV292" s="1624">
        <v>0</v>
      </c>
      <c r="AW292" s="1624">
        <v>0</v>
      </c>
      <c r="AX292" s="1624">
        <v>0</v>
      </c>
      <c r="AY292" s="1624">
        <v>0</v>
      </c>
      <c r="AZ292" s="1624">
        <v>0</v>
      </c>
      <c r="BA292" s="1624">
        <v>0</v>
      </c>
      <c r="BB292" s="1593"/>
      <c r="BC292" s="1734" t="s">
        <v>2044</v>
      </c>
      <c r="BD292" s="1595"/>
      <c r="BE292" s="1598">
        <f t="shared" si="31"/>
        <v>0</v>
      </c>
      <c r="BF292" s="1598">
        <f t="shared" si="31"/>
        <v>0</v>
      </c>
      <c r="BG292" s="1631">
        <v>6.5490000000000007E-2</v>
      </c>
      <c r="BH292" s="1598">
        <f t="shared" si="33"/>
        <v>0</v>
      </c>
      <c r="BI292" s="1598">
        <f t="shared" si="33"/>
        <v>0</v>
      </c>
      <c r="BJ292" s="1598">
        <f t="shared" si="33"/>
        <v>0</v>
      </c>
      <c r="BK292" s="1598">
        <f t="shared" si="32"/>
        <v>0</v>
      </c>
      <c r="BL292" s="1598">
        <f t="shared" si="32"/>
        <v>0</v>
      </c>
      <c r="BM292" s="1598">
        <f t="shared" si="32"/>
        <v>0</v>
      </c>
      <c r="BN292" s="1598">
        <f t="shared" si="32"/>
        <v>0</v>
      </c>
      <c r="BO292" s="1598">
        <f t="shared" si="32"/>
        <v>0</v>
      </c>
      <c r="BP292" s="1598">
        <f t="shared" si="32"/>
        <v>0</v>
      </c>
      <c r="BQ292" s="1576"/>
      <c r="BR292" s="1735" t="s">
        <v>2044</v>
      </c>
      <c r="BS292" s="1581"/>
      <c r="BT292" s="1539"/>
      <c r="BU292" s="1430">
        <v>1501006802</v>
      </c>
      <c r="BV292" s="1430" t="s">
        <v>1984</v>
      </c>
    </row>
    <row r="293" spans="1:74" s="1430" customFormat="1" ht="31" customHeight="1" outlineLevel="1">
      <c r="A293" s="1499">
        <v>59</v>
      </c>
      <c r="B293" s="1539" t="s">
        <v>2045</v>
      </c>
      <c r="C293" s="1578"/>
      <c r="D293" s="1511" t="s">
        <v>934</v>
      </c>
      <c r="E293" s="1579"/>
      <c r="F293" s="1334"/>
      <c r="G293" s="1318"/>
      <c r="H293" s="1318"/>
      <c r="I293" s="1379"/>
      <c r="J293" s="1379"/>
      <c r="K293" s="1402"/>
      <c r="L293" s="1337"/>
      <c r="M293" s="1337"/>
      <c r="N293" s="1339" t="s">
        <v>2046</v>
      </c>
      <c r="O293" s="1336"/>
      <c r="P293" s="1598">
        <f t="shared" si="34"/>
        <v>0</v>
      </c>
      <c r="Q293" s="1598">
        <f t="shared" si="34"/>
        <v>0</v>
      </c>
      <c r="R293" s="1573">
        <f t="shared" si="34"/>
        <v>7.4618999999999996E-3</v>
      </c>
      <c r="S293" s="1598">
        <f t="shared" si="34"/>
        <v>0</v>
      </c>
      <c r="T293" s="1598">
        <f t="shared" si="35"/>
        <v>7.4618999999999996E-3</v>
      </c>
      <c r="U293" s="1598">
        <f t="shared" si="29"/>
        <v>0</v>
      </c>
      <c r="V293" s="1598">
        <v>0</v>
      </c>
      <c r="W293" s="1598">
        <v>0</v>
      </c>
      <c r="X293" s="1598"/>
      <c r="Y293" s="1598"/>
      <c r="Z293" s="1598"/>
      <c r="AA293" s="1598"/>
      <c r="AB293" s="1598"/>
      <c r="AC293" s="1598"/>
      <c r="AD293" s="1598"/>
      <c r="AE293" s="1598"/>
      <c r="AF293" s="1598"/>
      <c r="AG293" s="1598"/>
      <c r="AH293" s="1725"/>
      <c r="AI293" s="1725"/>
      <c r="AJ293" s="1725"/>
      <c r="AK293" s="1725"/>
      <c r="AL293" s="1725"/>
      <c r="AM293" s="1725"/>
      <c r="AN293" s="1725"/>
      <c r="AO293" s="1725"/>
      <c r="AP293" s="1725"/>
      <c r="AQ293" s="1725"/>
      <c r="AR293" s="1725"/>
      <c r="AS293" s="1725">
        <f t="shared" si="36"/>
        <v>0</v>
      </c>
      <c r="AT293" s="1725"/>
      <c r="AU293" s="1624">
        <v>0</v>
      </c>
      <c r="AV293" s="1624">
        <v>0</v>
      </c>
      <c r="AW293" s="1624">
        <v>0</v>
      </c>
      <c r="AX293" s="1624">
        <v>0</v>
      </c>
      <c r="AY293" s="1624">
        <v>0</v>
      </c>
      <c r="AZ293" s="1624">
        <v>0</v>
      </c>
      <c r="BA293" s="1624">
        <v>0</v>
      </c>
      <c r="BB293" s="1593"/>
      <c r="BC293" s="1734" t="s">
        <v>2044</v>
      </c>
      <c r="BD293" s="1595"/>
      <c r="BE293" s="1598">
        <f t="shared" si="31"/>
        <v>0</v>
      </c>
      <c r="BF293" s="1598">
        <f t="shared" si="31"/>
        <v>0</v>
      </c>
      <c r="BG293" s="1631">
        <v>7.4618999999999996E-3</v>
      </c>
      <c r="BH293" s="1598">
        <f t="shared" si="33"/>
        <v>0</v>
      </c>
      <c r="BI293" s="1598">
        <f t="shared" si="33"/>
        <v>0</v>
      </c>
      <c r="BJ293" s="1598">
        <f t="shared" si="33"/>
        <v>0</v>
      </c>
      <c r="BK293" s="1598">
        <f t="shared" si="32"/>
        <v>0</v>
      </c>
      <c r="BL293" s="1598">
        <f t="shared" si="32"/>
        <v>0</v>
      </c>
      <c r="BM293" s="1598">
        <f t="shared" si="32"/>
        <v>0</v>
      </c>
      <c r="BN293" s="1598">
        <f t="shared" si="32"/>
        <v>0</v>
      </c>
      <c r="BO293" s="1598">
        <f t="shared" si="32"/>
        <v>0</v>
      </c>
      <c r="BP293" s="1598">
        <f t="shared" si="32"/>
        <v>0</v>
      </c>
      <c r="BQ293" s="1576"/>
      <c r="BR293" s="1735" t="s">
        <v>2044</v>
      </c>
      <c r="BS293" s="1581"/>
      <c r="BT293" s="1539"/>
      <c r="BU293" s="1430">
        <v>1501008425</v>
      </c>
      <c r="BV293" s="1430" t="s">
        <v>2046</v>
      </c>
    </row>
    <row r="294" spans="1:74" s="1430" customFormat="1" ht="36" customHeight="1" outlineLevel="1">
      <c r="A294" s="1499">
        <v>60</v>
      </c>
      <c r="B294" s="1539" t="s">
        <v>2047</v>
      </c>
      <c r="C294" s="1578"/>
      <c r="D294" s="1511" t="s">
        <v>934</v>
      </c>
      <c r="E294" s="1579"/>
      <c r="F294" s="1334"/>
      <c r="G294" s="1318"/>
      <c r="H294" s="1318"/>
      <c r="I294" s="1379"/>
      <c r="J294" s="1379"/>
      <c r="K294" s="1402"/>
      <c r="L294" s="1337"/>
      <c r="M294" s="1337"/>
      <c r="N294" s="1339" t="s">
        <v>2048</v>
      </c>
      <c r="O294" s="1336"/>
      <c r="P294" s="1598">
        <f t="shared" si="34"/>
        <v>0</v>
      </c>
      <c r="Q294" s="1598">
        <f t="shared" si="34"/>
        <v>0</v>
      </c>
      <c r="R294" s="1573">
        <f t="shared" si="34"/>
        <v>4.6610299000000001E-2</v>
      </c>
      <c r="S294" s="1598">
        <f t="shared" si="34"/>
        <v>0</v>
      </c>
      <c r="T294" s="1598">
        <f t="shared" si="35"/>
        <v>4.6610299000000001E-2</v>
      </c>
      <c r="U294" s="1598">
        <f t="shared" si="29"/>
        <v>0</v>
      </c>
      <c r="V294" s="1598">
        <v>0</v>
      </c>
      <c r="W294" s="1598">
        <v>0</v>
      </c>
      <c r="X294" s="1598"/>
      <c r="Y294" s="1598"/>
      <c r="Z294" s="1598"/>
      <c r="AA294" s="1598"/>
      <c r="AB294" s="1598"/>
      <c r="AC294" s="1598"/>
      <c r="AD294" s="1598"/>
      <c r="AE294" s="1598"/>
      <c r="AF294" s="1598"/>
      <c r="AG294" s="1598"/>
      <c r="AH294" s="1725"/>
      <c r="AI294" s="1725"/>
      <c r="AJ294" s="1725"/>
      <c r="AK294" s="1725"/>
      <c r="AL294" s="1725"/>
      <c r="AM294" s="1725"/>
      <c r="AN294" s="1725"/>
      <c r="AO294" s="1725"/>
      <c r="AP294" s="1725"/>
      <c r="AQ294" s="1725"/>
      <c r="AR294" s="1725"/>
      <c r="AS294" s="1725">
        <f t="shared" si="36"/>
        <v>0</v>
      </c>
      <c r="AT294" s="1725"/>
      <c r="AU294" s="1624">
        <v>0</v>
      </c>
      <c r="AV294" s="1624">
        <v>0</v>
      </c>
      <c r="AW294" s="1624">
        <v>0</v>
      </c>
      <c r="AX294" s="1624">
        <v>0</v>
      </c>
      <c r="AY294" s="1624">
        <v>0</v>
      </c>
      <c r="AZ294" s="1624">
        <v>0</v>
      </c>
      <c r="BA294" s="1624">
        <v>0</v>
      </c>
      <c r="BB294" s="1593"/>
      <c r="BC294" s="1726" t="s">
        <v>1985</v>
      </c>
      <c r="BD294" s="1595"/>
      <c r="BE294" s="1598">
        <f t="shared" si="31"/>
        <v>0</v>
      </c>
      <c r="BF294" s="1598">
        <f t="shared" si="31"/>
        <v>0</v>
      </c>
      <c r="BG294" s="1631">
        <v>4.6610299000000001E-2</v>
      </c>
      <c r="BH294" s="1598">
        <f t="shared" si="33"/>
        <v>0</v>
      </c>
      <c r="BI294" s="1598">
        <f t="shared" si="33"/>
        <v>0</v>
      </c>
      <c r="BJ294" s="1598">
        <f t="shared" si="33"/>
        <v>0</v>
      </c>
      <c r="BK294" s="1598">
        <f>CD294</f>
        <v>0</v>
      </c>
      <c r="BL294" s="1598">
        <f t="shared" si="32"/>
        <v>0</v>
      </c>
      <c r="BM294" s="1598">
        <f t="shared" si="32"/>
        <v>0</v>
      </c>
      <c r="BN294" s="1598">
        <f t="shared" si="32"/>
        <v>0</v>
      </c>
      <c r="BO294" s="1598">
        <f t="shared" si="32"/>
        <v>0</v>
      </c>
      <c r="BP294" s="1598">
        <f t="shared" si="32"/>
        <v>0</v>
      </c>
      <c r="BQ294" s="1576"/>
      <c r="BR294" s="1727" t="s">
        <v>1985</v>
      </c>
      <c r="BS294" s="1581"/>
      <c r="BT294" s="1539"/>
      <c r="BU294" s="1430">
        <v>1501008440</v>
      </c>
      <c r="BV294" s="1430" t="s">
        <v>2048</v>
      </c>
    </row>
    <row r="295" spans="1:74" s="1430" customFormat="1" outlineLevel="1">
      <c r="A295" s="1499">
        <v>61</v>
      </c>
      <c r="B295" s="1539" t="s">
        <v>2049</v>
      </c>
      <c r="C295" s="1578"/>
      <c r="D295" s="1511" t="s">
        <v>934</v>
      </c>
      <c r="E295" s="1579"/>
      <c r="F295" s="1334"/>
      <c r="G295" s="1318"/>
      <c r="H295" s="1318"/>
      <c r="I295" s="1379"/>
      <c r="J295" s="1379"/>
      <c r="K295" s="1402"/>
      <c r="L295" s="1337"/>
      <c r="M295" s="1337"/>
      <c r="N295" s="1339" t="s">
        <v>2050</v>
      </c>
      <c r="O295" s="1336"/>
      <c r="P295" s="1598">
        <f t="shared" si="34"/>
        <v>0</v>
      </c>
      <c r="Q295" s="1598">
        <f t="shared" si="34"/>
        <v>0</v>
      </c>
      <c r="R295" s="1573">
        <f t="shared" si="34"/>
        <v>0.21887515400000002</v>
      </c>
      <c r="S295" s="1598">
        <f t="shared" si="34"/>
        <v>0</v>
      </c>
      <c r="T295" s="1598">
        <f t="shared" si="35"/>
        <v>0.21887515400000002</v>
      </c>
      <c r="U295" s="1598">
        <f t="shared" si="29"/>
        <v>0</v>
      </c>
      <c r="V295" s="1598">
        <v>0</v>
      </c>
      <c r="W295" s="1598">
        <v>0</v>
      </c>
      <c r="X295" s="1598"/>
      <c r="Y295" s="1598"/>
      <c r="Z295" s="1598"/>
      <c r="AA295" s="1598"/>
      <c r="AB295" s="1598"/>
      <c r="AC295" s="1598"/>
      <c r="AD295" s="1598"/>
      <c r="AE295" s="1598"/>
      <c r="AF295" s="1598"/>
      <c r="AG295" s="1598"/>
      <c r="AH295" s="1725"/>
      <c r="AI295" s="1725"/>
      <c r="AJ295" s="1725"/>
      <c r="AK295" s="1725"/>
      <c r="AL295" s="1725"/>
      <c r="AM295" s="1725"/>
      <c r="AN295" s="1725"/>
      <c r="AO295" s="1725"/>
      <c r="AP295" s="1725"/>
      <c r="AQ295" s="1725"/>
      <c r="AR295" s="1725"/>
      <c r="AS295" s="1725">
        <f t="shared" si="36"/>
        <v>0</v>
      </c>
      <c r="AT295" s="1725"/>
      <c r="AU295" s="1624">
        <v>0</v>
      </c>
      <c r="AV295" s="1624">
        <v>0</v>
      </c>
      <c r="AW295" s="1624">
        <v>0</v>
      </c>
      <c r="AX295" s="1624">
        <v>0</v>
      </c>
      <c r="AY295" s="1624">
        <v>0</v>
      </c>
      <c r="AZ295" s="1624">
        <v>0</v>
      </c>
      <c r="BA295" s="1624">
        <v>0</v>
      </c>
      <c r="BB295" s="1593"/>
      <c r="BC295" s="1736" t="s">
        <v>1997</v>
      </c>
      <c r="BD295" s="1595"/>
      <c r="BE295" s="1598">
        <f t="shared" si="31"/>
        <v>0</v>
      </c>
      <c r="BF295" s="1598">
        <f t="shared" si="31"/>
        <v>0</v>
      </c>
      <c r="BG295" s="1631">
        <f>(1506492.87+682258.67)/10000000</f>
        <v>0.21887515400000002</v>
      </c>
      <c r="BH295" s="1598">
        <f t="shared" si="33"/>
        <v>0</v>
      </c>
      <c r="BI295" s="1598">
        <f t="shared" si="33"/>
        <v>0</v>
      </c>
      <c r="BJ295" s="1598">
        <f t="shared" si="33"/>
        <v>0</v>
      </c>
      <c r="BK295" s="1598">
        <f t="shared" si="32"/>
        <v>0</v>
      </c>
      <c r="BL295" s="1598">
        <f t="shared" si="32"/>
        <v>0</v>
      </c>
      <c r="BM295" s="1598">
        <f t="shared" si="32"/>
        <v>0</v>
      </c>
      <c r="BN295" s="1598">
        <f t="shared" si="32"/>
        <v>0</v>
      </c>
      <c r="BO295" s="1598">
        <f t="shared" si="32"/>
        <v>0</v>
      </c>
      <c r="BP295" s="1598">
        <f t="shared" si="32"/>
        <v>0</v>
      </c>
      <c r="BQ295" s="1576"/>
      <c r="BR295" s="1737" t="s">
        <v>1997</v>
      </c>
      <c r="BS295" s="1581"/>
      <c r="BT295" s="1539"/>
      <c r="BU295" s="1430">
        <v>180104305</v>
      </c>
      <c r="BV295" s="1430" t="s">
        <v>2050</v>
      </c>
    </row>
    <row r="296" spans="1:74" s="1430" customFormat="1" outlineLevel="1">
      <c r="A296" s="1499">
        <v>62</v>
      </c>
      <c r="B296" s="1539" t="s">
        <v>2051</v>
      </c>
      <c r="C296" s="1578"/>
      <c r="D296" s="1511" t="s">
        <v>934</v>
      </c>
      <c r="E296" s="1579"/>
      <c r="F296" s="1334"/>
      <c r="G296" s="1318"/>
      <c r="H296" s="1318"/>
      <c r="I296" s="1379"/>
      <c r="J296" s="1379"/>
      <c r="K296" s="1402"/>
      <c r="L296" s="1337"/>
      <c r="M296" s="1337"/>
      <c r="N296" s="1339" t="s">
        <v>1984</v>
      </c>
      <c r="O296" s="1336"/>
      <c r="P296" s="1598">
        <f t="shared" si="34"/>
        <v>0</v>
      </c>
      <c r="Q296" s="1573">
        <f t="shared" si="34"/>
        <v>8.3684199999999997E-4</v>
      </c>
      <c r="R296" s="1598">
        <f t="shared" si="34"/>
        <v>0</v>
      </c>
      <c r="S296" s="1598">
        <f t="shared" si="34"/>
        <v>0</v>
      </c>
      <c r="T296" s="1598">
        <f t="shared" si="35"/>
        <v>8.3684199999999997E-4</v>
      </c>
      <c r="U296" s="1598">
        <f t="shared" si="29"/>
        <v>0</v>
      </c>
      <c r="V296" s="1598">
        <v>0</v>
      </c>
      <c r="W296" s="1598">
        <v>0</v>
      </c>
      <c r="X296" s="1598"/>
      <c r="Y296" s="1598"/>
      <c r="Z296" s="1598"/>
      <c r="AA296" s="1598"/>
      <c r="AB296" s="1598"/>
      <c r="AC296" s="1598"/>
      <c r="AD296" s="1598"/>
      <c r="AE296" s="1598"/>
      <c r="AF296" s="1598"/>
      <c r="AG296" s="1598"/>
      <c r="AH296" s="1725"/>
      <c r="AI296" s="1725"/>
      <c r="AJ296" s="1725"/>
      <c r="AK296" s="1725"/>
      <c r="AL296" s="1725"/>
      <c r="AM296" s="1725"/>
      <c r="AN296" s="1725"/>
      <c r="AO296" s="1725"/>
      <c r="AP296" s="1725"/>
      <c r="AQ296" s="1725"/>
      <c r="AR296" s="1725"/>
      <c r="AS296" s="1725">
        <f t="shared" si="36"/>
        <v>0</v>
      </c>
      <c r="AT296" s="1725"/>
      <c r="AU296" s="1624">
        <v>0</v>
      </c>
      <c r="AV296" s="1624">
        <v>0</v>
      </c>
      <c r="AW296" s="1624">
        <v>0</v>
      </c>
      <c r="AX296" s="1624">
        <v>0</v>
      </c>
      <c r="AY296" s="1624">
        <v>0</v>
      </c>
      <c r="AZ296" s="1624">
        <v>0</v>
      </c>
      <c r="BA296" s="1624">
        <v>0</v>
      </c>
      <c r="BB296" s="1593"/>
      <c r="BC296" s="1738" t="s">
        <v>2052</v>
      </c>
      <c r="BD296" s="1595"/>
      <c r="BE296" s="1598">
        <f t="shared" ref="BE296:BE359" si="37">BX296</f>
        <v>0</v>
      </c>
      <c r="BF296" s="1739">
        <v>8.3684199999999997E-4</v>
      </c>
      <c r="BG296" s="1598">
        <f t="shared" ref="BG296:BJ359" si="38">BZ296</f>
        <v>0</v>
      </c>
      <c r="BH296" s="1598">
        <f t="shared" si="33"/>
        <v>0</v>
      </c>
      <c r="BI296" s="1598">
        <f t="shared" si="33"/>
        <v>0</v>
      </c>
      <c r="BJ296" s="1598">
        <f t="shared" si="33"/>
        <v>0</v>
      </c>
      <c r="BK296" s="1598">
        <f t="shared" si="32"/>
        <v>0</v>
      </c>
      <c r="BL296" s="1598">
        <f t="shared" si="32"/>
        <v>0</v>
      </c>
      <c r="BM296" s="1598">
        <f t="shared" si="32"/>
        <v>0</v>
      </c>
      <c r="BN296" s="1598">
        <f t="shared" si="32"/>
        <v>0</v>
      </c>
      <c r="BO296" s="1598">
        <f t="shared" si="32"/>
        <v>0</v>
      </c>
      <c r="BP296" s="1598">
        <f t="shared" si="32"/>
        <v>0</v>
      </c>
      <c r="BQ296" s="1576"/>
      <c r="BR296" s="1740" t="s">
        <v>2052</v>
      </c>
      <c r="BS296" s="1581"/>
      <c r="BT296" s="1539"/>
      <c r="BU296" s="1430">
        <v>130100766</v>
      </c>
      <c r="BV296" s="1430" t="s">
        <v>1984</v>
      </c>
    </row>
    <row r="297" spans="1:74" s="1430" customFormat="1" ht="29" outlineLevel="1">
      <c r="A297" s="1499">
        <v>63</v>
      </c>
      <c r="B297" s="1539" t="s">
        <v>2053</v>
      </c>
      <c r="C297" s="1578"/>
      <c r="D297" s="1511" t="s">
        <v>934</v>
      </c>
      <c r="E297" s="1579"/>
      <c r="F297" s="1334"/>
      <c r="G297" s="1318"/>
      <c r="H297" s="1318"/>
      <c r="I297" s="1379"/>
      <c r="J297" s="1379"/>
      <c r="K297" s="1402"/>
      <c r="L297" s="1337"/>
      <c r="M297" s="1337"/>
      <c r="N297" s="1339" t="s">
        <v>1984</v>
      </c>
      <c r="O297" s="1336"/>
      <c r="P297" s="1598">
        <f t="shared" si="34"/>
        <v>0</v>
      </c>
      <c r="Q297" s="1573">
        <f t="shared" si="34"/>
        <v>4.8560299999999999E-3</v>
      </c>
      <c r="R297" s="1598">
        <f t="shared" si="34"/>
        <v>0</v>
      </c>
      <c r="S297" s="1598">
        <f t="shared" si="34"/>
        <v>0</v>
      </c>
      <c r="T297" s="1598">
        <f t="shared" si="35"/>
        <v>4.8560299999999999E-3</v>
      </c>
      <c r="U297" s="1598">
        <f t="shared" si="29"/>
        <v>0</v>
      </c>
      <c r="V297" s="1598">
        <v>0</v>
      </c>
      <c r="W297" s="1598">
        <v>0</v>
      </c>
      <c r="X297" s="1598"/>
      <c r="Y297" s="1598"/>
      <c r="Z297" s="1598"/>
      <c r="AA297" s="1598"/>
      <c r="AB297" s="1598"/>
      <c r="AC297" s="1598"/>
      <c r="AD297" s="1598"/>
      <c r="AE297" s="1598"/>
      <c r="AF297" s="1598"/>
      <c r="AG297" s="1598"/>
      <c r="AH297" s="1725"/>
      <c r="AI297" s="1725"/>
      <c r="AJ297" s="1725"/>
      <c r="AK297" s="1725"/>
      <c r="AL297" s="1725"/>
      <c r="AM297" s="1725"/>
      <c r="AN297" s="1725"/>
      <c r="AO297" s="1725"/>
      <c r="AP297" s="1725"/>
      <c r="AQ297" s="1725"/>
      <c r="AR297" s="1725"/>
      <c r="AS297" s="1725">
        <f t="shared" si="36"/>
        <v>0</v>
      </c>
      <c r="AT297" s="1725"/>
      <c r="AU297" s="1624">
        <v>0</v>
      </c>
      <c r="AV297" s="1624">
        <v>0</v>
      </c>
      <c r="AW297" s="1624">
        <v>0</v>
      </c>
      <c r="AX297" s="1624">
        <v>0</v>
      </c>
      <c r="AY297" s="1624">
        <v>0</v>
      </c>
      <c r="AZ297" s="1624">
        <v>0</v>
      </c>
      <c r="BA297" s="1624">
        <v>0</v>
      </c>
      <c r="BB297" s="1593"/>
      <c r="BC297" s="1738" t="s">
        <v>2052</v>
      </c>
      <c r="BD297" s="1595"/>
      <c r="BE297" s="1598">
        <f t="shared" si="37"/>
        <v>0</v>
      </c>
      <c r="BF297" s="1739">
        <v>4.8560299999999999E-3</v>
      </c>
      <c r="BG297" s="1598">
        <f t="shared" si="38"/>
        <v>0</v>
      </c>
      <c r="BH297" s="1598">
        <f t="shared" si="33"/>
        <v>0</v>
      </c>
      <c r="BI297" s="1598">
        <f t="shared" si="33"/>
        <v>0</v>
      </c>
      <c r="BJ297" s="1598">
        <f t="shared" si="33"/>
        <v>0</v>
      </c>
      <c r="BK297" s="1598">
        <f t="shared" si="32"/>
        <v>0</v>
      </c>
      <c r="BL297" s="1598">
        <f t="shared" si="32"/>
        <v>0</v>
      </c>
      <c r="BM297" s="1598">
        <f t="shared" si="32"/>
        <v>0</v>
      </c>
      <c r="BN297" s="1598">
        <f t="shared" si="32"/>
        <v>0</v>
      </c>
      <c r="BO297" s="1598">
        <f t="shared" si="32"/>
        <v>0</v>
      </c>
      <c r="BP297" s="1598">
        <f t="shared" si="32"/>
        <v>0</v>
      </c>
      <c r="BQ297" s="1576"/>
      <c r="BR297" s="1740" t="s">
        <v>2052</v>
      </c>
      <c r="BS297" s="1581"/>
      <c r="BT297" s="1539"/>
      <c r="BU297" s="1430">
        <v>130100767</v>
      </c>
      <c r="BV297" s="1430" t="s">
        <v>1984</v>
      </c>
    </row>
    <row r="298" spans="1:74" s="1430" customFormat="1" outlineLevel="1">
      <c r="A298" s="1499">
        <v>64</v>
      </c>
      <c r="B298" s="1539" t="s">
        <v>2054</v>
      </c>
      <c r="C298" s="1578"/>
      <c r="D298" s="1511" t="s">
        <v>934</v>
      </c>
      <c r="E298" s="1579"/>
      <c r="F298" s="1334"/>
      <c r="G298" s="1318"/>
      <c r="H298" s="1318"/>
      <c r="I298" s="1379"/>
      <c r="J298" s="1379"/>
      <c r="K298" s="1402"/>
      <c r="L298" s="1337"/>
      <c r="M298" s="1337"/>
      <c r="N298" s="1339" t="s">
        <v>1984</v>
      </c>
      <c r="O298" s="1336"/>
      <c r="P298" s="1598">
        <f t="shared" si="34"/>
        <v>0</v>
      </c>
      <c r="Q298" s="1573">
        <f t="shared" si="34"/>
        <v>1.6841648000000001E-2</v>
      </c>
      <c r="R298" s="1598">
        <f t="shared" si="34"/>
        <v>0</v>
      </c>
      <c r="S298" s="1598">
        <f t="shared" si="34"/>
        <v>0</v>
      </c>
      <c r="T298" s="1598">
        <f t="shared" si="35"/>
        <v>1.6841648000000001E-2</v>
      </c>
      <c r="U298" s="1598">
        <f t="shared" si="29"/>
        <v>0</v>
      </c>
      <c r="V298" s="1598">
        <v>0</v>
      </c>
      <c r="W298" s="1598">
        <v>0</v>
      </c>
      <c r="X298" s="1598"/>
      <c r="Y298" s="1598"/>
      <c r="Z298" s="1598"/>
      <c r="AA298" s="1598"/>
      <c r="AB298" s="1598"/>
      <c r="AC298" s="1598"/>
      <c r="AD298" s="1598"/>
      <c r="AE298" s="1598"/>
      <c r="AF298" s="1598"/>
      <c r="AG298" s="1598"/>
      <c r="AH298" s="1725"/>
      <c r="AI298" s="1725"/>
      <c r="AJ298" s="1725"/>
      <c r="AK298" s="1725"/>
      <c r="AL298" s="1725"/>
      <c r="AM298" s="1725"/>
      <c r="AN298" s="1725"/>
      <c r="AO298" s="1725"/>
      <c r="AP298" s="1725"/>
      <c r="AQ298" s="1725"/>
      <c r="AR298" s="1725"/>
      <c r="AS298" s="1725">
        <f t="shared" si="36"/>
        <v>0</v>
      </c>
      <c r="AT298" s="1725"/>
      <c r="AU298" s="1624">
        <v>0</v>
      </c>
      <c r="AV298" s="1624">
        <v>0</v>
      </c>
      <c r="AW298" s="1624">
        <v>0</v>
      </c>
      <c r="AX298" s="1624">
        <v>0</v>
      </c>
      <c r="AY298" s="1624">
        <v>0</v>
      </c>
      <c r="AZ298" s="1624">
        <v>0</v>
      </c>
      <c r="BA298" s="1624">
        <v>0</v>
      </c>
      <c r="BB298" s="1593"/>
      <c r="BC298" s="1738" t="s">
        <v>2052</v>
      </c>
      <c r="BD298" s="1595"/>
      <c r="BE298" s="1598">
        <f t="shared" si="37"/>
        <v>0</v>
      </c>
      <c r="BF298" s="1739">
        <v>1.6841648000000001E-2</v>
      </c>
      <c r="BG298" s="1598">
        <f t="shared" si="38"/>
        <v>0</v>
      </c>
      <c r="BH298" s="1598">
        <f t="shared" si="33"/>
        <v>0</v>
      </c>
      <c r="BI298" s="1598">
        <f t="shared" si="33"/>
        <v>0</v>
      </c>
      <c r="BJ298" s="1598">
        <f t="shared" si="33"/>
        <v>0</v>
      </c>
      <c r="BK298" s="1598">
        <f t="shared" si="32"/>
        <v>0</v>
      </c>
      <c r="BL298" s="1598">
        <f t="shared" si="32"/>
        <v>0</v>
      </c>
      <c r="BM298" s="1598">
        <f t="shared" si="32"/>
        <v>0</v>
      </c>
      <c r="BN298" s="1598">
        <f t="shared" si="32"/>
        <v>0</v>
      </c>
      <c r="BO298" s="1598">
        <f t="shared" si="32"/>
        <v>0</v>
      </c>
      <c r="BP298" s="1598">
        <f t="shared" si="32"/>
        <v>0</v>
      </c>
      <c r="BQ298" s="1576"/>
      <c r="BR298" s="1740" t="s">
        <v>2052</v>
      </c>
      <c r="BS298" s="1581"/>
      <c r="BT298" s="1539"/>
      <c r="BU298" s="1430">
        <v>130100768</v>
      </c>
      <c r="BV298" s="1430" t="s">
        <v>1984</v>
      </c>
    </row>
    <row r="299" spans="1:74" s="1430" customFormat="1" outlineLevel="1">
      <c r="A299" s="1499">
        <v>65</v>
      </c>
      <c r="B299" s="1539" t="s">
        <v>2055</v>
      </c>
      <c r="C299" s="1578"/>
      <c r="D299" s="1511" t="s">
        <v>934</v>
      </c>
      <c r="E299" s="1579"/>
      <c r="F299" s="1334"/>
      <c r="G299" s="1318"/>
      <c r="H299" s="1318"/>
      <c r="I299" s="1379"/>
      <c r="J299" s="1379"/>
      <c r="K299" s="1402"/>
      <c r="L299" s="1337"/>
      <c r="M299" s="1337"/>
      <c r="N299" s="1339" t="s">
        <v>1984</v>
      </c>
      <c r="O299" s="1336"/>
      <c r="P299" s="1598">
        <f t="shared" ref="P299:S330" si="39">BE299</f>
        <v>0</v>
      </c>
      <c r="Q299" s="1573">
        <f t="shared" si="39"/>
        <v>1.8479445000000001E-2</v>
      </c>
      <c r="R299" s="1598">
        <f t="shared" si="39"/>
        <v>0</v>
      </c>
      <c r="S299" s="1598">
        <f t="shared" si="39"/>
        <v>0</v>
      </c>
      <c r="T299" s="1598">
        <f t="shared" si="35"/>
        <v>1.8479445000000001E-2</v>
      </c>
      <c r="U299" s="1598">
        <f t="shared" ref="U299:U362" si="40">BI299</f>
        <v>0</v>
      </c>
      <c r="V299" s="1598">
        <v>0</v>
      </c>
      <c r="W299" s="1598">
        <v>0</v>
      </c>
      <c r="X299" s="1598"/>
      <c r="Y299" s="1598"/>
      <c r="Z299" s="1598"/>
      <c r="AA299" s="1598"/>
      <c r="AB299" s="1598"/>
      <c r="AC299" s="1598"/>
      <c r="AD299" s="1598"/>
      <c r="AE299" s="1598"/>
      <c r="AF299" s="1598"/>
      <c r="AG299" s="1598"/>
      <c r="AH299" s="1725"/>
      <c r="AI299" s="1725"/>
      <c r="AJ299" s="1725"/>
      <c r="AK299" s="1725"/>
      <c r="AL299" s="1725"/>
      <c r="AM299" s="1725"/>
      <c r="AN299" s="1725"/>
      <c r="AO299" s="1725"/>
      <c r="AP299" s="1725"/>
      <c r="AQ299" s="1725"/>
      <c r="AR299" s="1725"/>
      <c r="AS299" s="1725">
        <f t="shared" si="36"/>
        <v>0</v>
      </c>
      <c r="AT299" s="1725"/>
      <c r="AU299" s="1624">
        <v>0</v>
      </c>
      <c r="AV299" s="1624">
        <v>0</v>
      </c>
      <c r="AW299" s="1624">
        <v>0</v>
      </c>
      <c r="AX299" s="1624">
        <v>0</v>
      </c>
      <c r="AY299" s="1624">
        <v>0</v>
      </c>
      <c r="AZ299" s="1624">
        <v>0</v>
      </c>
      <c r="BA299" s="1624">
        <v>0</v>
      </c>
      <c r="BB299" s="1593"/>
      <c r="BC299" s="1738" t="s">
        <v>2052</v>
      </c>
      <c r="BD299" s="1595"/>
      <c r="BE299" s="1598">
        <f t="shared" si="37"/>
        <v>0</v>
      </c>
      <c r="BF299" s="1739">
        <v>1.8479445000000001E-2</v>
      </c>
      <c r="BG299" s="1598">
        <f t="shared" si="38"/>
        <v>0</v>
      </c>
      <c r="BH299" s="1598">
        <f t="shared" si="33"/>
        <v>0</v>
      </c>
      <c r="BI299" s="1598">
        <f t="shared" si="33"/>
        <v>0</v>
      </c>
      <c r="BJ299" s="1598">
        <f t="shared" si="33"/>
        <v>0</v>
      </c>
      <c r="BK299" s="1598">
        <f t="shared" si="32"/>
        <v>0</v>
      </c>
      <c r="BL299" s="1598">
        <f t="shared" si="32"/>
        <v>0</v>
      </c>
      <c r="BM299" s="1598">
        <f t="shared" si="32"/>
        <v>0</v>
      </c>
      <c r="BN299" s="1598">
        <f t="shared" si="32"/>
        <v>0</v>
      </c>
      <c r="BO299" s="1598">
        <f t="shared" si="32"/>
        <v>0</v>
      </c>
      <c r="BP299" s="1598">
        <f t="shared" si="32"/>
        <v>0</v>
      </c>
      <c r="BQ299" s="1576"/>
      <c r="BR299" s="1740" t="s">
        <v>2052</v>
      </c>
      <c r="BS299" s="1581"/>
      <c r="BT299" s="1539"/>
      <c r="BU299" s="1430">
        <v>130100769</v>
      </c>
      <c r="BV299" s="1430" t="s">
        <v>1984</v>
      </c>
    </row>
    <row r="300" spans="1:74" s="1430" customFormat="1" ht="29" outlineLevel="1">
      <c r="A300" s="1499">
        <v>66</v>
      </c>
      <c r="B300" s="1539" t="s">
        <v>2056</v>
      </c>
      <c r="C300" s="1578"/>
      <c r="D300" s="1511" t="s">
        <v>934</v>
      </c>
      <c r="E300" s="1579"/>
      <c r="F300" s="1334"/>
      <c r="G300" s="1318"/>
      <c r="H300" s="1318"/>
      <c r="I300" s="1379"/>
      <c r="J300" s="1379"/>
      <c r="K300" s="1402"/>
      <c r="L300" s="1337"/>
      <c r="M300" s="1337"/>
      <c r="N300" s="1339" t="s">
        <v>1984</v>
      </c>
      <c r="O300" s="1336"/>
      <c r="P300" s="1598">
        <f t="shared" si="39"/>
        <v>0</v>
      </c>
      <c r="Q300" s="1573">
        <f t="shared" si="39"/>
        <v>1.7255999999999999E-5</v>
      </c>
      <c r="R300" s="1598">
        <f t="shared" si="39"/>
        <v>0</v>
      </c>
      <c r="S300" s="1598">
        <f t="shared" si="39"/>
        <v>0</v>
      </c>
      <c r="T300" s="1598">
        <f t="shared" si="35"/>
        <v>1.7255999999999999E-5</v>
      </c>
      <c r="U300" s="1598">
        <f t="shared" si="40"/>
        <v>0</v>
      </c>
      <c r="V300" s="1598">
        <v>0</v>
      </c>
      <c r="W300" s="1598">
        <v>0</v>
      </c>
      <c r="X300" s="1598"/>
      <c r="Y300" s="1598"/>
      <c r="Z300" s="1598"/>
      <c r="AA300" s="1598"/>
      <c r="AB300" s="1598"/>
      <c r="AC300" s="1598"/>
      <c r="AD300" s="1598"/>
      <c r="AE300" s="1598"/>
      <c r="AF300" s="1598"/>
      <c r="AG300" s="1598"/>
      <c r="AH300" s="1725"/>
      <c r="AI300" s="1725"/>
      <c r="AJ300" s="1725"/>
      <c r="AK300" s="1725"/>
      <c r="AL300" s="1725"/>
      <c r="AM300" s="1725"/>
      <c r="AN300" s="1725"/>
      <c r="AO300" s="1725"/>
      <c r="AP300" s="1725"/>
      <c r="AQ300" s="1725"/>
      <c r="AR300" s="1725"/>
      <c r="AS300" s="1725">
        <f t="shared" si="36"/>
        <v>0</v>
      </c>
      <c r="AT300" s="1725"/>
      <c r="AU300" s="1624">
        <v>0</v>
      </c>
      <c r="AV300" s="1624">
        <v>0</v>
      </c>
      <c r="AW300" s="1624">
        <v>0</v>
      </c>
      <c r="AX300" s="1624">
        <v>0</v>
      </c>
      <c r="AY300" s="1624">
        <v>0</v>
      </c>
      <c r="AZ300" s="1624">
        <v>0</v>
      </c>
      <c r="BA300" s="1624">
        <v>0</v>
      </c>
      <c r="BB300" s="1593"/>
      <c r="BC300" s="1741" t="s">
        <v>2057</v>
      </c>
      <c r="BD300" s="1595"/>
      <c r="BE300" s="1598">
        <f t="shared" si="37"/>
        <v>0</v>
      </c>
      <c r="BF300" s="1739">
        <v>1.7255999999999999E-5</v>
      </c>
      <c r="BG300" s="1598">
        <f t="shared" si="38"/>
        <v>0</v>
      </c>
      <c r="BH300" s="1598">
        <f t="shared" si="33"/>
        <v>0</v>
      </c>
      <c r="BI300" s="1598">
        <f t="shared" si="33"/>
        <v>0</v>
      </c>
      <c r="BJ300" s="1598">
        <f t="shared" si="33"/>
        <v>0</v>
      </c>
      <c r="BK300" s="1598">
        <f t="shared" si="32"/>
        <v>0</v>
      </c>
      <c r="BL300" s="1598">
        <f t="shared" si="32"/>
        <v>0</v>
      </c>
      <c r="BM300" s="1598">
        <f t="shared" si="32"/>
        <v>0</v>
      </c>
      <c r="BN300" s="1598">
        <f t="shared" si="32"/>
        <v>0</v>
      </c>
      <c r="BO300" s="1598">
        <f t="shared" si="32"/>
        <v>0</v>
      </c>
      <c r="BP300" s="1598">
        <f t="shared" si="32"/>
        <v>0</v>
      </c>
      <c r="BQ300" s="1576"/>
      <c r="BR300" s="1742" t="s">
        <v>2057</v>
      </c>
      <c r="BS300" s="1581"/>
      <c r="BT300" s="1743"/>
      <c r="BU300" s="1430">
        <v>1501006786</v>
      </c>
      <c r="BV300" s="1430" t="s">
        <v>1984</v>
      </c>
    </row>
    <row r="301" spans="1:74" s="1430" customFormat="1" outlineLevel="1">
      <c r="A301" s="1499">
        <v>67</v>
      </c>
      <c r="B301" s="1539" t="s">
        <v>2058</v>
      </c>
      <c r="C301" s="1578"/>
      <c r="D301" s="1511" t="s">
        <v>934</v>
      </c>
      <c r="E301" s="1579"/>
      <c r="F301" s="1334"/>
      <c r="G301" s="1318"/>
      <c r="H301" s="1318"/>
      <c r="I301" s="1379"/>
      <c r="J301" s="1379"/>
      <c r="K301" s="1402"/>
      <c r="L301" s="1337"/>
      <c r="M301" s="1337"/>
      <c r="N301" s="1339" t="s">
        <v>1984</v>
      </c>
      <c r="O301" s="1336"/>
      <c r="P301" s="1598">
        <f t="shared" si="39"/>
        <v>0</v>
      </c>
      <c r="Q301" s="1573">
        <f t="shared" si="39"/>
        <v>1.344619E-3</v>
      </c>
      <c r="R301" s="1598">
        <f t="shared" si="39"/>
        <v>0</v>
      </c>
      <c r="S301" s="1598">
        <f t="shared" si="39"/>
        <v>0</v>
      </c>
      <c r="T301" s="1598">
        <f t="shared" si="35"/>
        <v>1.344619E-3</v>
      </c>
      <c r="U301" s="1598">
        <f t="shared" si="40"/>
        <v>0</v>
      </c>
      <c r="V301" s="1598">
        <v>0</v>
      </c>
      <c r="W301" s="1598">
        <v>0</v>
      </c>
      <c r="X301" s="1598"/>
      <c r="Y301" s="1598"/>
      <c r="Z301" s="1598"/>
      <c r="AA301" s="1598"/>
      <c r="AB301" s="1598"/>
      <c r="AC301" s="1598"/>
      <c r="AD301" s="1598"/>
      <c r="AE301" s="1598"/>
      <c r="AF301" s="1598"/>
      <c r="AG301" s="1598"/>
      <c r="AH301" s="1725"/>
      <c r="AI301" s="1725"/>
      <c r="AJ301" s="1725"/>
      <c r="AK301" s="1725"/>
      <c r="AL301" s="1725"/>
      <c r="AM301" s="1725"/>
      <c r="AN301" s="1725"/>
      <c r="AO301" s="1725"/>
      <c r="AP301" s="1725"/>
      <c r="AQ301" s="1725"/>
      <c r="AR301" s="1725"/>
      <c r="AS301" s="1725">
        <f t="shared" si="36"/>
        <v>0</v>
      </c>
      <c r="AT301" s="1725"/>
      <c r="AU301" s="1624">
        <v>0</v>
      </c>
      <c r="AV301" s="1624">
        <v>0</v>
      </c>
      <c r="AW301" s="1624">
        <v>0</v>
      </c>
      <c r="AX301" s="1624">
        <v>0</v>
      </c>
      <c r="AY301" s="1624">
        <v>0</v>
      </c>
      <c r="AZ301" s="1624">
        <v>0</v>
      </c>
      <c r="BA301" s="1624">
        <v>0</v>
      </c>
      <c r="BB301" s="1593"/>
      <c r="BC301" s="1741" t="s">
        <v>2057</v>
      </c>
      <c r="BD301" s="1595"/>
      <c r="BE301" s="1598">
        <f t="shared" si="37"/>
        <v>0</v>
      </c>
      <c r="BF301" s="1739">
        <v>1.344619E-3</v>
      </c>
      <c r="BG301" s="1598">
        <f t="shared" si="38"/>
        <v>0</v>
      </c>
      <c r="BH301" s="1598">
        <f t="shared" si="33"/>
        <v>0</v>
      </c>
      <c r="BI301" s="1598">
        <f t="shared" si="33"/>
        <v>0</v>
      </c>
      <c r="BJ301" s="1598">
        <f t="shared" si="33"/>
        <v>0</v>
      </c>
      <c r="BK301" s="1598">
        <f t="shared" si="32"/>
        <v>0</v>
      </c>
      <c r="BL301" s="1598">
        <f t="shared" si="32"/>
        <v>0</v>
      </c>
      <c r="BM301" s="1598">
        <f t="shared" si="32"/>
        <v>0</v>
      </c>
      <c r="BN301" s="1598">
        <f t="shared" si="32"/>
        <v>0</v>
      </c>
      <c r="BO301" s="1598">
        <f t="shared" si="32"/>
        <v>0</v>
      </c>
      <c r="BP301" s="1598">
        <f t="shared" si="32"/>
        <v>0</v>
      </c>
      <c r="BQ301" s="1576"/>
      <c r="BR301" s="1742" t="s">
        <v>2057</v>
      </c>
      <c r="BS301" s="1581"/>
      <c r="BT301" s="1539"/>
      <c r="BU301" s="1430">
        <v>1501006787</v>
      </c>
      <c r="BV301" s="1430" t="s">
        <v>1984</v>
      </c>
    </row>
    <row r="302" spans="1:74" s="1430" customFormat="1" outlineLevel="1">
      <c r="A302" s="1499">
        <v>68</v>
      </c>
      <c r="B302" s="1539" t="s">
        <v>2059</v>
      </c>
      <c r="C302" s="1578"/>
      <c r="D302" s="1511" t="s">
        <v>934</v>
      </c>
      <c r="E302" s="1579"/>
      <c r="F302" s="1334"/>
      <c r="G302" s="1318"/>
      <c r="H302" s="1318"/>
      <c r="I302" s="1379"/>
      <c r="J302" s="1379"/>
      <c r="K302" s="1402"/>
      <c r="L302" s="1337"/>
      <c r="M302" s="1337"/>
      <c r="N302" s="1339" t="s">
        <v>1984</v>
      </c>
      <c r="O302" s="1336"/>
      <c r="P302" s="1598">
        <f t="shared" si="39"/>
        <v>0</v>
      </c>
      <c r="Q302" s="1573">
        <f t="shared" si="39"/>
        <v>2.1652109999999998E-3</v>
      </c>
      <c r="R302" s="1598">
        <f t="shared" si="39"/>
        <v>0</v>
      </c>
      <c r="S302" s="1598">
        <f t="shared" si="39"/>
        <v>0</v>
      </c>
      <c r="T302" s="1598">
        <f t="shared" si="35"/>
        <v>2.1652109999999998E-3</v>
      </c>
      <c r="U302" s="1598">
        <f t="shared" si="40"/>
        <v>0</v>
      </c>
      <c r="V302" s="1598">
        <v>0</v>
      </c>
      <c r="W302" s="1598">
        <v>0</v>
      </c>
      <c r="X302" s="1598"/>
      <c r="Y302" s="1598"/>
      <c r="Z302" s="1598"/>
      <c r="AA302" s="1598"/>
      <c r="AB302" s="1598"/>
      <c r="AC302" s="1598"/>
      <c r="AD302" s="1598"/>
      <c r="AE302" s="1598"/>
      <c r="AF302" s="1598"/>
      <c r="AG302" s="1598"/>
      <c r="AH302" s="1725"/>
      <c r="AI302" s="1725"/>
      <c r="AJ302" s="1725"/>
      <c r="AK302" s="1725"/>
      <c r="AL302" s="1725"/>
      <c r="AM302" s="1725"/>
      <c r="AN302" s="1725"/>
      <c r="AO302" s="1725"/>
      <c r="AP302" s="1725"/>
      <c r="AQ302" s="1725"/>
      <c r="AR302" s="1725"/>
      <c r="AS302" s="1725">
        <f t="shared" si="36"/>
        <v>0</v>
      </c>
      <c r="AT302" s="1725"/>
      <c r="AU302" s="1624">
        <v>0</v>
      </c>
      <c r="AV302" s="1624">
        <v>0</v>
      </c>
      <c r="AW302" s="1624">
        <v>0</v>
      </c>
      <c r="AX302" s="1624">
        <v>0</v>
      </c>
      <c r="AY302" s="1624">
        <v>0</v>
      </c>
      <c r="AZ302" s="1624">
        <v>0</v>
      </c>
      <c r="BA302" s="1624">
        <v>0</v>
      </c>
      <c r="BB302" s="1593"/>
      <c r="BC302" s="1726" t="s">
        <v>1985</v>
      </c>
      <c r="BD302" s="1595"/>
      <c r="BE302" s="1598">
        <f t="shared" si="37"/>
        <v>0</v>
      </c>
      <c r="BF302" s="1739">
        <v>2.1652109999999998E-3</v>
      </c>
      <c r="BG302" s="1598">
        <f t="shared" si="38"/>
        <v>0</v>
      </c>
      <c r="BH302" s="1598">
        <f t="shared" si="33"/>
        <v>0</v>
      </c>
      <c r="BI302" s="1598">
        <f t="shared" si="33"/>
        <v>0</v>
      </c>
      <c r="BJ302" s="1598">
        <f t="shared" si="33"/>
        <v>0</v>
      </c>
      <c r="BK302" s="1598">
        <f t="shared" si="32"/>
        <v>0</v>
      </c>
      <c r="BL302" s="1598">
        <f t="shared" si="32"/>
        <v>0</v>
      </c>
      <c r="BM302" s="1598">
        <f t="shared" si="32"/>
        <v>0</v>
      </c>
      <c r="BN302" s="1598">
        <f t="shared" si="32"/>
        <v>0</v>
      </c>
      <c r="BO302" s="1598">
        <f t="shared" si="32"/>
        <v>0</v>
      </c>
      <c r="BP302" s="1598">
        <f t="shared" si="32"/>
        <v>0</v>
      </c>
      <c r="BQ302" s="1576"/>
      <c r="BR302" s="1727" t="s">
        <v>1985</v>
      </c>
      <c r="BS302" s="1581"/>
      <c r="BT302" s="1539"/>
      <c r="BU302" s="1430">
        <v>1501006788</v>
      </c>
      <c r="BV302" s="1430" t="s">
        <v>1984</v>
      </c>
    </row>
    <row r="303" spans="1:74" s="1430" customFormat="1" ht="29" outlineLevel="1">
      <c r="A303" s="1499">
        <v>69</v>
      </c>
      <c r="B303" s="1539" t="s">
        <v>2060</v>
      </c>
      <c r="C303" s="1578"/>
      <c r="D303" s="1511" t="s">
        <v>934</v>
      </c>
      <c r="E303" s="1579"/>
      <c r="F303" s="1334"/>
      <c r="G303" s="1318"/>
      <c r="H303" s="1318"/>
      <c r="I303" s="1379"/>
      <c r="J303" s="1379"/>
      <c r="K303" s="1402"/>
      <c r="L303" s="1337"/>
      <c r="M303" s="1337"/>
      <c r="N303" s="1339" t="s">
        <v>1984</v>
      </c>
      <c r="O303" s="1336"/>
      <c r="P303" s="1598">
        <f t="shared" si="39"/>
        <v>0</v>
      </c>
      <c r="Q303" s="1573">
        <f t="shared" si="39"/>
        <v>7.0969070000000004E-3</v>
      </c>
      <c r="R303" s="1598">
        <f t="shared" si="39"/>
        <v>0</v>
      </c>
      <c r="S303" s="1598">
        <f t="shared" si="39"/>
        <v>0</v>
      </c>
      <c r="T303" s="1598">
        <f t="shared" si="35"/>
        <v>7.0969070000000004E-3</v>
      </c>
      <c r="U303" s="1598">
        <f t="shared" si="40"/>
        <v>0</v>
      </c>
      <c r="V303" s="1598">
        <v>0</v>
      </c>
      <c r="W303" s="1598">
        <v>0</v>
      </c>
      <c r="X303" s="1598"/>
      <c r="Y303" s="1598"/>
      <c r="Z303" s="1598"/>
      <c r="AA303" s="1598"/>
      <c r="AB303" s="1598"/>
      <c r="AC303" s="1598"/>
      <c r="AD303" s="1598"/>
      <c r="AE303" s="1598"/>
      <c r="AF303" s="1598"/>
      <c r="AG303" s="1598"/>
      <c r="AH303" s="1725"/>
      <c r="AI303" s="1725"/>
      <c r="AJ303" s="1725"/>
      <c r="AK303" s="1725"/>
      <c r="AL303" s="1725"/>
      <c r="AM303" s="1725"/>
      <c r="AN303" s="1725"/>
      <c r="AO303" s="1725"/>
      <c r="AP303" s="1725"/>
      <c r="AQ303" s="1725"/>
      <c r="AR303" s="1725"/>
      <c r="AS303" s="1725">
        <f t="shared" si="36"/>
        <v>0</v>
      </c>
      <c r="AT303" s="1725"/>
      <c r="AU303" s="1624">
        <v>0</v>
      </c>
      <c r="AV303" s="1624">
        <v>0</v>
      </c>
      <c r="AW303" s="1624">
        <v>0</v>
      </c>
      <c r="AX303" s="1624">
        <v>0</v>
      </c>
      <c r="AY303" s="1624">
        <v>0</v>
      </c>
      <c r="AZ303" s="1624">
        <v>0</v>
      </c>
      <c r="BA303" s="1624">
        <v>0</v>
      </c>
      <c r="BB303" s="1593"/>
      <c r="BC303" s="1726" t="s">
        <v>1985</v>
      </c>
      <c r="BD303" s="1595"/>
      <c r="BE303" s="1598">
        <f t="shared" si="37"/>
        <v>0</v>
      </c>
      <c r="BF303" s="1739">
        <v>7.0969070000000004E-3</v>
      </c>
      <c r="BG303" s="1598">
        <f t="shared" si="38"/>
        <v>0</v>
      </c>
      <c r="BH303" s="1598">
        <f t="shared" si="33"/>
        <v>0</v>
      </c>
      <c r="BI303" s="1598">
        <f t="shared" si="33"/>
        <v>0</v>
      </c>
      <c r="BJ303" s="1598">
        <f t="shared" si="33"/>
        <v>0</v>
      </c>
      <c r="BK303" s="1598">
        <f t="shared" si="32"/>
        <v>0</v>
      </c>
      <c r="BL303" s="1598">
        <f t="shared" si="32"/>
        <v>0</v>
      </c>
      <c r="BM303" s="1598">
        <f t="shared" si="32"/>
        <v>0</v>
      </c>
      <c r="BN303" s="1598">
        <f t="shared" si="32"/>
        <v>0</v>
      </c>
      <c r="BO303" s="1598">
        <f t="shared" si="32"/>
        <v>0</v>
      </c>
      <c r="BP303" s="1598">
        <f t="shared" si="32"/>
        <v>0</v>
      </c>
      <c r="BQ303" s="1576"/>
      <c r="BR303" s="1727" t="s">
        <v>1985</v>
      </c>
      <c r="BS303" s="1581"/>
      <c r="BT303" s="1539"/>
      <c r="BU303" s="1430">
        <v>1501006789</v>
      </c>
      <c r="BV303" s="1430" t="s">
        <v>1984</v>
      </c>
    </row>
    <row r="304" spans="1:74" s="1430" customFormat="1" outlineLevel="1">
      <c r="A304" s="1499">
        <v>70</v>
      </c>
      <c r="B304" s="1539" t="s">
        <v>2061</v>
      </c>
      <c r="C304" s="1578"/>
      <c r="D304" s="1511" t="s">
        <v>934</v>
      </c>
      <c r="E304" s="1579"/>
      <c r="F304" s="1334"/>
      <c r="G304" s="1318"/>
      <c r="H304" s="1318"/>
      <c r="I304" s="1379"/>
      <c r="J304" s="1379"/>
      <c r="K304" s="1402"/>
      <c r="L304" s="1337"/>
      <c r="M304" s="1337"/>
      <c r="N304" s="1339" t="s">
        <v>1984</v>
      </c>
      <c r="O304" s="1336"/>
      <c r="P304" s="1598">
        <f t="shared" si="39"/>
        <v>0</v>
      </c>
      <c r="Q304" s="1573">
        <f t="shared" si="39"/>
        <v>1.2125858999999999E-2</v>
      </c>
      <c r="R304" s="1598">
        <f t="shared" si="39"/>
        <v>0</v>
      </c>
      <c r="S304" s="1598">
        <f t="shared" si="39"/>
        <v>0</v>
      </c>
      <c r="T304" s="1598">
        <f t="shared" si="35"/>
        <v>1.2125858999999999E-2</v>
      </c>
      <c r="U304" s="1598">
        <f t="shared" si="40"/>
        <v>0</v>
      </c>
      <c r="V304" s="1598">
        <v>0</v>
      </c>
      <c r="W304" s="1598">
        <v>0</v>
      </c>
      <c r="X304" s="1598"/>
      <c r="Y304" s="1598"/>
      <c r="Z304" s="1598"/>
      <c r="AA304" s="1598"/>
      <c r="AB304" s="1598"/>
      <c r="AC304" s="1598"/>
      <c r="AD304" s="1598"/>
      <c r="AE304" s="1598"/>
      <c r="AF304" s="1598"/>
      <c r="AG304" s="1598"/>
      <c r="AH304" s="1725"/>
      <c r="AI304" s="1725"/>
      <c r="AJ304" s="1725"/>
      <c r="AK304" s="1725"/>
      <c r="AL304" s="1725"/>
      <c r="AM304" s="1725"/>
      <c r="AN304" s="1725"/>
      <c r="AO304" s="1725"/>
      <c r="AP304" s="1725"/>
      <c r="AQ304" s="1725"/>
      <c r="AR304" s="1725"/>
      <c r="AS304" s="1725">
        <f t="shared" si="36"/>
        <v>0</v>
      </c>
      <c r="AT304" s="1725"/>
      <c r="AU304" s="1624">
        <v>0</v>
      </c>
      <c r="AV304" s="1624">
        <v>0</v>
      </c>
      <c r="AW304" s="1624">
        <v>0</v>
      </c>
      <c r="AX304" s="1624">
        <v>0</v>
      </c>
      <c r="AY304" s="1624">
        <v>0</v>
      </c>
      <c r="AZ304" s="1624">
        <v>0</v>
      </c>
      <c r="BA304" s="1624">
        <v>0</v>
      </c>
      <c r="BB304" s="1593"/>
      <c r="BC304" s="1726" t="s">
        <v>1985</v>
      </c>
      <c r="BD304" s="1595"/>
      <c r="BE304" s="1598">
        <f t="shared" si="37"/>
        <v>0</v>
      </c>
      <c r="BF304" s="1739">
        <v>1.2125858999999999E-2</v>
      </c>
      <c r="BG304" s="1598">
        <f t="shared" si="38"/>
        <v>0</v>
      </c>
      <c r="BH304" s="1598">
        <f t="shared" si="33"/>
        <v>0</v>
      </c>
      <c r="BI304" s="1598">
        <f t="shared" si="33"/>
        <v>0</v>
      </c>
      <c r="BJ304" s="1598">
        <f t="shared" si="33"/>
        <v>0</v>
      </c>
      <c r="BK304" s="1598">
        <f t="shared" si="32"/>
        <v>0</v>
      </c>
      <c r="BL304" s="1598">
        <f t="shared" si="32"/>
        <v>0</v>
      </c>
      <c r="BM304" s="1598">
        <f t="shared" si="32"/>
        <v>0</v>
      </c>
      <c r="BN304" s="1598">
        <f t="shared" si="32"/>
        <v>0</v>
      </c>
      <c r="BO304" s="1598">
        <f t="shared" si="32"/>
        <v>0</v>
      </c>
      <c r="BP304" s="1598">
        <f t="shared" si="32"/>
        <v>0</v>
      </c>
      <c r="BQ304" s="1576"/>
      <c r="BR304" s="1727" t="s">
        <v>1985</v>
      </c>
      <c r="BS304" s="1581"/>
      <c r="BT304" s="1539"/>
      <c r="BU304" s="1430">
        <v>1501006790</v>
      </c>
      <c r="BV304" s="1430" t="s">
        <v>1984</v>
      </c>
    </row>
    <row r="305" spans="1:74" s="1430" customFormat="1" outlineLevel="1">
      <c r="A305" s="1499">
        <v>71</v>
      </c>
      <c r="B305" s="1539" t="s">
        <v>2062</v>
      </c>
      <c r="C305" s="1578"/>
      <c r="D305" s="1511" t="s">
        <v>934</v>
      </c>
      <c r="E305" s="1579"/>
      <c r="F305" s="1334"/>
      <c r="G305" s="1318"/>
      <c r="H305" s="1318"/>
      <c r="I305" s="1379"/>
      <c r="J305" s="1379"/>
      <c r="K305" s="1402"/>
      <c r="L305" s="1337"/>
      <c r="M305" s="1337"/>
      <c r="N305" s="1339" t="s">
        <v>1984</v>
      </c>
      <c r="O305" s="1336"/>
      <c r="P305" s="1598">
        <f t="shared" si="39"/>
        <v>0</v>
      </c>
      <c r="Q305" s="1573">
        <f t="shared" si="39"/>
        <v>4.0530039999999998E-3</v>
      </c>
      <c r="R305" s="1598">
        <f t="shared" si="39"/>
        <v>0</v>
      </c>
      <c r="S305" s="1598">
        <f t="shared" si="39"/>
        <v>0</v>
      </c>
      <c r="T305" s="1598">
        <f t="shared" si="35"/>
        <v>4.0530039999999998E-3</v>
      </c>
      <c r="U305" s="1598">
        <f t="shared" si="40"/>
        <v>0</v>
      </c>
      <c r="V305" s="1598">
        <v>0</v>
      </c>
      <c r="W305" s="1598">
        <v>0</v>
      </c>
      <c r="X305" s="1598"/>
      <c r="Y305" s="1598"/>
      <c r="Z305" s="1598"/>
      <c r="AA305" s="1598"/>
      <c r="AB305" s="1598"/>
      <c r="AC305" s="1598"/>
      <c r="AD305" s="1598"/>
      <c r="AE305" s="1598"/>
      <c r="AF305" s="1598"/>
      <c r="AG305" s="1598"/>
      <c r="AH305" s="1725"/>
      <c r="AI305" s="1725"/>
      <c r="AJ305" s="1725"/>
      <c r="AK305" s="1725"/>
      <c r="AL305" s="1725"/>
      <c r="AM305" s="1725"/>
      <c r="AN305" s="1725"/>
      <c r="AO305" s="1725"/>
      <c r="AP305" s="1725"/>
      <c r="AQ305" s="1725"/>
      <c r="AR305" s="1725"/>
      <c r="AS305" s="1725">
        <f t="shared" si="36"/>
        <v>0</v>
      </c>
      <c r="AT305" s="1725"/>
      <c r="AU305" s="1624">
        <v>0</v>
      </c>
      <c r="AV305" s="1624">
        <v>0</v>
      </c>
      <c r="AW305" s="1624">
        <v>0</v>
      </c>
      <c r="AX305" s="1624">
        <v>0</v>
      </c>
      <c r="AY305" s="1624">
        <v>0</v>
      </c>
      <c r="AZ305" s="1624">
        <v>0</v>
      </c>
      <c r="BA305" s="1624">
        <v>0</v>
      </c>
      <c r="BB305" s="1593"/>
      <c r="BC305" s="1726" t="s">
        <v>1985</v>
      </c>
      <c r="BD305" s="1595"/>
      <c r="BE305" s="1598">
        <f t="shared" si="37"/>
        <v>0</v>
      </c>
      <c r="BF305" s="1739">
        <v>4.0530039999999998E-3</v>
      </c>
      <c r="BG305" s="1598">
        <f t="shared" si="38"/>
        <v>0</v>
      </c>
      <c r="BH305" s="1598">
        <f t="shared" si="33"/>
        <v>0</v>
      </c>
      <c r="BI305" s="1598">
        <f t="shared" si="33"/>
        <v>0</v>
      </c>
      <c r="BJ305" s="1598">
        <f t="shared" si="33"/>
        <v>0</v>
      </c>
      <c r="BK305" s="1598">
        <f t="shared" si="32"/>
        <v>0</v>
      </c>
      <c r="BL305" s="1598">
        <f t="shared" si="32"/>
        <v>0</v>
      </c>
      <c r="BM305" s="1598">
        <f t="shared" si="32"/>
        <v>0</v>
      </c>
      <c r="BN305" s="1598">
        <f t="shared" si="32"/>
        <v>0</v>
      </c>
      <c r="BO305" s="1598">
        <f t="shared" ref="BO305:BP368" si="41">CH305</f>
        <v>0</v>
      </c>
      <c r="BP305" s="1598">
        <f t="shared" si="41"/>
        <v>0</v>
      </c>
      <c r="BQ305" s="1576"/>
      <c r="BR305" s="1727" t="s">
        <v>1985</v>
      </c>
      <c r="BS305" s="1581"/>
      <c r="BT305" s="1539"/>
      <c r="BU305" s="1430">
        <v>1501006791</v>
      </c>
      <c r="BV305" s="1430" t="s">
        <v>1984</v>
      </c>
    </row>
    <row r="306" spans="1:74" s="1430" customFormat="1" outlineLevel="1">
      <c r="A306" s="1499">
        <v>72</v>
      </c>
      <c r="B306" s="1539" t="s">
        <v>2063</v>
      </c>
      <c r="C306" s="1578"/>
      <c r="D306" s="1511" t="s">
        <v>934</v>
      </c>
      <c r="E306" s="1579"/>
      <c r="F306" s="1334"/>
      <c r="G306" s="1318"/>
      <c r="H306" s="1318"/>
      <c r="I306" s="1379"/>
      <c r="J306" s="1379"/>
      <c r="K306" s="1402"/>
      <c r="L306" s="1337"/>
      <c r="M306" s="1337"/>
      <c r="N306" s="1339" t="s">
        <v>1984</v>
      </c>
      <c r="O306" s="1336"/>
      <c r="P306" s="1598">
        <f t="shared" si="39"/>
        <v>0</v>
      </c>
      <c r="Q306" s="1573">
        <f t="shared" si="39"/>
        <v>9.5127619999999993E-3</v>
      </c>
      <c r="R306" s="1598">
        <f t="shared" si="39"/>
        <v>0</v>
      </c>
      <c r="S306" s="1598">
        <f t="shared" si="39"/>
        <v>0</v>
      </c>
      <c r="T306" s="1598">
        <f t="shared" si="35"/>
        <v>9.5127619999999993E-3</v>
      </c>
      <c r="U306" s="1598">
        <f t="shared" si="40"/>
        <v>0</v>
      </c>
      <c r="V306" s="1598">
        <v>0</v>
      </c>
      <c r="W306" s="1598">
        <v>0</v>
      </c>
      <c r="X306" s="1598"/>
      <c r="Y306" s="1598"/>
      <c r="Z306" s="1598"/>
      <c r="AA306" s="1598"/>
      <c r="AB306" s="1598"/>
      <c r="AC306" s="1598"/>
      <c r="AD306" s="1598"/>
      <c r="AE306" s="1598"/>
      <c r="AF306" s="1598"/>
      <c r="AG306" s="1598"/>
      <c r="AH306" s="1725"/>
      <c r="AI306" s="1725"/>
      <c r="AJ306" s="1725"/>
      <c r="AK306" s="1725"/>
      <c r="AL306" s="1725"/>
      <c r="AM306" s="1725"/>
      <c r="AN306" s="1725"/>
      <c r="AO306" s="1725"/>
      <c r="AP306" s="1725"/>
      <c r="AQ306" s="1725"/>
      <c r="AR306" s="1725"/>
      <c r="AS306" s="1725">
        <f t="shared" si="36"/>
        <v>0</v>
      </c>
      <c r="AT306" s="1725"/>
      <c r="AU306" s="1624">
        <v>0</v>
      </c>
      <c r="AV306" s="1624">
        <v>0</v>
      </c>
      <c r="AW306" s="1624">
        <v>0</v>
      </c>
      <c r="AX306" s="1624">
        <v>0</v>
      </c>
      <c r="AY306" s="1624">
        <v>0</v>
      </c>
      <c r="AZ306" s="1624">
        <v>0</v>
      </c>
      <c r="BA306" s="1624">
        <v>0</v>
      </c>
      <c r="BB306" s="1593"/>
      <c r="BC306" s="1726" t="s">
        <v>1985</v>
      </c>
      <c r="BD306" s="1595"/>
      <c r="BE306" s="1598">
        <f t="shared" si="37"/>
        <v>0</v>
      </c>
      <c r="BF306" s="1739">
        <v>9.5127619999999993E-3</v>
      </c>
      <c r="BG306" s="1598">
        <f t="shared" si="38"/>
        <v>0</v>
      </c>
      <c r="BH306" s="1598">
        <f t="shared" si="33"/>
        <v>0</v>
      </c>
      <c r="BI306" s="1598">
        <f t="shared" si="33"/>
        <v>0</v>
      </c>
      <c r="BJ306" s="1598">
        <f t="shared" si="33"/>
        <v>0</v>
      </c>
      <c r="BK306" s="1598">
        <f t="shared" si="33"/>
        <v>0</v>
      </c>
      <c r="BL306" s="1598">
        <f t="shared" si="33"/>
        <v>0</v>
      </c>
      <c r="BM306" s="1598">
        <f t="shared" si="33"/>
        <v>0</v>
      </c>
      <c r="BN306" s="1598">
        <f t="shared" si="33"/>
        <v>0</v>
      </c>
      <c r="BO306" s="1598">
        <f t="shared" si="41"/>
        <v>0</v>
      </c>
      <c r="BP306" s="1598">
        <f t="shared" si="41"/>
        <v>0</v>
      </c>
      <c r="BQ306" s="1576"/>
      <c r="BR306" s="1727" t="s">
        <v>1985</v>
      </c>
      <c r="BS306" s="1581"/>
      <c r="BT306" s="1539"/>
      <c r="BU306" s="1430">
        <v>1501006792</v>
      </c>
      <c r="BV306" s="1430" t="s">
        <v>1984</v>
      </c>
    </row>
    <row r="307" spans="1:74" s="1430" customFormat="1" outlineLevel="1">
      <c r="A307" s="1499">
        <v>73</v>
      </c>
      <c r="B307" s="1539" t="s">
        <v>2064</v>
      </c>
      <c r="C307" s="1578"/>
      <c r="D307" s="1511" t="s">
        <v>934</v>
      </c>
      <c r="E307" s="1579"/>
      <c r="F307" s="1334"/>
      <c r="G307" s="1318"/>
      <c r="H307" s="1318"/>
      <c r="I307" s="1379"/>
      <c r="J307" s="1379"/>
      <c r="K307" s="1402"/>
      <c r="L307" s="1337"/>
      <c r="M307" s="1337"/>
      <c r="N307" s="1339" t="s">
        <v>1984</v>
      </c>
      <c r="O307" s="1336"/>
      <c r="P307" s="1598">
        <f t="shared" si="39"/>
        <v>0</v>
      </c>
      <c r="Q307" s="1573">
        <f t="shared" si="39"/>
        <v>4.1004594999999998E-2</v>
      </c>
      <c r="R307" s="1598">
        <f t="shared" si="39"/>
        <v>0</v>
      </c>
      <c r="S307" s="1598">
        <f t="shared" si="39"/>
        <v>0</v>
      </c>
      <c r="T307" s="1598">
        <f t="shared" si="35"/>
        <v>4.1004594999999998E-2</v>
      </c>
      <c r="U307" s="1598">
        <f t="shared" si="40"/>
        <v>0</v>
      </c>
      <c r="V307" s="1598">
        <v>0</v>
      </c>
      <c r="W307" s="1598">
        <v>0</v>
      </c>
      <c r="X307" s="1598"/>
      <c r="Y307" s="1598"/>
      <c r="Z307" s="1598"/>
      <c r="AA307" s="1598"/>
      <c r="AB307" s="1598"/>
      <c r="AC307" s="1598"/>
      <c r="AD307" s="1598"/>
      <c r="AE307" s="1598"/>
      <c r="AF307" s="1598"/>
      <c r="AG307" s="1598"/>
      <c r="AH307" s="1725"/>
      <c r="AI307" s="1725"/>
      <c r="AJ307" s="1725"/>
      <c r="AK307" s="1725"/>
      <c r="AL307" s="1725"/>
      <c r="AM307" s="1725"/>
      <c r="AN307" s="1725"/>
      <c r="AO307" s="1725"/>
      <c r="AP307" s="1725"/>
      <c r="AQ307" s="1725"/>
      <c r="AR307" s="1725"/>
      <c r="AS307" s="1725">
        <f t="shared" si="36"/>
        <v>0</v>
      </c>
      <c r="AT307" s="1725"/>
      <c r="AU307" s="1624">
        <v>0</v>
      </c>
      <c r="AV307" s="1624">
        <v>0</v>
      </c>
      <c r="AW307" s="1624">
        <v>0</v>
      </c>
      <c r="AX307" s="1624">
        <v>0</v>
      </c>
      <c r="AY307" s="1624">
        <v>0</v>
      </c>
      <c r="AZ307" s="1624">
        <v>0</v>
      </c>
      <c r="BA307" s="1624">
        <v>0</v>
      </c>
      <c r="BB307" s="1593"/>
      <c r="BC307" s="1738" t="s">
        <v>2052</v>
      </c>
      <c r="BD307" s="1595"/>
      <c r="BE307" s="1598">
        <f t="shared" si="37"/>
        <v>0</v>
      </c>
      <c r="BF307" s="1739">
        <v>4.1004594999999998E-2</v>
      </c>
      <c r="BG307" s="1598">
        <f t="shared" si="38"/>
        <v>0</v>
      </c>
      <c r="BH307" s="1598">
        <f t="shared" si="33"/>
        <v>0</v>
      </c>
      <c r="BI307" s="1598">
        <f t="shared" si="33"/>
        <v>0</v>
      </c>
      <c r="BJ307" s="1598">
        <f t="shared" si="33"/>
        <v>0</v>
      </c>
      <c r="BK307" s="1598">
        <f t="shared" si="33"/>
        <v>0</v>
      </c>
      <c r="BL307" s="1598">
        <f t="shared" si="33"/>
        <v>0</v>
      </c>
      <c r="BM307" s="1598">
        <f t="shared" si="33"/>
        <v>0</v>
      </c>
      <c r="BN307" s="1598">
        <f t="shared" si="33"/>
        <v>0</v>
      </c>
      <c r="BO307" s="1598">
        <f t="shared" si="41"/>
        <v>0</v>
      </c>
      <c r="BP307" s="1598">
        <f t="shared" si="41"/>
        <v>0</v>
      </c>
      <c r="BQ307" s="1576"/>
      <c r="BR307" s="1740" t="s">
        <v>2052</v>
      </c>
      <c r="BS307" s="1581"/>
      <c r="BT307" s="1539"/>
      <c r="BU307" s="1430">
        <v>1501006793</v>
      </c>
      <c r="BV307" s="1430" t="s">
        <v>1984</v>
      </c>
    </row>
    <row r="308" spans="1:74" s="1430" customFormat="1" ht="29" outlineLevel="1">
      <c r="A308" s="1499">
        <v>74</v>
      </c>
      <c r="B308" s="1539" t="s">
        <v>2065</v>
      </c>
      <c r="C308" s="1578"/>
      <c r="D308" s="1511" t="s">
        <v>934</v>
      </c>
      <c r="E308" s="1579"/>
      <c r="F308" s="1334"/>
      <c r="G308" s="1318"/>
      <c r="H308" s="1318"/>
      <c r="I308" s="1379"/>
      <c r="J308" s="1379"/>
      <c r="K308" s="1402"/>
      <c r="L308" s="1337"/>
      <c r="M308" s="1337"/>
      <c r="N308" s="1339" t="s">
        <v>1984</v>
      </c>
      <c r="O308" s="1336"/>
      <c r="P308" s="1598">
        <f t="shared" si="39"/>
        <v>0</v>
      </c>
      <c r="Q308" s="1573">
        <f t="shared" si="39"/>
        <v>8.3837327000000003E-2</v>
      </c>
      <c r="R308" s="1598">
        <f t="shared" si="39"/>
        <v>0</v>
      </c>
      <c r="S308" s="1598">
        <f t="shared" si="39"/>
        <v>0</v>
      </c>
      <c r="T308" s="1598">
        <f t="shared" si="35"/>
        <v>8.3837327000000003E-2</v>
      </c>
      <c r="U308" s="1598">
        <f t="shared" si="40"/>
        <v>0</v>
      </c>
      <c r="V308" s="1598">
        <v>0</v>
      </c>
      <c r="W308" s="1598">
        <v>0</v>
      </c>
      <c r="X308" s="1598"/>
      <c r="Y308" s="1598"/>
      <c r="Z308" s="1598"/>
      <c r="AA308" s="1598"/>
      <c r="AB308" s="1598"/>
      <c r="AC308" s="1598"/>
      <c r="AD308" s="1598"/>
      <c r="AE308" s="1598"/>
      <c r="AF308" s="1598"/>
      <c r="AG308" s="1598"/>
      <c r="AH308" s="1725"/>
      <c r="AI308" s="1725"/>
      <c r="AJ308" s="1725"/>
      <c r="AK308" s="1725"/>
      <c r="AL308" s="1725"/>
      <c r="AM308" s="1725"/>
      <c r="AN308" s="1725"/>
      <c r="AO308" s="1725"/>
      <c r="AP308" s="1725"/>
      <c r="AQ308" s="1725"/>
      <c r="AR308" s="1725"/>
      <c r="AS308" s="1725">
        <f t="shared" si="36"/>
        <v>0</v>
      </c>
      <c r="AT308" s="1725"/>
      <c r="AU308" s="1624">
        <v>0</v>
      </c>
      <c r="AV308" s="1624">
        <v>0</v>
      </c>
      <c r="AW308" s="1624">
        <v>0</v>
      </c>
      <c r="AX308" s="1624">
        <v>0</v>
      </c>
      <c r="AY308" s="1624">
        <v>0</v>
      </c>
      <c r="AZ308" s="1624">
        <v>0</v>
      </c>
      <c r="BA308" s="1624">
        <v>0</v>
      </c>
      <c r="BB308" s="1593"/>
      <c r="BC308" s="1738" t="s">
        <v>2052</v>
      </c>
      <c r="BD308" s="1595"/>
      <c r="BE308" s="1598">
        <f t="shared" si="37"/>
        <v>0</v>
      </c>
      <c r="BF308" s="1739">
        <v>8.3837327000000003E-2</v>
      </c>
      <c r="BG308" s="1598">
        <f t="shared" si="38"/>
        <v>0</v>
      </c>
      <c r="BH308" s="1598">
        <f t="shared" si="33"/>
        <v>0</v>
      </c>
      <c r="BI308" s="1598">
        <f t="shared" si="33"/>
        <v>0</v>
      </c>
      <c r="BJ308" s="1598">
        <f t="shared" si="33"/>
        <v>0</v>
      </c>
      <c r="BK308" s="1598">
        <f t="shared" si="33"/>
        <v>0</v>
      </c>
      <c r="BL308" s="1598">
        <f t="shared" si="33"/>
        <v>0</v>
      </c>
      <c r="BM308" s="1598">
        <f t="shared" si="33"/>
        <v>0</v>
      </c>
      <c r="BN308" s="1598">
        <f t="shared" si="33"/>
        <v>0</v>
      </c>
      <c r="BO308" s="1598">
        <f t="shared" si="41"/>
        <v>0</v>
      </c>
      <c r="BP308" s="1598">
        <f t="shared" si="41"/>
        <v>0</v>
      </c>
      <c r="BQ308" s="1576"/>
      <c r="BR308" s="1740" t="s">
        <v>2052</v>
      </c>
      <c r="BS308" s="1581"/>
      <c r="BT308" s="1539"/>
      <c r="BU308" s="1430">
        <v>1501006794</v>
      </c>
      <c r="BV308" s="1430" t="s">
        <v>1984</v>
      </c>
    </row>
    <row r="309" spans="1:74" s="1430" customFormat="1" ht="32.15" customHeight="1" outlineLevel="1">
      <c r="A309" s="1499">
        <v>75</v>
      </c>
      <c r="B309" s="1539" t="s">
        <v>2066</v>
      </c>
      <c r="C309" s="1578"/>
      <c r="D309" s="1511" t="s">
        <v>934</v>
      </c>
      <c r="E309" s="1579"/>
      <c r="F309" s="1334"/>
      <c r="G309" s="1318"/>
      <c r="H309" s="1318"/>
      <c r="I309" s="1379"/>
      <c r="J309" s="1379"/>
      <c r="K309" s="1402"/>
      <c r="L309" s="1337"/>
      <c r="M309" s="1337"/>
      <c r="N309" s="1339" t="s">
        <v>1984</v>
      </c>
      <c r="O309" s="1336"/>
      <c r="P309" s="1598">
        <f t="shared" si="39"/>
        <v>0</v>
      </c>
      <c r="Q309" s="1573">
        <f t="shared" si="39"/>
        <v>1.022551E-3</v>
      </c>
      <c r="R309" s="1598">
        <f t="shared" si="39"/>
        <v>0</v>
      </c>
      <c r="S309" s="1598">
        <f t="shared" si="39"/>
        <v>0</v>
      </c>
      <c r="T309" s="1598">
        <f t="shared" si="35"/>
        <v>1.022551E-3</v>
      </c>
      <c r="U309" s="1598">
        <f t="shared" si="40"/>
        <v>0</v>
      </c>
      <c r="V309" s="1598">
        <v>0</v>
      </c>
      <c r="W309" s="1598">
        <v>0</v>
      </c>
      <c r="X309" s="1598"/>
      <c r="Y309" s="1598"/>
      <c r="Z309" s="1598"/>
      <c r="AA309" s="1598"/>
      <c r="AB309" s="1598"/>
      <c r="AC309" s="1598"/>
      <c r="AD309" s="1598"/>
      <c r="AE309" s="1598"/>
      <c r="AF309" s="1598"/>
      <c r="AG309" s="1598"/>
      <c r="AH309" s="1725"/>
      <c r="AI309" s="1725"/>
      <c r="AJ309" s="1725"/>
      <c r="AK309" s="1725"/>
      <c r="AL309" s="1725"/>
      <c r="AM309" s="1725"/>
      <c r="AN309" s="1725"/>
      <c r="AO309" s="1725"/>
      <c r="AP309" s="1725"/>
      <c r="AQ309" s="1725"/>
      <c r="AR309" s="1725"/>
      <c r="AS309" s="1725">
        <f t="shared" si="36"/>
        <v>0</v>
      </c>
      <c r="AT309" s="1725"/>
      <c r="AU309" s="1624">
        <v>0</v>
      </c>
      <c r="AV309" s="1624">
        <v>0</v>
      </c>
      <c r="AW309" s="1624">
        <v>0</v>
      </c>
      <c r="AX309" s="1624">
        <v>0</v>
      </c>
      <c r="AY309" s="1624">
        <v>0</v>
      </c>
      <c r="AZ309" s="1624">
        <v>0</v>
      </c>
      <c r="BA309" s="1624">
        <v>0</v>
      </c>
      <c r="BB309" s="1593"/>
      <c r="BC309" s="1738" t="s">
        <v>2052</v>
      </c>
      <c r="BD309" s="1595"/>
      <c r="BE309" s="1598">
        <f t="shared" si="37"/>
        <v>0</v>
      </c>
      <c r="BF309" s="1739">
        <v>1.022551E-3</v>
      </c>
      <c r="BG309" s="1598">
        <f t="shared" si="38"/>
        <v>0</v>
      </c>
      <c r="BH309" s="1598">
        <f t="shared" si="33"/>
        <v>0</v>
      </c>
      <c r="BI309" s="1598">
        <f t="shared" si="33"/>
        <v>0</v>
      </c>
      <c r="BJ309" s="1598">
        <f t="shared" si="33"/>
        <v>0</v>
      </c>
      <c r="BK309" s="1598">
        <f t="shared" si="33"/>
        <v>0</v>
      </c>
      <c r="BL309" s="1598">
        <f t="shared" si="33"/>
        <v>0</v>
      </c>
      <c r="BM309" s="1598">
        <f t="shared" si="33"/>
        <v>0</v>
      </c>
      <c r="BN309" s="1598">
        <f t="shared" si="33"/>
        <v>0</v>
      </c>
      <c r="BO309" s="1598">
        <f t="shared" si="41"/>
        <v>0</v>
      </c>
      <c r="BP309" s="1598">
        <f t="shared" si="41"/>
        <v>0</v>
      </c>
      <c r="BQ309" s="1576"/>
      <c r="BR309" s="1740" t="s">
        <v>2052</v>
      </c>
      <c r="BS309" s="1581"/>
      <c r="BT309" s="1539"/>
      <c r="BU309" s="1430">
        <v>1501006795</v>
      </c>
      <c r="BV309" s="1430" t="s">
        <v>1984</v>
      </c>
    </row>
    <row r="310" spans="1:74" s="1430" customFormat="1" ht="37" customHeight="1" outlineLevel="1">
      <c r="A310" s="1499">
        <v>76</v>
      </c>
      <c r="B310" s="1539" t="s">
        <v>2067</v>
      </c>
      <c r="C310" s="1578"/>
      <c r="D310" s="1511" t="s">
        <v>934</v>
      </c>
      <c r="E310" s="1579"/>
      <c r="F310" s="1334"/>
      <c r="G310" s="1318"/>
      <c r="H310" s="1318"/>
      <c r="I310" s="1379"/>
      <c r="J310" s="1379"/>
      <c r="K310" s="1402"/>
      <c r="L310" s="1337"/>
      <c r="M310" s="1337"/>
      <c r="N310" s="1339" t="s">
        <v>1984</v>
      </c>
      <c r="O310" s="1336"/>
      <c r="P310" s="1598">
        <f t="shared" si="39"/>
        <v>0</v>
      </c>
      <c r="Q310" s="1573">
        <f t="shared" si="39"/>
        <v>1.3280755999999999E-2</v>
      </c>
      <c r="R310" s="1598">
        <f t="shared" si="39"/>
        <v>0</v>
      </c>
      <c r="S310" s="1598">
        <f t="shared" si="39"/>
        <v>0</v>
      </c>
      <c r="T310" s="1598">
        <f t="shared" si="35"/>
        <v>1.3280755999999999E-2</v>
      </c>
      <c r="U310" s="1598">
        <f t="shared" si="40"/>
        <v>0</v>
      </c>
      <c r="V310" s="1598">
        <v>0</v>
      </c>
      <c r="W310" s="1598">
        <v>0</v>
      </c>
      <c r="X310" s="1598"/>
      <c r="Y310" s="1598"/>
      <c r="Z310" s="1598"/>
      <c r="AA310" s="1598"/>
      <c r="AB310" s="1598"/>
      <c r="AC310" s="1598"/>
      <c r="AD310" s="1598"/>
      <c r="AE310" s="1598"/>
      <c r="AF310" s="1598"/>
      <c r="AG310" s="1598"/>
      <c r="AH310" s="1725"/>
      <c r="AI310" s="1725"/>
      <c r="AJ310" s="1725"/>
      <c r="AK310" s="1725"/>
      <c r="AL310" s="1725"/>
      <c r="AM310" s="1725"/>
      <c r="AN310" s="1725"/>
      <c r="AO310" s="1725"/>
      <c r="AP310" s="1725"/>
      <c r="AQ310" s="1725"/>
      <c r="AR310" s="1725"/>
      <c r="AS310" s="1725">
        <f t="shared" si="36"/>
        <v>0</v>
      </c>
      <c r="AT310" s="1725"/>
      <c r="AU310" s="1624">
        <v>0</v>
      </c>
      <c r="AV310" s="1624">
        <v>0</v>
      </c>
      <c r="AW310" s="1624">
        <v>0</v>
      </c>
      <c r="AX310" s="1624">
        <v>0</v>
      </c>
      <c r="AY310" s="1624">
        <v>0</v>
      </c>
      <c r="AZ310" s="1624">
        <v>0</v>
      </c>
      <c r="BA310" s="1624">
        <v>0</v>
      </c>
      <c r="BB310" s="1593"/>
      <c r="BC310" s="1738" t="s">
        <v>2052</v>
      </c>
      <c r="BD310" s="1595"/>
      <c r="BE310" s="1598">
        <f t="shared" si="37"/>
        <v>0</v>
      </c>
      <c r="BF310" s="1739">
        <v>1.3280755999999999E-2</v>
      </c>
      <c r="BG310" s="1598">
        <f t="shared" si="38"/>
        <v>0</v>
      </c>
      <c r="BH310" s="1598">
        <f t="shared" si="33"/>
        <v>0</v>
      </c>
      <c r="BI310" s="1598">
        <f t="shared" si="33"/>
        <v>0</v>
      </c>
      <c r="BJ310" s="1598">
        <f t="shared" si="33"/>
        <v>0</v>
      </c>
      <c r="BK310" s="1598">
        <f t="shared" si="33"/>
        <v>0</v>
      </c>
      <c r="BL310" s="1598">
        <f t="shared" si="33"/>
        <v>0</v>
      </c>
      <c r="BM310" s="1598">
        <f t="shared" si="33"/>
        <v>0</v>
      </c>
      <c r="BN310" s="1598">
        <f t="shared" si="33"/>
        <v>0</v>
      </c>
      <c r="BO310" s="1598">
        <f t="shared" si="41"/>
        <v>0</v>
      </c>
      <c r="BP310" s="1598">
        <f t="shared" si="41"/>
        <v>0</v>
      </c>
      <c r="BQ310" s="1576"/>
      <c r="BR310" s="1740" t="s">
        <v>2052</v>
      </c>
      <c r="BS310" s="1581"/>
      <c r="BT310" s="1539"/>
      <c r="BU310" s="1430">
        <v>1501006796</v>
      </c>
      <c r="BV310" s="1430" t="s">
        <v>1984</v>
      </c>
    </row>
    <row r="311" spans="1:74" s="1430" customFormat="1" outlineLevel="1">
      <c r="A311" s="1499">
        <v>77</v>
      </c>
      <c r="B311" s="1539" t="s">
        <v>2068</v>
      </c>
      <c r="C311" s="1578"/>
      <c r="D311" s="1511" t="s">
        <v>934</v>
      </c>
      <c r="E311" s="1579"/>
      <c r="F311" s="1334"/>
      <c r="G311" s="1318"/>
      <c r="H311" s="1318"/>
      <c r="I311" s="1379"/>
      <c r="J311" s="1379"/>
      <c r="K311" s="1402"/>
      <c r="L311" s="1337"/>
      <c r="M311" s="1337"/>
      <c r="N311" s="1339" t="s">
        <v>1984</v>
      </c>
      <c r="O311" s="1336"/>
      <c r="P311" s="1598">
        <f t="shared" si="39"/>
        <v>0</v>
      </c>
      <c r="Q311" s="1573">
        <f t="shared" si="39"/>
        <v>5.1243500999999997E-2</v>
      </c>
      <c r="R311" s="1598">
        <f t="shared" si="39"/>
        <v>0</v>
      </c>
      <c r="S311" s="1598">
        <f t="shared" si="39"/>
        <v>0</v>
      </c>
      <c r="T311" s="1598">
        <f t="shared" si="35"/>
        <v>5.1243500999999997E-2</v>
      </c>
      <c r="U311" s="1598">
        <f t="shared" si="40"/>
        <v>0</v>
      </c>
      <c r="V311" s="1598">
        <v>0</v>
      </c>
      <c r="W311" s="1598">
        <v>0</v>
      </c>
      <c r="X311" s="1598"/>
      <c r="Y311" s="1598"/>
      <c r="Z311" s="1598"/>
      <c r="AA311" s="1598"/>
      <c r="AB311" s="1598"/>
      <c r="AC311" s="1598"/>
      <c r="AD311" s="1598"/>
      <c r="AE311" s="1598"/>
      <c r="AF311" s="1598"/>
      <c r="AG311" s="1598"/>
      <c r="AH311" s="1725"/>
      <c r="AI311" s="1725"/>
      <c r="AJ311" s="1725"/>
      <c r="AK311" s="1725"/>
      <c r="AL311" s="1725"/>
      <c r="AM311" s="1725"/>
      <c r="AN311" s="1725"/>
      <c r="AO311" s="1725"/>
      <c r="AP311" s="1725"/>
      <c r="AQ311" s="1725"/>
      <c r="AR311" s="1725"/>
      <c r="AS311" s="1725">
        <f t="shared" si="36"/>
        <v>0</v>
      </c>
      <c r="AT311" s="1725"/>
      <c r="AU311" s="1624">
        <v>0</v>
      </c>
      <c r="AV311" s="1624">
        <v>0</v>
      </c>
      <c r="AW311" s="1624">
        <v>0</v>
      </c>
      <c r="AX311" s="1624">
        <v>0</v>
      </c>
      <c r="AY311" s="1624">
        <v>0</v>
      </c>
      <c r="AZ311" s="1624">
        <v>0</v>
      </c>
      <c r="BA311" s="1624">
        <v>0</v>
      </c>
      <c r="BB311" s="1593"/>
      <c r="BC311" s="1738" t="s">
        <v>2052</v>
      </c>
      <c r="BD311" s="1595"/>
      <c r="BE311" s="1598">
        <f t="shared" si="37"/>
        <v>0</v>
      </c>
      <c r="BF311" s="1739">
        <v>5.1243500999999997E-2</v>
      </c>
      <c r="BG311" s="1598">
        <f t="shared" si="38"/>
        <v>0</v>
      </c>
      <c r="BH311" s="1598">
        <f t="shared" si="33"/>
        <v>0</v>
      </c>
      <c r="BI311" s="1598">
        <f t="shared" si="33"/>
        <v>0</v>
      </c>
      <c r="BJ311" s="1598">
        <f t="shared" si="33"/>
        <v>0</v>
      </c>
      <c r="BK311" s="1598">
        <f t="shared" si="33"/>
        <v>0</v>
      </c>
      <c r="BL311" s="1598">
        <f t="shared" si="33"/>
        <v>0</v>
      </c>
      <c r="BM311" s="1598">
        <f t="shared" si="33"/>
        <v>0</v>
      </c>
      <c r="BN311" s="1598">
        <f t="shared" si="33"/>
        <v>0</v>
      </c>
      <c r="BO311" s="1598">
        <f t="shared" si="41"/>
        <v>0</v>
      </c>
      <c r="BP311" s="1598">
        <f t="shared" si="41"/>
        <v>0</v>
      </c>
      <c r="BQ311" s="1576"/>
      <c r="BR311" s="1740" t="s">
        <v>2052</v>
      </c>
      <c r="BS311" s="1581"/>
      <c r="BT311" s="1539"/>
      <c r="BU311" s="1430">
        <v>1501006797</v>
      </c>
      <c r="BV311" s="1430" t="s">
        <v>1984</v>
      </c>
    </row>
    <row r="312" spans="1:74" s="1430" customFormat="1" outlineLevel="1">
      <c r="A312" s="1499">
        <v>78</v>
      </c>
      <c r="B312" s="1539" t="s">
        <v>2069</v>
      </c>
      <c r="C312" s="1578"/>
      <c r="D312" s="1511" t="s">
        <v>934</v>
      </c>
      <c r="E312" s="1579"/>
      <c r="F312" s="1334"/>
      <c r="G312" s="1318"/>
      <c r="H312" s="1318"/>
      <c r="I312" s="1379"/>
      <c r="J312" s="1379"/>
      <c r="K312" s="1402"/>
      <c r="L312" s="1337"/>
      <c r="M312" s="1337"/>
      <c r="N312" s="1339" t="s">
        <v>1984</v>
      </c>
      <c r="O312" s="1336"/>
      <c r="P312" s="1598">
        <f t="shared" si="39"/>
        <v>0</v>
      </c>
      <c r="Q312" s="1573">
        <f t="shared" si="39"/>
        <v>6.8170000000000004E-4</v>
      </c>
      <c r="R312" s="1598">
        <f t="shared" si="39"/>
        <v>0</v>
      </c>
      <c r="S312" s="1598">
        <f t="shared" si="39"/>
        <v>0</v>
      </c>
      <c r="T312" s="1598">
        <f t="shared" si="35"/>
        <v>6.8170000000000004E-4</v>
      </c>
      <c r="U312" s="1598">
        <f t="shared" si="40"/>
        <v>0</v>
      </c>
      <c r="V312" s="1598">
        <v>0</v>
      </c>
      <c r="W312" s="1598">
        <v>0</v>
      </c>
      <c r="X312" s="1598"/>
      <c r="Y312" s="1598"/>
      <c r="Z312" s="1598"/>
      <c r="AA312" s="1598"/>
      <c r="AB312" s="1598"/>
      <c r="AC312" s="1598"/>
      <c r="AD312" s="1598"/>
      <c r="AE312" s="1598"/>
      <c r="AF312" s="1598"/>
      <c r="AG312" s="1598"/>
      <c r="AH312" s="1725"/>
      <c r="AI312" s="1725"/>
      <c r="AJ312" s="1725"/>
      <c r="AK312" s="1725"/>
      <c r="AL312" s="1725"/>
      <c r="AM312" s="1725"/>
      <c r="AN312" s="1725"/>
      <c r="AO312" s="1725"/>
      <c r="AP312" s="1725"/>
      <c r="AQ312" s="1725"/>
      <c r="AR312" s="1725"/>
      <c r="AS312" s="1725">
        <f t="shared" si="36"/>
        <v>0</v>
      </c>
      <c r="AT312" s="1725"/>
      <c r="AU312" s="1624">
        <v>0</v>
      </c>
      <c r="AV312" s="1624">
        <v>0</v>
      </c>
      <c r="AW312" s="1624">
        <v>0</v>
      </c>
      <c r="AX312" s="1624">
        <v>0</v>
      </c>
      <c r="AY312" s="1624">
        <v>0</v>
      </c>
      <c r="AZ312" s="1624">
        <v>0</v>
      </c>
      <c r="BA312" s="1624">
        <v>0</v>
      </c>
      <c r="BB312" s="1593"/>
      <c r="BC312" s="1738" t="s">
        <v>2052</v>
      </c>
      <c r="BD312" s="1595"/>
      <c r="BE312" s="1598">
        <f t="shared" si="37"/>
        <v>0</v>
      </c>
      <c r="BF312" s="1739">
        <v>6.8170000000000004E-4</v>
      </c>
      <c r="BG312" s="1598">
        <f t="shared" si="38"/>
        <v>0</v>
      </c>
      <c r="BH312" s="1598">
        <f t="shared" si="33"/>
        <v>0</v>
      </c>
      <c r="BI312" s="1598">
        <f t="shared" si="33"/>
        <v>0</v>
      </c>
      <c r="BJ312" s="1598">
        <f t="shared" si="33"/>
        <v>0</v>
      </c>
      <c r="BK312" s="1598">
        <f t="shared" si="33"/>
        <v>0</v>
      </c>
      <c r="BL312" s="1598">
        <f t="shared" si="33"/>
        <v>0</v>
      </c>
      <c r="BM312" s="1598">
        <f t="shared" si="33"/>
        <v>0</v>
      </c>
      <c r="BN312" s="1598">
        <f t="shared" si="33"/>
        <v>0</v>
      </c>
      <c r="BO312" s="1598">
        <f t="shared" si="41"/>
        <v>0</v>
      </c>
      <c r="BP312" s="1598">
        <f t="shared" si="41"/>
        <v>0</v>
      </c>
      <c r="BQ312" s="1576"/>
      <c r="BR312" s="1740" t="s">
        <v>2052</v>
      </c>
      <c r="BS312" s="1581"/>
      <c r="BT312" s="1539"/>
      <c r="BU312" s="1430">
        <v>1501006798</v>
      </c>
      <c r="BV312" s="1430" t="s">
        <v>1984</v>
      </c>
    </row>
    <row r="313" spans="1:74" s="1430" customFormat="1" outlineLevel="1">
      <c r="A313" s="1499">
        <v>79</v>
      </c>
      <c r="B313" s="1539" t="s">
        <v>2070</v>
      </c>
      <c r="C313" s="1578"/>
      <c r="D313" s="1511" t="s">
        <v>934</v>
      </c>
      <c r="E313" s="1579"/>
      <c r="F313" s="1334"/>
      <c r="G313" s="1318"/>
      <c r="H313" s="1318"/>
      <c r="I313" s="1379"/>
      <c r="J313" s="1379"/>
      <c r="K313" s="1402"/>
      <c r="L313" s="1337"/>
      <c r="M313" s="1337"/>
      <c r="N313" s="1339" t="s">
        <v>1984</v>
      </c>
      <c r="O313" s="1336"/>
      <c r="P313" s="1598">
        <f t="shared" si="39"/>
        <v>0</v>
      </c>
      <c r="Q313" s="1573">
        <f t="shared" si="39"/>
        <v>1.7042509999999999E-3</v>
      </c>
      <c r="R313" s="1598">
        <f t="shared" si="39"/>
        <v>0</v>
      </c>
      <c r="S313" s="1598">
        <f t="shared" si="39"/>
        <v>0</v>
      </c>
      <c r="T313" s="1598">
        <f t="shared" si="35"/>
        <v>1.7042509999999999E-3</v>
      </c>
      <c r="U313" s="1598">
        <f t="shared" si="40"/>
        <v>0</v>
      </c>
      <c r="V313" s="1598">
        <v>0</v>
      </c>
      <c r="W313" s="1598">
        <v>0</v>
      </c>
      <c r="X313" s="1598"/>
      <c r="Y313" s="1598"/>
      <c r="Z313" s="1598"/>
      <c r="AA313" s="1598"/>
      <c r="AB313" s="1598"/>
      <c r="AC313" s="1598"/>
      <c r="AD313" s="1598"/>
      <c r="AE313" s="1598"/>
      <c r="AF313" s="1598"/>
      <c r="AG313" s="1598"/>
      <c r="AH313" s="1725"/>
      <c r="AI313" s="1725"/>
      <c r="AJ313" s="1725"/>
      <c r="AK313" s="1725"/>
      <c r="AL313" s="1725"/>
      <c r="AM313" s="1725"/>
      <c r="AN313" s="1725"/>
      <c r="AO313" s="1725"/>
      <c r="AP313" s="1725"/>
      <c r="AQ313" s="1725"/>
      <c r="AR313" s="1725"/>
      <c r="AS313" s="1725">
        <f t="shared" si="36"/>
        <v>0</v>
      </c>
      <c r="AT313" s="1725"/>
      <c r="AU313" s="1624">
        <v>0</v>
      </c>
      <c r="AV313" s="1624">
        <v>0</v>
      </c>
      <c r="AW313" s="1624">
        <v>0</v>
      </c>
      <c r="AX313" s="1624">
        <v>0</v>
      </c>
      <c r="AY313" s="1624">
        <v>0</v>
      </c>
      <c r="AZ313" s="1624">
        <v>0</v>
      </c>
      <c r="BA313" s="1624">
        <v>0</v>
      </c>
      <c r="BB313" s="1593"/>
      <c r="BC313" s="1738" t="s">
        <v>2052</v>
      </c>
      <c r="BD313" s="1595"/>
      <c r="BE313" s="1598">
        <f t="shared" si="37"/>
        <v>0</v>
      </c>
      <c r="BF313" s="1739">
        <v>1.7042509999999999E-3</v>
      </c>
      <c r="BG313" s="1598">
        <f t="shared" si="38"/>
        <v>0</v>
      </c>
      <c r="BH313" s="1598">
        <f t="shared" si="33"/>
        <v>0</v>
      </c>
      <c r="BI313" s="1598">
        <f t="shared" si="33"/>
        <v>0</v>
      </c>
      <c r="BJ313" s="1598">
        <f t="shared" si="33"/>
        <v>0</v>
      </c>
      <c r="BK313" s="1598">
        <f t="shared" si="33"/>
        <v>0</v>
      </c>
      <c r="BL313" s="1598">
        <f t="shared" si="33"/>
        <v>0</v>
      </c>
      <c r="BM313" s="1598">
        <f t="shared" si="33"/>
        <v>0</v>
      </c>
      <c r="BN313" s="1598">
        <f t="shared" si="33"/>
        <v>0</v>
      </c>
      <c r="BO313" s="1598">
        <f t="shared" si="41"/>
        <v>0</v>
      </c>
      <c r="BP313" s="1598">
        <f t="shared" si="41"/>
        <v>0</v>
      </c>
      <c r="BQ313" s="1576"/>
      <c r="BR313" s="1740" t="s">
        <v>2052</v>
      </c>
      <c r="BS313" s="1581"/>
      <c r="BT313" s="1539"/>
      <c r="BU313" s="1430">
        <v>1501006799</v>
      </c>
      <c r="BV313" s="1430" t="s">
        <v>1984</v>
      </c>
    </row>
    <row r="314" spans="1:74" s="1430" customFormat="1" outlineLevel="1">
      <c r="A314" s="1499">
        <v>80</v>
      </c>
      <c r="B314" s="1539" t="s">
        <v>2071</v>
      </c>
      <c r="C314" s="1578"/>
      <c r="D314" s="1511" t="s">
        <v>934</v>
      </c>
      <c r="E314" s="1579"/>
      <c r="F314" s="1334"/>
      <c r="G314" s="1318"/>
      <c r="H314" s="1318"/>
      <c r="I314" s="1379"/>
      <c r="J314" s="1379"/>
      <c r="K314" s="1402"/>
      <c r="L314" s="1337"/>
      <c r="M314" s="1337"/>
      <c r="N314" s="1339" t="s">
        <v>1984</v>
      </c>
      <c r="O314" s="1336"/>
      <c r="P314" s="1598">
        <f t="shared" si="39"/>
        <v>0</v>
      </c>
      <c r="Q314" s="1573">
        <f t="shared" si="39"/>
        <v>9.7934579999999997E-3</v>
      </c>
      <c r="R314" s="1598">
        <f t="shared" si="39"/>
        <v>0</v>
      </c>
      <c r="S314" s="1598">
        <f t="shared" si="39"/>
        <v>0</v>
      </c>
      <c r="T314" s="1598">
        <f t="shared" si="35"/>
        <v>9.7934579999999997E-3</v>
      </c>
      <c r="U314" s="1598">
        <f t="shared" si="40"/>
        <v>0</v>
      </c>
      <c r="V314" s="1598">
        <v>0</v>
      </c>
      <c r="W314" s="1598">
        <v>0</v>
      </c>
      <c r="X314" s="1598"/>
      <c r="Y314" s="1598"/>
      <c r="Z314" s="1598"/>
      <c r="AA314" s="1598"/>
      <c r="AB314" s="1598"/>
      <c r="AC314" s="1598"/>
      <c r="AD314" s="1598"/>
      <c r="AE314" s="1598"/>
      <c r="AF314" s="1598"/>
      <c r="AG314" s="1598"/>
      <c r="AH314" s="1725"/>
      <c r="AI314" s="1725"/>
      <c r="AJ314" s="1725"/>
      <c r="AK314" s="1725"/>
      <c r="AL314" s="1725"/>
      <c r="AM314" s="1725"/>
      <c r="AN314" s="1725"/>
      <c r="AO314" s="1725"/>
      <c r="AP314" s="1725"/>
      <c r="AQ314" s="1725"/>
      <c r="AR314" s="1725"/>
      <c r="AS314" s="1725">
        <f t="shared" si="36"/>
        <v>0</v>
      </c>
      <c r="AT314" s="1725"/>
      <c r="AU314" s="1624">
        <v>0</v>
      </c>
      <c r="AV314" s="1624">
        <v>0</v>
      </c>
      <c r="AW314" s="1624">
        <v>0</v>
      </c>
      <c r="AX314" s="1624">
        <v>0</v>
      </c>
      <c r="AY314" s="1624">
        <v>0</v>
      </c>
      <c r="AZ314" s="1624">
        <v>0</v>
      </c>
      <c r="BA314" s="1624">
        <v>0</v>
      </c>
      <c r="BB314" s="1593"/>
      <c r="BC314" s="1738" t="s">
        <v>2052</v>
      </c>
      <c r="BD314" s="1595"/>
      <c r="BE314" s="1598">
        <f t="shared" si="37"/>
        <v>0</v>
      </c>
      <c r="BF314" s="1739">
        <v>9.7934579999999997E-3</v>
      </c>
      <c r="BG314" s="1598">
        <f t="shared" si="38"/>
        <v>0</v>
      </c>
      <c r="BH314" s="1598">
        <f t="shared" si="33"/>
        <v>0</v>
      </c>
      <c r="BI314" s="1598">
        <f t="shared" si="33"/>
        <v>0</v>
      </c>
      <c r="BJ314" s="1598">
        <f t="shared" si="33"/>
        <v>0</v>
      </c>
      <c r="BK314" s="1598">
        <f t="shared" si="33"/>
        <v>0</v>
      </c>
      <c r="BL314" s="1598">
        <f t="shared" si="33"/>
        <v>0</v>
      </c>
      <c r="BM314" s="1598">
        <f t="shared" si="33"/>
        <v>0</v>
      </c>
      <c r="BN314" s="1598">
        <f t="shared" si="33"/>
        <v>0</v>
      </c>
      <c r="BO314" s="1598">
        <f t="shared" si="41"/>
        <v>0</v>
      </c>
      <c r="BP314" s="1598">
        <f t="shared" si="41"/>
        <v>0</v>
      </c>
      <c r="BQ314" s="1576"/>
      <c r="BR314" s="1740" t="s">
        <v>2052</v>
      </c>
      <c r="BS314" s="1581"/>
      <c r="BT314" s="1539"/>
      <c r="BU314" s="1430">
        <v>1501006800</v>
      </c>
      <c r="BV314" s="1430" t="s">
        <v>1984</v>
      </c>
    </row>
    <row r="315" spans="1:74" s="1430" customFormat="1" ht="29" outlineLevel="1">
      <c r="A315" s="1499">
        <v>81</v>
      </c>
      <c r="B315" s="1539" t="s">
        <v>2072</v>
      </c>
      <c r="C315" s="1578"/>
      <c r="D315" s="1511" t="s">
        <v>934</v>
      </c>
      <c r="E315" s="1579"/>
      <c r="F315" s="1334"/>
      <c r="G315" s="1318"/>
      <c r="H315" s="1318"/>
      <c r="I315" s="1379"/>
      <c r="J315" s="1379"/>
      <c r="K315" s="1402"/>
      <c r="L315" s="1337"/>
      <c r="M315" s="1337"/>
      <c r="N315" s="1339" t="s">
        <v>1984</v>
      </c>
      <c r="O315" s="1336"/>
      <c r="P315" s="1598">
        <f t="shared" si="39"/>
        <v>0</v>
      </c>
      <c r="Q315" s="1573">
        <f t="shared" si="39"/>
        <v>3.0595908000000002E-2</v>
      </c>
      <c r="R315" s="1598">
        <f t="shared" si="39"/>
        <v>0</v>
      </c>
      <c r="S315" s="1598">
        <f t="shared" si="39"/>
        <v>0</v>
      </c>
      <c r="T315" s="1598">
        <f t="shared" si="35"/>
        <v>3.0595908000000002E-2</v>
      </c>
      <c r="U315" s="1598">
        <f t="shared" si="40"/>
        <v>0</v>
      </c>
      <c r="V315" s="1598">
        <v>0</v>
      </c>
      <c r="W315" s="1598">
        <v>0</v>
      </c>
      <c r="X315" s="1598"/>
      <c r="Y315" s="1598"/>
      <c r="Z315" s="1598"/>
      <c r="AA315" s="1598"/>
      <c r="AB315" s="1598"/>
      <c r="AC315" s="1598"/>
      <c r="AD315" s="1598"/>
      <c r="AE315" s="1598"/>
      <c r="AF315" s="1598"/>
      <c r="AG315" s="1598"/>
      <c r="AH315" s="1725"/>
      <c r="AI315" s="1725"/>
      <c r="AJ315" s="1725"/>
      <c r="AK315" s="1725"/>
      <c r="AL315" s="1725"/>
      <c r="AM315" s="1725"/>
      <c r="AN315" s="1725"/>
      <c r="AO315" s="1725"/>
      <c r="AP315" s="1725"/>
      <c r="AQ315" s="1725"/>
      <c r="AR315" s="1725"/>
      <c r="AS315" s="1725">
        <f t="shared" si="36"/>
        <v>0</v>
      </c>
      <c r="AT315" s="1725"/>
      <c r="AU315" s="1624">
        <v>0</v>
      </c>
      <c r="AV315" s="1624">
        <v>0</v>
      </c>
      <c r="AW315" s="1624">
        <v>0</v>
      </c>
      <c r="AX315" s="1624">
        <v>0</v>
      </c>
      <c r="AY315" s="1624">
        <v>0</v>
      </c>
      <c r="AZ315" s="1624">
        <v>0</v>
      </c>
      <c r="BA315" s="1624">
        <v>0</v>
      </c>
      <c r="BB315" s="1593"/>
      <c r="BC315" s="1738" t="s">
        <v>2052</v>
      </c>
      <c r="BD315" s="1595"/>
      <c r="BE315" s="1598">
        <f t="shared" si="37"/>
        <v>0</v>
      </c>
      <c r="BF315" s="1739">
        <v>3.0595908000000002E-2</v>
      </c>
      <c r="BG315" s="1598">
        <f t="shared" si="38"/>
        <v>0</v>
      </c>
      <c r="BH315" s="1598">
        <f t="shared" si="33"/>
        <v>0</v>
      </c>
      <c r="BI315" s="1598">
        <f t="shared" si="33"/>
        <v>0</v>
      </c>
      <c r="BJ315" s="1598">
        <f t="shared" si="33"/>
        <v>0</v>
      </c>
      <c r="BK315" s="1598">
        <f t="shared" si="33"/>
        <v>0</v>
      </c>
      <c r="BL315" s="1598">
        <f t="shared" si="33"/>
        <v>0</v>
      </c>
      <c r="BM315" s="1598">
        <f t="shared" si="33"/>
        <v>0</v>
      </c>
      <c r="BN315" s="1598">
        <f t="shared" si="33"/>
        <v>0</v>
      </c>
      <c r="BO315" s="1598">
        <f t="shared" si="41"/>
        <v>0</v>
      </c>
      <c r="BP315" s="1598">
        <f t="shared" si="41"/>
        <v>0</v>
      </c>
      <c r="BQ315" s="1576"/>
      <c r="BR315" s="1740" t="s">
        <v>2052</v>
      </c>
      <c r="BS315" s="1581"/>
      <c r="BT315" s="1539"/>
      <c r="BU315" s="1430">
        <v>1501006801</v>
      </c>
      <c r="BV315" s="1430" t="s">
        <v>1984</v>
      </c>
    </row>
    <row r="316" spans="1:74" s="1430" customFormat="1" outlineLevel="1">
      <c r="A316" s="1499">
        <v>82</v>
      </c>
      <c r="B316" s="1539" t="s">
        <v>2043</v>
      </c>
      <c r="C316" s="1578"/>
      <c r="D316" s="1511" t="s">
        <v>934</v>
      </c>
      <c r="E316" s="1579"/>
      <c r="F316" s="1334"/>
      <c r="G316" s="1318"/>
      <c r="H316" s="1318"/>
      <c r="I316" s="1379"/>
      <c r="J316" s="1379"/>
      <c r="K316" s="1402"/>
      <c r="L316" s="1337"/>
      <c r="M316" s="1337"/>
      <c r="N316" s="1339" t="s">
        <v>1984</v>
      </c>
      <c r="O316" s="1336"/>
      <c r="P316" s="1598">
        <f t="shared" si="39"/>
        <v>0</v>
      </c>
      <c r="Q316" s="1573">
        <f t="shared" si="39"/>
        <v>0.17807421000000001</v>
      </c>
      <c r="R316" s="1598">
        <f t="shared" si="39"/>
        <v>0</v>
      </c>
      <c r="S316" s="1598">
        <f t="shared" si="39"/>
        <v>0</v>
      </c>
      <c r="T316" s="1598">
        <f t="shared" si="35"/>
        <v>0.17807421000000001</v>
      </c>
      <c r="U316" s="1598">
        <f t="shared" si="40"/>
        <v>0</v>
      </c>
      <c r="V316" s="1598">
        <v>0</v>
      </c>
      <c r="W316" s="1598">
        <v>0</v>
      </c>
      <c r="X316" s="1598"/>
      <c r="Y316" s="1598"/>
      <c r="Z316" s="1598"/>
      <c r="AA316" s="1598"/>
      <c r="AB316" s="1598"/>
      <c r="AC316" s="1598"/>
      <c r="AD316" s="1598"/>
      <c r="AE316" s="1598"/>
      <c r="AF316" s="1598"/>
      <c r="AG316" s="1598"/>
      <c r="AH316" s="1725"/>
      <c r="AI316" s="1725"/>
      <c r="AJ316" s="1725"/>
      <c r="AK316" s="1725"/>
      <c r="AL316" s="1725"/>
      <c r="AM316" s="1725"/>
      <c r="AN316" s="1725"/>
      <c r="AO316" s="1725"/>
      <c r="AP316" s="1725"/>
      <c r="AQ316" s="1725"/>
      <c r="AR316" s="1725"/>
      <c r="AS316" s="1725">
        <f t="shared" si="36"/>
        <v>0</v>
      </c>
      <c r="AT316" s="1725"/>
      <c r="AU316" s="1624">
        <v>0</v>
      </c>
      <c r="AV316" s="1624">
        <v>0</v>
      </c>
      <c r="AW316" s="1624">
        <v>0</v>
      </c>
      <c r="AX316" s="1624">
        <v>0</v>
      </c>
      <c r="AY316" s="1624">
        <v>0</v>
      </c>
      <c r="AZ316" s="1624">
        <v>0</v>
      </c>
      <c r="BA316" s="1624">
        <v>0</v>
      </c>
      <c r="BB316" s="1593"/>
      <c r="BC316" s="1738" t="s">
        <v>2052</v>
      </c>
      <c r="BD316" s="1595"/>
      <c r="BE316" s="1598">
        <f t="shared" si="37"/>
        <v>0</v>
      </c>
      <c r="BF316" s="1739">
        <v>0.17807421000000001</v>
      </c>
      <c r="BG316" s="1598">
        <f t="shared" si="38"/>
        <v>0</v>
      </c>
      <c r="BH316" s="1598">
        <f t="shared" si="33"/>
        <v>0</v>
      </c>
      <c r="BI316" s="1598">
        <f t="shared" si="33"/>
        <v>0</v>
      </c>
      <c r="BJ316" s="1598">
        <f t="shared" si="33"/>
        <v>0</v>
      </c>
      <c r="BK316" s="1598">
        <f t="shared" si="33"/>
        <v>0</v>
      </c>
      <c r="BL316" s="1598">
        <f t="shared" si="33"/>
        <v>0</v>
      </c>
      <c r="BM316" s="1598">
        <f t="shared" si="33"/>
        <v>0</v>
      </c>
      <c r="BN316" s="1598">
        <f t="shared" si="33"/>
        <v>0</v>
      </c>
      <c r="BO316" s="1598">
        <f t="shared" si="41"/>
        <v>0</v>
      </c>
      <c r="BP316" s="1598">
        <f t="shared" si="41"/>
        <v>0</v>
      </c>
      <c r="BQ316" s="1576"/>
      <c r="BR316" s="1740" t="s">
        <v>2052</v>
      </c>
      <c r="BS316" s="1581"/>
      <c r="BT316" s="1539"/>
      <c r="BU316" s="1430">
        <v>1501006802</v>
      </c>
      <c r="BV316" s="1430" t="s">
        <v>1984</v>
      </c>
    </row>
    <row r="317" spans="1:74" s="1430" customFormat="1" ht="29" outlineLevel="1">
      <c r="A317" s="1499">
        <v>83</v>
      </c>
      <c r="B317" s="1539" t="s">
        <v>2073</v>
      </c>
      <c r="C317" s="1578"/>
      <c r="D317" s="1511" t="s">
        <v>934</v>
      </c>
      <c r="E317" s="1579"/>
      <c r="F317" s="1334"/>
      <c r="G317" s="1318"/>
      <c r="H317" s="1318"/>
      <c r="I317" s="1379"/>
      <c r="J317" s="1379"/>
      <c r="K317" s="1402"/>
      <c r="L317" s="1337"/>
      <c r="M317" s="1337"/>
      <c r="N317" s="1339" t="s">
        <v>1984</v>
      </c>
      <c r="O317" s="1336"/>
      <c r="P317" s="1598">
        <f t="shared" si="39"/>
        <v>0</v>
      </c>
      <c r="Q317" s="1573">
        <f t="shared" si="39"/>
        <v>2.0848189999999999E-3</v>
      </c>
      <c r="R317" s="1598">
        <f t="shared" si="39"/>
        <v>0</v>
      </c>
      <c r="S317" s="1598">
        <f t="shared" si="39"/>
        <v>0</v>
      </c>
      <c r="T317" s="1598">
        <f t="shared" si="35"/>
        <v>2.0848189999999999E-3</v>
      </c>
      <c r="U317" s="1598">
        <f t="shared" si="40"/>
        <v>0</v>
      </c>
      <c r="V317" s="1598">
        <v>0</v>
      </c>
      <c r="W317" s="1598">
        <v>0</v>
      </c>
      <c r="X317" s="1598"/>
      <c r="Y317" s="1598"/>
      <c r="Z317" s="1598"/>
      <c r="AA317" s="1598"/>
      <c r="AB317" s="1598"/>
      <c r="AC317" s="1598"/>
      <c r="AD317" s="1598"/>
      <c r="AE317" s="1598"/>
      <c r="AF317" s="1598"/>
      <c r="AG317" s="1598"/>
      <c r="AH317" s="1725"/>
      <c r="AI317" s="1725"/>
      <c r="AJ317" s="1725"/>
      <c r="AK317" s="1725"/>
      <c r="AL317" s="1725"/>
      <c r="AM317" s="1725"/>
      <c r="AN317" s="1725"/>
      <c r="AO317" s="1725"/>
      <c r="AP317" s="1725"/>
      <c r="AQ317" s="1725"/>
      <c r="AR317" s="1725"/>
      <c r="AS317" s="1725">
        <f t="shared" si="36"/>
        <v>0</v>
      </c>
      <c r="AT317" s="1725"/>
      <c r="AU317" s="1624">
        <v>0</v>
      </c>
      <c r="AV317" s="1624">
        <v>0</v>
      </c>
      <c r="AW317" s="1624">
        <v>0</v>
      </c>
      <c r="AX317" s="1624">
        <v>0</v>
      </c>
      <c r="AY317" s="1624">
        <v>0</v>
      </c>
      <c r="AZ317" s="1624">
        <v>0</v>
      </c>
      <c r="BA317" s="1624">
        <v>0</v>
      </c>
      <c r="BB317" s="1593"/>
      <c r="BC317" s="1726" t="s">
        <v>1985</v>
      </c>
      <c r="BD317" s="1595"/>
      <c r="BE317" s="1598">
        <f t="shared" si="37"/>
        <v>0</v>
      </c>
      <c r="BF317" s="1739">
        <v>2.0848189999999999E-3</v>
      </c>
      <c r="BG317" s="1598">
        <f t="shared" si="38"/>
        <v>0</v>
      </c>
      <c r="BH317" s="1598">
        <f t="shared" si="33"/>
        <v>0</v>
      </c>
      <c r="BI317" s="1598">
        <f t="shared" si="33"/>
        <v>0</v>
      </c>
      <c r="BJ317" s="1598">
        <f t="shared" si="33"/>
        <v>0</v>
      </c>
      <c r="BK317" s="1598">
        <f t="shared" si="33"/>
        <v>0</v>
      </c>
      <c r="BL317" s="1598">
        <f t="shared" si="33"/>
        <v>0</v>
      </c>
      <c r="BM317" s="1598">
        <f t="shared" si="33"/>
        <v>0</v>
      </c>
      <c r="BN317" s="1598">
        <f t="shared" si="33"/>
        <v>0</v>
      </c>
      <c r="BO317" s="1598">
        <f t="shared" si="41"/>
        <v>0</v>
      </c>
      <c r="BP317" s="1598">
        <f t="shared" si="41"/>
        <v>0</v>
      </c>
      <c r="BQ317" s="1576"/>
      <c r="BR317" s="1727" t="s">
        <v>1985</v>
      </c>
      <c r="BS317" s="1581"/>
      <c r="BT317" s="1539"/>
      <c r="BU317" s="1430">
        <v>1501006803</v>
      </c>
      <c r="BV317" s="1430" t="s">
        <v>1984</v>
      </c>
    </row>
    <row r="318" spans="1:74" s="1430" customFormat="1" ht="29" outlineLevel="1">
      <c r="A318" s="1499">
        <v>84</v>
      </c>
      <c r="B318" s="1539" t="s">
        <v>2074</v>
      </c>
      <c r="C318" s="1578"/>
      <c r="D318" s="1511" t="s">
        <v>934</v>
      </c>
      <c r="E318" s="1579"/>
      <c r="F318" s="1334"/>
      <c r="G318" s="1318"/>
      <c r="H318" s="1318"/>
      <c r="I318" s="1379"/>
      <c r="J318" s="1379"/>
      <c r="K318" s="1402"/>
      <c r="L318" s="1337"/>
      <c r="M318" s="1337"/>
      <c r="N318" s="1339" t="s">
        <v>1984</v>
      </c>
      <c r="O318" s="1336"/>
      <c r="P318" s="1598">
        <f t="shared" si="39"/>
        <v>0</v>
      </c>
      <c r="Q318" s="1573">
        <f t="shared" si="39"/>
        <v>2.0745099999999999E-4</v>
      </c>
      <c r="R318" s="1598">
        <f t="shared" si="39"/>
        <v>0</v>
      </c>
      <c r="S318" s="1598">
        <f t="shared" si="39"/>
        <v>0</v>
      </c>
      <c r="T318" s="1598">
        <f t="shared" si="35"/>
        <v>2.0745099999999999E-4</v>
      </c>
      <c r="U318" s="1598">
        <f t="shared" si="40"/>
        <v>0</v>
      </c>
      <c r="V318" s="1598">
        <v>0</v>
      </c>
      <c r="W318" s="1598">
        <v>0</v>
      </c>
      <c r="X318" s="1598"/>
      <c r="Y318" s="1598"/>
      <c r="Z318" s="1598"/>
      <c r="AA318" s="1598"/>
      <c r="AB318" s="1598"/>
      <c r="AC318" s="1598"/>
      <c r="AD318" s="1598"/>
      <c r="AE318" s="1598"/>
      <c r="AF318" s="1598"/>
      <c r="AG318" s="1598"/>
      <c r="AH318" s="1725"/>
      <c r="AI318" s="1725"/>
      <c r="AJ318" s="1725"/>
      <c r="AK318" s="1725"/>
      <c r="AL318" s="1725"/>
      <c r="AM318" s="1725"/>
      <c r="AN318" s="1725"/>
      <c r="AO318" s="1725"/>
      <c r="AP318" s="1725"/>
      <c r="AQ318" s="1725"/>
      <c r="AR318" s="1725"/>
      <c r="AS318" s="1725">
        <f t="shared" si="36"/>
        <v>0</v>
      </c>
      <c r="AT318" s="1725"/>
      <c r="AU318" s="1624">
        <v>0</v>
      </c>
      <c r="AV318" s="1624">
        <v>0</v>
      </c>
      <c r="AW318" s="1624">
        <v>0</v>
      </c>
      <c r="AX318" s="1624">
        <v>0</v>
      </c>
      <c r="AY318" s="1624">
        <v>0</v>
      </c>
      <c r="AZ318" s="1624">
        <v>0</v>
      </c>
      <c r="BA318" s="1624">
        <v>0</v>
      </c>
      <c r="BB318" s="1593"/>
      <c r="BC318" s="1726" t="s">
        <v>1985</v>
      </c>
      <c r="BD318" s="1595"/>
      <c r="BE318" s="1598">
        <f t="shared" si="37"/>
        <v>0</v>
      </c>
      <c r="BF318" s="1739">
        <v>2.0745099999999999E-4</v>
      </c>
      <c r="BG318" s="1598">
        <f t="shared" si="38"/>
        <v>0</v>
      </c>
      <c r="BH318" s="1598">
        <f t="shared" si="33"/>
        <v>0</v>
      </c>
      <c r="BI318" s="1598">
        <f t="shared" si="33"/>
        <v>0</v>
      </c>
      <c r="BJ318" s="1598">
        <f t="shared" si="33"/>
        <v>0</v>
      </c>
      <c r="BK318" s="1598">
        <f t="shared" si="33"/>
        <v>0</v>
      </c>
      <c r="BL318" s="1598">
        <f t="shared" si="33"/>
        <v>0</v>
      </c>
      <c r="BM318" s="1598">
        <f t="shared" si="33"/>
        <v>0</v>
      </c>
      <c r="BN318" s="1598">
        <f t="shared" si="33"/>
        <v>0</v>
      </c>
      <c r="BO318" s="1598">
        <f t="shared" si="41"/>
        <v>0</v>
      </c>
      <c r="BP318" s="1598">
        <f t="shared" si="41"/>
        <v>0</v>
      </c>
      <c r="BQ318" s="1576"/>
      <c r="BR318" s="1727" t="s">
        <v>1985</v>
      </c>
      <c r="BS318" s="1581"/>
      <c r="BT318" s="1539"/>
      <c r="BU318" s="1430">
        <v>1501006804</v>
      </c>
      <c r="BV318" s="1430" t="s">
        <v>1984</v>
      </c>
    </row>
    <row r="319" spans="1:74" s="1430" customFormat="1" ht="29" outlineLevel="1">
      <c r="A319" s="1499">
        <v>85</v>
      </c>
      <c r="B319" s="1539" t="s">
        <v>2075</v>
      </c>
      <c r="C319" s="1578"/>
      <c r="D319" s="1511" t="s">
        <v>934</v>
      </c>
      <c r="E319" s="1579"/>
      <c r="F319" s="1334"/>
      <c r="G319" s="1318"/>
      <c r="H319" s="1318"/>
      <c r="I319" s="1379"/>
      <c r="J319" s="1379"/>
      <c r="K319" s="1402"/>
      <c r="L319" s="1337"/>
      <c r="M319" s="1337"/>
      <c r="N319" s="1339" t="s">
        <v>1984</v>
      </c>
      <c r="O319" s="1336"/>
      <c r="P319" s="1598">
        <f t="shared" si="39"/>
        <v>0</v>
      </c>
      <c r="Q319" s="1573">
        <f t="shared" si="39"/>
        <v>8.4673999999999996E-5</v>
      </c>
      <c r="R319" s="1598">
        <f t="shared" si="39"/>
        <v>0</v>
      </c>
      <c r="S319" s="1598">
        <f t="shared" si="39"/>
        <v>0</v>
      </c>
      <c r="T319" s="1598">
        <f t="shared" si="35"/>
        <v>8.4673999999999996E-5</v>
      </c>
      <c r="U319" s="1598">
        <f t="shared" si="40"/>
        <v>0</v>
      </c>
      <c r="V319" s="1598">
        <v>0</v>
      </c>
      <c r="W319" s="1598">
        <v>0</v>
      </c>
      <c r="X319" s="1598"/>
      <c r="Y319" s="1598"/>
      <c r="Z319" s="1598"/>
      <c r="AA319" s="1598"/>
      <c r="AB319" s="1598"/>
      <c r="AC319" s="1598"/>
      <c r="AD319" s="1598"/>
      <c r="AE319" s="1598"/>
      <c r="AF319" s="1598"/>
      <c r="AG319" s="1598"/>
      <c r="AH319" s="1725"/>
      <c r="AI319" s="1725"/>
      <c r="AJ319" s="1725"/>
      <c r="AK319" s="1725"/>
      <c r="AL319" s="1725"/>
      <c r="AM319" s="1725"/>
      <c r="AN319" s="1725"/>
      <c r="AO319" s="1725"/>
      <c r="AP319" s="1725"/>
      <c r="AQ319" s="1725"/>
      <c r="AR319" s="1725"/>
      <c r="AS319" s="1725">
        <f t="shared" si="36"/>
        <v>0</v>
      </c>
      <c r="AT319" s="1725"/>
      <c r="AU319" s="1624">
        <v>0</v>
      </c>
      <c r="AV319" s="1624">
        <v>0</v>
      </c>
      <c r="AW319" s="1624">
        <v>0</v>
      </c>
      <c r="AX319" s="1624">
        <v>0</v>
      </c>
      <c r="AY319" s="1624">
        <v>0</v>
      </c>
      <c r="AZ319" s="1624">
        <v>0</v>
      </c>
      <c r="BA319" s="1624">
        <v>0</v>
      </c>
      <c r="BB319" s="1593"/>
      <c r="BC319" s="1726" t="s">
        <v>1985</v>
      </c>
      <c r="BD319" s="1595"/>
      <c r="BE319" s="1598">
        <f t="shared" si="37"/>
        <v>0</v>
      </c>
      <c r="BF319" s="1739">
        <v>8.4673999999999996E-5</v>
      </c>
      <c r="BG319" s="1598">
        <f t="shared" si="38"/>
        <v>0</v>
      </c>
      <c r="BH319" s="1598">
        <f t="shared" si="33"/>
        <v>0</v>
      </c>
      <c r="BI319" s="1598">
        <f t="shared" si="33"/>
        <v>0</v>
      </c>
      <c r="BJ319" s="1598">
        <f t="shared" si="33"/>
        <v>0</v>
      </c>
      <c r="BK319" s="1598">
        <f t="shared" si="33"/>
        <v>0</v>
      </c>
      <c r="BL319" s="1598">
        <f t="shared" si="33"/>
        <v>0</v>
      </c>
      <c r="BM319" s="1598">
        <f t="shared" si="33"/>
        <v>0</v>
      </c>
      <c r="BN319" s="1598">
        <f t="shared" si="33"/>
        <v>0</v>
      </c>
      <c r="BO319" s="1598">
        <f t="shared" si="41"/>
        <v>0</v>
      </c>
      <c r="BP319" s="1598">
        <f t="shared" si="41"/>
        <v>0</v>
      </c>
      <c r="BQ319" s="1576"/>
      <c r="BR319" s="1727" t="s">
        <v>1985</v>
      </c>
      <c r="BS319" s="1581"/>
      <c r="BT319" s="1539"/>
      <c r="BU319" s="1430">
        <v>1501006805</v>
      </c>
      <c r="BV319" s="1430" t="s">
        <v>1984</v>
      </c>
    </row>
    <row r="320" spans="1:74" s="1430" customFormat="1" outlineLevel="1">
      <c r="A320" s="1499">
        <v>86</v>
      </c>
      <c r="B320" s="1539" t="s">
        <v>2076</v>
      </c>
      <c r="C320" s="1578"/>
      <c r="D320" s="1511" t="s">
        <v>934</v>
      </c>
      <c r="E320" s="1579"/>
      <c r="F320" s="1334"/>
      <c r="G320" s="1318"/>
      <c r="H320" s="1318"/>
      <c r="I320" s="1379"/>
      <c r="J320" s="1379"/>
      <c r="K320" s="1402"/>
      <c r="L320" s="1337"/>
      <c r="M320" s="1337"/>
      <c r="N320" s="1339" t="s">
        <v>1984</v>
      </c>
      <c r="O320" s="1336"/>
      <c r="P320" s="1598">
        <f t="shared" si="39"/>
        <v>0</v>
      </c>
      <c r="Q320" s="1573">
        <f t="shared" si="39"/>
        <v>1.3440609999999999E-3</v>
      </c>
      <c r="R320" s="1598">
        <f t="shared" si="39"/>
        <v>0</v>
      </c>
      <c r="S320" s="1598">
        <f t="shared" si="39"/>
        <v>0</v>
      </c>
      <c r="T320" s="1598">
        <f t="shared" si="35"/>
        <v>1.3440609999999999E-3</v>
      </c>
      <c r="U320" s="1598">
        <f t="shared" si="40"/>
        <v>0</v>
      </c>
      <c r="V320" s="1598">
        <v>0</v>
      </c>
      <c r="W320" s="1598">
        <v>0</v>
      </c>
      <c r="X320" s="1598"/>
      <c r="Y320" s="1598"/>
      <c r="Z320" s="1598"/>
      <c r="AA320" s="1598"/>
      <c r="AB320" s="1598"/>
      <c r="AC320" s="1598"/>
      <c r="AD320" s="1598"/>
      <c r="AE320" s="1598"/>
      <c r="AF320" s="1598"/>
      <c r="AG320" s="1598"/>
      <c r="AH320" s="1725"/>
      <c r="AI320" s="1725"/>
      <c r="AJ320" s="1725"/>
      <c r="AK320" s="1725"/>
      <c r="AL320" s="1725"/>
      <c r="AM320" s="1725"/>
      <c r="AN320" s="1725"/>
      <c r="AO320" s="1725"/>
      <c r="AP320" s="1725"/>
      <c r="AQ320" s="1725"/>
      <c r="AR320" s="1725"/>
      <c r="AS320" s="1725">
        <f t="shared" si="36"/>
        <v>0</v>
      </c>
      <c r="AT320" s="1725"/>
      <c r="AU320" s="1624">
        <v>0</v>
      </c>
      <c r="AV320" s="1624">
        <v>0</v>
      </c>
      <c r="AW320" s="1624">
        <v>0</v>
      </c>
      <c r="AX320" s="1624">
        <v>0</v>
      </c>
      <c r="AY320" s="1624">
        <v>0</v>
      </c>
      <c r="AZ320" s="1624">
        <v>0</v>
      </c>
      <c r="BA320" s="1624">
        <v>0</v>
      </c>
      <c r="BB320" s="1593"/>
      <c r="BC320" s="1726" t="s">
        <v>1985</v>
      </c>
      <c r="BD320" s="1595"/>
      <c r="BE320" s="1598">
        <f t="shared" si="37"/>
        <v>0</v>
      </c>
      <c r="BF320" s="1739">
        <v>1.3440609999999999E-3</v>
      </c>
      <c r="BG320" s="1598">
        <f t="shared" si="38"/>
        <v>0</v>
      </c>
      <c r="BH320" s="1598">
        <f t="shared" si="33"/>
        <v>0</v>
      </c>
      <c r="BI320" s="1598">
        <f t="shared" si="33"/>
        <v>0</v>
      </c>
      <c r="BJ320" s="1598">
        <f t="shared" si="33"/>
        <v>0</v>
      </c>
      <c r="BK320" s="1598">
        <f t="shared" si="33"/>
        <v>0</v>
      </c>
      <c r="BL320" s="1598">
        <f t="shared" si="33"/>
        <v>0</v>
      </c>
      <c r="BM320" s="1598">
        <f t="shared" si="33"/>
        <v>0</v>
      </c>
      <c r="BN320" s="1598">
        <f t="shared" si="33"/>
        <v>0</v>
      </c>
      <c r="BO320" s="1598">
        <f t="shared" si="41"/>
        <v>0</v>
      </c>
      <c r="BP320" s="1598">
        <f t="shared" si="41"/>
        <v>0</v>
      </c>
      <c r="BQ320" s="1576"/>
      <c r="BR320" s="1727" t="s">
        <v>1985</v>
      </c>
      <c r="BS320" s="1581"/>
      <c r="BT320" s="1539"/>
      <c r="BU320" s="1430">
        <v>1501006806</v>
      </c>
      <c r="BV320" s="1430" t="s">
        <v>1984</v>
      </c>
    </row>
    <row r="321" spans="1:74" s="1430" customFormat="1" outlineLevel="1">
      <c r="A321" s="1499">
        <v>87</v>
      </c>
      <c r="B321" s="1539" t="s">
        <v>2077</v>
      </c>
      <c r="C321" s="1578"/>
      <c r="D321" s="1511" t="s">
        <v>934</v>
      </c>
      <c r="E321" s="1579"/>
      <c r="F321" s="1334"/>
      <c r="G321" s="1318"/>
      <c r="H321" s="1318"/>
      <c r="I321" s="1379"/>
      <c r="J321" s="1379"/>
      <c r="K321" s="1402"/>
      <c r="L321" s="1337"/>
      <c r="M321" s="1337"/>
      <c r="N321" s="1339" t="s">
        <v>1984</v>
      </c>
      <c r="O321" s="1336"/>
      <c r="P321" s="1598">
        <f t="shared" si="39"/>
        <v>0</v>
      </c>
      <c r="Q321" s="1573">
        <f t="shared" si="39"/>
        <v>1.540935E-2</v>
      </c>
      <c r="R321" s="1598">
        <f t="shared" si="39"/>
        <v>0</v>
      </c>
      <c r="S321" s="1598">
        <f t="shared" si="39"/>
        <v>0</v>
      </c>
      <c r="T321" s="1598">
        <f t="shared" si="35"/>
        <v>1.540935E-2</v>
      </c>
      <c r="U321" s="1598">
        <f t="shared" si="40"/>
        <v>0</v>
      </c>
      <c r="V321" s="1598">
        <v>0</v>
      </c>
      <c r="W321" s="1598">
        <v>0</v>
      </c>
      <c r="X321" s="1598"/>
      <c r="Y321" s="1598"/>
      <c r="Z321" s="1598"/>
      <c r="AA321" s="1598"/>
      <c r="AB321" s="1598"/>
      <c r="AC321" s="1598"/>
      <c r="AD321" s="1598"/>
      <c r="AE321" s="1598"/>
      <c r="AF321" s="1598"/>
      <c r="AG321" s="1598"/>
      <c r="AH321" s="1725"/>
      <c r="AI321" s="1725"/>
      <c r="AJ321" s="1725"/>
      <c r="AK321" s="1725"/>
      <c r="AL321" s="1725"/>
      <c r="AM321" s="1725"/>
      <c r="AN321" s="1725"/>
      <c r="AO321" s="1725"/>
      <c r="AP321" s="1725"/>
      <c r="AQ321" s="1725"/>
      <c r="AR321" s="1725"/>
      <c r="AS321" s="1725">
        <f t="shared" si="36"/>
        <v>0</v>
      </c>
      <c r="AT321" s="1725"/>
      <c r="AU321" s="1624">
        <v>0</v>
      </c>
      <c r="AV321" s="1624">
        <v>0</v>
      </c>
      <c r="AW321" s="1624">
        <v>0</v>
      </c>
      <c r="AX321" s="1624">
        <v>0</v>
      </c>
      <c r="AY321" s="1624">
        <v>0</v>
      </c>
      <c r="AZ321" s="1624">
        <v>0</v>
      </c>
      <c r="BA321" s="1624">
        <v>0</v>
      </c>
      <c r="BB321" s="1593"/>
      <c r="BC321" s="1726" t="s">
        <v>1985</v>
      </c>
      <c r="BD321" s="1595"/>
      <c r="BE321" s="1598">
        <f t="shared" si="37"/>
        <v>0</v>
      </c>
      <c r="BF321" s="1739">
        <v>1.540935E-2</v>
      </c>
      <c r="BG321" s="1598">
        <f t="shared" si="38"/>
        <v>0</v>
      </c>
      <c r="BH321" s="1598">
        <f t="shared" si="33"/>
        <v>0</v>
      </c>
      <c r="BI321" s="1598">
        <f t="shared" si="33"/>
        <v>0</v>
      </c>
      <c r="BJ321" s="1598">
        <f t="shared" si="33"/>
        <v>0</v>
      </c>
      <c r="BK321" s="1598">
        <f t="shared" si="33"/>
        <v>0</v>
      </c>
      <c r="BL321" s="1598">
        <f t="shared" si="33"/>
        <v>0</v>
      </c>
      <c r="BM321" s="1598">
        <f t="shared" si="33"/>
        <v>0</v>
      </c>
      <c r="BN321" s="1598">
        <f t="shared" si="33"/>
        <v>0</v>
      </c>
      <c r="BO321" s="1598">
        <f t="shared" si="41"/>
        <v>0</v>
      </c>
      <c r="BP321" s="1598">
        <f t="shared" si="41"/>
        <v>0</v>
      </c>
      <c r="BQ321" s="1576"/>
      <c r="BR321" s="1727" t="s">
        <v>1985</v>
      </c>
      <c r="BS321" s="1581"/>
      <c r="BT321" s="1539"/>
      <c r="BU321" s="1430">
        <v>1501006807</v>
      </c>
      <c r="BV321" s="1430" t="s">
        <v>1984</v>
      </c>
    </row>
    <row r="322" spans="1:74" s="1430" customFormat="1" outlineLevel="1">
      <c r="A322" s="1499">
        <v>88</v>
      </c>
      <c r="B322" s="1539" t="s">
        <v>2078</v>
      </c>
      <c r="C322" s="1578"/>
      <c r="D322" s="1511" t="s">
        <v>934</v>
      </c>
      <c r="E322" s="1579"/>
      <c r="F322" s="1334"/>
      <c r="G322" s="1318"/>
      <c r="H322" s="1318"/>
      <c r="I322" s="1379"/>
      <c r="J322" s="1379"/>
      <c r="K322" s="1402"/>
      <c r="L322" s="1337"/>
      <c r="M322" s="1337"/>
      <c r="N322" s="1339" t="s">
        <v>1984</v>
      </c>
      <c r="O322" s="1336"/>
      <c r="P322" s="1598">
        <f t="shared" si="39"/>
        <v>0</v>
      </c>
      <c r="Q322" s="1573">
        <f t="shared" si="39"/>
        <v>5.4613100000000005E-4</v>
      </c>
      <c r="R322" s="1598">
        <f t="shared" si="39"/>
        <v>0</v>
      </c>
      <c r="S322" s="1598">
        <f t="shared" si="39"/>
        <v>0</v>
      </c>
      <c r="T322" s="1598">
        <f t="shared" si="35"/>
        <v>5.4613100000000005E-4</v>
      </c>
      <c r="U322" s="1598">
        <f t="shared" si="40"/>
        <v>0</v>
      </c>
      <c r="V322" s="1598">
        <v>0</v>
      </c>
      <c r="W322" s="1598">
        <v>0</v>
      </c>
      <c r="X322" s="1598"/>
      <c r="Y322" s="1598"/>
      <c r="Z322" s="1598"/>
      <c r="AA322" s="1598"/>
      <c r="AB322" s="1598"/>
      <c r="AC322" s="1598"/>
      <c r="AD322" s="1598"/>
      <c r="AE322" s="1598"/>
      <c r="AF322" s="1598"/>
      <c r="AG322" s="1598"/>
      <c r="AH322" s="1725"/>
      <c r="AI322" s="1725"/>
      <c r="AJ322" s="1725"/>
      <c r="AK322" s="1725"/>
      <c r="AL322" s="1725"/>
      <c r="AM322" s="1725"/>
      <c r="AN322" s="1725"/>
      <c r="AO322" s="1725"/>
      <c r="AP322" s="1725"/>
      <c r="AQ322" s="1725"/>
      <c r="AR322" s="1725"/>
      <c r="AS322" s="1725">
        <f t="shared" si="36"/>
        <v>0</v>
      </c>
      <c r="AT322" s="1725"/>
      <c r="AU322" s="1624">
        <v>0</v>
      </c>
      <c r="AV322" s="1624">
        <v>0</v>
      </c>
      <c r="AW322" s="1624">
        <v>0</v>
      </c>
      <c r="AX322" s="1624">
        <v>0</v>
      </c>
      <c r="AY322" s="1624">
        <v>0</v>
      </c>
      <c r="AZ322" s="1624">
        <v>0</v>
      </c>
      <c r="BA322" s="1624">
        <v>0</v>
      </c>
      <c r="BB322" s="1593"/>
      <c r="BC322" s="1726" t="s">
        <v>1985</v>
      </c>
      <c r="BD322" s="1595"/>
      <c r="BE322" s="1598">
        <f t="shared" si="37"/>
        <v>0</v>
      </c>
      <c r="BF322" s="1739">
        <v>5.4613100000000005E-4</v>
      </c>
      <c r="BG322" s="1598">
        <f t="shared" si="38"/>
        <v>0</v>
      </c>
      <c r="BH322" s="1598">
        <f t="shared" si="33"/>
        <v>0</v>
      </c>
      <c r="BI322" s="1598">
        <f t="shared" si="33"/>
        <v>0</v>
      </c>
      <c r="BJ322" s="1598">
        <f t="shared" si="33"/>
        <v>0</v>
      </c>
      <c r="BK322" s="1598">
        <f t="shared" si="33"/>
        <v>0</v>
      </c>
      <c r="BL322" s="1598">
        <f t="shared" si="33"/>
        <v>0</v>
      </c>
      <c r="BM322" s="1598">
        <f t="shared" si="33"/>
        <v>0</v>
      </c>
      <c r="BN322" s="1598">
        <f t="shared" si="33"/>
        <v>0</v>
      </c>
      <c r="BO322" s="1598">
        <f t="shared" si="41"/>
        <v>0</v>
      </c>
      <c r="BP322" s="1598">
        <f t="shared" si="41"/>
        <v>0</v>
      </c>
      <c r="BQ322" s="1576"/>
      <c r="BR322" s="1727" t="s">
        <v>1985</v>
      </c>
      <c r="BS322" s="1581"/>
      <c r="BT322" s="1539"/>
      <c r="BU322" s="1430">
        <v>1501006808</v>
      </c>
      <c r="BV322" s="1430" t="s">
        <v>1984</v>
      </c>
    </row>
    <row r="323" spans="1:74" s="1430" customFormat="1" outlineLevel="1">
      <c r="A323" s="1499">
        <v>89</v>
      </c>
      <c r="B323" s="1539" t="s">
        <v>2079</v>
      </c>
      <c r="C323" s="1578"/>
      <c r="D323" s="1511" t="s">
        <v>934</v>
      </c>
      <c r="E323" s="1579"/>
      <c r="F323" s="1334"/>
      <c r="G323" s="1318"/>
      <c r="H323" s="1318"/>
      <c r="I323" s="1379"/>
      <c r="J323" s="1379"/>
      <c r="K323" s="1402"/>
      <c r="L323" s="1337"/>
      <c r="M323" s="1337"/>
      <c r="N323" s="1339" t="s">
        <v>1984</v>
      </c>
      <c r="O323" s="1336"/>
      <c r="P323" s="1598">
        <f t="shared" si="39"/>
        <v>0</v>
      </c>
      <c r="Q323" s="1573">
        <f t="shared" si="39"/>
        <v>2.8149E-3</v>
      </c>
      <c r="R323" s="1598">
        <f t="shared" si="39"/>
        <v>0</v>
      </c>
      <c r="S323" s="1598">
        <f t="shared" si="39"/>
        <v>0</v>
      </c>
      <c r="T323" s="1598">
        <f t="shared" si="35"/>
        <v>2.8149E-3</v>
      </c>
      <c r="U323" s="1598">
        <f t="shared" si="40"/>
        <v>0</v>
      </c>
      <c r="V323" s="1598">
        <v>0</v>
      </c>
      <c r="W323" s="1598">
        <v>0</v>
      </c>
      <c r="X323" s="1598"/>
      <c r="Y323" s="1598"/>
      <c r="Z323" s="1598"/>
      <c r="AA323" s="1598"/>
      <c r="AB323" s="1598"/>
      <c r="AC323" s="1598"/>
      <c r="AD323" s="1598"/>
      <c r="AE323" s="1598"/>
      <c r="AF323" s="1598"/>
      <c r="AG323" s="1598"/>
      <c r="AH323" s="1725"/>
      <c r="AI323" s="1725"/>
      <c r="AJ323" s="1725"/>
      <c r="AK323" s="1725"/>
      <c r="AL323" s="1725"/>
      <c r="AM323" s="1725"/>
      <c r="AN323" s="1725"/>
      <c r="AO323" s="1725"/>
      <c r="AP323" s="1725"/>
      <c r="AQ323" s="1725"/>
      <c r="AR323" s="1725"/>
      <c r="AS323" s="1725">
        <f t="shared" si="36"/>
        <v>0</v>
      </c>
      <c r="AT323" s="1725"/>
      <c r="AU323" s="1624">
        <v>0</v>
      </c>
      <c r="AV323" s="1624">
        <v>0</v>
      </c>
      <c r="AW323" s="1624">
        <v>0</v>
      </c>
      <c r="AX323" s="1624">
        <v>0</v>
      </c>
      <c r="AY323" s="1624">
        <v>0</v>
      </c>
      <c r="AZ323" s="1624">
        <v>0</v>
      </c>
      <c r="BA323" s="1624">
        <v>0</v>
      </c>
      <c r="BB323" s="1593"/>
      <c r="BC323" s="1726" t="s">
        <v>1985</v>
      </c>
      <c r="BD323" s="1595"/>
      <c r="BE323" s="1598">
        <f t="shared" si="37"/>
        <v>0</v>
      </c>
      <c r="BF323" s="1739">
        <v>2.8149E-3</v>
      </c>
      <c r="BG323" s="1598">
        <f t="shared" si="38"/>
        <v>0</v>
      </c>
      <c r="BH323" s="1598">
        <f t="shared" si="33"/>
        <v>0</v>
      </c>
      <c r="BI323" s="1598">
        <f t="shared" si="33"/>
        <v>0</v>
      </c>
      <c r="BJ323" s="1598">
        <f t="shared" si="33"/>
        <v>0</v>
      </c>
      <c r="BK323" s="1598">
        <f t="shared" si="33"/>
        <v>0</v>
      </c>
      <c r="BL323" s="1598">
        <f t="shared" si="33"/>
        <v>0</v>
      </c>
      <c r="BM323" s="1598">
        <f t="shared" si="33"/>
        <v>0</v>
      </c>
      <c r="BN323" s="1598">
        <f t="shared" si="33"/>
        <v>0</v>
      </c>
      <c r="BO323" s="1598">
        <f t="shared" si="41"/>
        <v>0</v>
      </c>
      <c r="BP323" s="1598">
        <f t="shared" si="41"/>
        <v>0</v>
      </c>
      <c r="BQ323" s="1576"/>
      <c r="BR323" s="1727" t="s">
        <v>1985</v>
      </c>
      <c r="BS323" s="1581"/>
      <c r="BT323" s="1539"/>
      <c r="BU323" s="1430">
        <v>1501006809</v>
      </c>
      <c r="BV323" s="1430" t="s">
        <v>1984</v>
      </c>
    </row>
    <row r="324" spans="1:74" s="1430" customFormat="1" ht="29" outlineLevel="1">
      <c r="A324" s="1499">
        <v>90</v>
      </c>
      <c r="B324" s="1539" t="s">
        <v>2080</v>
      </c>
      <c r="C324" s="1578"/>
      <c r="D324" s="1511" t="s">
        <v>934</v>
      </c>
      <c r="E324" s="1579"/>
      <c r="F324" s="1334"/>
      <c r="G324" s="1318"/>
      <c r="H324" s="1318"/>
      <c r="I324" s="1379"/>
      <c r="J324" s="1379"/>
      <c r="K324" s="1402"/>
      <c r="L324" s="1337"/>
      <c r="M324" s="1337"/>
      <c r="N324" s="1339" t="s">
        <v>1984</v>
      </c>
      <c r="O324" s="1336"/>
      <c r="P324" s="1598">
        <f t="shared" si="39"/>
        <v>0</v>
      </c>
      <c r="Q324" s="1573">
        <f t="shared" si="39"/>
        <v>1.170412E-3</v>
      </c>
      <c r="R324" s="1598">
        <f t="shared" si="39"/>
        <v>0</v>
      </c>
      <c r="S324" s="1598">
        <f t="shared" si="39"/>
        <v>0</v>
      </c>
      <c r="T324" s="1598">
        <f t="shared" si="35"/>
        <v>1.170412E-3</v>
      </c>
      <c r="U324" s="1598">
        <f t="shared" si="40"/>
        <v>0</v>
      </c>
      <c r="V324" s="1598">
        <v>0</v>
      </c>
      <c r="W324" s="1598">
        <v>0</v>
      </c>
      <c r="X324" s="1598"/>
      <c r="Y324" s="1598"/>
      <c r="Z324" s="1598"/>
      <c r="AA324" s="1598"/>
      <c r="AB324" s="1598"/>
      <c r="AC324" s="1598"/>
      <c r="AD324" s="1598"/>
      <c r="AE324" s="1598"/>
      <c r="AF324" s="1598"/>
      <c r="AG324" s="1598"/>
      <c r="AH324" s="1725"/>
      <c r="AI324" s="1725"/>
      <c r="AJ324" s="1725"/>
      <c r="AK324" s="1725"/>
      <c r="AL324" s="1725"/>
      <c r="AM324" s="1725"/>
      <c r="AN324" s="1725"/>
      <c r="AO324" s="1725"/>
      <c r="AP324" s="1725"/>
      <c r="AQ324" s="1725"/>
      <c r="AR324" s="1725"/>
      <c r="AS324" s="1725">
        <f t="shared" si="36"/>
        <v>0</v>
      </c>
      <c r="AT324" s="1725"/>
      <c r="AU324" s="1624">
        <v>0</v>
      </c>
      <c r="AV324" s="1624">
        <v>0</v>
      </c>
      <c r="AW324" s="1624">
        <v>0</v>
      </c>
      <c r="AX324" s="1624">
        <v>0</v>
      </c>
      <c r="AY324" s="1624">
        <v>0</v>
      </c>
      <c r="AZ324" s="1624">
        <v>0</v>
      </c>
      <c r="BA324" s="1624">
        <v>0</v>
      </c>
      <c r="BB324" s="1593"/>
      <c r="BC324" s="1726" t="s">
        <v>1985</v>
      </c>
      <c r="BD324" s="1595"/>
      <c r="BE324" s="1598">
        <f t="shared" si="37"/>
        <v>0</v>
      </c>
      <c r="BF324" s="1739">
        <v>1.170412E-3</v>
      </c>
      <c r="BG324" s="1598">
        <f t="shared" si="38"/>
        <v>0</v>
      </c>
      <c r="BH324" s="1598">
        <f t="shared" si="33"/>
        <v>0</v>
      </c>
      <c r="BI324" s="1598">
        <f t="shared" si="33"/>
        <v>0</v>
      </c>
      <c r="BJ324" s="1598">
        <f t="shared" si="33"/>
        <v>0</v>
      </c>
      <c r="BK324" s="1598">
        <f t="shared" ref="BK324:BP381" si="42">CD324</f>
        <v>0</v>
      </c>
      <c r="BL324" s="1598">
        <f t="shared" si="42"/>
        <v>0</v>
      </c>
      <c r="BM324" s="1598">
        <f t="shared" si="42"/>
        <v>0</v>
      </c>
      <c r="BN324" s="1598">
        <f t="shared" si="42"/>
        <v>0</v>
      </c>
      <c r="BO324" s="1598">
        <f t="shared" si="41"/>
        <v>0</v>
      </c>
      <c r="BP324" s="1598">
        <f t="shared" si="41"/>
        <v>0</v>
      </c>
      <c r="BQ324" s="1576"/>
      <c r="BR324" s="1727" t="s">
        <v>1985</v>
      </c>
      <c r="BS324" s="1581"/>
      <c r="BT324" s="1539"/>
      <c r="BU324" s="1430">
        <v>1501006810</v>
      </c>
      <c r="BV324" s="1430" t="s">
        <v>1984</v>
      </c>
    </row>
    <row r="325" spans="1:74" s="1430" customFormat="1" outlineLevel="1">
      <c r="A325" s="1499">
        <v>91</v>
      </c>
      <c r="B325" s="1539" t="s">
        <v>2081</v>
      </c>
      <c r="C325" s="1578"/>
      <c r="D325" s="1511" t="s">
        <v>934</v>
      </c>
      <c r="E325" s="1579"/>
      <c r="F325" s="1334"/>
      <c r="G325" s="1318"/>
      <c r="H325" s="1318"/>
      <c r="I325" s="1379"/>
      <c r="J325" s="1379"/>
      <c r="K325" s="1402"/>
      <c r="L325" s="1337"/>
      <c r="M325" s="1337"/>
      <c r="N325" s="1339" t="s">
        <v>1984</v>
      </c>
      <c r="O325" s="1336"/>
      <c r="P325" s="1598">
        <f t="shared" si="39"/>
        <v>0</v>
      </c>
      <c r="Q325" s="1573">
        <f t="shared" si="39"/>
        <v>2.0637770000000001E-3</v>
      </c>
      <c r="R325" s="1598">
        <f t="shared" si="39"/>
        <v>0</v>
      </c>
      <c r="S325" s="1598">
        <f t="shared" si="39"/>
        <v>0</v>
      </c>
      <c r="T325" s="1598">
        <f t="shared" si="35"/>
        <v>2.0637770000000001E-3</v>
      </c>
      <c r="U325" s="1598">
        <f t="shared" si="40"/>
        <v>0</v>
      </c>
      <c r="V325" s="1598">
        <v>0</v>
      </c>
      <c r="W325" s="1598">
        <v>0</v>
      </c>
      <c r="X325" s="1598"/>
      <c r="Y325" s="1598"/>
      <c r="Z325" s="1598"/>
      <c r="AA325" s="1598"/>
      <c r="AB325" s="1598"/>
      <c r="AC325" s="1598"/>
      <c r="AD325" s="1598"/>
      <c r="AE325" s="1598"/>
      <c r="AF325" s="1598"/>
      <c r="AG325" s="1598"/>
      <c r="AH325" s="1725"/>
      <c r="AI325" s="1725"/>
      <c r="AJ325" s="1725"/>
      <c r="AK325" s="1725"/>
      <c r="AL325" s="1725"/>
      <c r="AM325" s="1725"/>
      <c r="AN325" s="1725"/>
      <c r="AO325" s="1725"/>
      <c r="AP325" s="1725"/>
      <c r="AQ325" s="1725"/>
      <c r="AR325" s="1725"/>
      <c r="AS325" s="1725">
        <f t="shared" si="36"/>
        <v>0</v>
      </c>
      <c r="AT325" s="1725"/>
      <c r="AU325" s="1624">
        <v>0</v>
      </c>
      <c r="AV325" s="1624">
        <v>0</v>
      </c>
      <c r="AW325" s="1624">
        <v>0</v>
      </c>
      <c r="AX325" s="1624">
        <v>0</v>
      </c>
      <c r="AY325" s="1624">
        <v>0</v>
      </c>
      <c r="AZ325" s="1624">
        <v>0</v>
      </c>
      <c r="BA325" s="1624">
        <v>0</v>
      </c>
      <c r="BB325" s="1593"/>
      <c r="BC325" s="1726" t="s">
        <v>1985</v>
      </c>
      <c r="BD325" s="1595"/>
      <c r="BE325" s="1598">
        <f t="shared" si="37"/>
        <v>0</v>
      </c>
      <c r="BF325" s="1739">
        <v>2.0637770000000001E-3</v>
      </c>
      <c r="BG325" s="1598">
        <f t="shared" si="38"/>
        <v>0</v>
      </c>
      <c r="BH325" s="1598">
        <f t="shared" si="38"/>
        <v>0</v>
      </c>
      <c r="BI325" s="1598">
        <f t="shared" si="38"/>
        <v>0</v>
      </c>
      <c r="BJ325" s="1598">
        <f t="shared" si="38"/>
        <v>0</v>
      </c>
      <c r="BK325" s="1598">
        <f t="shared" si="42"/>
        <v>0</v>
      </c>
      <c r="BL325" s="1598">
        <f t="shared" si="42"/>
        <v>0</v>
      </c>
      <c r="BM325" s="1598">
        <f t="shared" si="42"/>
        <v>0</v>
      </c>
      <c r="BN325" s="1598">
        <f t="shared" si="42"/>
        <v>0</v>
      </c>
      <c r="BO325" s="1598">
        <f t="shared" si="41"/>
        <v>0</v>
      </c>
      <c r="BP325" s="1598">
        <f t="shared" si="41"/>
        <v>0</v>
      </c>
      <c r="BQ325" s="1576"/>
      <c r="BR325" s="1727" t="s">
        <v>1985</v>
      </c>
      <c r="BS325" s="1581"/>
      <c r="BT325" s="1539"/>
      <c r="BU325" s="1430">
        <v>1501006811</v>
      </c>
      <c r="BV325" s="1430" t="s">
        <v>1984</v>
      </c>
    </row>
    <row r="326" spans="1:74" s="1430" customFormat="1" outlineLevel="1">
      <c r="A326" s="1499">
        <v>92</v>
      </c>
      <c r="B326" s="1539" t="s">
        <v>2082</v>
      </c>
      <c r="C326" s="1578"/>
      <c r="D326" s="1511" t="s">
        <v>934</v>
      </c>
      <c r="E326" s="1579"/>
      <c r="F326" s="1334"/>
      <c r="G326" s="1318"/>
      <c r="H326" s="1318"/>
      <c r="I326" s="1379"/>
      <c r="J326" s="1379"/>
      <c r="K326" s="1402"/>
      <c r="L326" s="1337"/>
      <c r="M326" s="1337"/>
      <c r="N326" s="1339" t="s">
        <v>1984</v>
      </c>
      <c r="O326" s="1336"/>
      <c r="P326" s="1598">
        <f t="shared" si="39"/>
        <v>0</v>
      </c>
      <c r="Q326" s="1573">
        <f t="shared" si="39"/>
        <v>8.2014210000000004E-3</v>
      </c>
      <c r="R326" s="1598">
        <f t="shared" si="39"/>
        <v>0</v>
      </c>
      <c r="S326" s="1598">
        <f t="shared" si="39"/>
        <v>0</v>
      </c>
      <c r="T326" s="1598">
        <f t="shared" si="35"/>
        <v>8.2014210000000004E-3</v>
      </c>
      <c r="U326" s="1598">
        <f t="shared" si="40"/>
        <v>0</v>
      </c>
      <c r="V326" s="1598">
        <v>0</v>
      </c>
      <c r="W326" s="1598">
        <v>0</v>
      </c>
      <c r="X326" s="1598"/>
      <c r="Y326" s="1598"/>
      <c r="Z326" s="1598"/>
      <c r="AA326" s="1598"/>
      <c r="AB326" s="1598"/>
      <c r="AC326" s="1598"/>
      <c r="AD326" s="1598"/>
      <c r="AE326" s="1598"/>
      <c r="AF326" s="1598"/>
      <c r="AG326" s="1598"/>
      <c r="AH326" s="1725"/>
      <c r="AI326" s="1725"/>
      <c r="AJ326" s="1725"/>
      <c r="AK326" s="1725"/>
      <c r="AL326" s="1725"/>
      <c r="AM326" s="1725"/>
      <c r="AN326" s="1725"/>
      <c r="AO326" s="1725"/>
      <c r="AP326" s="1725"/>
      <c r="AQ326" s="1725"/>
      <c r="AR326" s="1725"/>
      <c r="AS326" s="1725">
        <f t="shared" si="36"/>
        <v>0</v>
      </c>
      <c r="AT326" s="1725"/>
      <c r="AU326" s="1624">
        <v>0</v>
      </c>
      <c r="AV326" s="1624">
        <v>0</v>
      </c>
      <c r="AW326" s="1624">
        <v>0</v>
      </c>
      <c r="AX326" s="1624">
        <v>0</v>
      </c>
      <c r="AY326" s="1624">
        <v>0</v>
      </c>
      <c r="AZ326" s="1624">
        <v>0</v>
      </c>
      <c r="BA326" s="1624">
        <v>0</v>
      </c>
      <c r="BB326" s="1593"/>
      <c r="BC326" s="1726" t="s">
        <v>1985</v>
      </c>
      <c r="BD326" s="1595"/>
      <c r="BE326" s="1598">
        <f t="shared" si="37"/>
        <v>0</v>
      </c>
      <c r="BF326" s="1739">
        <v>8.2014210000000004E-3</v>
      </c>
      <c r="BG326" s="1598">
        <f t="shared" si="38"/>
        <v>0</v>
      </c>
      <c r="BH326" s="1598">
        <f t="shared" si="38"/>
        <v>0</v>
      </c>
      <c r="BI326" s="1598">
        <f t="shared" si="38"/>
        <v>0</v>
      </c>
      <c r="BJ326" s="1598">
        <f t="shared" si="38"/>
        <v>0</v>
      </c>
      <c r="BK326" s="1598">
        <f t="shared" si="42"/>
        <v>0</v>
      </c>
      <c r="BL326" s="1598">
        <f t="shared" si="42"/>
        <v>0</v>
      </c>
      <c r="BM326" s="1598">
        <f t="shared" si="42"/>
        <v>0</v>
      </c>
      <c r="BN326" s="1598">
        <f t="shared" si="42"/>
        <v>0</v>
      </c>
      <c r="BO326" s="1598">
        <f t="shared" si="41"/>
        <v>0</v>
      </c>
      <c r="BP326" s="1598">
        <f t="shared" si="41"/>
        <v>0</v>
      </c>
      <c r="BQ326" s="1576"/>
      <c r="BR326" s="1727" t="s">
        <v>1985</v>
      </c>
      <c r="BS326" s="1581"/>
      <c r="BT326" s="1539"/>
      <c r="BU326" s="1430">
        <v>1501006812</v>
      </c>
      <c r="BV326" s="1430" t="s">
        <v>1984</v>
      </c>
    </row>
    <row r="327" spans="1:74" s="1430" customFormat="1" outlineLevel="1">
      <c r="A327" s="1499">
        <v>93</v>
      </c>
      <c r="B327" s="1539" t="s">
        <v>2083</v>
      </c>
      <c r="C327" s="1578"/>
      <c r="D327" s="1511" t="s">
        <v>934</v>
      </c>
      <c r="E327" s="1579"/>
      <c r="F327" s="1334"/>
      <c r="G327" s="1318"/>
      <c r="H327" s="1318"/>
      <c r="I327" s="1379"/>
      <c r="J327" s="1379"/>
      <c r="K327" s="1402"/>
      <c r="L327" s="1337"/>
      <c r="M327" s="1337"/>
      <c r="N327" s="1339" t="s">
        <v>1984</v>
      </c>
      <c r="O327" s="1336"/>
      <c r="P327" s="1598">
        <f t="shared" si="39"/>
        <v>0</v>
      </c>
      <c r="Q327" s="1573">
        <f t="shared" si="39"/>
        <v>7.783575E-3</v>
      </c>
      <c r="R327" s="1598">
        <f t="shared" si="39"/>
        <v>0</v>
      </c>
      <c r="S327" s="1598">
        <f t="shared" si="39"/>
        <v>0</v>
      </c>
      <c r="T327" s="1598">
        <f t="shared" si="35"/>
        <v>7.783575E-3</v>
      </c>
      <c r="U327" s="1598">
        <f t="shared" si="40"/>
        <v>0</v>
      </c>
      <c r="V327" s="1598">
        <v>0</v>
      </c>
      <c r="W327" s="1598">
        <v>0</v>
      </c>
      <c r="X327" s="1598"/>
      <c r="Y327" s="1598"/>
      <c r="Z327" s="1598"/>
      <c r="AA327" s="1598"/>
      <c r="AB327" s="1598"/>
      <c r="AC327" s="1598"/>
      <c r="AD327" s="1598"/>
      <c r="AE327" s="1598"/>
      <c r="AF327" s="1598"/>
      <c r="AG327" s="1598"/>
      <c r="AH327" s="1725"/>
      <c r="AI327" s="1725"/>
      <c r="AJ327" s="1725"/>
      <c r="AK327" s="1725"/>
      <c r="AL327" s="1725"/>
      <c r="AM327" s="1725"/>
      <c r="AN327" s="1725"/>
      <c r="AO327" s="1725"/>
      <c r="AP327" s="1725"/>
      <c r="AQ327" s="1725"/>
      <c r="AR327" s="1725"/>
      <c r="AS327" s="1725">
        <f t="shared" si="36"/>
        <v>0</v>
      </c>
      <c r="AT327" s="1725"/>
      <c r="AU327" s="1624">
        <v>0</v>
      </c>
      <c r="AV327" s="1624">
        <v>0</v>
      </c>
      <c r="AW327" s="1624">
        <v>0</v>
      </c>
      <c r="AX327" s="1624">
        <v>0</v>
      </c>
      <c r="AY327" s="1624">
        <v>0</v>
      </c>
      <c r="AZ327" s="1624">
        <v>0</v>
      </c>
      <c r="BA327" s="1624">
        <v>0</v>
      </c>
      <c r="BB327" s="1593"/>
      <c r="BC327" s="1726" t="s">
        <v>1985</v>
      </c>
      <c r="BD327" s="1595"/>
      <c r="BE327" s="1598">
        <f t="shared" si="37"/>
        <v>0</v>
      </c>
      <c r="BF327" s="1739">
        <v>7.783575E-3</v>
      </c>
      <c r="BG327" s="1598">
        <f t="shared" si="38"/>
        <v>0</v>
      </c>
      <c r="BH327" s="1598">
        <f t="shared" si="38"/>
        <v>0</v>
      </c>
      <c r="BI327" s="1598">
        <f t="shared" si="38"/>
        <v>0</v>
      </c>
      <c r="BJ327" s="1598">
        <f t="shared" si="38"/>
        <v>0</v>
      </c>
      <c r="BK327" s="1598">
        <f t="shared" si="42"/>
        <v>0</v>
      </c>
      <c r="BL327" s="1598">
        <f t="shared" si="42"/>
        <v>0</v>
      </c>
      <c r="BM327" s="1598">
        <f t="shared" si="42"/>
        <v>0</v>
      </c>
      <c r="BN327" s="1598">
        <f t="shared" si="42"/>
        <v>0</v>
      </c>
      <c r="BO327" s="1598">
        <f t="shared" si="41"/>
        <v>0</v>
      </c>
      <c r="BP327" s="1598">
        <f t="shared" si="41"/>
        <v>0</v>
      </c>
      <c r="BQ327" s="1576"/>
      <c r="BR327" s="1727" t="s">
        <v>1985</v>
      </c>
      <c r="BS327" s="1581"/>
      <c r="BT327" s="1539"/>
      <c r="BU327" s="1430">
        <v>1501006813</v>
      </c>
      <c r="BV327" s="1430" t="s">
        <v>1984</v>
      </c>
    </row>
    <row r="328" spans="1:74" s="1430" customFormat="1" outlineLevel="1">
      <c r="A328" s="1499">
        <v>94</v>
      </c>
      <c r="B328" s="1539" t="s">
        <v>2084</v>
      </c>
      <c r="C328" s="1578"/>
      <c r="D328" s="1511" t="s">
        <v>934</v>
      </c>
      <c r="E328" s="1579"/>
      <c r="F328" s="1334"/>
      <c r="G328" s="1318"/>
      <c r="H328" s="1318"/>
      <c r="I328" s="1379"/>
      <c r="J328" s="1379"/>
      <c r="K328" s="1402"/>
      <c r="L328" s="1337"/>
      <c r="M328" s="1337"/>
      <c r="N328" s="1339" t="s">
        <v>1984</v>
      </c>
      <c r="O328" s="1336"/>
      <c r="P328" s="1598">
        <f t="shared" si="39"/>
        <v>0</v>
      </c>
      <c r="Q328" s="1573">
        <f t="shared" si="39"/>
        <v>3.4267400000000001E-4</v>
      </c>
      <c r="R328" s="1598">
        <f t="shared" si="39"/>
        <v>0</v>
      </c>
      <c r="S328" s="1598">
        <f t="shared" si="39"/>
        <v>0</v>
      </c>
      <c r="T328" s="1598">
        <f t="shared" si="35"/>
        <v>3.4267400000000001E-4</v>
      </c>
      <c r="U328" s="1598">
        <f t="shared" si="40"/>
        <v>0</v>
      </c>
      <c r="V328" s="1598">
        <v>0</v>
      </c>
      <c r="W328" s="1598">
        <v>0</v>
      </c>
      <c r="X328" s="1598"/>
      <c r="Y328" s="1598"/>
      <c r="Z328" s="1598"/>
      <c r="AA328" s="1598"/>
      <c r="AB328" s="1598"/>
      <c r="AC328" s="1598"/>
      <c r="AD328" s="1598"/>
      <c r="AE328" s="1598"/>
      <c r="AF328" s="1598"/>
      <c r="AG328" s="1598"/>
      <c r="AH328" s="1725"/>
      <c r="AI328" s="1725"/>
      <c r="AJ328" s="1725"/>
      <c r="AK328" s="1725"/>
      <c r="AL328" s="1725"/>
      <c r="AM328" s="1725"/>
      <c r="AN328" s="1725"/>
      <c r="AO328" s="1725"/>
      <c r="AP328" s="1725"/>
      <c r="AQ328" s="1725"/>
      <c r="AR328" s="1725"/>
      <c r="AS328" s="1725">
        <f t="shared" si="36"/>
        <v>0</v>
      </c>
      <c r="AT328" s="1725"/>
      <c r="AU328" s="1624">
        <v>0</v>
      </c>
      <c r="AV328" s="1624">
        <v>0</v>
      </c>
      <c r="AW328" s="1624">
        <v>0</v>
      </c>
      <c r="AX328" s="1624">
        <v>0</v>
      </c>
      <c r="AY328" s="1624">
        <v>0</v>
      </c>
      <c r="AZ328" s="1624">
        <v>0</v>
      </c>
      <c r="BA328" s="1624">
        <v>0</v>
      </c>
      <c r="BB328" s="1593"/>
      <c r="BC328" s="1726" t="s">
        <v>1985</v>
      </c>
      <c r="BD328" s="1595"/>
      <c r="BE328" s="1598">
        <f t="shared" si="37"/>
        <v>0</v>
      </c>
      <c r="BF328" s="1739">
        <v>3.4267400000000001E-4</v>
      </c>
      <c r="BG328" s="1598">
        <f t="shared" si="38"/>
        <v>0</v>
      </c>
      <c r="BH328" s="1598">
        <f t="shared" si="38"/>
        <v>0</v>
      </c>
      <c r="BI328" s="1598">
        <f t="shared" si="38"/>
        <v>0</v>
      </c>
      <c r="BJ328" s="1598">
        <f t="shared" si="38"/>
        <v>0</v>
      </c>
      <c r="BK328" s="1598">
        <f t="shared" si="42"/>
        <v>0</v>
      </c>
      <c r="BL328" s="1598">
        <f t="shared" si="42"/>
        <v>0</v>
      </c>
      <c r="BM328" s="1598">
        <f t="shared" si="42"/>
        <v>0</v>
      </c>
      <c r="BN328" s="1598">
        <f t="shared" si="42"/>
        <v>0</v>
      </c>
      <c r="BO328" s="1598">
        <f t="shared" si="41"/>
        <v>0</v>
      </c>
      <c r="BP328" s="1598">
        <f t="shared" si="41"/>
        <v>0</v>
      </c>
      <c r="BQ328" s="1576"/>
      <c r="BR328" s="1727" t="s">
        <v>1985</v>
      </c>
      <c r="BS328" s="1581"/>
      <c r="BT328" s="1539"/>
      <c r="BU328" s="1430">
        <v>1501006814</v>
      </c>
      <c r="BV328" s="1430" t="s">
        <v>1984</v>
      </c>
    </row>
    <row r="329" spans="1:74" s="1430" customFormat="1" outlineLevel="1">
      <c r="A329" s="1499">
        <v>95</v>
      </c>
      <c r="B329" s="1539" t="s">
        <v>2085</v>
      </c>
      <c r="C329" s="1578"/>
      <c r="D329" s="1511" t="s">
        <v>934</v>
      </c>
      <c r="E329" s="1579"/>
      <c r="F329" s="1334"/>
      <c r="G329" s="1318"/>
      <c r="H329" s="1318"/>
      <c r="I329" s="1379"/>
      <c r="J329" s="1379"/>
      <c r="K329" s="1402"/>
      <c r="L329" s="1337"/>
      <c r="M329" s="1337"/>
      <c r="N329" s="1339" t="s">
        <v>1984</v>
      </c>
      <c r="O329" s="1336"/>
      <c r="P329" s="1598">
        <f t="shared" si="39"/>
        <v>0</v>
      </c>
      <c r="Q329" s="1573">
        <f t="shared" si="39"/>
        <v>1.92531E-3</v>
      </c>
      <c r="R329" s="1598">
        <f t="shared" si="39"/>
        <v>0</v>
      </c>
      <c r="S329" s="1598">
        <f t="shared" si="39"/>
        <v>0</v>
      </c>
      <c r="T329" s="1598">
        <f t="shared" si="35"/>
        <v>1.92531E-3</v>
      </c>
      <c r="U329" s="1598">
        <f t="shared" si="40"/>
        <v>0</v>
      </c>
      <c r="V329" s="1598">
        <v>0</v>
      </c>
      <c r="W329" s="1598">
        <v>0</v>
      </c>
      <c r="X329" s="1598"/>
      <c r="Y329" s="1598"/>
      <c r="Z329" s="1598"/>
      <c r="AA329" s="1598"/>
      <c r="AB329" s="1598"/>
      <c r="AC329" s="1598"/>
      <c r="AD329" s="1598"/>
      <c r="AE329" s="1598"/>
      <c r="AF329" s="1598"/>
      <c r="AG329" s="1598"/>
      <c r="AH329" s="1725"/>
      <c r="AI329" s="1725"/>
      <c r="AJ329" s="1725"/>
      <c r="AK329" s="1725"/>
      <c r="AL329" s="1725"/>
      <c r="AM329" s="1725"/>
      <c r="AN329" s="1725"/>
      <c r="AO329" s="1725"/>
      <c r="AP329" s="1725"/>
      <c r="AQ329" s="1725"/>
      <c r="AR329" s="1725"/>
      <c r="AS329" s="1725">
        <f t="shared" si="36"/>
        <v>0</v>
      </c>
      <c r="AT329" s="1725"/>
      <c r="AU329" s="1624">
        <v>0</v>
      </c>
      <c r="AV329" s="1624">
        <v>0</v>
      </c>
      <c r="AW329" s="1624">
        <v>0</v>
      </c>
      <c r="AX329" s="1624">
        <v>0</v>
      </c>
      <c r="AY329" s="1624">
        <v>0</v>
      </c>
      <c r="AZ329" s="1624">
        <v>0</v>
      </c>
      <c r="BA329" s="1624">
        <v>0</v>
      </c>
      <c r="BB329" s="1593"/>
      <c r="BC329" s="1741" t="s">
        <v>2057</v>
      </c>
      <c r="BD329" s="1595"/>
      <c r="BE329" s="1598">
        <f t="shared" si="37"/>
        <v>0</v>
      </c>
      <c r="BF329" s="1739">
        <v>1.92531E-3</v>
      </c>
      <c r="BG329" s="1598">
        <f t="shared" si="38"/>
        <v>0</v>
      </c>
      <c r="BH329" s="1598">
        <f t="shared" si="38"/>
        <v>0</v>
      </c>
      <c r="BI329" s="1598">
        <f t="shared" si="38"/>
        <v>0</v>
      </c>
      <c r="BJ329" s="1598">
        <f t="shared" si="38"/>
        <v>0</v>
      </c>
      <c r="BK329" s="1598">
        <f t="shared" si="42"/>
        <v>0</v>
      </c>
      <c r="BL329" s="1598">
        <f t="shared" si="42"/>
        <v>0</v>
      </c>
      <c r="BM329" s="1598">
        <f t="shared" si="42"/>
        <v>0</v>
      </c>
      <c r="BN329" s="1598">
        <f t="shared" si="42"/>
        <v>0</v>
      </c>
      <c r="BO329" s="1598">
        <f t="shared" si="41"/>
        <v>0</v>
      </c>
      <c r="BP329" s="1598">
        <f t="shared" si="41"/>
        <v>0</v>
      </c>
      <c r="BQ329" s="1576"/>
      <c r="BR329" s="1742" t="s">
        <v>2057</v>
      </c>
      <c r="BS329" s="1581"/>
      <c r="BT329" s="1539"/>
      <c r="BU329" s="1430">
        <v>1501006815</v>
      </c>
      <c r="BV329" s="1430" t="s">
        <v>1984</v>
      </c>
    </row>
    <row r="330" spans="1:74" s="1430" customFormat="1" outlineLevel="1">
      <c r="A330" s="1499">
        <v>96</v>
      </c>
      <c r="B330" s="1539" t="s">
        <v>2086</v>
      </c>
      <c r="C330" s="1578"/>
      <c r="D330" s="1511" t="s">
        <v>934</v>
      </c>
      <c r="E330" s="1579"/>
      <c r="F330" s="1334"/>
      <c r="G330" s="1318"/>
      <c r="H330" s="1318"/>
      <c r="I330" s="1379"/>
      <c r="J330" s="1379"/>
      <c r="K330" s="1402"/>
      <c r="L330" s="1337"/>
      <c r="M330" s="1337"/>
      <c r="N330" s="1339" t="s">
        <v>1984</v>
      </c>
      <c r="O330" s="1336"/>
      <c r="P330" s="1598">
        <f t="shared" si="39"/>
        <v>0</v>
      </c>
      <c r="Q330" s="1573">
        <f t="shared" si="39"/>
        <v>5.1465199999999999E-4</v>
      </c>
      <c r="R330" s="1598">
        <f t="shared" si="39"/>
        <v>0</v>
      </c>
      <c r="S330" s="1598">
        <f t="shared" si="39"/>
        <v>0</v>
      </c>
      <c r="T330" s="1598">
        <f t="shared" si="35"/>
        <v>5.1465199999999999E-4</v>
      </c>
      <c r="U330" s="1598">
        <f t="shared" si="40"/>
        <v>0</v>
      </c>
      <c r="V330" s="1598">
        <v>0</v>
      </c>
      <c r="W330" s="1598">
        <v>0</v>
      </c>
      <c r="X330" s="1598"/>
      <c r="Y330" s="1598"/>
      <c r="Z330" s="1598"/>
      <c r="AA330" s="1598"/>
      <c r="AB330" s="1598"/>
      <c r="AC330" s="1598"/>
      <c r="AD330" s="1598"/>
      <c r="AE330" s="1598"/>
      <c r="AF330" s="1598"/>
      <c r="AG330" s="1598"/>
      <c r="AH330" s="1725"/>
      <c r="AI330" s="1725"/>
      <c r="AJ330" s="1725"/>
      <c r="AK330" s="1725"/>
      <c r="AL330" s="1725"/>
      <c r="AM330" s="1725"/>
      <c r="AN330" s="1725"/>
      <c r="AO330" s="1725"/>
      <c r="AP330" s="1725"/>
      <c r="AQ330" s="1725"/>
      <c r="AR330" s="1725"/>
      <c r="AS330" s="1725">
        <f t="shared" si="36"/>
        <v>0</v>
      </c>
      <c r="AT330" s="1725"/>
      <c r="AU330" s="1624">
        <v>0</v>
      </c>
      <c r="AV330" s="1624">
        <v>0</v>
      </c>
      <c r="AW330" s="1624">
        <v>0</v>
      </c>
      <c r="AX330" s="1624">
        <v>0</v>
      </c>
      <c r="AY330" s="1624">
        <v>0</v>
      </c>
      <c r="AZ330" s="1624">
        <v>0</v>
      </c>
      <c r="BA330" s="1624">
        <v>0</v>
      </c>
      <c r="BB330" s="1593"/>
      <c r="BC330" s="1726" t="s">
        <v>1985</v>
      </c>
      <c r="BD330" s="1595"/>
      <c r="BE330" s="1598">
        <f t="shared" si="37"/>
        <v>0</v>
      </c>
      <c r="BF330" s="1739">
        <v>5.1465199999999999E-4</v>
      </c>
      <c r="BG330" s="1598">
        <f t="shared" si="38"/>
        <v>0</v>
      </c>
      <c r="BH330" s="1598">
        <f t="shared" si="38"/>
        <v>0</v>
      </c>
      <c r="BI330" s="1598">
        <f t="shared" si="38"/>
        <v>0</v>
      </c>
      <c r="BJ330" s="1598">
        <f t="shared" si="38"/>
        <v>0</v>
      </c>
      <c r="BK330" s="1598">
        <f t="shared" si="42"/>
        <v>0</v>
      </c>
      <c r="BL330" s="1598">
        <f t="shared" si="42"/>
        <v>0</v>
      </c>
      <c r="BM330" s="1598">
        <f t="shared" si="42"/>
        <v>0</v>
      </c>
      <c r="BN330" s="1598">
        <f t="shared" si="42"/>
        <v>0</v>
      </c>
      <c r="BO330" s="1598">
        <f t="shared" si="41"/>
        <v>0</v>
      </c>
      <c r="BP330" s="1598">
        <f t="shared" si="41"/>
        <v>0</v>
      </c>
      <c r="BQ330" s="1576"/>
      <c r="BR330" s="1727" t="s">
        <v>1985</v>
      </c>
      <c r="BS330" s="1581"/>
      <c r="BT330" s="1539"/>
      <c r="BU330" s="1430">
        <v>1501006816</v>
      </c>
      <c r="BV330" s="1430" t="s">
        <v>1984</v>
      </c>
    </row>
    <row r="331" spans="1:74" s="1430" customFormat="1" outlineLevel="1">
      <c r="A331" s="1499">
        <v>97</v>
      </c>
      <c r="B331" s="1539" t="s">
        <v>2087</v>
      </c>
      <c r="C331" s="1578"/>
      <c r="D331" s="1511" t="s">
        <v>934</v>
      </c>
      <c r="E331" s="1579"/>
      <c r="F331" s="1334"/>
      <c r="G331" s="1318"/>
      <c r="H331" s="1318"/>
      <c r="I331" s="1379"/>
      <c r="J331" s="1379"/>
      <c r="K331" s="1402"/>
      <c r="L331" s="1337"/>
      <c r="M331" s="1337"/>
      <c r="N331" s="1339" t="s">
        <v>1984</v>
      </c>
      <c r="O331" s="1336"/>
      <c r="P331" s="1598">
        <f t="shared" ref="P331:S362" si="43">BE331</f>
        <v>0</v>
      </c>
      <c r="Q331" s="1573">
        <f t="shared" si="43"/>
        <v>8.9956000000000004E-5</v>
      </c>
      <c r="R331" s="1598">
        <f t="shared" si="43"/>
        <v>0</v>
      </c>
      <c r="S331" s="1598">
        <f t="shared" si="43"/>
        <v>0</v>
      </c>
      <c r="T331" s="1598">
        <f t="shared" ref="T331:T394" si="44">SUM(P331:S331)</f>
        <v>8.9956000000000004E-5</v>
      </c>
      <c r="U331" s="1598">
        <f t="shared" si="40"/>
        <v>0</v>
      </c>
      <c r="V331" s="1598">
        <v>0</v>
      </c>
      <c r="W331" s="1598">
        <v>0</v>
      </c>
      <c r="X331" s="1598"/>
      <c r="Y331" s="1598"/>
      <c r="Z331" s="1598"/>
      <c r="AA331" s="1598"/>
      <c r="AB331" s="1598"/>
      <c r="AC331" s="1598"/>
      <c r="AD331" s="1598"/>
      <c r="AE331" s="1598"/>
      <c r="AF331" s="1598"/>
      <c r="AG331" s="1598"/>
      <c r="AH331" s="1725"/>
      <c r="AI331" s="1725"/>
      <c r="AJ331" s="1725"/>
      <c r="AK331" s="1725"/>
      <c r="AL331" s="1725"/>
      <c r="AM331" s="1725"/>
      <c r="AN331" s="1725"/>
      <c r="AO331" s="1725"/>
      <c r="AP331" s="1725"/>
      <c r="AQ331" s="1725"/>
      <c r="AR331" s="1725"/>
      <c r="AS331" s="1725">
        <f t="shared" ref="AS331:AS394" si="45">SUM(AO331:AR331)</f>
        <v>0</v>
      </c>
      <c r="AT331" s="1725"/>
      <c r="AU331" s="1624">
        <v>0</v>
      </c>
      <c r="AV331" s="1624">
        <v>0</v>
      </c>
      <c r="AW331" s="1624">
        <v>0</v>
      </c>
      <c r="AX331" s="1624">
        <v>0</v>
      </c>
      <c r="AY331" s="1624">
        <v>0</v>
      </c>
      <c r="AZ331" s="1624">
        <v>0</v>
      </c>
      <c r="BA331" s="1624">
        <v>0</v>
      </c>
      <c r="BB331" s="1593"/>
      <c r="BC331" s="1726" t="s">
        <v>1985</v>
      </c>
      <c r="BD331" s="1595"/>
      <c r="BE331" s="1598">
        <f t="shared" si="37"/>
        <v>0</v>
      </c>
      <c r="BF331" s="1739">
        <v>8.9956000000000004E-5</v>
      </c>
      <c r="BG331" s="1598">
        <f t="shared" si="38"/>
        <v>0</v>
      </c>
      <c r="BH331" s="1598">
        <f t="shared" si="38"/>
        <v>0</v>
      </c>
      <c r="BI331" s="1598">
        <f t="shared" si="38"/>
        <v>0</v>
      </c>
      <c r="BJ331" s="1598">
        <f t="shared" si="38"/>
        <v>0</v>
      </c>
      <c r="BK331" s="1598">
        <f t="shared" si="42"/>
        <v>0</v>
      </c>
      <c r="BL331" s="1598">
        <f t="shared" si="42"/>
        <v>0</v>
      </c>
      <c r="BM331" s="1598">
        <f t="shared" si="42"/>
        <v>0</v>
      </c>
      <c r="BN331" s="1598">
        <f t="shared" si="42"/>
        <v>0</v>
      </c>
      <c r="BO331" s="1598">
        <f t="shared" si="41"/>
        <v>0</v>
      </c>
      <c r="BP331" s="1598">
        <f t="shared" si="41"/>
        <v>0</v>
      </c>
      <c r="BQ331" s="1576"/>
      <c r="BR331" s="1727" t="s">
        <v>1985</v>
      </c>
      <c r="BS331" s="1581"/>
      <c r="BT331" s="1539"/>
      <c r="BU331" s="1430">
        <v>1501006817</v>
      </c>
      <c r="BV331" s="1430" t="s">
        <v>1984</v>
      </c>
    </row>
    <row r="332" spans="1:74" s="1430" customFormat="1" outlineLevel="1">
      <c r="A332" s="1499">
        <v>98</v>
      </c>
      <c r="B332" s="1539" t="s">
        <v>2088</v>
      </c>
      <c r="C332" s="1578"/>
      <c r="D332" s="1511" t="s">
        <v>934</v>
      </c>
      <c r="E332" s="1579"/>
      <c r="F332" s="1334"/>
      <c r="G332" s="1318"/>
      <c r="H332" s="1318"/>
      <c r="I332" s="1379"/>
      <c r="J332" s="1379"/>
      <c r="K332" s="1402"/>
      <c r="L332" s="1337"/>
      <c r="M332" s="1337"/>
      <c r="N332" s="1339" t="s">
        <v>1984</v>
      </c>
      <c r="O332" s="1336"/>
      <c r="P332" s="1598">
        <f t="shared" si="43"/>
        <v>0</v>
      </c>
      <c r="Q332" s="1573">
        <f t="shared" si="43"/>
        <v>5.1465199999999999E-4</v>
      </c>
      <c r="R332" s="1598">
        <f t="shared" si="43"/>
        <v>0</v>
      </c>
      <c r="S332" s="1598">
        <f t="shared" si="43"/>
        <v>0</v>
      </c>
      <c r="T332" s="1598">
        <f t="shared" si="44"/>
        <v>5.1465199999999999E-4</v>
      </c>
      <c r="U332" s="1598">
        <f t="shared" si="40"/>
        <v>0</v>
      </c>
      <c r="V332" s="1598">
        <v>0</v>
      </c>
      <c r="W332" s="1598">
        <v>0</v>
      </c>
      <c r="X332" s="1598"/>
      <c r="Y332" s="1598"/>
      <c r="Z332" s="1598"/>
      <c r="AA332" s="1598"/>
      <c r="AB332" s="1598"/>
      <c r="AC332" s="1598"/>
      <c r="AD332" s="1598"/>
      <c r="AE332" s="1598"/>
      <c r="AF332" s="1598"/>
      <c r="AG332" s="1598"/>
      <c r="AH332" s="1725"/>
      <c r="AI332" s="1725"/>
      <c r="AJ332" s="1725"/>
      <c r="AK332" s="1725"/>
      <c r="AL332" s="1725"/>
      <c r="AM332" s="1725"/>
      <c r="AN332" s="1725"/>
      <c r="AO332" s="1725"/>
      <c r="AP332" s="1725"/>
      <c r="AQ332" s="1725"/>
      <c r="AR332" s="1725"/>
      <c r="AS332" s="1725">
        <f t="shared" si="45"/>
        <v>0</v>
      </c>
      <c r="AT332" s="1725"/>
      <c r="AU332" s="1624">
        <v>0</v>
      </c>
      <c r="AV332" s="1624">
        <v>0</v>
      </c>
      <c r="AW332" s="1624">
        <v>0</v>
      </c>
      <c r="AX332" s="1624">
        <v>0</v>
      </c>
      <c r="AY332" s="1624">
        <v>0</v>
      </c>
      <c r="AZ332" s="1624">
        <v>0</v>
      </c>
      <c r="BA332" s="1624">
        <v>0</v>
      </c>
      <c r="BB332" s="1593"/>
      <c r="BC332" s="1726" t="s">
        <v>1985</v>
      </c>
      <c r="BD332" s="1595"/>
      <c r="BE332" s="1598">
        <f t="shared" si="37"/>
        <v>0</v>
      </c>
      <c r="BF332" s="1739">
        <v>5.1465199999999999E-4</v>
      </c>
      <c r="BG332" s="1598">
        <f t="shared" si="38"/>
        <v>0</v>
      </c>
      <c r="BH332" s="1598">
        <f t="shared" si="38"/>
        <v>0</v>
      </c>
      <c r="BI332" s="1598">
        <f t="shared" si="38"/>
        <v>0</v>
      </c>
      <c r="BJ332" s="1598">
        <f t="shared" si="38"/>
        <v>0</v>
      </c>
      <c r="BK332" s="1598">
        <f t="shared" si="42"/>
        <v>0</v>
      </c>
      <c r="BL332" s="1598">
        <f t="shared" si="42"/>
        <v>0</v>
      </c>
      <c r="BM332" s="1598">
        <f t="shared" si="42"/>
        <v>0</v>
      </c>
      <c r="BN332" s="1598">
        <f t="shared" si="42"/>
        <v>0</v>
      </c>
      <c r="BO332" s="1598">
        <f t="shared" si="41"/>
        <v>0</v>
      </c>
      <c r="BP332" s="1598">
        <f t="shared" si="41"/>
        <v>0</v>
      </c>
      <c r="BQ332" s="1576"/>
      <c r="BR332" s="1727" t="s">
        <v>1985</v>
      </c>
      <c r="BS332" s="1581"/>
      <c r="BT332" s="1539"/>
      <c r="BU332" s="1430">
        <v>1501006818</v>
      </c>
      <c r="BV332" s="1430" t="s">
        <v>1984</v>
      </c>
    </row>
    <row r="333" spans="1:74" s="1430" customFormat="1" outlineLevel="1">
      <c r="A333" s="1499">
        <v>99</v>
      </c>
      <c r="B333" s="1539" t="s">
        <v>2089</v>
      </c>
      <c r="C333" s="1578"/>
      <c r="D333" s="1511" t="s">
        <v>934</v>
      </c>
      <c r="E333" s="1579"/>
      <c r="F333" s="1334"/>
      <c r="G333" s="1318"/>
      <c r="H333" s="1318"/>
      <c r="I333" s="1379"/>
      <c r="J333" s="1379"/>
      <c r="K333" s="1402"/>
      <c r="L333" s="1337"/>
      <c r="M333" s="1337"/>
      <c r="N333" s="1339" t="s">
        <v>1984</v>
      </c>
      <c r="O333" s="1336"/>
      <c r="P333" s="1598">
        <f t="shared" si="43"/>
        <v>0</v>
      </c>
      <c r="Q333" s="1573">
        <f t="shared" si="43"/>
        <v>2.28734E-4</v>
      </c>
      <c r="R333" s="1598">
        <f t="shared" si="43"/>
        <v>0</v>
      </c>
      <c r="S333" s="1598">
        <f t="shared" si="43"/>
        <v>0</v>
      </c>
      <c r="T333" s="1598">
        <f t="shared" si="44"/>
        <v>2.28734E-4</v>
      </c>
      <c r="U333" s="1598">
        <f t="shared" si="40"/>
        <v>0</v>
      </c>
      <c r="V333" s="1598">
        <v>0</v>
      </c>
      <c r="W333" s="1598">
        <v>0</v>
      </c>
      <c r="X333" s="1598"/>
      <c r="Y333" s="1598"/>
      <c r="Z333" s="1598"/>
      <c r="AA333" s="1598"/>
      <c r="AB333" s="1598"/>
      <c r="AC333" s="1598"/>
      <c r="AD333" s="1598"/>
      <c r="AE333" s="1598"/>
      <c r="AF333" s="1598"/>
      <c r="AG333" s="1598"/>
      <c r="AH333" s="1725"/>
      <c r="AI333" s="1725"/>
      <c r="AJ333" s="1725"/>
      <c r="AK333" s="1725"/>
      <c r="AL333" s="1725"/>
      <c r="AM333" s="1725"/>
      <c r="AN333" s="1725"/>
      <c r="AO333" s="1725"/>
      <c r="AP333" s="1725"/>
      <c r="AQ333" s="1725"/>
      <c r="AR333" s="1725"/>
      <c r="AS333" s="1725">
        <f t="shared" si="45"/>
        <v>0</v>
      </c>
      <c r="AT333" s="1725"/>
      <c r="AU333" s="1624">
        <v>0</v>
      </c>
      <c r="AV333" s="1624">
        <v>0</v>
      </c>
      <c r="AW333" s="1624">
        <v>0</v>
      </c>
      <c r="AX333" s="1624">
        <v>0</v>
      </c>
      <c r="AY333" s="1624">
        <v>0</v>
      </c>
      <c r="AZ333" s="1624">
        <v>0</v>
      </c>
      <c r="BA333" s="1624">
        <v>0</v>
      </c>
      <c r="BB333" s="1593"/>
      <c r="BC333" s="1726" t="s">
        <v>1985</v>
      </c>
      <c r="BD333" s="1595"/>
      <c r="BE333" s="1598">
        <f t="shared" si="37"/>
        <v>0</v>
      </c>
      <c r="BF333" s="1739">
        <v>2.28734E-4</v>
      </c>
      <c r="BG333" s="1598">
        <f t="shared" si="38"/>
        <v>0</v>
      </c>
      <c r="BH333" s="1598">
        <f t="shared" si="38"/>
        <v>0</v>
      </c>
      <c r="BI333" s="1598">
        <f t="shared" si="38"/>
        <v>0</v>
      </c>
      <c r="BJ333" s="1598">
        <f t="shared" si="38"/>
        <v>0</v>
      </c>
      <c r="BK333" s="1598">
        <f t="shared" si="42"/>
        <v>0</v>
      </c>
      <c r="BL333" s="1598">
        <f t="shared" si="42"/>
        <v>0</v>
      </c>
      <c r="BM333" s="1598">
        <f t="shared" si="42"/>
        <v>0</v>
      </c>
      <c r="BN333" s="1598">
        <f t="shared" si="42"/>
        <v>0</v>
      </c>
      <c r="BO333" s="1598">
        <f t="shared" si="41"/>
        <v>0</v>
      </c>
      <c r="BP333" s="1598">
        <f t="shared" si="41"/>
        <v>0</v>
      </c>
      <c r="BQ333" s="1576"/>
      <c r="BR333" s="1727" t="s">
        <v>1985</v>
      </c>
      <c r="BS333" s="1581"/>
      <c r="BT333" s="1539"/>
      <c r="BU333" s="1430">
        <v>1501006819</v>
      </c>
      <c r="BV333" s="1430" t="s">
        <v>1984</v>
      </c>
    </row>
    <row r="334" spans="1:74" s="1430" customFormat="1" outlineLevel="1">
      <c r="A334" s="1499">
        <v>100</v>
      </c>
      <c r="B334" s="1539" t="s">
        <v>2090</v>
      </c>
      <c r="C334" s="1578"/>
      <c r="D334" s="1511" t="s">
        <v>934</v>
      </c>
      <c r="E334" s="1579"/>
      <c r="F334" s="1334"/>
      <c r="G334" s="1318"/>
      <c r="H334" s="1318"/>
      <c r="I334" s="1379"/>
      <c r="J334" s="1379"/>
      <c r="K334" s="1402"/>
      <c r="L334" s="1337"/>
      <c r="M334" s="1337"/>
      <c r="N334" s="1339" t="s">
        <v>1984</v>
      </c>
      <c r="O334" s="1336"/>
      <c r="P334" s="1598">
        <f t="shared" si="43"/>
        <v>0</v>
      </c>
      <c r="Q334" s="1573">
        <f t="shared" si="43"/>
        <v>2.28734E-4</v>
      </c>
      <c r="R334" s="1598">
        <f t="shared" si="43"/>
        <v>0</v>
      </c>
      <c r="S334" s="1598">
        <f t="shared" si="43"/>
        <v>0</v>
      </c>
      <c r="T334" s="1598">
        <f t="shared" si="44"/>
        <v>2.28734E-4</v>
      </c>
      <c r="U334" s="1598">
        <f t="shared" si="40"/>
        <v>0</v>
      </c>
      <c r="V334" s="1598">
        <v>0</v>
      </c>
      <c r="W334" s="1598">
        <v>0</v>
      </c>
      <c r="X334" s="1598"/>
      <c r="Y334" s="1598"/>
      <c r="Z334" s="1598"/>
      <c r="AA334" s="1598"/>
      <c r="AB334" s="1598"/>
      <c r="AC334" s="1598"/>
      <c r="AD334" s="1598"/>
      <c r="AE334" s="1598"/>
      <c r="AF334" s="1598"/>
      <c r="AG334" s="1598"/>
      <c r="AH334" s="1725"/>
      <c r="AI334" s="1725"/>
      <c r="AJ334" s="1725"/>
      <c r="AK334" s="1725"/>
      <c r="AL334" s="1725"/>
      <c r="AM334" s="1725"/>
      <c r="AN334" s="1725"/>
      <c r="AO334" s="1725"/>
      <c r="AP334" s="1725"/>
      <c r="AQ334" s="1725"/>
      <c r="AR334" s="1725"/>
      <c r="AS334" s="1725">
        <f t="shared" si="45"/>
        <v>0</v>
      </c>
      <c r="AT334" s="1725"/>
      <c r="AU334" s="1624">
        <v>0</v>
      </c>
      <c r="AV334" s="1624">
        <v>0</v>
      </c>
      <c r="AW334" s="1624">
        <v>0</v>
      </c>
      <c r="AX334" s="1624">
        <v>0</v>
      </c>
      <c r="AY334" s="1624">
        <v>0</v>
      </c>
      <c r="AZ334" s="1624">
        <v>0</v>
      </c>
      <c r="BA334" s="1624">
        <v>0</v>
      </c>
      <c r="BB334" s="1593"/>
      <c r="BC334" s="1726" t="s">
        <v>1985</v>
      </c>
      <c r="BD334" s="1595"/>
      <c r="BE334" s="1598">
        <f t="shared" si="37"/>
        <v>0</v>
      </c>
      <c r="BF334" s="1739">
        <v>2.28734E-4</v>
      </c>
      <c r="BG334" s="1598">
        <f t="shared" si="38"/>
        <v>0</v>
      </c>
      <c r="BH334" s="1598">
        <f t="shared" si="38"/>
        <v>0</v>
      </c>
      <c r="BI334" s="1598">
        <f t="shared" si="38"/>
        <v>0</v>
      </c>
      <c r="BJ334" s="1598">
        <f t="shared" si="38"/>
        <v>0</v>
      </c>
      <c r="BK334" s="1598">
        <f t="shared" si="42"/>
        <v>0</v>
      </c>
      <c r="BL334" s="1598">
        <f t="shared" si="42"/>
        <v>0</v>
      </c>
      <c r="BM334" s="1598">
        <f t="shared" si="42"/>
        <v>0</v>
      </c>
      <c r="BN334" s="1598">
        <f t="shared" si="42"/>
        <v>0</v>
      </c>
      <c r="BO334" s="1598">
        <f t="shared" si="41"/>
        <v>0</v>
      </c>
      <c r="BP334" s="1598">
        <f t="shared" si="41"/>
        <v>0</v>
      </c>
      <c r="BQ334" s="1576"/>
      <c r="BR334" s="1727" t="s">
        <v>1985</v>
      </c>
      <c r="BS334" s="1581"/>
      <c r="BT334" s="1539"/>
      <c r="BU334" s="1430">
        <v>1501006820</v>
      </c>
      <c r="BV334" s="1430" t="s">
        <v>1984</v>
      </c>
    </row>
    <row r="335" spans="1:74" s="1430" customFormat="1" outlineLevel="1">
      <c r="A335" s="1499">
        <v>101</v>
      </c>
      <c r="B335" s="1539" t="s">
        <v>2091</v>
      </c>
      <c r="C335" s="1578"/>
      <c r="D335" s="1511" t="s">
        <v>934</v>
      </c>
      <c r="E335" s="1579"/>
      <c r="F335" s="1334"/>
      <c r="G335" s="1318"/>
      <c r="H335" s="1318"/>
      <c r="I335" s="1379"/>
      <c r="J335" s="1379"/>
      <c r="K335" s="1402"/>
      <c r="L335" s="1337"/>
      <c r="M335" s="1337"/>
      <c r="N335" s="1339" t="s">
        <v>1984</v>
      </c>
      <c r="O335" s="1336"/>
      <c r="P335" s="1598">
        <f t="shared" si="43"/>
        <v>0</v>
      </c>
      <c r="Q335" s="1573">
        <f t="shared" si="43"/>
        <v>2.28734E-4</v>
      </c>
      <c r="R335" s="1598">
        <f t="shared" si="43"/>
        <v>0</v>
      </c>
      <c r="S335" s="1598">
        <f t="shared" si="43"/>
        <v>0</v>
      </c>
      <c r="T335" s="1598">
        <f t="shared" si="44"/>
        <v>2.28734E-4</v>
      </c>
      <c r="U335" s="1598">
        <f t="shared" si="40"/>
        <v>0</v>
      </c>
      <c r="V335" s="1598">
        <v>0</v>
      </c>
      <c r="W335" s="1598">
        <v>0</v>
      </c>
      <c r="X335" s="1598"/>
      <c r="Y335" s="1598"/>
      <c r="Z335" s="1598"/>
      <c r="AA335" s="1598"/>
      <c r="AB335" s="1598"/>
      <c r="AC335" s="1598"/>
      <c r="AD335" s="1598"/>
      <c r="AE335" s="1598"/>
      <c r="AF335" s="1598"/>
      <c r="AG335" s="1598"/>
      <c r="AH335" s="1725"/>
      <c r="AI335" s="1725"/>
      <c r="AJ335" s="1725"/>
      <c r="AK335" s="1725"/>
      <c r="AL335" s="1725"/>
      <c r="AM335" s="1725"/>
      <c r="AN335" s="1725"/>
      <c r="AO335" s="1725"/>
      <c r="AP335" s="1725"/>
      <c r="AQ335" s="1725"/>
      <c r="AR335" s="1725"/>
      <c r="AS335" s="1725">
        <f t="shared" si="45"/>
        <v>0</v>
      </c>
      <c r="AT335" s="1725"/>
      <c r="AU335" s="1624">
        <v>0</v>
      </c>
      <c r="AV335" s="1624">
        <v>0</v>
      </c>
      <c r="AW335" s="1624">
        <v>0</v>
      </c>
      <c r="AX335" s="1624">
        <v>0</v>
      </c>
      <c r="AY335" s="1624">
        <v>0</v>
      </c>
      <c r="AZ335" s="1624">
        <v>0</v>
      </c>
      <c r="BA335" s="1624">
        <v>0</v>
      </c>
      <c r="BB335" s="1593"/>
      <c r="BC335" s="1726" t="s">
        <v>1985</v>
      </c>
      <c r="BD335" s="1595"/>
      <c r="BE335" s="1598">
        <f t="shared" si="37"/>
        <v>0</v>
      </c>
      <c r="BF335" s="1739">
        <v>2.28734E-4</v>
      </c>
      <c r="BG335" s="1598">
        <f t="shared" si="38"/>
        <v>0</v>
      </c>
      <c r="BH335" s="1598">
        <f t="shared" si="38"/>
        <v>0</v>
      </c>
      <c r="BI335" s="1598">
        <f t="shared" si="38"/>
        <v>0</v>
      </c>
      <c r="BJ335" s="1598">
        <f t="shared" si="38"/>
        <v>0</v>
      </c>
      <c r="BK335" s="1598">
        <f t="shared" si="42"/>
        <v>0</v>
      </c>
      <c r="BL335" s="1598">
        <f t="shared" si="42"/>
        <v>0</v>
      </c>
      <c r="BM335" s="1598">
        <f t="shared" si="42"/>
        <v>0</v>
      </c>
      <c r="BN335" s="1598">
        <f t="shared" si="42"/>
        <v>0</v>
      </c>
      <c r="BO335" s="1598">
        <f t="shared" si="41"/>
        <v>0</v>
      </c>
      <c r="BP335" s="1598">
        <f t="shared" si="41"/>
        <v>0</v>
      </c>
      <c r="BQ335" s="1576"/>
      <c r="BR335" s="1727" t="s">
        <v>1985</v>
      </c>
      <c r="BS335" s="1581"/>
      <c r="BT335" s="1539"/>
      <c r="BU335" s="1430">
        <v>1501006821</v>
      </c>
      <c r="BV335" s="1430" t="s">
        <v>1984</v>
      </c>
    </row>
    <row r="336" spans="1:74" s="1430" customFormat="1" outlineLevel="1">
      <c r="A336" s="1499">
        <v>102</v>
      </c>
      <c r="B336" s="1539" t="s">
        <v>2092</v>
      </c>
      <c r="C336" s="1578"/>
      <c r="D336" s="1511" t="s">
        <v>934</v>
      </c>
      <c r="E336" s="1579"/>
      <c r="F336" s="1334"/>
      <c r="G336" s="1318"/>
      <c r="H336" s="1318"/>
      <c r="I336" s="1379"/>
      <c r="J336" s="1379"/>
      <c r="K336" s="1402"/>
      <c r="L336" s="1337"/>
      <c r="M336" s="1337"/>
      <c r="N336" s="1339" t="s">
        <v>1984</v>
      </c>
      <c r="O336" s="1336"/>
      <c r="P336" s="1598">
        <f t="shared" si="43"/>
        <v>0</v>
      </c>
      <c r="Q336" s="1573">
        <f t="shared" si="43"/>
        <v>2.28734E-4</v>
      </c>
      <c r="R336" s="1598">
        <f t="shared" si="43"/>
        <v>0</v>
      </c>
      <c r="S336" s="1598">
        <f t="shared" si="43"/>
        <v>0</v>
      </c>
      <c r="T336" s="1598">
        <f t="shared" si="44"/>
        <v>2.28734E-4</v>
      </c>
      <c r="U336" s="1598">
        <f t="shared" si="40"/>
        <v>0</v>
      </c>
      <c r="V336" s="1598">
        <v>0</v>
      </c>
      <c r="W336" s="1598">
        <v>0</v>
      </c>
      <c r="X336" s="1598"/>
      <c r="Y336" s="1598"/>
      <c r="Z336" s="1598"/>
      <c r="AA336" s="1598"/>
      <c r="AB336" s="1598"/>
      <c r="AC336" s="1598"/>
      <c r="AD336" s="1598"/>
      <c r="AE336" s="1598"/>
      <c r="AF336" s="1598"/>
      <c r="AG336" s="1598"/>
      <c r="AH336" s="1725"/>
      <c r="AI336" s="1725"/>
      <c r="AJ336" s="1725"/>
      <c r="AK336" s="1725"/>
      <c r="AL336" s="1725"/>
      <c r="AM336" s="1725"/>
      <c r="AN336" s="1725"/>
      <c r="AO336" s="1725"/>
      <c r="AP336" s="1725"/>
      <c r="AQ336" s="1725"/>
      <c r="AR336" s="1725"/>
      <c r="AS336" s="1725">
        <f t="shared" si="45"/>
        <v>0</v>
      </c>
      <c r="AT336" s="1725"/>
      <c r="AU336" s="1624">
        <v>0</v>
      </c>
      <c r="AV336" s="1624">
        <v>0</v>
      </c>
      <c r="AW336" s="1624">
        <v>0</v>
      </c>
      <c r="AX336" s="1624">
        <v>0</v>
      </c>
      <c r="AY336" s="1624">
        <v>0</v>
      </c>
      <c r="AZ336" s="1624">
        <v>0</v>
      </c>
      <c r="BA336" s="1624">
        <v>0</v>
      </c>
      <c r="BB336" s="1593"/>
      <c r="BC336" s="1726" t="s">
        <v>1985</v>
      </c>
      <c r="BD336" s="1595"/>
      <c r="BE336" s="1598">
        <f t="shared" si="37"/>
        <v>0</v>
      </c>
      <c r="BF336" s="1739">
        <v>2.28734E-4</v>
      </c>
      <c r="BG336" s="1598">
        <f t="shared" si="38"/>
        <v>0</v>
      </c>
      <c r="BH336" s="1598">
        <f t="shared" si="38"/>
        <v>0</v>
      </c>
      <c r="BI336" s="1598">
        <f t="shared" si="38"/>
        <v>0</v>
      </c>
      <c r="BJ336" s="1598">
        <f t="shared" si="38"/>
        <v>0</v>
      </c>
      <c r="BK336" s="1598">
        <f t="shared" si="42"/>
        <v>0</v>
      </c>
      <c r="BL336" s="1598">
        <f t="shared" si="42"/>
        <v>0</v>
      </c>
      <c r="BM336" s="1598">
        <f t="shared" si="42"/>
        <v>0</v>
      </c>
      <c r="BN336" s="1598">
        <f t="shared" si="42"/>
        <v>0</v>
      </c>
      <c r="BO336" s="1598">
        <f t="shared" si="41"/>
        <v>0</v>
      </c>
      <c r="BP336" s="1598">
        <f t="shared" si="41"/>
        <v>0</v>
      </c>
      <c r="BQ336" s="1576"/>
      <c r="BR336" s="1727" t="s">
        <v>1985</v>
      </c>
      <c r="BS336" s="1581"/>
      <c r="BT336" s="1539"/>
      <c r="BU336" s="1430">
        <v>1501006822</v>
      </c>
      <c r="BV336" s="1430" t="s">
        <v>1984</v>
      </c>
    </row>
    <row r="337" spans="1:74" s="1430" customFormat="1" outlineLevel="1">
      <c r="A337" s="1499">
        <v>103</v>
      </c>
      <c r="B337" s="1539" t="s">
        <v>2093</v>
      </c>
      <c r="C337" s="1578"/>
      <c r="D337" s="1511" t="s">
        <v>934</v>
      </c>
      <c r="E337" s="1579"/>
      <c r="F337" s="1334"/>
      <c r="G337" s="1318"/>
      <c r="H337" s="1318"/>
      <c r="I337" s="1379"/>
      <c r="J337" s="1379"/>
      <c r="K337" s="1402"/>
      <c r="L337" s="1337"/>
      <c r="M337" s="1337"/>
      <c r="N337" s="1339" t="s">
        <v>1984</v>
      </c>
      <c r="O337" s="1336"/>
      <c r="P337" s="1598">
        <f t="shared" si="43"/>
        <v>0</v>
      </c>
      <c r="Q337" s="1573">
        <f t="shared" si="43"/>
        <v>5.7182999999999998E-5</v>
      </c>
      <c r="R337" s="1598">
        <f t="shared" si="43"/>
        <v>0</v>
      </c>
      <c r="S337" s="1598">
        <f t="shared" si="43"/>
        <v>0</v>
      </c>
      <c r="T337" s="1598">
        <f t="shared" si="44"/>
        <v>5.7182999999999998E-5</v>
      </c>
      <c r="U337" s="1598">
        <f t="shared" si="40"/>
        <v>0</v>
      </c>
      <c r="V337" s="1598">
        <v>0</v>
      </c>
      <c r="W337" s="1598">
        <v>0</v>
      </c>
      <c r="X337" s="1598"/>
      <c r="Y337" s="1598"/>
      <c r="Z337" s="1598"/>
      <c r="AA337" s="1598"/>
      <c r="AB337" s="1598"/>
      <c r="AC337" s="1598"/>
      <c r="AD337" s="1598"/>
      <c r="AE337" s="1598"/>
      <c r="AF337" s="1598"/>
      <c r="AG337" s="1598"/>
      <c r="AH337" s="1725"/>
      <c r="AI337" s="1725"/>
      <c r="AJ337" s="1725"/>
      <c r="AK337" s="1725"/>
      <c r="AL337" s="1725"/>
      <c r="AM337" s="1725"/>
      <c r="AN337" s="1725"/>
      <c r="AO337" s="1725"/>
      <c r="AP337" s="1725"/>
      <c r="AQ337" s="1725"/>
      <c r="AR337" s="1725"/>
      <c r="AS337" s="1725">
        <f t="shared" si="45"/>
        <v>0</v>
      </c>
      <c r="AT337" s="1725"/>
      <c r="AU337" s="1624">
        <v>0</v>
      </c>
      <c r="AV337" s="1624">
        <v>0</v>
      </c>
      <c r="AW337" s="1624">
        <v>0</v>
      </c>
      <c r="AX337" s="1624">
        <v>0</v>
      </c>
      <c r="AY337" s="1624">
        <v>0</v>
      </c>
      <c r="AZ337" s="1624">
        <v>0</v>
      </c>
      <c r="BA337" s="1624">
        <v>0</v>
      </c>
      <c r="BB337" s="1593"/>
      <c r="BC337" s="1726" t="s">
        <v>1985</v>
      </c>
      <c r="BD337" s="1595"/>
      <c r="BE337" s="1598">
        <f t="shared" si="37"/>
        <v>0</v>
      </c>
      <c r="BF337" s="1739">
        <v>5.7182999999999998E-5</v>
      </c>
      <c r="BG337" s="1598">
        <f t="shared" si="38"/>
        <v>0</v>
      </c>
      <c r="BH337" s="1598">
        <f t="shared" si="38"/>
        <v>0</v>
      </c>
      <c r="BI337" s="1598">
        <f t="shared" si="38"/>
        <v>0</v>
      </c>
      <c r="BJ337" s="1598">
        <f t="shared" si="38"/>
        <v>0</v>
      </c>
      <c r="BK337" s="1598">
        <f t="shared" si="42"/>
        <v>0</v>
      </c>
      <c r="BL337" s="1598">
        <f t="shared" si="42"/>
        <v>0</v>
      </c>
      <c r="BM337" s="1598">
        <f t="shared" si="42"/>
        <v>0</v>
      </c>
      <c r="BN337" s="1598">
        <f t="shared" si="42"/>
        <v>0</v>
      </c>
      <c r="BO337" s="1598">
        <f t="shared" si="41"/>
        <v>0</v>
      </c>
      <c r="BP337" s="1598">
        <f t="shared" si="41"/>
        <v>0</v>
      </c>
      <c r="BQ337" s="1576"/>
      <c r="BR337" s="1727" t="s">
        <v>1985</v>
      </c>
      <c r="BS337" s="1581"/>
      <c r="BT337" s="1539"/>
      <c r="BU337" s="1430">
        <v>1501006823</v>
      </c>
      <c r="BV337" s="1430" t="s">
        <v>1984</v>
      </c>
    </row>
    <row r="338" spans="1:74" s="1430" customFormat="1" outlineLevel="1">
      <c r="A338" s="1499">
        <v>104</v>
      </c>
      <c r="B338" s="1539" t="s">
        <v>2094</v>
      </c>
      <c r="C338" s="1578"/>
      <c r="D338" s="1511" t="s">
        <v>934</v>
      </c>
      <c r="E338" s="1579"/>
      <c r="F338" s="1334"/>
      <c r="G338" s="1318"/>
      <c r="H338" s="1318"/>
      <c r="I338" s="1379"/>
      <c r="J338" s="1379"/>
      <c r="K338" s="1402"/>
      <c r="L338" s="1337"/>
      <c r="M338" s="1337"/>
      <c r="N338" s="1339" t="s">
        <v>1984</v>
      </c>
      <c r="O338" s="1336"/>
      <c r="P338" s="1598">
        <f t="shared" si="43"/>
        <v>0</v>
      </c>
      <c r="Q338" s="1573">
        <f t="shared" si="43"/>
        <v>5.7182999999999998E-5</v>
      </c>
      <c r="R338" s="1598">
        <f t="shared" si="43"/>
        <v>0</v>
      </c>
      <c r="S338" s="1598">
        <f t="shared" si="43"/>
        <v>0</v>
      </c>
      <c r="T338" s="1598">
        <f t="shared" si="44"/>
        <v>5.7182999999999998E-5</v>
      </c>
      <c r="U338" s="1598">
        <f t="shared" si="40"/>
        <v>0</v>
      </c>
      <c r="V338" s="1598">
        <v>0</v>
      </c>
      <c r="W338" s="1598">
        <v>0</v>
      </c>
      <c r="X338" s="1598"/>
      <c r="Y338" s="1598"/>
      <c r="Z338" s="1598"/>
      <c r="AA338" s="1598"/>
      <c r="AB338" s="1598"/>
      <c r="AC338" s="1598"/>
      <c r="AD338" s="1598"/>
      <c r="AE338" s="1598"/>
      <c r="AF338" s="1598"/>
      <c r="AG338" s="1598"/>
      <c r="AH338" s="1725"/>
      <c r="AI338" s="1725"/>
      <c r="AJ338" s="1725"/>
      <c r="AK338" s="1725"/>
      <c r="AL338" s="1725"/>
      <c r="AM338" s="1725"/>
      <c r="AN338" s="1725"/>
      <c r="AO338" s="1725"/>
      <c r="AP338" s="1725"/>
      <c r="AQ338" s="1725"/>
      <c r="AR338" s="1725"/>
      <c r="AS338" s="1725">
        <f t="shared" si="45"/>
        <v>0</v>
      </c>
      <c r="AT338" s="1725"/>
      <c r="AU338" s="1624">
        <v>0</v>
      </c>
      <c r="AV338" s="1624">
        <v>0</v>
      </c>
      <c r="AW338" s="1624">
        <v>0</v>
      </c>
      <c r="AX338" s="1624">
        <v>0</v>
      </c>
      <c r="AY338" s="1624">
        <v>0</v>
      </c>
      <c r="AZ338" s="1624">
        <v>0</v>
      </c>
      <c r="BA338" s="1624">
        <v>0</v>
      </c>
      <c r="BB338" s="1593"/>
      <c r="BC338" s="1726" t="s">
        <v>1985</v>
      </c>
      <c r="BD338" s="1595"/>
      <c r="BE338" s="1598">
        <f t="shared" si="37"/>
        <v>0</v>
      </c>
      <c r="BF338" s="1739">
        <v>5.7182999999999998E-5</v>
      </c>
      <c r="BG338" s="1598">
        <f t="shared" si="38"/>
        <v>0</v>
      </c>
      <c r="BH338" s="1598">
        <f t="shared" si="38"/>
        <v>0</v>
      </c>
      <c r="BI338" s="1598">
        <f t="shared" si="38"/>
        <v>0</v>
      </c>
      <c r="BJ338" s="1598">
        <f t="shared" si="38"/>
        <v>0</v>
      </c>
      <c r="BK338" s="1598">
        <f t="shared" si="42"/>
        <v>0</v>
      </c>
      <c r="BL338" s="1598">
        <f t="shared" si="42"/>
        <v>0</v>
      </c>
      <c r="BM338" s="1598">
        <f t="shared" si="42"/>
        <v>0</v>
      </c>
      <c r="BN338" s="1598">
        <f t="shared" si="42"/>
        <v>0</v>
      </c>
      <c r="BO338" s="1598">
        <f t="shared" si="41"/>
        <v>0</v>
      </c>
      <c r="BP338" s="1598">
        <f t="shared" si="41"/>
        <v>0</v>
      </c>
      <c r="BQ338" s="1576"/>
      <c r="BR338" s="1727" t="s">
        <v>1985</v>
      </c>
      <c r="BS338" s="1581"/>
      <c r="BT338" s="1539"/>
      <c r="BU338" s="1430">
        <v>1501006824</v>
      </c>
      <c r="BV338" s="1430" t="s">
        <v>1984</v>
      </c>
    </row>
    <row r="339" spans="1:74" s="1430" customFormat="1" outlineLevel="1">
      <c r="A339" s="1499">
        <v>105</v>
      </c>
      <c r="B339" s="1539" t="s">
        <v>2095</v>
      </c>
      <c r="C339" s="1578"/>
      <c r="D339" s="1511" t="s">
        <v>934</v>
      </c>
      <c r="E339" s="1579"/>
      <c r="F339" s="1334"/>
      <c r="G339" s="1318"/>
      <c r="H339" s="1318"/>
      <c r="I339" s="1379"/>
      <c r="J339" s="1379"/>
      <c r="K339" s="1402"/>
      <c r="L339" s="1337"/>
      <c r="M339" s="1337"/>
      <c r="N339" s="1339" t="s">
        <v>1984</v>
      </c>
      <c r="O339" s="1336"/>
      <c r="P339" s="1598">
        <f t="shared" si="43"/>
        <v>0</v>
      </c>
      <c r="Q339" s="1573">
        <f t="shared" si="43"/>
        <v>4.4292073000000001E-2</v>
      </c>
      <c r="R339" s="1598">
        <f t="shared" si="43"/>
        <v>0</v>
      </c>
      <c r="S339" s="1598">
        <f t="shared" si="43"/>
        <v>0</v>
      </c>
      <c r="T339" s="1598">
        <f t="shared" si="44"/>
        <v>4.4292073000000001E-2</v>
      </c>
      <c r="U339" s="1598">
        <f t="shared" si="40"/>
        <v>0</v>
      </c>
      <c r="V339" s="1598">
        <v>0</v>
      </c>
      <c r="W339" s="1598">
        <v>0</v>
      </c>
      <c r="X339" s="1598"/>
      <c r="Y339" s="1598"/>
      <c r="Z339" s="1598"/>
      <c r="AA339" s="1598"/>
      <c r="AB339" s="1598"/>
      <c r="AC339" s="1598"/>
      <c r="AD339" s="1598"/>
      <c r="AE339" s="1598"/>
      <c r="AF339" s="1598"/>
      <c r="AG339" s="1598"/>
      <c r="AH339" s="1725"/>
      <c r="AI339" s="1725"/>
      <c r="AJ339" s="1725"/>
      <c r="AK339" s="1725"/>
      <c r="AL339" s="1725"/>
      <c r="AM339" s="1725"/>
      <c r="AN339" s="1725"/>
      <c r="AO339" s="1725"/>
      <c r="AP339" s="1725"/>
      <c r="AQ339" s="1725"/>
      <c r="AR339" s="1725"/>
      <c r="AS339" s="1725">
        <f t="shared" si="45"/>
        <v>0</v>
      </c>
      <c r="AT339" s="1725"/>
      <c r="AU339" s="1624">
        <v>0</v>
      </c>
      <c r="AV339" s="1624">
        <v>0</v>
      </c>
      <c r="AW339" s="1624">
        <v>0</v>
      </c>
      <c r="AX339" s="1624">
        <v>0</v>
      </c>
      <c r="AY339" s="1624">
        <v>0</v>
      </c>
      <c r="AZ339" s="1624">
        <v>0</v>
      </c>
      <c r="BA339" s="1624">
        <v>0</v>
      </c>
      <c r="BB339" s="1593"/>
      <c r="BC339" s="1738" t="s">
        <v>2052</v>
      </c>
      <c r="BD339" s="1595"/>
      <c r="BE339" s="1598">
        <f t="shared" si="37"/>
        <v>0</v>
      </c>
      <c r="BF339" s="1739">
        <v>4.4292073000000001E-2</v>
      </c>
      <c r="BG339" s="1598">
        <f t="shared" si="38"/>
        <v>0</v>
      </c>
      <c r="BH339" s="1598">
        <f t="shared" si="38"/>
        <v>0</v>
      </c>
      <c r="BI339" s="1598">
        <f t="shared" si="38"/>
        <v>0</v>
      </c>
      <c r="BJ339" s="1598">
        <f t="shared" si="38"/>
        <v>0</v>
      </c>
      <c r="BK339" s="1598">
        <f t="shared" si="42"/>
        <v>0</v>
      </c>
      <c r="BL339" s="1598">
        <f t="shared" si="42"/>
        <v>0</v>
      </c>
      <c r="BM339" s="1598">
        <f t="shared" si="42"/>
        <v>0</v>
      </c>
      <c r="BN339" s="1598">
        <f t="shared" si="42"/>
        <v>0</v>
      </c>
      <c r="BO339" s="1598">
        <f t="shared" si="41"/>
        <v>0</v>
      </c>
      <c r="BP339" s="1598">
        <f t="shared" si="41"/>
        <v>0</v>
      </c>
      <c r="BQ339" s="1576"/>
      <c r="BR339" s="1740" t="s">
        <v>2052</v>
      </c>
      <c r="BS339" s="1581"/>
      <c r="BT339" s="1539"/>
      <c r="BU339" s="1430">
        <v>1501006825</v>
      </c>
      <c r="BV339" s="1430" t="s">
        <v>1984</v>
      </c>
    </row>
    <row r="340" spans="1:74" s="1430" customFormat="1" outlineLevel="1">
      <c r="A340" s="1499">
        <v>106</v>
      </c>
      <c r="B340" s="1539" t="s">
        <v>2096</v>
      </c>
      <c r="C340" s="1578"/>
      <c r="D340" s="1511" t="s">
        <v>934</v>
      </c>
      <c r="E340" s="1579"/>
      <c r="F340" s="1334"/>
      <c r="G340" s="1318"/>
      <c r="H340" s="1318"/>
      <c r="I340" s="1379"/>
      <c r="J340" s="1379"/>
      <c r="K340" s="1402"/>
      <c r="L340" s="1337"/>
      <c r="M340" s="1337"/>
      <c r="N340" s="1339" t="s">
        <v>1984</v>
      </c>
      <c r="O340" s="1336"/>
      <c r="P340" s="1598">
        <f t="shared" si="43"/>
        <v>0</v>
      </c>
      <c r="Q340" s="1573">
        <f t="shared" si="43"/>
        <v>1.1973800000000001E-3</v>
      </c>
      <c r="R340" s="1598">
        <f t="shared" si="43"/>
        <v>0</v>
      </c>
      <c r="S340" s="1598">
        <f t="shared" si="43"/>
        <v>0</v>
      </c>
      <c r="T340" s="1598">
        <f t="shared" si="44"/>
        <v>1.1973800000000001E-3</v>
      </c>
      <c r="U340" s="1598">
        <f t="shared" si="40"/>
        <v>0</v>
      </c>
      <c r="V340" s="1598">
        <v>0</v>
      </c>
      <c r="W340" s="1598">
        <v>0</v>
      </c>
      <c r="X340" s="1598"/>
      <c r="Y340" s="1598"/>
      <c r="Z340" s="1598"/>
      <c r="AA340" s="1598"/>
      <c r="AB340" s="1598"/>
      <c r="AC340" s="1598"/>
      <c r="AD340" s="1598"/>
      <c r="AE340" s="1598"/>
      <c r="AF340" s="1598"/>
      <c r="AG340" s="1598"/>
      <c r="AH340" s="1725"/>
      <c r="AI340" s="1725"/>
      <c r="AJ340" s="1725"/>
      <c r="AK340" s="1725"/>
      <c r="AL340" s="1725"/>
      <c r="AM340" s="1725"/>
      <c r="AN340" s="1725"/>
      <c r="AO340" s="1725"/>
      <c r="AP340" s="1725"/>
      <c r="AQ340" s="1725"/>
      <c r="AR340" s="1725"/>
      <c r="AS340" s="1725">
        <f t="shared" si="45"/>
        <v>0</v>
      </c>
      <c r="AT340" s="1725"/>
      <c r="AU340" s="1624">
        <v>0</v>
      </c>
      <c r="AV340" s="1624">
        <v>0</v>
      </c>
      <c r="AW340" s="1624">
        <v>0</v>
      </c>
      <c r="AX340" s="1624">
        <v>0</v>
      </c>
      <c r="AY340" s="1624">
        <v>0</v>
      </c>
      <c r="AZ340" s="1624">
        <v>0</v>
      </c>
      <c r="BA340" s="1624">
        <v>0</v>
      </c>
      <c r="BB340" s="1593"/>
      <c r="BC340" s="1726" t="s">
        <v>1985</v>
      </c>
      <c r="BD340" s="1595"/>
      <c r="BE340" s="1598">
        <f t="shared" si="37"/>
        <v>0</v>
      </c>
      <c r="BF340" s="1739">
        <v>1.1973800000000001E-3</v>
      </c>
      <c r="BG340" s="1598">
        <f t="shared" si="38"/>
        <v>0</v>
      </c>
      <c r="BH340" s="1598">
        <f t="shared" si="38"/>
        <v>0</v>
      </c>
      <c r="BI340" s="1598">
        <f t="shared" si="38"/>
        <v>0</v>
      </c>
      <c r="BJ340" s="1598">
        <f t="shared" si="38"/>
        <v>0</v>
      </c>
      <c r="BK340" s="1598">
        <f t="shared" si="42"/>
        <v>0</v>
      </c>
      <c r="BL340" s="1598">
        <f t="shared" si="42"/>
        <v>0</v>
      </c>
      <c r="BM340" s="1598">
        <f t="shared" si="42"/>
        <v>0</v>
      </c>
      <c r="BN340" s="1598">
        <f t="shared" si="42"/>
        <v>0</v>
      </c>
      <c r="BO340" s="1598">
        <f t="shared" si="41"/>
        <v>0</v>
      </c>
      <c r="BP340" s="1598">
        <f t="shared" si="41"/>
        <v>0</v>
      </c>
      <c r="BQ340" s="1576"/>
      <c r="BR340" s="1727" t="s">
        <v>1985</v>
      </c>
      <c r="BS340" s="1581"/>
      <c r="BT340" s="1539"/>
      <c r="BU340" s="1430">
        <v>1501006826</v>
      </c>
      <c r="BV340" s="1430" t="s">
        <v>1984</v>
      </c>
    </row>
    <row r="341" spans="1:74" s="1430" customFormat="1" outlineLevel="1">
      <c r="A341" s="1499">
        <v>107</v>
      </c>
      <c r="B341" s="1539" t="s">
        <v>2097</v>
      </c>
      <c r="C341" s="1578"/>
      <c r="D341" s="1511" t="s">
        <v>934</v>
      </c>
      <c r="E341" s="1579"/>
      <c r="F341" s="1334"/>
      <c r="G341" s="1318"/>
      <c r="H341" s="1318"/>
      <c r="I341" s="1379"/>
      <c r="J341" s="1379"/>
      <c r="K341" s="1402"/>
      <c r="L341" s="1337"/>
      <c r="M341" s="1337"/>
      <c r="N341" s="1339" t="s">
        <v>1984</v>
      </c>
      <c r="O341" s="1336"/>
      <c r="P341" s="1598">
        <f t="shared" si="43"/>
        <v>0</v>
      </c>
      <c r="Q341" s="1573">
        <f t="shared" si="43"/>
        <v>3.7894E-5</v>
      </c>
      <c r="R341" s="1598">
        <f t="shared" si="43"/>
        <v>0</v>
      </c>
      <c r="S341" s="1598">
        <f t="shared" si="43"/>
        <v>0</v>
      </c>
      <c r="T341" s="1598">
        <f t="shared" si="44"/>
        <v>3.7894E-5</v>
      </c>
      <c r="U341" s="1598">
        <f t="shared" si="40"/>
        <v>0</v>
      </c>
      <c r="V341" s="1598">
        <v>0</v>
      </c>
      <c r="W341" s="1598">
        <v>0</v>
      </c>
      <c r="X341" s="1598"/>
      <c r="Y341" s="1598"/>
      <c r="Z341" s="1598"/>
      <c r="AA341" s="1598"/>
      <c r="AB341" s="1598"/>
      <c r="AC341" s="1598"/>
      <c r="AD341" s="1598"/>
      <c r="AE341" s="1598"/>
      <c r="AF341" s="1598"/>
      <c r="AG341" s="1598"/>
      <c r="AH341" s="1725"/>
      <c r="AI341" s="1725"/>
      <c r="AJ341" s="1725"/>
      <c r="AK341" s="1725"/>
      <c r="AL341" s="1725"/>
      <c r="AM341" s="1725"/>
      <c r="AN341" s="1725"/>
      <c r="AO341" s="1725"/>
      <c r="AP341" s="1725"/>
      <c r="AQ341" s="1725"/>
      <c r="AR341" s="1725"/>
      <c r="AS341" s="1725">
        <f t="shared" si="45"/>
        <v>0</v>
      </c>
      <c r="AT341" s="1725"/>
      <c r="AU341" s="1624">
        <v>0</v>
      </c>
      <c r="AV341" s="1624">
        <v>0</v>
      </c>
      <c r="AW341" s="1624">
        <v>0</v>
      </c>
      <c r="AX341" s="1624">
        <v>0</v>
      </c>
      <c r="AY341" s="1624">
        <v>0</v>
      </c>
      <c r="AZ341" s="1624">
        <v>0</v>
      </c>
      <c r="BA341" s="1624">
        <v>0</v>
      </c>
      <c r="BB341" s="1593"/>
      <c r="BC341" s="1726" t="s">
        <v>1985</v>
      </c>
      <c r="BD341" s="1595"/>
      <c r="BE341" s="1598">
        <f t="shared" si="37"/>
        <v>0</v>
      </c>
      <c r="BF341" s="1739">
        <v>3.7894E-5</v>
      </c>
      <c r="BG341" s="1598">
        <f t="shared" si="38"/>
        <v>0</v>
      </c>
      <c r="BH341" s="1598">
        <f t="shared" si="38"/>
        <v>0</v>
      </c>
      <c r="BI341" s="1598">
        <f t="shared" si="38"/>
        <v>0</v>
      </c>
      <c r="BJ341" s="1598">
        <f t="shared" si="38"/>
        <v>0</v>
      </c>
      <c r="BK341" s="1598">
        <f t="shared" si="42"/>
        <v>0</v>
      </c>
      <c r="BL341" s="1598">
        <f t="shared" si="42"/>
        <v>0</v>
      </c>
      <c r="BM341" s="1598">
        <f t="shared" si="42"/>
        <v>0</v>
      </c>
      <c r="BN341" s="1598">
        <f t="shared" si="42"/>
        <v>0</v>
      </c>
      <c r="BO341" s="1598">
        <f t="shared" si="41"/>
        <v>0</v>
      </c>
      <c r="BP341" s="1598">
        <f t="shared" si="41"/>
        <v>0</v>
      </c>
      <c r="BQ341" s="1576"/>
      <c r="BR341" s="1727" t="s">
        <v>1985</v>
      </c>
      <c r="BS341" s="1581"/>
      <c r="BT341" s="1539"/>
      <c r="BU341" s="1430">
        <v>1501006827</v>
      </c>
      <c r="BV341" s="1430" t="s">
        <v>1984</v>
      </c>
    </row>
    <row r="342" spans="1:74" s="1430" customFormat="1" outlineLevel="1">
      <c r="A342" s="1499">
        <v>108</v>
      </c>
      <c r="B342" s="1539" t="s">
        <v>2098</v>
      </c>
      <c r="C342" s="1578"/>
      <c r="D342" s="1511" t="s">
        <v>934</v>
      </c>
      <c r="E342" s="1579"/>
      <c r="F342" s="1334"/>
      <c r="G342" s="1318"/>
      <c r="H342" s="1318"/>
      <c r="I342" s="1379"/>
      <c r="J342" s="1379"/>
      <c r="K342" s="1402"/>
      <c r="L342" s="1337"/>
      <c r="M342" s="1337"/>
      <c r="N342" s="1339" t="s">
        <v>1984</v>
      </c>
      <c r="O342" s="1336"/>
      <c r="P342" s="1598">
        <f t="shared" si="43"/>
        <v>0</v>
      </c>
      <c r="Q342" s="1573">
        <f t="shared" si="43"/>
        <v>5.7850250000000001E-3</v>
      </c>
      <c r="R342" s="1598">
        <f t="shared" si="43"/>
        <v>0</v>
      </c>
      <c r="S342" s="1598">
        <f t="shared" si="43"/>
        <v>0</v>
      </c>
      <c r="T342" s="1598">
        <f t="shared" si="44"/>
        <v>5.7850250000000001E-3</v>
      </c>
      <c r="U342" s="1598">
        <f t="shared" si="40"/>
        <v>0</v>
      </c>
      <c r="V342" s="1598">
        <v>0</v>
      </c>
      <c r="W342" s="1598">
        <v>0</v>
      </c>
      <c r="X342" s="1598"/>
      <c r="Y342" s="1598"/>
      <c r="Z342" s="1598"/>
      <c r="AA342" s="1598"/>
      <c r="AB342" s="1598"/>
      <c r="AC342" s="1598"/>
      <c r="AD342" s="1598"/>
      <c r="AE342" s="1598"/>
      <c r="AF342" s="1598"/>
      <c r="AG342" s="1598"/>
      <c r="AH342" s="1725"/>
      <c r="AI342" s="1725"/>
      <c r="AJ342" s="1725"/>
      <c r="AK342" s="1725"/>
      <c r="AL342" s="1725"/>
      <c r="AM342" s="1725"/>
      <c r="AN342" s="1725"/>
      <c r="AO342" s="1725"/>
      <c r="AP342" s="1725"/>
      <c r="AQ342" s="1725"/>
      <c r="AR342" s="1725"/>
      <c r="AS342" s="1725">
        <f t="shared" si="45"/>
        <v>0</v>
      </c>
      <c r="AT342" s="1725"/>
      <c r="AU342" s="1624">
        <v>0</v>
      </c>
      <c r="AV342" s="1624">
        <v>0</v>
      </c>
      <c r="AW342" s="1624">
        <v>0</v>
      </c>
      <c r="AX342" s="1624">
        <v>0</v>
      </c>
      <c r="AY342" s="1624">
        <v>0</v>
      </c>
      <c r="AZ342" s="1624">
        <v>0</v>
      </c>
      <c r="BA342" s="1624">
        <v>0</v>
      </c>
      <c r="BB342" s="1593"/>
      <c r="BC342" s="1726" t="s">
        <v>1985</v>
      </c>
      <c r="BD342" s="1595"/>
      <c r="BE342" s="1598">
        <f t="shared" si="37"/>
        <v>0</v>
      </c>
      <c r="BF342" s="1739">
        <v>5.7850250000000001E-3</v>
      </c>
      <c r="BG342" s="1598">
        <f t="shared" si="38"/>
        <v>0</v>
      </c>
      <c r="BH342" s="1598">
        <f t="shared" si="38"/>
        <v>0</v>
      </c>
      <c r="BI342" s="1598">
        <f t="shared" si="38"/>
        <v>0</v>
      </c>
      <c r="BJ342" s="1598">
        <f t="shared" si="38"/>
        <v>0</v>
      </c>
      <c r="BK342" s="1598">
        <f t="shared" si="42"/>
        <v>0</v>
      </c>
      <c r="BL342" s="1598">
        <f t="shared" si="42"/>
        <v>0</v>
      </c>
      <c r="BM342" s="1598">
        <f t="shared" si="42"/>
        <v>0</v>
      </c>
      <c r="BN342" s="1598">
        <f t="shared" si="42"/>
        <v>0</v>
      </c>
      <c r="BO342" s="1598">
        <f t="shared" si="41"/>
        <v>0</v>
      </c>
      <c r="BP342" s="1598">
        <f t="shared" si="41"/>
        <v>0</v>
      </c>
      <c r="BQ342" s="1576"/>
      <c r="BR342" s="1727" t="s">
        <v>1985</v>
      </c>
      <c r="BS342" s="1581"/>
      <c r="BT342" s="1539"/>
      <c r="BU342" s="1430">
        <v>1501006828</v>
      </c>
      <c r="BV342" s="1430" t="s">
        <v>1984</v>
      </c>
    </row>
    <row r="343" spans="1:74" s="1430" customFormat="1" outlineLevel="1">
      <c r="A343" s="1499">
        <v>109</v>
      </c>
      <c r="B343" s="1539" t="s">
        <v>2099</v>
      </c>
      <c r="C343" s="1578"/>
      <c r="D343" s="1511" t="s">
        <v>934</v>
      </c>
      <c r="E343" s="1579"/>
      <c r="F343" s="1334"/>
      <c r="G343" s="1318"/>
      <c r="H343" s="1318"/>
      <c r="I343" s="1379"/>
      <c r="J343" s="1379"/>
      <c r="K343" s="1402"/>
      <c r="L343" s="1337"/>
      <c r="M343" s="1337"/>
      <c r="N343" s="1339" t="s">
        <v>1984</v>
      </c>
      <c r="O343" s="1336"/>
      <c r="P343" s="1598">
        <f t="shared" si="43"/>
        <v>0</v>
      </c>
      <c r="Q343" s="1573">
        <f t="shared" si="43"/>
        <v>2.5003999999999998E-4</v>
      </c>
      <c r="R343" s="1598">
        <f t="shared" si="43"/>
        <v>0</v>
      </c>
      <c r="S343" s="1598">
        <f t="shared" si="43"/>
        <v>0</v>
      </c>
      <c r="T343" s="1598">
        <f t="shared" si="44"/>
        <v>2.5003999999999998E-4</v>
      </c>
      <c r="U343" s="1598">
        <f t="shared" si="40"/>
        <v>0</v>
      </c>
      <c r="V343" s="1598">
        <v>0</v>
      </c>
      <c r="W343" s="1598">
        <v>0</v>
      </c>
      <c r="X343" s="1598"/>
      <c r="Y343" s="1598"/>
      <c r="Z343" s="1598"/>
      <c r="AA343" s="1598"/>
      <c r="AB343" s="1598"/>
      <c r="AC343" s="1598"/>
      <c r="AD343" s="1598"/>
      <c r="AE343" s="1598"/>
      <c r="AF343" s="1598"/>
      <c r="AG343" s="1598"/>
      <c r="AH343" s="1725"/>
      <c r="AI343" s="1725"/>
      <c r="AJ343" s="1725"/>
      <c r="AK343" s="1725"/>
      <c r="AL343" s="1725"/>
      <c r="AM343" s="1725"/>
      <c r="AN343" s="1725"/>
      <c r="AO343" s="1725"/>
      <c r="AP343" s="1725"/>
      <c r="AQ343" s="1725"/>
      <c r="AR343" s="1725"/>
      <c r="AS343" s="1725">
        <f t="shared" si="45"/>
        <v>0</v>
      </c>
      <c r="AT343" s="1725"/>
      <c r="AU343" s="1624">
        <v>0</v>
      </c>
      <c r="AV343" s="1624">
        <v>0</v>
      </c>
      <c r="AW343" s="1624">
        <v>0</v>
      </c>
      <c r="AX343" s="1624">
        <v>0</v>
      </c>
      <c r="AY343" s="1624">
        <v>0</v>
      </c>
      <c r="AZ343" s="1624">
        <v>0</v>
      </c>
      <c r="BA343" s="1624">
        <v>0</v>
      </c>
      <c r="BB343" s="1593"/>
      <c r="BC343" s="1726" t="s">
        <v>1985</v>
      </c>
      <c r="BD343" s="1595"/>
      <c r="BE343" s="1598">
        <f t="shared" si="37"/>
        <v>0</v>
      </c>
      <c r="BF343" s="1739">
        <v>2.5003999999999998E-4</v>
      </c>
      <c r="BG343" s="1598">
        <f t="shared" si="38"/>
        <v>0</v>
      </c>
      <c r="BH343" s="1598">
        <f t="shared" si="38"/>
        <v>0</v>
      </c>
      <c r="BI343" s="1598">
        <f t="shared" si="38"/>
        <v>0</v>
      </c>
      <c r="BJ343" s="1598">
        <f t="shared" si="38"/>
        <v>0</v>
      </c>
      <c r="BK343" s="1598">
        <f t="shared" si="42"/>
        <v>0</v>
      </c>
      <c r="BL343" s="1598">
        <f t="shared" si="42"/>
        <v>0</v>
      </c>
      <c r="BM343" s="1598">
        <f t="shared" si="42"/>
        <v>0</v>
      </c>
      <c r="BN343" s="1598">
        <f t="shared" si="42"/>
        <v>0</v>
      </c>
      <c r="BO343" s="1598">
        <f t="shared" si="41"/>
        <v>0</v>
      </c>
      <c r="BP343" s="1598">
        <f t="shared" si="41"/>
        <v>0</v>
      </c>
      <c r="BQ343" s="1576"/>
      <c r="BR343" s="1727" t="s">
        <v>1985</v>
      </c>
      <c r="BS343" s="1581"/>
      <c r="BT343" s="1539"/>
      <c r="BU343" s="1430">
        <v>1501006829</v>
      </c>
      <c r="BV343" s="1430" t="s">
        <v>1984</v>
      </c>
    </row>
    <row r="344" spans="1:74" s="1430" customFormat="1" outlineLevel="1">
      <c r="A344" s="1499">
        <v>110</v>
      </c>
      <c r="B344" s="1539" t="s">
        <v>2100</v>
      </c>
      <c r="C344" s="1578"/>
      <c r="D344" s="1511" t="s">
        <v>934</v>
      </c>
      <c r="E344" s="1579"/>
      <c r="F344" s="1334"/>
      <c r="G344" s="1318"/>
      <c r="H344" s="1318"/>
      <c r="I344" s="1379"/>
      <c r="J344" s="1379"/>
      <c r="K344" s="1402"/>
      <c r="L344" s="1337"/>
      <c r="M344" s="1337"/>
      <c r="N344" s="1339" t="s">
        <v>1984</v>
      </c>
      <c r="O344" s="1336"/>
      <c r="P344" s="1598">
        <f t="shared" si="43"/>
        <v>0</v>
      </c>
      <c r="Q344" s="1573">
        <f t="shared" si="43"/>
        <v>5.5794089999999996E-3</v>
      </c>
      <c r="R344" s="1598">
        <f t="shared" si="43"/>
        <v>0</v>
      </c>
      <c r="S344" s="1598">
        <f t="shared" si="43"/>
        <v>0</v>
      </c>
      <c r="T344" s="1598">
        <f t="shared" si="44"/>
        <v>5.5794089999999996E-3</v>
      </c>
      <c r="U344" s="1598">
        <f t="shared" si="40"/>
        <v>0</v>
      </c>
      <c r="V344" s="1598">
        <v>0</v>
      </c>
      <c r="W344" s="1598">
        <v>0</v>
      </c>
      <c r="X344" s="1598"/>
      <c r="Y344" s="1598"/>
      <c r="Z344" s="1598"/>
      <c r="AA344" s="1598"/>
      <c r="AB344" s="1598"/>
      <c r="AC344" s="1598"/>
      <c r="AD344" s="1598"/>
      <c r="AE344" s="1598"/>
      <c r="AF344" s="1598"/>
      <c r="AG344" s="1598"/>
      <c r="AH344" s="1725"/>
      <c r="AI344" s="1725"/>
      <c r="AJ344" s="1725"/>
      <c r="AK344" s="1725"/>
      <c r="AL344" s="1725"/>
      <c r="AM344" s="1725"/>
      <c r="AN344" s="1725"/>
      <c r="AO344" s="1725"/>
      <c r="AP344" s="1725"/>
      <c r="AQ344" s="1725"/>
      <c r="AR344" s="1725"/>
      <c r="AS344" s="1725">
        <f t="shared" si="45"/>
        <v>0</v>
      </c>
      <c r="AT344" s="1725"/>
      <c r="AU344" s="1624">
        <v>0</v>
      </c>
      <c r="AV344" s="1624">
        <v>0</v>
      </c>
      <c r="AW344" s="1624">
        <v>0</v>
      </c>
      <c r="AX344" s="1624">
        <v>0</v>
      </c>
      <c r="AY344" s="1624">
        <v>0</v>
      </c>
      <c r="AZ344" s="1624">
        <v>0</v>
      </c>
      <c r="BA344" s="1624">
        <v>0</v>
      </c>
      <c r="BB344" s="1593"/>
      <c r="BC344" s="1726" t="s">
        <v>1985</v>
      </c>
      <c r="BD344" s="1595"/>
      <c r="BE344" s="1598">
        <f t="shared" si="37"/>
        <v>0</v>
      </c>
      <c r="BF344" s="1739">
        <v>5.5794089999999996E-3</v>
      </c>
      <c r="BG344" s="1598">
        <f t="shared" si="38"/>
        <v>0</v>
      </c>
      <c r="BH344" s="1598">
        <f t="shared" si="38"/>
        <v>0</v>
      </c>
      <c r="BI344" s="1598">
        <f t="shared" si="38"/>
        <v>0</v>
      </c>
      <c r="BJ344" s="1598">
        <f t="shared" si="38"/>
        <v>0</v>
      </c>
      <c r="BK344" s="1598">
        <f t="shared" si="42"/>
        <v>0</v>
      </c>
      <c r="BL344" s="1598">
        <f t="shared" si="42"/>
        <v>0</v>
      </c>
      <c r="BM344" s="1598">
        <f t="shared" si="42"/>
        <v>0</v>
      </c>
      <c r="BN344" s="1598">
        <f t="shared" si="42"/>
        <v>0</v>
      </c>
      <c r="BO344" s="1598">
        <f t="shared" si="41"/>
        <v>0</v>
      </c>
      <c r="BP344" s="1598">
        <f t="shared" si="41"/>
        <v>0</v>
      </c>
      <c r="BQ344" s="1576"/>
      <c r="BR344" s="1727" t="s">
        <v>1985</v>
      </c>
      <c r="BS344" s="1581"/>
      <c r="BT344" s="1539"/>
      <c r="BU344" s="1430">
        <v>1501006830</v>
      </c>
      <c r="BV344" s="1430" t="s">
        <v>1984</v>
      </c>
    </row>
    <row r="345" spans="1:74" s="1430" customFormat="1" outlineLevel="1">
      <c r="A345" s="1499">
        <v>111</v>
      </c>
      <c r="B345" s="1539" t="s">
        <v>2101</v>
      </c>
      <c r="C345" s="1578"/>
      <c r="D345" s="1511" t="s">
        <v>934</v>
      </c>
      <c r="E345" s="1579"/>
      <c r="F345" s="1334"/>
      <c r="G345" s="1318"/>
      <c r="H345" s="1318"/>
      <c r="I345" s="1379"/>
      <c r="J345" s="1379"/>
      <c r="K345" s="1402"/>
      <c r="L345" s="1337"/>
      <c r="M345" s="1337"/>
      <c r="N345" s="1339" t="s">
        <v>1984</v>
      </c>
      <c r="O345" s="1336"/>
      <c r="P345" s="1598">
        <f t="shared" si="43"/>
        <v>0</v>
      </c>
      <c r="Q345" s="1573">
        <f t="shared" si="43"/>
        <v>0.14835727600000001</v>
      </c>
      <c r="R345" s="1598">
        <f t="shared" si="43"/>
        <v>0</v>
      </c>
      <c r="S345" s="1598">
        <f t="shared" si="43"/>
        <v>0</v>
      </c>
      <c r="T345" s="1598">
        <f t="shared" si="44"/>
        <v>0.14835727600000001</v>
      </c>
      <c r="U345" s="1598">
        <f t="shared" si="40"/>
        <v>0</v>
      </c>
      <c r="V345" s="1598">
        <v>0</v>
      </c>
      <c r="W345" s="1598">
        <v>0</v>
      </c>
      <c r="X345" s="1598"/>
      <c r="Y345" s="1598"/>
      <c r="Z345" s="1598"/>
      <c r="AA345" s="1598"/>
      <c r="AB345" s="1598"/>
      <c r="AC345" s="1598"/>
      <c r="AD345" s="1598"/>
      <c r="AE345" s="1598"/>
      <c r="AF345" s="1598"/>
      <c r="AG345" s="1598"/>
      <c r="AH345" s="1725"/>
      <c r="AI345" s="1725"/>
      <c r="AJ345" s="1725"/>
      <c r="AK345" s="1725"/>
      <c r="AL345" s="1725"/>
      <c r="AM345" s="1725"/>
      <c r="AN345" s="1725"/>
      <c r="AO345" s="1725"/>
      <c r="AP345" s="1725"/>
      <c r="AQ345" s="1725"/>
      <c r="AR345" s="1725"/>
      <c r="AS345" s="1725">
        <f t="shared" si="45"/>
        <v>0</v>
      </c>
      <c r="AT345" s="1725"/>
      <c r="AU345" s="1624">
        <v>0</v>
      </c>
      <c r="AV345" s="1624">
        <v>0</v>
      </c>
      <c r="AW345" s="1624">
        <v>0</v>
      </c>
      <c r="AX345" s="1624">
        <v>0</v>
      </c>
      <c r="AY345" s="1624">
        <v>0</v>
      </c>
      <c r="AZ345" s="1624">
        <v>0</v>
      </c>
      <c r="BA345" s="1624">
        <v>0</v>
      </c>
      <c r="BB345" s="1593"/>
      <c r="BC345" s="1726" t="s">
        <v>1985</v>
      </c>
      <c r="BD345" s="1595"/>
      <c r="BE345" s="1598">
        <f t="shared" si="37"/>
        <v>0</v>
      </c>
      <c r="BF345" s="1739">
        <v>0.14835727600000001</v>
      </c>
      <c r="BG345" s="1598">
        <f t="shared" si="38"/>
        <v>0</v>
      </c>
      <c r="BH345" s="1598">
        <f t="shared" si="38"/>
        <v>0</v>
      </c>
      <c r="BI345" s="1598">
        <f t="shared" si="38"/>
        <v>0</v>
      </c>
      <c r="BJ345" s="1598">
        <f t="shared" si="38"/>
        <v>0</v>
      </c>
      <c r="BK345" s="1598">
        <f t="shared" si="42"/>
        <v>0</v>
      </c>
      <c r="BL345" s="1598">
        <f t="shared" si="42"/>
        <v>0</v>
      </c>
      <c r="BM345" s="1598">
        <f t="shared" si="42"/>
        <v>0</v>
      </c>
      <c r="BN345" s="1598">
        <f t="shared" si="42"/>
        <v>0</v>
      </c>
      <c r="BO345" s="1598">
        <f t="shared" si="41"/>
        <v>0</v>
      </c>
      <c r="BP345" s="1598">
        <f t="shared" si="41"/>
        <v>0</v>
      </c>
      <c r="BQ345" s="1576"/>
      <c r="BR345" s="1727" t="s">
        <v>1985</v>
      </c>
      <c r="BS345" s="1581"/>
      <c r="BT345" s="1539"/>
      <c r="BU345" s="1430">
        <v>1501006831</v>
      </c>
      <c r="BV345" s="1430" t="s">
        <v>1984</v>
      </c>
    </row>
    <row r="346" spans="1:74" s="1430" customFormat="1" outlineLevel="1">
      <c r="A346" s="1499">
        <v>112</v>
      </c>
      <c r="B346" s="1539" t="s">
        <v>2102</v>
      </c>
      <c r="C346" s="1578"/>
      <c r="D346" s="1511" t="s">
        <v>934</v>
      </c>
      <c r="E346" s="1579"/>
      <c r="F346" s="1334"/>
      <c r="G346" s="1318"/>
      <c r="H346" s="1318"/>
      <c r="I346" s="1379"/>
      <c r="J346" s="1379"/>
      <c r="K346" s="1402"/>
      <c r="L346" s="1337"/>
      <c r="M346" s="1337"/>
      <c r="N346" s="1339" t="s">
        <v>1984</v>
      </c>
      <c r="O346" s="1336"/>
      <c r="P346" s="1598">
        <f t="shared" si="43"/>
        <v>0</v>
      </c>
      <c r="Q346" s="1573">
        <f t="shared" si="43"/>
        <v>2.4904469999999998E-3</v>
      </c>
      <c r="R346" s="1598">
        <f t="shared" si="43"/>
        <v>0</v>
      </c>
      <c r="S346" s="1598">
        <f t="shared" si="43"/>
        <v>0</v>
      </c>
      <c r="T346" s="1598">
        <f t="shared" si="44"/>
        <v>2.4904469999999998E-3</v>
      </c>
      <c r="U346" s="1598">
        <f t="shared" si="40"/>
        <v>0</v>
      </c>
      <c r="V346" s="1598">
        <v>0</v>
      </c>
      <c r="W346" s="1598">
        <v>0</v>
      </c>
      <c r="X346" s="1598"/>
      <c r="Y346" s="1598"/>
      <c r="Z346" s="1598"/>
      <c r="AA346" s="1598"/>
      <c r="AB346" s="1598"/>
      <c r="AC346" s="1598"/>
      <c r="AD346" s="1598"/>
      <c r="AE346" s="1598"/>
      <c r="AF346" s="1598"/>
      <c r="AG346" s="1598"/>
      <c r="AH346" s="1725"/>
      <c r="AI346" s="1725"/>
      <c r="AJ346" s="1725"/>
      <c r="AK346" s="1725"/>
      <c r="AL346" s="1725"/>
      <c r="AM346" s="1725"/>
      <c r="AN346" s="1725"/>
      <c r="AO346" s="1725"/>
      <c r="AP346" s="1725"/>
      <c r="AQ346" s="1725"/>
      <c r="AR346" s="1725"/>
      <c r="AS346" s="1725">
        <f t="shared" si="45"/>
        <v>0</v>
      </c>
      <c r="AT346" s="1725"/>
      <c r="AU346" s="1624">
        <v>0</v>
      </c>
      <c r="AV346" s="1624">
        <v>0</v>
      </c>
      <c r="AW346" s="1624">
        <v>0</v>
      </c>
      <c r="AX346" s="1624">
        <v>0</v>
      </c>
      <c r="AY346" s="1624">
        <v>0</v>
      </c>
      <c r="AZ346" s="1624">
        <v>0</v>
      </c>
      <c r="BA346" s="1624">
        <v>0</v>
      </c>
      <c r="BB346" s="1593"/>
      <c r="BC346" s="1726" t="s">
        <v>1985</v>
      </c>
      <c r="BD346" s="1595"/>
      <c r="BE346" s="1598">
        <f t="shared" si="37"/>
        <v>0</v>
      </c>
      <c r="BF346" s="1739">
        <v>2.4904469999999998E-3</v>
      </c>
      <c r="BG346" s="1598">
        <f t="shared" si="38"/>
        <v>0</v>
      </c>
      <c r="BH346" s="1598">
        <f t="shared" si="38"/>
        <v>0</v>
      </c>
      <c r="BI346" s="1598">
        <f t="shared" si="38"/>
        <v>0</v>
      </c>
      <c r="BJ346" s="1598">
        <f t="shared" si="38"/>
        <v>0</v>
      </c>
      <c r="BK346" s="1598">
        <f t="shared" si="42"/>
        <v>0</v>
      </c>
      <c r="BL346" s="1598">
        <f t="shared" si="42"/>
        <v>0</v>
      </c>
      <c r="BM346" s="1598">
        <f t="shared" si="42"/>
        <v>0</v>
      </c>
      <c r="BN346" s="1598">
        <f t="shared" si="42"/>
        <v>0</v>
      </c>
      <c r="BO346" s="1598">
        <f t="shared" si="41"/>
        <v>0</v>
      </c>
      <c r="BP346" s="1598">
        <f t="shared" si="41"/>
        <v>0</v>
      </c>
      <c r="BQ346" s="1576"/>
      <c r="BR346" s="1727" t="s">
        <v>1985</v>
      </c>
      <c r="BS346" s="1581"/>
      <c r="BT346" s="1539"/>
      <c r="BU346" s="1430">
        <v>1501006832</v>
      </c>
      <c r="BV346" s="1430" t="s">
        <v>1984</v>
      </c>
    </row>
    <row r="347" spans="1:74" s="1430" customFormat="1" outlineLevel="1">
      <c r="A347" s="1499">
        <v>113</v>
      </c>
      <c r="B347" s="1539" t="s">
        <v>2103</v>
      </c>
      <c r="C347" s="1578"/>
      <c r="D347" s="1511" t="s">
        <v>934</v>
      </c>
      <c r="E347" s="1579"/>
      <c r="F347" s="1334"/>
      <c r="G347" s="1318"/>
      <c r="H347" s="1318"/>
      <c r="I347" s="1379"/>
      <c r="J347" s="1379"/>
      <c r="K347" s="1402"/>
      <c r="L347" s="1337"/>
      <c r="M347" s="1337"/>
      <c r="N347" s="1339" t="s">
        <v>1984</v>
      </c>
      <c r="O347" s="1336"/>
      <c r="P347" s="1598">
        <f t="shared" si="43"/>
        <v>0</v>
      </c>
      <c r="Q347" s="1573">
        <f t="shared" si="43"/>
        <v>4.1155000000000002E-5</v>
      </c>
      <c r="R347" s="1598">
        <f t="shared" si="43"/>
        <v>0</v>
      </c>
      <c r="S347" s="1598">
        <f t="shared" si="43"/>
        <v>0</v>
      </c>
      <c r="T347" s="1598">
        <f t="shared" si="44"/>
        <v>4.1155000000000002E-5</v>
      </c>
      <c r="U347" s="1598">
        <f t="shared" si="40"/>
        <v>0</v>
      </c>
      <c r="V347" s="1598">
        <v>0</v>
      </c>
      <c r="W347" s="1598">
        <v>0</v>
      </c>
      <c r="X347" s="1598"/>
      <c r="Y347" s="1598"/>
      <c r="Z347" s="1598"/>
      <c r="AA347" s="1598"/>
      <c r="AB347" s="1598"/>
      <c r="AC347" s="1598"/>
      <c r="AD347" s="1598"/>
      <c r="AE347" s="1598"/>
      <c r="AF347" s="1598"/>
      <c r="AG347" s="1598"/>
      <c r="AH347" s="1725"/>
      <c r="AI347" s="1725"/>
      <c r="AJ347" s="1725"/>
      <c r="AK347" s="1725"/>
      <c r="AL347" s="1725"/>
      <c r="AM347" s="1725"/>
      <c r="AN347" s="1725"/>
      <c r="AO347" s="1725"/>
      <c r="AP347" s="1725"/>
      <c r="AQ347" s="1725"/>
      <c r="AR347" s="1725"/>
      <c r="AS347" s="1725">
        <f t="shared" si="45"/>
        <v>0</v>
      </c>
      <c r="AT347" s="1725"/>
      <c r="AU347" s="1624">
        <v>0</v>
      </c>
      <c r="AV347" s="1624">
        <v>0</v>
      </c>
      <c r="AW347" s="1624">
        <v>0</v>
      </c>
      <c r="AX347" s="1624">
        <v>0</v>
      </c>
      <c r="AY347" s="1624">
        <v>0</v>
      </c>
      <c r="AZ347" s="1624">
        <v>0</v>
      </c>
      <c r="BA347" s="1624">
        <v>0</v>
      </c>
      <c r="BB347" s="1593"/>
      <c r="BC347" s="1726" t="s">
        <v>1985</v>
      </c>
      <c r="BD347" s="1595"/>
      <c r="BE347" s="1598">
        <f t="shared" si="37"/>
        <v>0</v>
      </c>
      <c r="BF347" s="1739">
        <v>4.1155000000000002E-5</v>
      </c>
      <c r="BG347" s="1598">
        <f t="shared" si="38"/>
        <v>0</v>
      </c>
      <c r="BH347" s="1598">
        <f t="shared" si="38"/>
        <v>0</v>
      </c>
      <c r="BI347" s="1598">
        <f t="shared" si="38"/>
        <v>0</v>
      </c>
      <c r="BJ347" s="1598">
        <f t="shared" si="38"/>
        <v>0</v>
      </c>
      <c r="BK347" s="1598">
        <f t="shared" si="42"/>
        <v>0</v>
      </c>
      <c r="BL347" s="1598">
        <f t="shared" si="42"/>
        <v>0</v>
      </c>
      <c r="BM347" s="1598">
        <f t="shared" si="42"/>
        <v>0</v>
      </c>
      <c r="BN347" s="1598">
        <f t="shared" si="42"/>
        <v>0</v>
      </c>
      <c r="BO347" s="1598">
        <f t="shared" si="41"/>
        <v>0</v>
      </c>
      <c r="BP347" s="1598">
        <f t="shared" si="41"/>
        <v>0</v>
      </c>
      <c r="BQ347" s="1576"/>
      <c r="BR347" s="1727" t="s">
        <v>1985</v>
      </c>
      <c r="BS347" s="1581"/>
      <c r="BT347" s="1539"/>
      <c r="BU347" s="1430">
        <v>1501006833</v>
      </c>
      <c r="BV347" s="1430" t="s">
        <v>1984</v>
      </c>
    </row>
    <row r="348" spans="1:74" s="1430" customFormat="1" outlineLevel="1">
      <c r="A348" s="1499">
        <v>114</v>
      </c>
      <c r="B348" s="1539" t="s">
        <v>2104</v>
      </c>
      <c r="C348" s="1578"/>
      <c r="D348" s="1511" t="s">
        <v>934</v>
      </c>
      <c r="E348" s="1579"/>
      <c r="F348" s="1334"/>
      <c r="G348" s="1318"/>
      <c r="H348" s="1318"/>
      <c r="I348" s="1379"/>
      <c r="J348" s="1379"/>
      <c r="K348" s="1402"/>
      <c r="L348" s="1337"/>
      <c r="M348" s="1337"/>
      <c r="N348" s="1339" t="s">
        <v>1984</v>
      </c>
      <c r="O348" s="1336"/>
      <c r="P348" s="1598">
        <f t="shared" si="43"/>
        <v>0</v>
      </c>
      <c r="Q348" s="1573">
        <f t="shared" si="43"/>
        <v>2.7569600000000002E-4</v>
      </c>
      <c r="R348" s="1598">
        <f t="shared" si="43"/>
        <v>0</v>
      </c>
      <c r="S348" s="1598">
        <f t="shared" si="43"/>
        <v>0</v>
      </c>
      <c r="T348" s="1598">
        <f t="shared" si="44"/>
        <v>2.7569600000000002E-4</v>
      </c>
      <c r="U348" s="1598">
        <f t="shared" si="40"/>
        <v>0</v>
      </c>
      <c r="V348" s="1598">
        <v>0</v>
      </c>
      <c r="W348" s="1598">
        <v>0</v>
      </c>
      <c r="X348" s="1598"/>
      <c r="Y348" s="1598"/>
      <c r="Z348" s="1598"/>
      <c r="AA348" s="1598"/>
      <c r="AB348" s="1598"/>
      <c r="AC348" s="1598"/>
      <c r="AD348" s="1598"/>
      <c r="AE348" s="1598"/>
      <c r="AF348" s="1598"/>
      <c r="AG348" s="1598"/>
      <c r="AH348" s="1725"/>
      <c r="AI348" s="1725"/>
      <c r="AJ348" s="1725"/>
      <c r="AK348" s="1725"/>
      <c r="AL348" s="1725"/>
      <c r="AM348" s="1725"/>
      <c r="AN348" s="1725"/>
      <c r="AO348" s="1725"/>
      <c r="AP348" s="1725"/>
      <c r="AQ348" s="1725"/>
      <c r="AR348" s="1725"/>
      <c r="AS348" s="1725">
        <f t="shared" si="45"/>
        <v>0</v>
      </c>
      <c r="AT348" s="1725"/>
      <c r="AU348" s="1624">
        <v>0</v>
      </c>
      <c r="AV348" s="1624">
        <v>0</v>
      </c>
      <c r="AW348" s="1624">
        <v>0</v>
      </c>
      <c r="AX348" s="1624">
        <v>0</v>
      </c>
      <c r="AY348" s="1624">
        <v>0</v>
      </c>
      <c r="AZ348" s="1624">
        <v>0</v>
      </c>
      <c r="BA348" s="1624">
        <v>0</v>
      </c>
      <c r="BB348" s="1593"/>
      <c r="BC348" s="1726" t="s">
        <v>1985</v>
      </c>
      <c r="BD348" s="1595"/>
      <c r="BE348" s="1598">
        <f t="shared" si="37"/>
        <v>0</v>
      </c>
      <c r="BF348" s="1739">
        <v>2.7569600000000002E-4</v>
      </c>
      <c r="BG348" s="1598">
        <f t="shared" si="38"/>
        <v>0</v>
      </c>
      <c r="BH348" s="1598">
        <f t="shared" si="38"/>
        <v>0</v>
      </c>
      <c r="BI348" s="1598">
        <f t="shared" si="38"/>
        <v>0</v>
      </c>
      <c r="BJ348" s="1598">
        <f t="shared" si="38"/>
        <v>0</v>
      </c>
      <c r="BK348" s="1598">
        <f t="shared" si="42"/>
        <v>0</v>
      </c>
      <c r="BL348" s="1598">
        <f t="shared" si="42"/>
        <v>0</v>
      </c>
      <c r="BM348" s="1598">
        <f t="shared" si="42"/>
        <v>0</v>
      </c>
      <c r="BN348" s="1598">
        <f t="shared" si="42"/>
        <v>0</v>
      </c>
      <c r="BO348" s="1598">
        <f t="shared" si="41"/>
        <v>0</v>
      </c>
      <c r="BP348" s="1598">
        <f t="shared" si="41"/>
        <v>0</v>
      </c>
      <c r="BQ348" s="1576"/>
      <c r="BR348" s="1727" t="s">
        <v>1985</v>
      </c>
      <c r="BS348" s="1581"/>
      <c r="BT348" s="1539"/>
      <c r="BU348" s="1430">
        <v>1501006834</v>
      </c>
      <c r="BV348" s="1430" t="s">
        <v>1984</v>
      </c>
    </row>
    <row r="349" spans="1:74" s="1430" customFormat="1" outlineLevel="1">
      <c r="A349" s="1499">
        <v>115</v>
      </c>
      <c r="B349" s="1539" t="s">
        <v>2105</v>
      </c>
      <c r="C349" s="1578"/>
      <c r="D349" s="1511" t="s">
        <v>934</v>
      </c>
      <c r="E349" s="1579"/>
      <c r="F349" s="1334"/>
      <c r="G349" s="1318"/>
      <c r="H349" s="1318"/>
      <c r="I349" s="1379"/>
      <c r="J349" s="1379"/>
      <c r="K349" s="1402"/>
      <c r="L349" s="1337"/>
      <c r="M349" s="1337"/>
      <c r="N349" s="1339" t="s">
        <v>1984</v>
      </c>
      <c r="O349" s="1336"/>
      <c r="P349" s="1598">
        <f t="shared" si="43"/>
        <v>0</v>
      </c>
      <c r="Q349" s="1573">
        <f t="shared" si="43"/>
        <v>7.1787910000000003E-3</v>
      </c>
      <c r="R349" s="1598">
        <f t="shared" si="43"/>
        <v>0</v>
      </c>
      <c r="S349" s="1598">
        <f t="shared" si="43"/>
        <v>0</v>
      </c>
      <c r="T349" s="1598">
        <f t="shared" si="44"/>
        <v>7.1787910000000003E-3</v>
      </c>
      <c r="U349" s="1598">
        <f t="shared" si="40"/>
        <v>0</v>
      </c>
      <c r="V349" s="1598">
        <v>0</v>
      </c>
      <c r="W349" s="1598">
        <v>0</v>
      </c>
      <c r="X349" s="1598"/>
      <c r="Y349" s="1598"/>
      <c r="Z349" s="1598"/>
      <c r="AA349" s="1598"/>
      <c r="AB349" s="1598"/>
      <c r="AC349" s="1598"/>
      <c r="AD349" s="1598"/>
      <c r="AE349" s="1598"/>
      <c r="AF349" s="1598"/>
      <c r="AG349" s="1598"/>
      <c r="AH349" s="1725"/>
      <c r="AI349" s="1725"/>
      <c r="AJ349" s="1725"/>
      <c r="AK349" s="1725"/>
      <c r="AL349" s="1725"/>
      <c r="AM349" s="1725"/>
      <c r="AN349" s="1725"/>
      <c r="AO349" s="1725"/>
      <c r="AP349" s="1725"/>
      <c r="AQ349" s="1725"/>
      <c r="AR349" s="1725"/>
      <c r="AS349" s="1725">
        <f t="shared" si="45"/>
        <v>0</v>
      </c>
      <c r="AT349" s="1725"/>
      <c r="AU349" s="1624">
        <v>0</v>
      </c>
      <c r="AV349" s="1624">
        <v>0</v>
      </c>
      <c r="AW349" s="1624">
        <v>0</v>
      </c>
      <c r="AX349" s="1624">
        <v>0</v>
      </c>
      <c r="AY349" s="1624">
        <v>0</v>
      </c>
      <c r="AZ349" s="1624">
        <v>0</v>
      </c>
      <c r="BA349" s="1624">
        <v>0</v>
      </c>
      <c r="BB349" s="1593"/>
      <c r="BC349" s="1726" t="s">
        <v>1985</v>
      </c>
      <c r="BD349" s="1595"/>
      <c r="BE349" s="1598">
        <f t="shared" si="37"/>
        <v>0</v>
      </c>
      <c r="BF349" s="1739">
        <v>7.1787910000000003E-3</v>
      </c>
      <c r="BG349" s="1598">
        <f t="shared" si="38"/>
        <v>0</v>
      </c>
      <c r="BH349" s="1598">
        <f t="shared" si="38"/>
        <v>0</v>
      </c>
      <c r="BI349" s="1598">
        <f t="shared" si="38"/>
        <v>0</v>
      </c>
      <c r="BJ349" s="1598">
        <f t="shared" si="38"/>
        <v>0</v>
      </c>
      <c r="BK349" s="1598">
        <f t="shared" si="42"/>
        <v>0</v>
      </c>
      <c r="BL349" s="1598">
        <f t="shared" si="42"/>
        <v>0</v>
      </c>
      <c r="BM349" s="1598">
        <f t="shared" si="42"/>
        <v>0</v>
      </c>
      <c r="BN349" s="1598">
        <f t="shared" si="42"/>
        <v>0</v>
      </c>
      <c r="BO349" s="1598">
        <f t="shared" si="41"/>
        <v>0</v>
      </c>
      <c r="BP349" s="1598">
        <f t="shared" si="41"/>
        <v>0</v>
      </c>
      <c r="BQ349" s="1576"/>
      <c r="BR349" s="1727" t="s">
        <v>1985</v>
      </c>
      <c r="BS349" s="1581"/>
      <c r="BT349" s="1539"/>
      <c r="BU349" s="1430">
        <v>1501006835</v>
      </c>
      <c r="BV349" s="1430" t="s">
        <v>1984</v>
      </c>
    </row>
    <row r="350" spans="1:74" s="1430" customFormat="1" outlineLevel="1">
      <c r="A350" s="1499">
        <v>116</v>
      </c>
      <c r="B350" s="1539" t="s">
        <v>2106</v>
      </c>
      <c r="C350" s="1578"/>
      <c r="D350" s="1511" t="s">
        <v>934</v>
      </c>
      <c r="E350" s="1579"/>
      <c r="F350" s="1334"/>
      <c r="G350" s="1318"/>
      <c r="H350" s="1318"/>
      <c r="I350" s="1379"/>
      <c r="J350" s="1379"/>
      <c r="K350" s="1402"/>
      <c r="L350" s="1337"/>
      <c r="M350" s="1337"/>
      <c r="N350" s="1339" t="s">
        <v>1984</v>
      </c>
      <c r="O350" s="1336"/>
      <c r="P350" s="1598">
        <f t="shared" si="43"/>
        <v>0</v>
      </c>
      <c r="Q350" s="1573">
        <f t="shared" si="43"/>
        <v>4.0925400000000004E-3</v>
      </c>
      <c r="R350" s="1598">
        <f t="shared" si="43"/>
        <v>0</v>
      </c>
      <c r="S350" s="1598">
        <f t="shared" si="43"/>
        <v>0</v>
      </c>
      <c r="T350" s="1598">
        <f t="shared" si="44"/>
        <v>4.0925400000000004E-3</v>
      </c>
      <c r="U350" s="1598">
        <f t="shared" si="40"/>
        <v>0</v>
      </c>
      <c r="V350" s="1598">
        <v>0</v>
      </c>
      <c r="W350" s="1598">
        <v>0</v>
      </c>
      <c r="X350" s="1598"/>
      <c r="Y350" s="1598"/>
      <c r="Z350" s="1598"/>
      <c r="AA350" s="1598"/>
      <c r="AB350" s="1598"/>
      <c r="AC350" s="1598"/>
      <c r="AD350" s="1598"/>
      <c r="AE350" s="1598"/>
      <c r="AF350" s="1598"/>
      <c r="AG350" s="1598"/>
      <c r="AH350" s="1725"/>
      <c r="AI350" s="1725"/>
      <c r="AJ350" s="1725"/>
      <c r="AK350" s="1725"/>
      <c r="AL350" s="1725"/>
      <c r="AM350" s="1725"/>
      <c r="AN350" s="1725"/>
      <c r="AO350" s="1725"/>
      <c r="AP350" s="1725"/>
      <c r="AQ350" s="1725"/>
      <c r="AR350" s="1725"/>
      <c r="AS350" s="1725">
        <f t="shared" si="45"/>
        <v>0</v>
      </c>
      <c r="AT350" s="1725"/>
      <c r="AU350" s="1624">
        <v>0</v>
      </c>
      <c r="AV350" s="1624">
        <v>0</v>
      </c>
      <c r="AW350" s="1624">
        <v>0</v>
      </c>
      <c r="AX350" s="1624">
        <v>0</v>
      </c>
      <c r="AY350" s="1624">
        <v>0</v>
      </c>
      <c r="AZ350" s="1624">
        <v>0</v>
      </c>
      <c r="BA350" s="1624">
        <v>0</v>
      </c>
      <c r="BB350" s="1593"/>
      <c r="BC350" s="1726" t="s">
        <v>1985</v>
      </c>
      <c r="BD350" s="1595"/>
      <c r="BE350" s="1598">
        <f t="shared" si="37"/>
        <v>0</v>
      </c>
      <c r="BF350" s="1739">
        <v>4.0925400000000004E-3</v>
      </c>
      <c r="BG350" s="1598">
        <f t="shared" si="38"/>
        <v>0</v>
      </c>
      <c r="BH350" s="1598">
        <f t="shared" si="38"/>
        <v>0</v>
      </c>
      <c r="BI350" s="1598">
        <f t="shared" si="38"/>
        <v>0</v>
      </c>
      <c r="BJ350" s="1598">
        <f t="shared" si="38"/>
        <v>0</v>
      </c>
      <c r="BK350" s="1598">
        <f t="shared" si="42"/>
        <v>0</v>
      </c>
      <c r="BL350" s="1598">
        <f t="shared" si="42"/>
        <v>0</v>
      </c>
      <c r="BM350" s="1598">
        <f t="shared" si="42"/>
        <v>0</v>
      </c>
      <c r="BN350" s="1598">
        <f t="shared" si="42"/>
        <v>0</v>
      </c>
      <c r="BO350" s="1598">
        <f t="shared" si="41"/>
        <v>0</v>
      </c>
      <c r="BP350" s="1598">
        <f t="shared" si="41"/>
        <v>0</v>
      </c>
      <c r="BQ350" s="1576"/>
      <c r="BR350" s="1727" t="s">
        <v>1985</v>
      </c>
      <c r="BS350" s="1581"/>
      <c r="BT350" s="1539"/>
      <c r="BU350" s="1430">
        <v>1501006836</v>
      </c>
      <c r="BV350" s="1430" t="s">
        <v>1984</v>
      </c>
    </row>
    <row r="351" spans="1:74" s="1430" customFormat="1" outlineLevel="1">
      <c r="A351" s="1499">
        <v>117</v>
      </c>
      <c r="B351" s="1539" t="s">
        <v>2107</v>
      </c>
      <c r="C351" s="1578"/>
      <c r="D351" s="1511" t="s">
        <v>934</v>
      </c>
      <c r="E351" s="1579"/>
      <c r="F351" s="1334"/>
      <c r="G351" s="1318"/>
      <c r="H351" s="1318"/>
      <c r="I351" s="1379"/>
      <c r="J351" s="1379"/>
      <c r="K351" s="1402"/>
      <c r="L351" s="1337"/>
      <c r="M351" s="1337"/>
      <c r="N351" s="1339" t="s">
        <v>1984</v>
      </c>
      <c r="O351" s="1336"/>
      <c r="P351" s="1598">
        <f t="shared" si="43"/>
        <v>0</v>
      </c>
      <c r="Q351" s="1573">
        <f t="shared" si="43"/>
        <v>1.2655415999999999E-2</v>
      </c>
      <c r="R351" s="1598">
        <f t="shared" si="43"/>
        <v>0</v>
      </c>
      <c r="S351" s="1598">
        <f t="shared" si="43"/>
        <v>0</v>
      </c>
      <c r="T351" s="1598">
        <f t="shared" si="44"/>
        <v>1.2655415999999999E-2</v>
      </c>
      <c r="U351" s="1598">
        <f t="shared" si="40"/>
        <v>0</v>
      </c>
      <c r="V351" s="1598">
        <v>0</v>
      </c>
      <c r="W351" s="1598">
        <v>0</v>
      </c>
      <c r="X351" s="1598"/>
      <c r="Y351" s="1598"/>
      <c r="Z351" s="1598"/>
      <c r="AA351" s="1598"/>
      <c r="AB351" s="1598"/>
      <c r="AC351" s="1598"/>
      <c r="AD351" s="1598"/>
      <c r="AE351" s="1598"/>
      <c r="AF351" s="1598"/>
      <c r="AG351" s="1598"/>
      <c r="AH351" s="1725"/>
      <c r="AI351" s="1725"/>
      <c r="AJ351" s="1725"/>
      <c r="AK351" s="1725"/>
      <c r="AL351" s="1725"/>
      <c r="AM351" s="1725"/>
      <c r="AN351" s="1725"/>
      <c r="AO351" s="1725"/>
      <c r="AP351" s="1725"/>
      <c r="AQ351" s="1725"/>
      <c r="AR351" s="1725"/>
      <c r="AS351" s="1725">
        <f t="shared" si="45"/>
        <v>0</v>
      </c>
      <c r="AT351" s="1725"/>
      <c r="AU351" s="1624">
        <v>0</v>
      </c>
      <c r="AV351" s="1624">
        <v>0</v>
      </c>
      <c r="AW351" s="1624">
        <v>0</v>
      </c>
      <c r="AX351" s="1624">
        <v>0</v>
      </c>
      <c r="AY351" s="1624">
        <v>0</v>
      </c>
      <c r="AZ351" s="1624">
        <v>0</v>
      </c>
      <c r="BA351" s="1624">
        <v>0</v>
      </c>
      <c r="BB351" s="1593"/>
      <c r="BC351" s="1738" t="s">
        <v>2052</v>
      </c>
      <c r="BD351" s="1595"/>
      <c r="BE351" s="1598">
        <f t="shared" si="37"/>
        <v>0</v>
      </c>
      <c r="BF351" s="1739">
        <v>1.2655415999999999E-2</v>
      </c>
      <c r="BG351" s="1598">
        <f t="shared" si="38"/>
        <v>0</v>
      </c>
      <c r="BH351" s="1598">
        <f t="shared" si="38"/>
        <v>0</v>
      </c>
      <c r="BI351" s="1598">
        <f t="shared" si="38"/>
        <v>0</v>
      </c>
      <c r="BJ351" s="1598">
        <f t="shared" si="38"/>
        <v>0</v>
      </c>
      <c r="BK351" s="1598">
        <f t="shared" si="42"/>
        <v>0</v>
      </c>
      <c r="BL351" s="1598">
        <f t="shared" si="42"/>
        <v>0</v>
      </c>
      <c r="BM351" s="1598">
        <f t="shared" si="42"/>
        <v>0</v>
      </c>
      <c r="BN351" s="1598">
        <f t="shared" si="42"/>
        <v>0</v>
      </c>
      <c r="BO351" s="1598">
        <f t="shared" si="41"/>
        <v>0</v>
      </c>
      <c r="BP351" s="1598">
        <f t="shared" si="41"/>
        <v>0</v>
      </c>
      <c r="BQ351" s="1576"/>
      <c r="BR351" s="1740" t="s">
        <v>2052</v>
      </c>
      <c r="BS351" s="1581"/>
      <c r="BT351" s="1539"/>
      <c r="BU351" s="1430">
        <v>1501006837</v>
      </c>
      <c r="BV351" s="1430" t="s">
        <v>1984</v>
      </c>
    </row>
    <row r="352" spans="1:74" s="1430" customFormat="1" outlineLevel="1">
      <c r="A352" s="1499">
        <v>118</v>
      </c>
      <c r="B352" s="1539" t="s">
        <v>2108</v>
      </c>
      <c r="C352" s="1578"/>
      <c r="D352" s="1511" t="s">
        <v>934</v>
      </c>
      <c r="E352" s="1579"/>
      <c r="F352" s="1334"/>
      <c r="G352" s="1318"/>
      <c r="H352" s="1318"/>
      <c r="I352" s="1379"/>
      <c r="J352" s="1379"/>
      <c r="K352" s="1402"/>
      <c r="L352" s="1337"/>
      <c r="M352" s="1337"/>
      <c r="N352" s="1339" t="s">
        <v>1984</v>
      </c>
      <c r="O352" s="1336"/>
      <c r="P352" s="1598">
        <f t="shared" si="43"/>
        <v>0</v>
      </c>
      <c r="Q352" s="1573">
        <f t="shared" si="43"/>
        <v>2.45393E-4</v>
      </c>
      <c r="R352" s="1598">
        <f t="shared" si="43"/>
        <v>0</v>
      </c>
      <c r="S352" s="1598">
        <f t="shared" si="43"/>
        <v>0</v>
      </c>
      <c r="T352" s="1598">
        <f t="shared" si="44"/>
        <v>2.45393E-4</v>
      </c>
      <c r="U352" s="1598">
        <f t="shared" si="40"/>
        <v>0</v>
      </c>
      <c r="V352" s="1598">
        <v>0</v>
      </c>
      <c r="W352" s="1598">
        <v>0</v>
      </c>
      <c r="X352" s="1598"/>
      <c r="Y352" s="1598"/>
      <c r="Z352" s="1598"/>
      <c r="AA352" s="1598"/>
      <c r="AB352" s="1598"/>
      <c r="AC352" s="1598"/>
      <c r="AD352" s="1598"/>
      <c r="AE352" s="1598"/>
      <c r="AF352" s="1598"/>
      <c r="AG352" s="1598"/>
      <c r="AH352" s="1725"/>
      <c r="AI352" s="1725"/>
      <c r="AJ352" s="1725"/>
      <c r="AK352" s="1725"/>
      <c r="AL352" s="1725"/>
      <c r="AM352" s="1725"/>
      <c r="AN352" s="1725"/>
      <c r="AO352" s="1725"/>
      <c r="AP352" s="1725"/>
      <c r="AQ352" s="1725"/>
      <c r="AR352" s="1725"/>
      <c r="AS352" s="1725">
        <f t="shared" si="45"/>
        <v>0</v>
      </c>
      <c r="AT352" s="1725"/>
      <c r="AU352" s="1624">
        <v>0</v>
      </c>
      <c r="AV352" s="1624">
        <v>0</v>
      </c>
      <c r="AW352" s="1624">
        <v>0</v>
      </c>
      <c r="AX352" s="1624">
        <v>0</v>
      </c>
      <c r="AY352" s="1624">
        <v>0</v>
      </c>
      <c r="AZ352" s="1624">
        <v>0</v>
      </c>
      <c r="BA352" s="1624">
        <v>0</v>
      </c>
      <c r="BB352" s="1593"/>
      <c r="BC352" s="1738" t="s">
        <v>2052</v>
      </c>
      <c r="BD352" s="1595"/>
      <c r="BE352" s="1598">
        <f t="shared" si="37"/>
        <v>0</v>
      </c>
      <c r="BF352" s="1739">
        <v>2.45393E-4</v>
      </c>
      <c r="BG352" s="1598">
        <f t="shared" si="38"/>
        <v>0</v>
      </c>
      <c r="BH352" s="1598">
        <f t="shared" si="38"/>
        <v>0</v>
      </c>
      <c r="BI352" s="1598">
        <f t="shared" si="38"/>
        <v>0</v>
      </c>
      <c r="BJ352" s="1598">
        <f t="shared" si="38"/>
        <v>0</v>
      </c>
      <c r="BK352" s="1598">
        <f t="shared" si="42"/>
        <v>0</v>
      </c>
      <c r="BL352" s="1598">
        <f t="shared" si="42"/>
        <v>0</v>
      </c>
      <c r="BM352" s="1598">
        <f t="shared" si="42"/>
        <v>0</v>
      </c>
      <c r="BN352" s="1598">
        <f t="shared" si="42"/>
        <v>0</v>
      </c>
      <c r="BO352" s="1598">
        <f t="shared" si="41"/>
        <v>0</v>
      </c>
      <c r="BP352" s="1598">
        <f t="shared" si="41"/>
        <v>0</v>
      </c>
      <c r="BQ352" s="1576"/>
      <c r="BR352" s="1740" t="s">
        <v>2052</v>
      </c>
      <c r="BS352" s="1581"/>
      <c r="BT352" s="1539"/>
      <c r="BU352" s="1430">
        <v>1501006838</v>
      </c>
      <c r="BV352" s="1430" t="s">
        <v>1984</v>
      </c>
    </row>
    <row r="353" spans="1:74" s="1430" customFormat="1" outlineLevel="1">
      <c r="A353" s="1499">
        <v>119</v>
      </c>
      <c r="B353" s="1539" t="s">
        <v>2109</v>
      </c>
      <c r="C353" s="1578"/>
      <c r="D353" s="1511" t="s">
        <v>934</v>
      </c>
      <c r="E353" s="1579"/>
      <c r="F353" s="1334"/>
      <c r="G353" s="1318"/>
      <c r="H353" s="1318"/>
      <c r="I353" s="1379"/>
      <c r="J353" s="1379"/>
      <c r="K353" s="1402"/>
      <c r="L353" s="1337"/>
      <c r="M353" s="1337"/>
      <c r="N353" s="1339" t="s">
        <v>1984</v>
      </c>
      <c r="O353" s="1336"/>
      <c r="P353" s="1598">
        <f t="shared" si="43"/>
        <v>0</v>
      </c>
      <c r="Q353" s="1573">
        <f t="shared" si="43"/>
        <v>2.5188164999999998E-2</v>
      </c>
      <c r="R353" s="1598">
        <f t="shared" si="43"/>
        <v>0</v>
      </c>
      <c r="S353" s="1598">
        <f t="shared" si="43"/>
        <v>0</v>
      </c>
      <c r="T353" s="1598">
        <f t="shared" si="44"/>
        <v>2.5188164999999998E-2</v>
      </c>
      <c r="U353" s="1598">
        <f t="shared" si="40"/>
        <v>0</v>
      </c>
      <c r="V353" s="1598">
        <v>0</v>
      </c>
      <c r="W353" s="1598">
        <v>0</v>
      </c>
      <c r="X353" s="1598"/>
      <c r="Y353" s="1598"/>
      <c r="Z353" s="1598"/>
      <c r="AA353" s="1598"/>
      <c r="AB353" s="1598"/>
      <c r="AC353" s="1598"/>
      <c r="AD353" s="1598"/>
      <c r="AE353" s="1598"/>
      <c r="AF353" s="1598"/>
      <c r="AG353" s="1598"/>
      <c r="AH353" s="1725"/>
      <c r="AI353" s="1725"/>
      <c r="AJ353" s="1725"/>
      <c r="AK353" s="1725"/>
      <c r="AL353" s="1725"/>
      <c r="AM353" s="1725"/>
      <c r="AN353" s="1725"/>
      <c r="AO353" s="1725"/>
      <c r="AP353" s="1725"/>
      <c r="AQ353" s="1725"/>
      <c r="AR353" s="1725"/>
      <c r="AS353" s="1725">
        <f t="shared" si="45"/>
        <v>0</v>
      </c>
      <c r="AT353" s="1725"/>
      <c r="AU353" s="1624">
        <v>0</v>
      </c>
      <c r="AV353" s="1624">
        <v>0</v>
      </c>
      <c r="AW353" s="1624">
        <v>0</v>
      </c>
      <c r="AX353" s="1624">
        <v>0</v>
      </c>
      <c r="AY353" s="1624">
        <v>0</v>
      </c>
      <c r="AZ353" s="1624">
        <v>0</v>
      </c>
      <c r="BA353" s="1624">
        <v>0</v>
      </c>
      <c r="BB353" s="1593"/>
      <c r="BC353" s="1738" t="s">
        <v>2052</v>
      </c>
      <c r="BD353" s="1595"/>
      <c r="BE353" s="1598">
        <f t="shared" si="37"/>
        <v>0</v>
      </c>
      <c r="BF353" s="1739">
        <v>2.5188164999999998E-2</v>
      </c>
      <c r="BG353" s="1598">
        <f t="shared" si="38"/>
        <v>0</v>
      </c>
      <c r="BH353" s="1598">
        <f t="shared" si="38"/>
        <v>0</v>
      </c>
      <c r="BI353" s="1598">
        <f t="shared" si="38"/>
        <v>0</v>
      </c>
      <c r="BJ353" s="1598">
        <f t="shared" si="38"/>
        <v>0</v>
      </c>
      <c r="BK353" s="1598">
        <f t="shared" si="42"/>
        <v>0</v>
      </c>
      <c r="BL353" s="1598">
        <f t="shared" si="42"/>
        <v>0</v>
      </c>
      <c r="BM353" s="1598">
        <f t="shared" si="42"/>
        <v>0</v>
      </c>
      <c r="BN353" s="1598">
        <f t="shared" si="42"/>
        <v>0</v>
      </c>
      <c r="BO353" s="1598">
        <f t="shared" si="41"/>
        <v>0</v>
      </c>
      <c r="BP353" s="1598">
        <f t="shared" si="41"/>
        <v>0</v>
      </c>
      <c r="BQ353" s="1576"/>
      <c r="BR353" s="1740" t="s">
        <v>2052</v>
      </c>
      <c r="BS353" s="1581"/>
      <c r="BT353" s="1539"/>
      <c r="BU353" s="1430">
        <v>1501006839</v>
      </c>
      <c r="BV353" s="1430" t="s">
        <v>1984</v>
      </c>
    </row>
    <row r="354" spans="1:74" s="1430" customFormat="1" outlineLevel="1">
      <c r="A354" s="1499">
        <v>120</v>
      </c>
      <c r="B354" s="1539" t="s">
        <v>2110</v>
      </c>
      <c r="C354" s="1578"/>
      <c r="D354" s="1511" t="s">
        <v>934</v>
      </c>
      <c r="E354" s="1579"/>
      <c r="F354" s="1334"/>
      <c r="G354" s="1318"/>
      <c r="H354" s="1318"/>
      <c r="I354" s="1379"/>
      <c r="J354" s="1379"/>
      <c r="K354" s="1402"/>
      <c r="L354" s="1337"/>
      <c r="M354" s="1337"/>
      <c r="N354" s="1339" t="s">
        <v>1984</v>
      </c>
      <c r="O354" s="1336"/>
      <c r="P354" s="1598">
        <f t="shared" si="43"/>
        <v>0</v>
      </c>
      <c r="Q354" s="1573">
        <f t="shared" si="43"/>
        <v>4.0770299999999998E-4</v>
      </c>
      <c r="R354" s="1598">
        <f t="shared" si="43"/>
        <v>0</v>
      </c>
      <c r="S354" s="1598">
        <f t="shared" si="43"/>
        <v>0</v>
      </c>
      <c r="T354" s="1598">
        <f t="shared" si="44"/>
        <v>4.0770299999999998E-4</v>
      </c>
      <c r="U354" s="1598">
        <f t="shared" si="40"/>
        <v>0</v>
      </c>
      <c r="V354" s="1598">
        <v>0</v>
      </c>
      <c r="W354" s="1598">
        <v>0</v>
      </c>
      <c r="X354" s="1598"/>
      <c r="Y354" s="1598"/>
      <c r="Z354" s="1598"/>
      <c r="AA354" s="1598"/>
      <c r="AB354" s="1598"/>
      <c r="AC354" s="1598"/>
      <c r="AD354" s="1598"/>
      <c r="AE354" s="1598"/>
      <c r="AF354" s="1598"/>
      <c r="AG354" s="1598"/>
      <c r="AH354" s="1725"/>
      <c r="AI354" s="1725"/>
      <c r="AJ354" s="1725"/>
      <c r="AK354" s="1725"/>
      <c r="AL354" s="1725"/>
      <c r="AM354" s="1725"/>
      <c r="AN354" s="1725"/>
      <c r="AO354" s="1725"/>
      <c r="AP354" s="1725"/>
      <c r="AQ354" s="1725"/>
      <c r="AR354" s="1725"/>
      <c r="AS354" s="1725">
        <f t="shared" si="45"/>
        <v>0</v>
      </c>
      <c r="AT354" s="1725"/>
      <c r="AU354" s="1624">
        <v>0</v>
      </c>
      <c r="AV354" s="1624">
        <v>0</v>
      </c>
      <c r="AW354" s="1624">
        <v>0</v>
      </c>
      <c r="AX354" s="1624">
        <v>0</v>
      </c>
      <c r="AY354" s="1624">
        <v>0</v>
      </c>
      <c r="AZ354" s="1624">
        <v>0</v>
      </c>
      <c r="BA354" s="1624">
        <v>0</v>
      </c>
      <c r="BB354" s="1593"/>
      <c r="BC354" s="1726" t="s">
        <v>1985</v>
      </c>
      <c r="BD354" s="1595"/>
      <c r="BE354" s="1598">
        <f t="shared" si="37"/>
        <v>0</v>
      </c>
      <c r="BF354" s="1739">
        <v>4.0770299999999998E-4</v>
      </c>
      <c r="BG354" s="1598">
        <f t="shared" si="38"/>
        <v>0</v>
      </c>
      <c r="BH354" s="1598">
        <f t="shared" si="38"/>
        <v>0</v>
      </c>
      <c r="BI354" s="1598">
        <f t="shared" si="38"/>
        <v>0</v>
      </c>
      <c r="BJ354" s="1598">
        <f t="shared" si="38"/>
        <v>0</v>
      </c>
      <c r="BK354" s="1598">
        <f t="shared" si="42"/>
        <v>0</v>
      </c>
      <c r="BL354" s="1598">
        <f t="shared" si="42"/>
        <v>0</v>
      </c>
      <c r="BM354" s="1598">
        <f t="shared" si="42"/>
        <v>0</v>
      </c>
      <c r="BN354" s="1598">
        <f t="shared" si="42"/>
        <v>0</v>
      </c>
      <c r="BO354" s="1598">
        <f t="shared" si="41"/>
        <v>0</v>
      </c>
      <c r="BP354" s="1598">
        <f t="shared" si="41"/>
        <v>0</v>
      </c>
      <c r="BQ354" s="1576"/>
      <c r="BR354" s="1727" t="s">
        <v>1985</v>
      </c>
      <c r="BS354" s="1581"/>
      <c r="BT354" s="1539"/>
      <c r="BU354" s="1430">
        <v>1501006840</v>
      </c>
      <c r="BV354" s="1430" t="s">
        <v>1984</v>
      </c>
    </row>
    <row r="355" spans="1:74" s="1430" customFormat="1" outlineLevel="1">
      <c r="A355" s="1499">
        <v>121</v>
      </c>
      <c r="B355" s="1539" t="s">
        <v>2111</v>
      </c>
      <c r="C355" s="1578"/>
      <c r="D355" s="1511" t="s">
        <v>934</v>
      </c>
      <c r="E355" s="1579"/>
      <c r="F355" s="1334"/>
      <c r="G355" s="1318"/>
      <c r="H355" s="1318"/>
      <c r="I355" s="1379"/>
      <c r="J355" s="1379"/>
      <c r="K355" s="1402"/>
      <c r="L355" s="1337"/>
      <c r="M355" s="1337"/>
      <c r="N355" s="1339" t="s">
        <v>1984</v>
      </c>
      <c r="O355" s="1336"/>
      <c r="P355" s="1598">
        <f t="shared" si="43"/>
        <v>0</v>
      </c>
      <c r="Q355" s="1573">
        <f t="shared" si="43"/>
        <v>3.8246069999999998E-3</v>
      </c>
      <c r="R355" s="1598">
        <f t="shared" si="43"/>
        <v>0</v>
      </c>
      <c r="S355" s="1598">
        <f t="shared" si="43"/>
        <v>0</v>
      </c>
      <c r="T355" s="1598">
        <f t="shared" si="44"/>
        <v>3.8246069999999998E-3</v>
      </c>
      <c r="U355" s="1598">
        <f t="shared" si="40"/>
        <v>0</v>
      </c>
      <c r="V355" s="1598">
        <v>0</v>
      </c>
      <c r="W355" s="1598">
        <v>0</v>
      </c>
      <c r="X355" s="1598"/>
      <c r="Y355" s="1598"/>
      <c r="Z355" s="1598"/>
      <c r="AA355" s="1598"/>
      <c r="AB355" s="1598"/>
      <c r="AC355" s="1598"/>
      <c r="AD355" s="1598"/>
      <c r="AE355" s="1598"/>
      <c r="AF355" s="1598"/>
      <c r="AG355" s="1598"/>
      <c r="AH355" s="1725"/>
      <c r="AI355" s="1725"/>
      <c r="AJ355" s="1725"/>
      <c r="AK355" s="1725"/>
      <c r="AL355" s="1725"/>
      <c r="AM355" s="1725"/>
      <c r="AN355" s="1725"/>
      <c r="AO355" s="1725"/>
      <c r="AP355" s="1725"/>
      <c r="AQ355" s="1725"/>
      <c r="AR355" s="1725"/>
      <c r="AS355" s="1725">
        <f t="shared" si="45"/>
        <v>0</v>
      </c>
      <c r="AT355" s="1725"/>
      <c r="AU355" s="1624">
        <v>0</v>
      </c>
      <c r="AV355" s="1624">
        <v>0</v>
      </c>
      <c r="AW355" s="1624">
        <v>0</v>
      </c>
      <c r="AX355" s="1624">
        <v>0</v>
      </c>
      <c r="AY355" s="1624">
        <v>0</v>
      </c>
      <c r="AZ355" s="1624">
        <v>0</v>
      </c>
      <c r="BA355" s="1624">
        <v>0</v>
      </c>
      <c r="BB355" s="1593"/>
      <c r="BC355" s="1726" t="s">
        <v>1985</v>
      </c>
      <c r="BD355" s="1595"/>
      <c r="BE355" s="1598">
        <f t="shared" si="37"/>
        <v>0</v>
      </c>
      <c r="BF355" s="1739">
        <v>3.8246069999999998E-3</v>
      </c>
      <c r="BG355" s="1598">
        <f t="shared" si="38"/>
        <v>0</v>
      </c>
      <c r="BH355" s="1598">
        <f t="shared" si="38"/>
        <v>0</v>
      </c>
      <c r="BI355" s="1598">
        <f t="shared" si="38"/>
        <v>0</v>
      </c>
      <c r="BJ355" s="1598">
        <f t="shared" si="38"/>
        <v>0</v>
      </c>
      <c r="BK355" s="1598">
        <f t="shared" si="42"/>
        <v>0</v>
      </c>
      <c r="BL355" s="1598">
        <f t="shared" si="42"/>
        <v>0</v>
      </c>
      <c r="BM355" s="1598">
        <f t="shared" si="42"/>
        <v>0</v>
      </c>
      <c r="BN355" s="1598">
        <f t="shared" si="42"/>
        <v>0</v>
      </c>
      <c r="BO355" s="1598">
        <f t="shared" si="41"/>
        <v>0</v>
      </c>
      <c r="BP355" s="1598">
        <f t="shared" si="41"/>
        <v>0</v>
      </c>
      <c r="BQ355" s="1576"/>
      <c r="BR355" s="1727" t="s">
        <v>1985</v>
      </c>
      <c r="BS355" s="1581"/>
      <c r="BT355" s="1539"/>
      <c r="BU355" s="1430">
        <v>1501006841</v>
      </c>
      <c r="BV355" s="1430" t="s">
        <v>1984</v>
      </c>
    </row>
    <row r="356" spans="1:74" s="1430" customFormat="1" outlineLevel="1">
      <c r="A356" s="1499">
        <v>122</v>
      </c>
      <c r="B356" s="1539" t="s">
        <v>2112</v>
      </c>
      <c r="C356" s="1578"/>
      <c r="D356" s="1511" t="s">
        <v>934</v>
      </c>
      <c r="E356" s="1579"/>
      <c r="F356" s="1334"/>
      <c r="G356" s="1318"/>
      <c r="H356" s="1318"/>
      <c r="I356" s="1379"/>
      <c r="J356" s="1379"/>
      <c r="K356" s="1402"/>
      <c r="L356" s="1337"/>
      <c r="M356" s="1337"/>
      <c r="N356" s="1339" t="s">
        <v>1984</v>
      </c>
      <c r="O356" s="1336"/>
      <c r="P356" s="1598">
        <f t="shared" si="43"/>
        <v>0</v>
      </c>
      <c r="Q356" s="1573">
        <f t="shared" si="43"/>
        <v>8.7066999999999998E-5</v>
      </c>
      <c r="R356" s="1598">
        <f t="shared" si="43"/>
        <v>0</v>
      </c>
      <c r="S356" s="1598">
        <f t="shared" si="43"/>
        <v>0</v>
      </c>
      <c r="T356" s="1598">
        <f t="shared" si="44"/>
        <v>8.7066999999999998E-5</v>
      </c>
      <c r="U356" s="1598">
        <f t="shared" si="40"/>
        <v>0</v>
      </c>
      <c r="V356" s="1598">
        <v>0</v>
      </c>
      <c r="W356" s="1598">
        <v>0</v>
      </c>
      <c r="X356" s="1598"/>
      <c r="Y356" s="1598"/>
      <c r="Z356" s="1598"/>
      <c r="AA356" s="1598"/>
      <c r="AB356" s="1598"/>
      <c r="AC356" s="1598"/>
      <c r="AD356" s="1598"/>
      <c r="AE356" s="1598"/>
      <c r="AF356" s="1598"/>
      <c r="AG356" s="1598"/>
      <c r="AH356" s="1725"/>
      <c r="AI356" s="1725"/>
      <c r="AJ356" s="1725"/>
      <c r="AK356" s="1725"/>
      <c r="AL356" s="1725"/>
      <c r="AM356" s="1725"/>
      <c r="AN356" s="1725"/>
      <c r="AO356" s="1725"/>
      <c r="AP356" s="1725"/>
      <c r="AQ356" s="1725"/>
      <c r="AR356" s="1725"/>
      <c r="AS356" s="1725">
        <f t="shared" si="45"/>
        <v>0</v>
      </c>
      <c r="AT356" s="1725"/>
      <c r="AU356" s="1624">
        <v>0</v>
      </c>
      <c r="AV356" s="1624">
        <v>0</v>
      </c>
      <c r="AW356" s="1624">
        <v>0</v>
      </c>
      <c r="AX356" s="1624">
        <v>0</v>
      </c>
      <c r="AY356" s="1624">
        <v>0</v>
      </c>
      <c r="AZ356" s="1624">
        <v>0</v>
      </c>
      <c r="BA356" s="1624">
        <v>0</v>
      </c>
      <c r="BB356" s="1593"/>
      <c r="BC356" s="1726" t="s">
        <v>1985</v>
      </c>
      <c r="BD356" s="1595"/>
      <c r="BE356" s="1598">
        <f t="shared" si="37"/>
        <v>0</v>
      </c>
      <c r="BF356" s="1739">
        <v>8.7066999999999998E-5</v>
      </c>
      <c r="BG356" s="1598">
        <f t="shared" si="38"/>
        <v>0</v>
      </c>
      <c r="BH356" s="1598">
        <f t="shared" si="38"/>
        <v>0</v>
      </c>
      <c r="BI356" s="1598">
        <f t="shared" si="38"/>
        <v>0</v>
      </c>
      <c r="BJ356" s="1598">
        <f t="shared" si="38"/>
        <v>0</v>
      </c>
      <c r="BK356" s="1598">
        <f t="shared" si="42"/>
        <v>0</v>
      </c>
      <c r="BL356" s="1598">
        <f t="shared" si="42"/>
        <v>0</v>
      </c>
      <c r="BM356" s="1598">
        <f t="shared" si="42"/>
        <v>0</v>
      </c>
      <c r="BN356" s="1598">
        <f t="shared" si="42"/>
        <v>0</v>
      </c>
      <c r="BO356" s="1598">
        <f t="shared" si="41"/>
        <v>0</v>
      </c>
      <c r="BP356" s="1598">
        <f t="shared" si="41"/>
        <v>0</v>
      </c>
      <c r="BQ356" s="1576"/>
      <c r="BR356" s="1727" t="s">
        <v>1985</v>
      </c>
      <c r="BS356" s="1581"/>
      <c r="BT356" s="1539"/>
      <c r="BU356" s="1430">
        <v>1501006842</v>
      </c>
      <c r="BV356" s="1430" t="s">
        <v>1984</v>
      </c>
    </row>
    <row r="357" spans="1:74" s="1430" customFormat="1" outlineLevel="1">
      <c r="A357" s="1499">
        <v>123</v>
      </c>
      <c r="B357" s="1539" t="s">
        <v>2113</v>
      </c>
      <c r="C357" s="1578"/>
      <c r="D357" s="1511" t="s">
        <v>934</v>
      </c>
      <c r="E357" s="1579"/>
      <c r="F357" s="1334"/>
      <c r="G357" s="1318"/>
      <c r="H357" s="1318"/>
      <c r="I357" s="1379"/>
      <c r="J357" s="1379"/>
      <c r="K357" s="1402"/>
      <c r="L357" s="1337"/>
      <c r="M357" s="1337"/>
      <c r="N357" s="1339" t="s">
        <v>1984</v>
      </c>
      <c r="O357" s="1336"/>
      <c r="P357" s="1598">
        <f t="shared" si="43"/>
        <v>0</v>
      </c>
      <c r="Q357" s="1573">
        <f t="shared" si="43"/>
        <v>8.2310499999999997E-4</v>
      </c>
      <c r="R357" s="1598">
        <f t="shared" si="43"/>
        <v>0</v>
      </c>
      <c r="S357" s="1598">
        <f t="shared" si="43"/>
        <v>0</v>
      </c>
      <c r="T357" s="1598">
        <f t="shared" si="44"/>
        <v>8.2310499999999997E-4</v>
      </c>
      <c r="U357" s="1598">
        <f t="shared" si="40"/>
        <v>0</v>
      </c>
      <c r="V357" s="1598">
        <v>0</v>
      </c>
      <c r="W357" s="1598">
        <v>0</v>
      </c>
      <c r="X357" s="1598"/>
      <c r="Y357" s="1598"/>
      <c r="Z357" s="1598"/>
      <c r="AA357" s="1598"/>
      <c r="AB357" s="1598"/>
      <c r="AC357" s="1598"/>
      <c r="AD357" s="1598"/>
      <c r="AE357" s="1598"/>
      <c r="AF357" s="1598"/>
      <c r="AG357" s="1598"/>
      <c r="AH357" s="1725"/>
      <c r="AI357" s="1725"/>
      <c r="AJ357" s="1725"/>
      <c r="AK357" s="1725"/>
      <c r="AL357" s="1725"/>
      <c r="AM357" s="1725"/>
      <c r="AN357" s="1725"/>
      <c r="AO357" s="1725"/>
      <c r="AP357" s="1725"/>
      <c r="AQ357" s="1725"/>
      <c r="AR357" s="1725"/>
      <c r="AS357" s="1725">
        <f t="shared" si="45"/>
        <v>0</v>
      </c>
      <c r="AT357" s="1725"/>
      <c r="AU357" s="1624">
        <v>0</v>
      </c>
      <c r="AV357" s="1624">
        <v>0</v>
      </c>
      <c r="AW357" s="1624">
        <v>0</v>
      </c>
      <c r="AX357" s="1624">
        <v>0</v>
      </c>
      <c r="AY357" s="1624">
        <v>0</v>
      </c>
      <c r="AZ357" s="1624">
        <v>0</v>
      </c>
      <c r="BA357" s="1624">
        <v>0</v>
      </c>
      <c r="BB357" s="1593"/>
      <c r="BC357" s="1738" t="s">
        <v>2052</v>
      </c>
      <c r="BD357" s="1595"/>
      <c r="BE357" s="1598">
        <f t="shared" si="37"/>
        <v>0</v>
      </c>
      <c r="BF357" s="1739">
        <v>8.2310499999999997E-4</v>
      </c>
      <c r="BG357" s="1598">
        <f t="shared" si="38"/>
        <v>0</v>
      </c>
      <c r="BH357" s="1598">
        <f t="shared" si="38"/>
        <v>0</v>
      </c>
      <c r="BI357" s="1598">
        <f t="shared" si="38"/>
        <v>0</v>
      </c>
      <c r="BJ357" s="1598">
        <f t="shared" si="38"/>
        <v>0</v>
      </c>
      <c r="BK357" s="1598">
        <f t="shared" si="42"/>
        <v>0</v>
      </c>
      <c r="BL357" s="1598">
        <f t="shared" si="42"/>
        <v>0</v>
      </c>
      <c r="BM357" s="1598">
        <f t="shared" si="42"/>
        <v>0</v>
      </c>
      <c r="BN357" s="1598">
        <f t="shared" si="42"/>
        <v>0</v>
      </c>
      <c r="BO357" s="1598">
        <f t="shared" si="41"/>
        <v>0</v>
      </c>
      <c r="BP357" s="1598">
        <f t="shared" si="41"/>
        <v>0</v>
      </c>
      <c r="BQ357" s="1576"/>
      <c r="BR357" s="1740" t="s">
        <v>2052</v>
      </c>
      <c r="BS357" s="1581"/>
      <c r="BT357" s="1539"/>
      <c r="BU357" s="1430">
        <v>1501006843</v>
      </c>
      <c r="BV357" s="1430" t="s">
        <v>1984</v>
      </c>
    </row>
    <row r="358" spans="1:74" s="1430" customFormat="1" outlineLevel="1">
      <c r="A358" s="1499">
        <v>124</v>
      </c>
      <c r="B358" s="1539" t="s">
        <v>2114</v>
      </c>
      <c r="C358" s="1578"/>
      <c r="D358" s="1511" t="s">
        <v>934</v>
      </c>
      <c r="E358" s="1579"/>
      <c r="F358" s="1334"/>
      <c r="G358" s="1318"/>
      <c r="H358" s="1318"/>
      <c r="I358" s="1379"/>
      <c r="J358" s="1379"/>
      <c r="K358" s="1402"/>
      <c r="L358" s="1337"/>
      <c r="M358" s="1337"/>
      <c r="N358" s="1339" t="s">
        <v>1984</v>
      </c>
      <c r="O358" s="1336"/>
      <c r="P358" s="1598">
        <f t="shared" si="43"/>
        <v>0</v>
      </c>
      <c r="Q358" s="1573">
        <f t="shared" si="43"/>
        <v>9.9409977999999996E-2</v>
      </c>
      <c r="R358" s="1598">
        <f t="shared" si="43"/>
        <v>0</v>
      </c>
      <c r="S358" s="1598">
        <f t="shared" si="43"/>
        <v>0</v>
      </c>
      <c r="T358" s="1598">
        <f t="shared" si="44"/>
        <v>9.9409977999999996E-2</v>
      </c>
      <c r="U358" s="1598">
        <f t="shared" si="40"/>
        <v>0</v>
      </c>
      <c r="V358" s="1598">
        <v>0</v>
      </c>
      <c r="W358" s="1598">
        <v>0</v>
      </c>
      <c r="X358" s="1598"/>
      <c r="Y358" s="1598"/>
      <c r="Z358" s="1598"/>
      <c r="AA358" s="1598"/>
      <c r="AB358" s="1598"/>
      <c r="AC358" s="1598"/>
      <c r="AD358" s="1598"/>
      <c r="AE358" s="1598"/>
      <c r="AF358" s="1598"/>
      <c r="AG358" s="1598"/>
      <c r="AH358" s="1725"/>
      <c r="AI358" s="1725"/>
      <c r="AJ358" s="1725"/>
      <c r="AK358" s="1725"/>
      <c r="AL358" s="1725"/>
      <c r="AM358" s="1725"/>
      <c r="AN358" s="1725"/>
      <c r="AO358" s="1725"/>
      <c r="AP358" s="1725"/>
      <c r="AQ358" s="1725"/>
      <c r="AR358" s="1725"/>
      <c r="AS358" s="1725">
        <f t="shared" si="45"/>
        <v>0</v>
      </c>
      <c r="AT358" s="1725"/>
      <c r="AU358" s="1624">
        <v>0</v>
      </c>
      <c r="AV358" s="1624">
        <v>0</v>
      </c>
      <c r="AW358" s="1624">
        <v>0</v>
      </c>
      <c r="AX358" s="1624">
        <v>0</v>
      </c>
      <c r="AY358" s="1624">
        <v>0</v>
      </c>
      <c r="AZ358" s="1624">
        <v>0</v>
      </c>
      <c r="BA358" s="1624">
        <v>0</v>
      </c>
      <c r="BB358" s="1593"/>
      <c r="BC358" s="1726" t="s">
        <v>1985</v>
      </c>
      <c r="BD358" s="1595"/>
      <c r="BE358" s="1598">
        <f t="shared" si="37"/>
        <v>0</v>
      </c>
      <c r="BF358" s="1739">
        <v>9.9409977999999996E-2</v>
      </c>
      <c r="BG358" s="1598">
        <f t="shared" si="38"/>
        <v>0</v>
      </c>
      <c r="BH358" s="1598">
        <f t="shared" si="38"/>
        <v>0</v>
      </c>
      <c r="BI358" s="1598">
        <f t="shared" si="38"/>
        <v>0</v>
      </c>
      <c r="BJ358" s="1598">
        <f t="shared" si="38"/>
        <v>0</v>
      </c>
      <c r="BK358" s="1598">
        <f t="shared" si="42"/>
        <v>0</v>
      </c>
      <c r="BL358" s="1598">
        <f t="shared" si="42"/>
        <v>0</v>
      </c>
      <c r="BM358" s="1598">
        <f t="shared" si="42"/>
        <v>0</v>
      </c>
      <c r="BN358" s="1598">
        <f t="shared" si="42"/>
        <v>0</v>
      </c>
      <c r="BO358" s="1598">
        <f t="shared" si="41"/>
        <v>0</v>
      </c>
      <c r="BP358" s="1598">
        <f t="shared" si="41"/>
        <v>0</v>
      </c>
      <c r="BQ358" s="1576"/>
      <c r="BR358" s="1727" t="s">
        <v>1985</v>
      </c>
      <c r="BS358" s="1581"/>
      <c r="BT358" s="1539"/>
      <c r="BU358" s="1430">
        <v>1501006844</v>
      </c>
      <c r="BV358" s="1430" t="s">
        <v>1984</v>
      </c>
    </row>
    <row r="359" spans="1:74" s="1430" customFormat="1" outlineLevel="1">
      <c r="A359" s="1499">
        <v>125</v>
      </c>
      <c r="B359" s="1539" t="s">
        <v>2115</v>
      </c>
      <c r="C359" s="1578"/>
      <c r="D359" s="1511" t="s">
        <v>934</v>
      </c>
      <c r="E359" s="1579"/>
      <c r="F359" s="1334"/>
      <c r="G359" s="1318"/>
      <c r="H359" s="1318"/>
      <c r="I359" s="1379"/>
      <c r="J359" s="1379"/>
      <c r="K359" s="1402"/>
      <c r="L359" s="1337"/>
      <c r="M359" s="1337"/>
      <c r="N359" s="1339" t="s">
        <v>1984</v>
      </c>
      <c r="O359" s="1336"/>
      <c r="P359" s="1598">
        <f t="shared" si="43"/>
        <v>0</v>
      </c>
      <c r="Q359" s="1573">
        <f t="shared" si="43"/>
        <v>1.561633E-3</v>
      </c>
      <c r="R359" s="1598">
        <f t="shared" si="43"/>
        <v>0</v>
      </c>
      <c r="S359" s="1598">
        <f t="shared" si="43"/>
        <v>0</v>
      </c>
      <c r="T359" s="1598">
        <f t="shared" si="44"/>
        <v>1.561633E-3</v>
      </c>
      <c r="U359" s="1598">
        <f t="shared" si="40"/>
        <v>0</v>
      </c>
      <c r="V359" s="1598">
        <v>0</v>
      </c>
      <c r="W359" s="1598">
        <v>0</v>
      </c>
      <c r="X359" s="1598"/>
      <c r="Y359" s="1598"/>
      <c r="Z359" s="1598"/>
      <c r="AA359" s="1598"/>
      <c r="AB359" s="1598"/>
      <c r="AC359" s="1598"/>
      <c r="AD359" s="1598"/>
      <c r="AE359" s="1598"/>
      <c r="AF359" s="1598"/>
      <c r="AG359" s="1598"/>
      <c r="AH359" s="1725"/>
      <c r="AI359" s="1725"/>
      <c r="AJ359" s="1725"/>
      <c r="AK359" s="1725"/>
      <c r="AL359" s="1725"/>
      <c r="AM359" s="1725"/>
      <c r="AN359" s="1725"/>
      <c r="AO359" s="1725"/>
      <c r="AP359" s="1725"/>
      <c r="AQ359" s="1725"/>
      <c r="AR359" s="1725"/>
      <c r="AS359" s="1725">
        <f t="shared" si="45"/>
        <v>0</v>
      </c>
      <c r="AT359" s="1725"/>
      <c r="AU359" s="1624">
        <v>0</v>
      </c>
      <c r="AV359" s="1624">
        <v>0</v>
      </c>
      <c r="AW359" s="1624">
        <v>0</v>
      </c>
      <c r="AX359" s="1624">
        <v>0</v>
      </c>
      <c r="AY359" s="1624">
        <v>0</v>
      </c>
      <c r="AZ359" s="1624">
        <v>0</v>
      </c>
      <c r="BA359" s="1624">
        <v>0</v>
      </c>
      <c r="BB359" s="1593"/>
      <c r="BC359" s="1726" t="s">
        <v>1985</v>
      </c>
      <c r="BD359" s="1595"/>
      <c r="BE359" s="1598">
        <f t="shared" si="37"/>
        <v>0</v>
      </c>
      <c r="BF359" s="1739">
        <v>1.561633E-3</v>
      </c>
      <c r="BG359" s="1598">
        <f t="shared" si="38"/>
        <v>0</v>
      </c>
      <c r="BH359" s="1598">
        <f t="shared" si="38"/>
        <v>0</v>
      </c>
      <c r="BI359" s="1598">
        <f t="shared" si="38"/>
        <v>0</v>
      </c>
      <c r="BJ359" s="1598">
        <f t="shared" si="38"/>
        <v>0</v>
      </c>
      <c r="BK359" s="1598">
        <f t="shared" si="42"/>
        <v>0</v>
      </c>
      <c r="BL359" s="1598">
        <f t="shared" si="42"/>
        <v>0</v>
      </c>
      <c r="BM359" s="1598">
        <f t="shared" si="42"/>
        <v>0</v>
      </c>
      <c r="BN359" s="1598">
        <f t="shared" si="42"/>
        <v>0</v>
      </c>
      <c r="BO359" s="1598">
        <f t="shared" si="41"/>
        <v>0</v>
      </c>
      <c r="BP359" s="1598">
        <f t="shared" si="41"/>
        <v>0</v>
      </c>
      <c r="BQ359" s="1576"/>
      <c r="BR359" s="1727" t="s">
        <v>1985</v>
      </c>
      <c r="BS359" s="1581"/>
      <c r="BT359" s="1539"/>
      <c r="BU359" s="1430">
        <v>1501006845</v>
      </c>
      <c r="BV359" s="1430" t="s">
        <v>1984</v>
      </c>
    </row>
    <row r="360" spans="1:74" s="1430" customFormat="1" outlineLevel="1">
      <c r="A360" s="1499">
        <v>126</v>
      </c>
      <c r="B360" s="1539" t="s">
        <v>2116</v>
      </c>
      <c r="C360" s="1578"/>
      <c r="D360" s="1511" t="s">
        <v>934</v>
      </c>
      <c r="E360" s="1579"/>
      <c r="F360" s="1334"/>
      <c r="G360" s="1318"/>
      <c r="H360" s="1318"/>
      <c r="I360" s="1379"/>
      <c r="J360" s="1379"/>
      <c r="K360" s="1402"/>
      <c r="L360" s="1337"/>
      <c r="M360" s="1337"/>
      <c r="N360" s="1339" t="s">
        <v>1984</v>
      </c>
      <c r="O360" s="1336"/>
      <c r="P360" s="1598">
        <f t="shared" si="43"/>
        <v>0</v>
      </c>
      <c r="Q360" s="1573">
        <f t="shared" si="43"/>
        <v>5.0294800000000002E-3</v>
      </c>
      <c r="R360" s="1598">
        <f t="shared" si="43"/>
        <v>0</v>
      </c>
      <c r="S360" s="1598">
        <f t="shared" si="43"/>
        <v>0</v>
      </c>
      <c r="T360" s="1598">
        <f t="shared" si="44"/>
        <v>5.0294800000000002E-3</v>
      </c>
      <c r="U360" s="1598">
        <f t="shared" si="40"/>
        <v>0</v>
      </c>
      <c r="V360" s="1598">
        <v>0</v>
      </c>
      <c r="W360" s="1598">
        <v>0</v>
      </c>
      <c r="X360" s="1598"/>
      <c r="Y360" s="1598"/>
      <c r="Z360" s="1598"/>
      <c r="AA360" s="1598"/>
      <c r="AB360" s="1598"/>
      <c r="AC360" s="1598"/>
      <c r="AD360" s="1598"/>
      <c r="AE360" s="1598"/>
      <c r="AF360" s="1598"/>
      <c r="AG360" s="1598"/>
      <c r="AH360" s="1725"/>
      <c r="AI360" s="1725"/>
      <c r="AJ360" s="1725"/>
      <c r="AK360" s="1725"/>
      <c r="AL360" s="1725"/>
      <c r="AM360" s="1725"/>
      <c r="AN360" s="1725"/>
      <c r="AO360" s="1725"/>
      <c r="AP360" s="1725"/>
      <c r="AQ360" s="1725"/>
      <c r="AR360" s="1725"/>
      <c r="AS360" s="1725">
        <f t="shared" si="45"/>
        <v>0</v>
      </c>
      <c r="AT360" s="1725"/>
      <c r="AU360" s="1624">
        <v>0</v>
      </c>
      <c r="AV360" s="1624">
        <v>0</v>
      </c>
      <c r="AW360" s="1624">
        <v>0</v>
      </c>
      <c r="AX360" s="1624">
        <v>0</v>
      </c>
      <c r="AY360" s="1624">
        <v>0</v>
      </c>
      <c r="AZ360" s="1624">
        <v>0</v>
      </c>
      <c r="BA360" s="1624">
        <v>0</v>
      </c>
      <c r="BB360" s="1593"/>
      <c r="BC360" s="1738" t="s">
        <v>2052</v>
      </c>
      <c r="BD360" s="1595"/>
      <c r="BE360" s="1598">
        <f t="shared" ref="BE360:BH395" si="46">BX360</f>
        <v>0</v>
      </c>
      <c r="BF360" s="1739">
        <v>5.0294800000000002E-3</v>
      </c>
      <c r="BG360" s="1598">
        <f t="shared" ref="BG360:BM394" si="47">BZ360</f>
        <v>0</v>
      </c>
      <c r="BH360" s="1598">
        <f t="shared" si="47"/>
        <v>0</v>
      </c>
      <c r="BI360" s="1598">
        <f t="shared" si="47"/>
        <v>0</v>
      </c>
      <c r="BJ360" s="1598">
        <f t="shared" si="47"/>
        <v>0</v>
      </c>
      <c r="BK360" s="1598">
        <f t="shared" si="42"/>
        <v>0</v>
      </c>
      <c r="BL360" s="1598">
        <f t="shared" si="42"/>
        <v>0</v>
      </c>
      <c r="BM360" s="1598">
        <f t="shared" si="42"/>
        <v>0</v>
      </c>
      <c r="BN360" s="1598">
        <f t="shared" si="42"/>
        <v>0</v>
      </c>
      <c r="BO360" s="1598">
        <f t="shared" si="41"/>
        <v>0</v>
      </c>
      <c r="BP360" s="1598">
        <f t="shared" si="41"/>
        <v>0</v>
      </c>
      <c r="BQ360" s="1576"/>
      <c r="BR360" s="1740" t="s">
        <v>2052</v>
      </c>
      <c r="BS360" s="1581"/>
      <c r="BT360" s="1539"/>
      <c r="BU360" s="1430">
        <v>1501006846</v>
      </c>
      <c r="BV360" s="1430" t="s">
        <v>1984</v>
      </c>
    </row>
    <row r="361" spans="1:74" s="1430" customFormat="1" outlineLevel="1">
      <c r="A361" s="1499">
        <v>127</v>
      </c>
      <c r="B361" s="1539" t="s">
        <v>2117</v>
      </c>
      <c r="C361" s="1578"/>
      <c r="D361" s="1511" t="s">
        <v>934</v>
      </c>
      <c r="E361" s="1579"/>
      <c r="F361" s="1334"/>
      <c r="G361" s="1318"/>
      <c r="H361" s="1318"/>
      <c r="I361" s="1379"/>
      <c r="J361" s="1379"/>
      <c r="K361" s="1402"/>
      <c r="L361" s="1337"/>
      <c r="M361" s="1337"/>
      <c r="N361" s="1339" t="s">
        <v>1984</v>
      </c>
      <c r="O361" s="1336"/>
      <c r="P361" s="1598">
        <f t="shared" si="43"/>
        <v>0</v>
      </c>
      <c r="Q361" s="1573">
        <f t="shared" si="43"/>
        <v>1.5600531000000001E-2</v>
      </c>
      <c r="R361" s="1598">
        <f t="shared" si="43"/>
        <v>0</v>
      </c>
      <c r="S361" s="1598">
        <f t="shared" si="43"/>
        <v>0</v>
      </c>
      <c r="T361" s="1598">
        <f t="shared" si="44"/>
        <v>1.5600531000000001E-2</v>
      </c>
      <c r="U361" s="1598">
        <f t="shared" si="40"/>
        <v>0</v>
      </c>
      <c r="V361" s="1598">
        <v>0</v>
      </c>
      <c r="W361" s="1598">
        <v>0</v>
      </c>
      <c r="X361" s="1598"/>
      <c r="Y361" s="1598"/>
      <c r="Z361" s="1598"/>
      <c r="AA361" s="1598"/>
      <c r="AB361" s="1598"/>
      <c r="AC361" s="1598"/>
      <c r="AD361" s="1598"/>
      <c r="AE361" s="1598"/>
      <c r="AF361" s="1598"/>
      <c r="AG361" s="1598"/>
      <c r="AH361" s="1725"/>
      <c r="AI361" s="1725"/>
      <c r="AJ361" s="1725"/>
      <c r="AK361" s="1725"/>
      <c r="AL361" s="1725"/>
      <c r="AM361" s="1725"/>
      <c r="AN361" s="1725"/>
      <c r="AO361" s="1725"/>
      <c r="AP361" s="1725"/>
      <c r="AQ361" s="1725"/>
      <c r="AR361" s="1725"/>
      <c r="AS361" s="1725">
        <f t="shared" si="45"/>
        <v>0</v>
      </c>
      <c r="AT361" s="1725"/>
      <c r="AU361" s="1624">
        <v>0</v>
      </c>
      <c r="AV361" s="1624">
        <v>0</v>
      </c>
      <c r="AW361" s="1624">
        <v>0</v>
      </c>
      <c r="AX361" s="1624">
        <v>0</v>
      </c>
      <c r="AY361" s="1624">
        <v>0</v>
      </c>
      <c r="AZ361" s="1624">
        <v>0</v>
      </c>
      <c r="BA361" s="1624">
        <v>0</v>
      </c>
      <c r="BB361" s="1593"/>
      <c r="BC361" s="1738" t="s">
        <v>2052</v>
      </c>
      <c r="BD361" s="1595"/>
      <c r="BE361" s="1598">
        <f t="shared" si="46"/>
        <v>0</v>
      </c>
      <c r="BF361" s="1739">
        <v>1.5600531000000001E-2</v>
      </c>
      <c r="BG361" s="1598">
        <f t="shared" si="47"/>
        <v>0</v>
      </c>
      <c r="BH361" s="1598">
        <f t="shared" si="47"/>
        <v>0</v>
      </c>
      <c r="BI361" s="1598">
        <f t="shared" si="47"/>
        <v>0</v>
      </c>
      <c r="BJ361" s="1598">
        <f t="shared" si="47"/>
        <v>0</v>
      </c>
      <c r="BK361" s="1598">
        <f t="shared" si="42"/>
        <v>0</v>
      </c>
      <c r="BL361" s="1598">
        <f t="shared" si="42"/>
        <v>0</v>
      </c>
      <c r="BM361" s="1598">
        <f t="shared" si="42"/>
        <v>0</v>
      </c>
      <c r="BN361" s="1598">
        <f t="shared" si="42"/>
        <v>0</v>
      </c>
      <c r="BO361" s="1598">
        <f t="shared" si="41"/>
        <v>0</v>
      </c>
      <c r="BP361" s="1598">
        <f t="shared" si="41"/>
        <v>0</v>
      </c>
      <c r="BQ361" s="1576"/>
      <c r="BR361" s="1740" t="s">
        <v>2052</v>
      </c>
      <c r="BS361" s="1581"/>
      <c r="BT361" s="1539"/>
      <c r="BU361" s="1430">
        <v>1501006847</v>
      </c>
      <c r="BV361" s="1430" t="s">
        <v>1984</v>
      </c>
    </row>
    <row r="362" spans="1:74" s="1430" customFormat="1" outlineLevel="1">
      <c r="A362" s="1499">
        <v>128</v>
      </c>
      <c r="B362" s="1539" t="s">
        <v>2118</v>
      </c>
      <c r="C362" s="1578"/>
      <c r="D362" s="1511" t="s">
        <v>934</v>
      </c>
      <c r="E362" s="1579"/>
      <c r="F362" s="1334"/>
      <c r="G362" s="1318"/>
      <c r="H362" s="1318"/>
      <c r="I362" s="1379"/>
      <c r="J362" s="1379"/>
      <c r="K362" s="1402"/>
      <c r="L362" s="1337"/>
      <c r="M362" s="1337"/>
      <c r="N362" s="1339" t="s">
        <v>1984</v>
      </c>
      <c r="O362" s="1336"/>
      <c r="P362" s="1598">
        <f t="shared" si="43"/>
        <v>0</v>
      </c>
      <c r="Q362" s="1573">
        <f t="shared" si="43"/>
        <v>6.2588310000000003E-3</v>
      </c>
      <c r="R362" s="1598">
        <f t="shared" si="43"/>
        <v>0</v>
      </c>
      <c r="S362" s="1598">
        <f t="shared" si="43"/>
        <v>0</v>
      </c>
      <c r="T362" s="1598">
        <f t="shared" si="44"/>
        <v>6.2588310000000003E-3</v>
      </c>
      <c r="U362" s="1598">
        <f t="shared" si="40"/>
        <v>0</v>
      </c>
      <c r="V362" s="1598">
        <v>0</v>
      </c>
      <c r="W362" s="1598">
        <v>0</v>
      </c>
      <c r="X362" s="1598"/>
      <c r="Y362" s="1598"/>
      <c r="Z362" s="1598"/>
      <c r="AA362" s="1598"/>
      <c r="AB362" s="1598"/>
      <c r="AC362" s="1598"/>
      <c r="AD362" s="1598"/>
      <c r="AE362" s="1598"/>
      <c r="AF362" s="1598"/>
      <c r="AG362" s="1598"/>
      <c r="AH362" s="1725"/>
      <c r="AI362" s="1725"/>
      <c r="AJ362" s="1725"/>
      <c r="AK362" s="1725"/>
      <c r="AL362" s="1725"/>
      <c r="AM362" s="1725"/>
      <c r="AN362" s="1725"/>
      <c r="AO362" s="1725"/>
      <c r="AP362" s="1725"/>
      <c r="AQ362" s="1725"/>
      <c r="AR362" s="1725"/>
      <c r="AS362" s="1725">
        <f t="shared" si="45"/>
        <v>0</v>
      </c>
      <c r="AT362" s="1725"/>
      <c r="AU362" s="1624">
        <v>0</v>
      </c>
      <c r="AV362" s="1624">
        <v>0</v>
      </c>
      <c r="AW362" s="1624">
        <v>0</v>
      </c>
      <c r="AX362" s="1624">
        <v>0</v>
      </c>
      <c r="AY362" s="1624">
        <v>0</v>
      </c>
      <c r="AZ362" s="1624">
        <v>0</v>
      </c>
      <c r="BA362" s="1624">
        <v>0</v>
      </c>
      <c r="BB362" s="1593"/>
      <c r="BC362" s="1738" t="s">
        <v>2052</v>
      </c>
      <c r="BD362" s="1595"/>
      <c r="BE362" s="1598">
        <f t="shared" si="46"/>
        <v>0</v>
      </c>
      <c r="BF362" s="1739">
        <v>6.2588310000000003E-3</v>
      </c>
      <c r="BG362" s="1598">
        <f t="shared" si="47"/>
        <v>0</v>
      </c>
      <c r="BH362" s="1598">
        <f t="shared" si="47"/>
        <v>0</v>
      </c>
      <c r="BI362" s="1598">
        <f t="shared" si="47"/>
        <v>0</v>
      </c>
      <c r="BJ362" s="1598">
        <f t="shared" si="47"/>
        <v>0</v>
      </c>
      <c r="BK362" s="1598">
        <f t="shared" si="42"/>
        <v>0</v>
      </c>
      <c r="BL362" s="1598">
        <f t="shared" si="42"/>
        <v>0</v>
      </c>
      <c r="BM362" s="1598">
        <f t="shared" si="42"/>
        <v>0</v>
      </c>
      <c r="BN362" s="1598">
        <f t="shared" si="42"/>
        <v>0</v>
      </c>
      <c r="BO362" s="1598">
        <f t="shared" si="41"/>
        <v>0</v>
      </c>
      <c r="BP362" s="1598">
        <f t="shared" si="41"/>
        <v>0</v>
      </c>
      <c r="BQ362" s="1576"/>
      <c r="BR362" s="1740" t="s">
        <v>2052</v>
      </c>
      <c r="BS362" s="1581"/>
      <c r="BT362" s="1539"/>
      <c r="BU362" s="1430">
        <v>1501006848</v>
      </c>
      <c r="BV362" s="1430" t="s">
        <v>1984</v>
      </c>
    </row>
    <row r="363" spans="1:74" s="1430" customFormat="1" outlineLevel="1">
      <c r="A363" s="1499">
        <v>129</v>
      </c>
      <c r="B363" s="1539" t="s">
        <v>2119</v>
      </c>
      <c r="C363" s="1578"/>
      <c r="D363" s="1511" t="s">
        <v>934</v>
      </c>
      <c r="E363" s="1579"/>
      <c r="F363" s="1334"/>
      <c r="G363" s="1318"/>
      <c r="H363" s="1318"/>
      <c r="I363" s="1379"/>
      <c r="J363" s="1379"/>
      <c r="K363" s="1402"/>
      <c r="L363" s="1337"/>
      <c r="M363" s="1337"/>
      <c r="N363" s="1339" t="s">
        <v>1984</v>
      </c>
      <c r="O363" s="1336"/>
      <c r="P363" s="1598">
        <f t="shared" ref="P363:S378" si="48">BE363</f>
        <v>0</v>
      </c>
      <c r="Q363" s="1573">
        <f t="shared" si="48"/>
        <v>2.353651E-3</v>
      </c>
      <c r="R363" s="1598">
        <f t="shared" si="48"/>
        <v>0</v>
      </c>
      <c r="S363" s="1598">
        <f t="shared" si="48"/>
        <v>0</v>
      </c>
      <c r="T363" s="1598">
        <f t="shared" si="44"/>
        <v>2.353651E-3</v>
      </c>
      <c r="U363" s="1598">
        <f t="shared" ref="U363:U394" si="49">BI363</f>
        <v>0</v>
      </c>
      <c r="V363" s="1598">
        <v>0</v>
      </c>
      <c r="W363" s="1598">
        <v>0</v>
      </c>
      <c r="X363" s="1598"/>
      <c r="Y363" s="1598"/>
      <c r="Z363" s="1598"/>
      <c r="AA363" s="1598"/>
      <c r="AB363" s="1598"/>
      <c r="AC363" s="1598"/>
      <c r="AD363" s="1598"/>
      <c r="AE363" s="1598"/>
      <c r="AF363" s="1598"/>
      <c r="AG363" s="1598"/>
      <c r="AH363" s="1725"/>
      <c r="AI363" s="1725"/>
      <c r="AJ363" s="1725"/>
      <c r="AK363" s="1725"/>
      <c r="AL363" s="1725"/>
      <c r="AM363" s="1725"/>
      <c r="AN363" s="1725"/>
      <c r="AO363" s="1725"/>
      <c r="AP363" s="1725"/>
      <c r="AQ363" s="1725"/>
      <c r="AR363" s="1725"/>
      <c r="AS363" s="1725">
        <f t="shared" si="45"/>
        <v>0</v>
      </c>
      <c r="AT363" s="1725"/>
      <c r="AU363" s="1624">
        <v>0</v>
      </c>
      <c r="AV363" s="1624">
        <v>0</v>
      </c>
      <c r="AW363" s="1624">
        <v>0</v>
      </c>
      <c r="AX363" s="1624">
        <v>0</v>
      </c>
      <c r="AY363" s="1624">
        <v>0</v>
      </c>
      <c r="AZ363" s="1624">
        <v>0</v>
      </c>
      <c r="BA363" s="1624">
        <v>0</v>
      </c>
      <c r="BB363" s="1593"/>
      <c r="BC363" s="1726" t="s">
        <v>1985</v>
      </c>
      <c r="BD363" s="1595"/>
      <c r="BE363" s="1598">
        <f t="shared" si="46"/>
        <v>0</v>
      </c>
      <c r="BF363" s="1739">
        <v>2.353651E-3</v>
      </c>
      <c r="BG363" s="1598">
        <f t="shared" si="47"/>
        <v>0</v>
      </c>
      <c r="BH363" s="1598">
        <f t="shared" si="47"/>
        <v>0</v>
      </c>
      <c r="BI363" s="1598">
        <f t="shared" si="47"/>
        <v>0</v>
      </c>
      <c r="BJ363" s="1598">
        <f t="shared" si="47"/>
        <v>0</v>
      </c>
      <c r="BK363" s="1598">
        <f t="shared" si="42"/>
        <v>0</v>
      </c>
      <c r="BL363" s="1598">
        <f t="shared" si="42"/>
        <v>0</v>
      </c>
      <c r="BM363" s="1598">
        <f t="shared" si="42"/>
        <v>0</v>
      </c>
      <c r="BN363" s="1598">
        <f t="shared" si="42"/>
        <v>0</v>
      </c>
      <c r="BO363" s="1598">
        <f t="shared" si="41"/>
        <v>0</v>
      </c>
      <c r="BP363" s="1598">
        <f t="shared" si="41"/>
        <v>0</v>
      </c>
      <c r="BQ363" s="1576"/>
      <c r="BR363" s="1727" t="s">
        <v>1985</v>
      </c>
      <c r="BS363" s="1581"/>
      <c r="BT363" s="1539"/>
      <c r="BU363" s="1430">
        <v>1501006849</v>
      </c>
      <c r="BV363" s="1430" t="s">
        <v>1984</v>
      </c>
    </row>
    <row r="364" spans="1:74" s="1430" customFormat="1" outlineLevel="1">
      <c r="A364" s="1499">
        <v>130</v>
      </c>
      <c r="B364" s="1539" t="s">
        <v>2120</v>
      </c>
      <c r="C364" s="1578"/>
      <c r="D364" s="1511" t="s">
        <v>934</v>
      </c>
      <c r="E364" s="1579"/>
      <c r="F364" s="1334"/>
      <c r="G364" s="1318"/>
      <c r="H364" s="1318"/>
      <c r="I364" s="1379"/>
      <c r="J364" s="1379"/>
      <c r="K364" s="1402"/>
      <c r="L364" s="1337"/>
      <c r="M364" s="1337"/>
      <c r="N364" s="1339" t="s">
        <v>1984</v>
      </c>
      <c r="O364" s="1336"/>
      <c r="P364" s="1598">
        <f t="shared" si="48"/>
        <v>0</v>
      </c>
      <c r="Q364" s="1573">
        <f t="shared" si="48"/>
        <v>1.5672209999999999E-3</v>
      </c>
      <c r="R364" s="1598">
        <f t="shared" si="48"/>
        <v>0</v>
      </c>
      <c r="S364" s="1598">
        <f t="shared" si="48"/>
        <v>0</v>
      </c>
      <c r="T364" s="1598">
        <f t="shared" si="44"/>
        <v>1.5672209999999999E-3</v>
      </c>
      <c r="U364" s="1598">
        <f t="shared" si="49"/>
        <v>0</v>
      </c>
      <c r="V364" s="1598">
        <v>0</v>
      </c>
      <c r="W364" s="1598">
        <v>0</v>
      </c>
      <c r="X364" s="1598"/>
      <c r="Y364" s="1598"/>
      <c r="Z364" s="1598"/>
      <c r="AA364" s="1598"/>
      <c r="AB364" s="1598"/>
      <c r="AC364" s="1598"/>
      <c r="AD364" s="1598"/>
      <c r="AE364" s="1598"/>
      <c r="AF364" s="1598"/>
      <c r="AG364" s="1598"/>
      <c r="AH364" s="1725"/>
      <c r="AI364" s="1725"/>
      <c r="AJ364" s="1725"/>
      <c r="AK364" s="1725"/>
      <c r="AL364" s="1725"/>
      <c r="AM364" s="1725"/>
      <c r="AN364" s="1725"/>
      <c r="AO364" s="1725"/>
      <c r="AP364" s="1725"/>
      <c r="AQ364" s="1725"/>
      <c r="AR364" s="1725"/>
      <c r="AS364" s="1725">
        <f t="shared" si="45"/>
        <v>0</v>
      </c>
      <c r="AT364" s="1725"/>
      <c r="AU364" s="1624">
        <v>0</v>
      </c>
      <c r="AV364" s="1624">
        <v>0</v>
      </c>
      <c r="AW364" s="1624">
        <v>0</v>
      </c>
      <c r="AX364" s="1624">
        <v>0</v>
      </c>
      <c r="AY364" s="1624">
        <v>0</v>
      </c>
      <c r="AZ364" s="1624">
        <v>0</v>
      </c>
      <c r="BA364" s="1624">
        <v>0</v>
      </c>
      <c r="BB364" s="1593"/>
      <c r="BC364" s="1741" t="s">
        <v>2057</v>
      </c>
      <c r="BD364" s="1595"/>
      <c r="BE364" s="1598">
        <f t="shared" si="46"/>
        <v>0</v>
      </c>
      <c r="BF364" s="1739">
        <v>1.5672209999999999E-3</v>
      </c>
      <c r="BG364" s="1598">
        <f t="shared" si="47"/>
        <v>0</v>
      </c>
      <c r="BH364" s="1598">
        <f t="shared" si="47"/>
        <v>0</v>
      </c>
      <c r="BI364" s="1598">
        <f t="shared" si="47"/>
        <v>0</v>
      </c>
      <c r="BJ364" s="1598">
        <f t="shared" si="47"/>
        <v>0</v>
      </c>
      <c r="BK364" s="1598">
        <f t="shared" si="42"/>
        <v>0</v>
      </c>
      <c r="BL364" s="1598">
        <f t="shared" si="42"/>
        <v>0</v>
      </c>
      <c r="BM364" s="1598">
        <f t="shared" si="42"/>
        <v>0</v>
      </c>
      <c r="BN364" s="1598">
        <f t="shared" si="42"/>
        <v>0</v>
      </c>
      <c r="BO364" s="1598">
        <f t="shared" si="41"/>
        <v>0</v>
      </c>
      <c r="BP364" s="1598">
        <f t="shared" si="41"/>
        <v>0</v>
      </c>
      <c r="BQ364" s="1576"/>
      <c r="BR364" s="1742" t="s">
        <v>2057</v>
      </c>
      <c r="BS364" s="1581"/>
      <c r="BT364" s="1539"/>
      <c r="BU364" s="1430">
        <v>1501006850</v>
      </c>
      <c r="BV364" s="1430" t="s">
        <v>1984</v>
      </c>
    </row>
    <row r="365" spans="1:74" s="1430" customFormat="1" outlineLevel="1">
      <c r="A365" s="1499">
        <v>131</v>
      </c>
      <c r="B365" s="1539" t="s">
        <v>2121</v>
      </c>
      <c r="C365" s="1578"/>
      <c r="D365" s="1511" t="s">
        <v>934</v>
      </c>
      <c r="E365" s="1579"/>
      <c r="F365" s="1334"/>
      <c r="G365" s="1318"/>
      <c r="H365" s="1318"/>
      <c r="I365" s="1379"/>
      <c r="J365" s="1379"/>
      <c r="K365" s="1402"/>
      <c r="L365" s="1337"/>
      <c r="M365" s="1337"/>
      <c r="N365" s="1339" t="s">
        <v>1984</v>
      </c>
      <c r="O365" s="1336"/>
      <c r="P365" s="1598">
        <f t="shared" si="48"/>
        <v>0</v>
      </c>
      <c r="Q365" s="1573">
        <f t="shared" si="48"/>
        <v>1.635811E-3</v>
      </c>
      <c r="R365" s="1598">
        <f t="shared" si="48"/>
        <v>0</v>
      </c>
      <c r="S365" s="1598">
        <f t="shared" si="48"/>
        <v>0</v>
      </c>
      <c r="T365" s="1598">
        <f t="shared" si="44"/>
        <v>1.635811E-3</v>
      </c>
      <c r="U365" s="1598">
        <f t="shared" si="49"/>
        <v>0</v>
      </c>
      <c r="V365" s="1598">
        <v>0</v>
      </c>
      <c r="W365" s="1598">
        <v>0</v>
      </c>
      <c r="X365" s="1598"/>
      <c r="Y365" s="1598"/>
      <c r="Z365" s="1598"/>
      <c r="AA365" s="1598"/>
      <c r="AB365" s="1598"/>
      <c r="AC365" s="1598"/>
      <c r="AD365" s="1598"/>
      <c r="AE365" s="1598"/>
      <c r="AF365" s="1598"/>
      <c r="AG365" s="1598"/>
      <c r="AH365" s="1725"/>
      <c r="AI365" s="1725"/>
      <c r="AJ365" s="1725"/>
      <c r="AK365" s="1725"/>
      <c r="AL365" s="1725"/>
      <c r="AM365" s="1725"/>
      <c r="AN365" s="1725"/>
      <c r="AO365" s="1725"/>
      <c r="AP365" s="1725"/>
      <c r="AQ365" s="1725"/>
      <c r="AR365" s="1725"/>
      <c r="AS365" s="1725">
        <f t="shared" si="45"/>
        <v>0</v>
      </c>
      <c r="AT365" s="1725"/>
      <c r="AU365" s="1624">
        <v>0</v>
      </c>
      <c r="AV365" s="1624">
        <v>0</v>
      </c>
      <c r="AW365" s="1624">
        <v>0</v>
      </c>
      <c r="AX365" s="1624">
        <v>0</v>
      </c>
      <c r="AY365" s="1624">
        <v>0</v>
      </c>
      <c r="AZ365" s="1624">
        <v>0</v>
      </c>
      <c r="BA365" s="1624">
        <v>0</v>
      </c>
      <c r="BB365" s="1593"/>
      <c r="BC365" s="1741" t="s">
        <v>2057</v>
      </c>
      <c r="BD365" s="1595"/>
      <c r="BE365" s="1598">
        <f t="shared" si="46"/>
        <v>0</v>
      </c>
      <c r="BF365" s="1739">
        <v>1.635811E-3</v>
      </c>
      <c r="BG365" s="1598">
        <f t="shared" si="47"/>
        <v>0</v>
      </c>
      <c r="BH365" s="1598">
        <f t="shared" si="47"/>
        <v>0</v>
      </c>
      <c r="BI365" s="1598">
        <f t="shared" si="47"/>
        <v>0</v>
      </c>
      <c r="BJ365" s="1598">
        <f t="shared" si="47"/>
        <v>0</v>
      </c>
      <c r="BK365" s="1598">
        <f t="shared" si="42"/>
        <v>0</v>
      </c>
      <c r="BL365" s="1598">
        <f t="shared" si="42"/>
        <v>0</v>
      </c>
      <c r="BM365" s="1598">
        <f t="shared" si="42"/>
        <v>0</v>
      </c>
      <c r="BN365" s="1598">
        <f t="shared" si="42"/>
        <v>0</v>
      </c>
      <c r="BO365" s="1598">
        <f t="shared" si="41"/>
        <v>0</v>
      </c>
      <c r="BP365" s="1598">
        <f t="shared" si="41"/>
        <v>0</v>
      </c>
      <c r="BQ365" s="1576"/>
      <c r="BR365" s="1742" t="s">
        <v>2057</v>
      </c>
      <c r="BS365" s="1581"/>
      <c r="BT365" s="1539"/>
      <c r="BU365" s="1430">
        <v>1501006851</v>
      </c>
      <c r="BV365" s="1430" t="s">
        <v>1984</v>
      </c>
    </row>
    <row r="366" spans="1:74" s="1430" customFormat="1" outlineLevel="1">
      <c r="A366" s="1499">
        <v>132</v>
      </c>
      <c r="B366" s="1539" t="s">
        <v>2122</v>
      </c>
      <c r="C366" s="1578"/>
      <c r="D366" s="1511" t="s">
        <v>934</v>
      </c>
      <c r="E366" s="1579"/>
      <c r="F366" s="1334"/>
      <c r="G366" s="1318"/>
      <c r="H366" s="1318"/>
      <c r="I366" s="1379"/>
      <c r="J366" s="1379"/>
      <c r="K366" s="1402"/>
      <c r="L366" s="1337"/>
      <c r="M366" s="1337"/>
      <c r="N366" s="1339" t="s">
        <v>1984</v>
      </c>
      <c r="O366" s="1336"/>
      <c r="P366" s="1598">
        <f t="shared" si="48"/>
        <v>0</v>
      </c>
      <c r="Q366" s="1573">
        <f t="shared" si="48"/>
        <v>8.4731499999999996E-4</v>
      </c>
      <c r="R366" s="1598">
        <f t="shared" si="48"/>
        <v>0</v>
      </c>
      <c r="S366" s="1598">
        <f t="shared" si="48"/>
        <v>0</v>
      </c>
      <c r="T366" s="1598">
        <f t="shared" si="44"/>
        <v>8.4731499999999996E-4</v>
      </c>
      <c r="U366" s="1598">
        <f t="shared" si="49"/>
        <v>0</v>
      </c>
      <c r="V366" s="1598">
        <v>0</v>
      </c>
      <c r="W366" s="1598">
        <v>0</v>
      </c>
      <c r="X366" s="1598"/>
      <c r="Y366" s="1598"/>
      <c r="Z366" s="1598"/>
      <c r="AA366" s="1598"/>
      <c r="AB366" s="1598"/>
      <c r="AC366" s="1598"/>
      <c r="AD366" s="1598"/>
      <c r="AE366" s="1598"/>
      <c r="AF366" s="1598"/>
      <c r="AG366" s="1598"/>
      <c r="AH366" s="1725"/>
      <c r="AI366" s="1725"/>
      <c r="AJ366" s="1725"/>
      <c r="AK366" s="1725"/>
      <c r="AL366" s="1725"/>
      <c r="AM366" s="1725"/>
      <c r="AN366" s="1725"/>
      <c r="AO366" s="1725"/>
      <c r="AP366" s="1725"/>
      <c r="AQ366" s="1725"/>
      <c r="AR366" s="1725"/>
      <c r="AS366" s="1725">
        <f t="shared" si="45"/>
        <v>0</v>
      </c>
      <c r="AT366" s="1725"/>
      <c r="AU366" s="1624">
        <v>0</v>
      </c>
      <c r="AV366" s="1624">
        <v>0</v>
      </c>
      <c r="AW366" s="1624">
        <v>0</v>
      </c>
      <c r="AX366" s="1624">
        <v>0</v>
      </c>
      <c r="AY366" s="1624">
        <v>0</v>
      </c>
      <c r="AZ366" s="1624">
        <v>0</v>
      </c>
      <c r="BA366" s="1624">
        <v>0</v>
      </c>
      <c r="BB366" s="1593"/>
      <c r="BC366" s="1734" t="s">
        <v>2044</v>
      </c>
      <c r="BD366" s="1595"/>
      <c r="BE366" s="1598">
        <f t="shared" si="46"/>
        <v>0</v>
      </c>
      <c r="BF366" s="1739">
        <v>8.4731499999999996E-4</v>
      </c>
      <c r="BG366" s="1598">
        <f t="shared" si="47"/>
        <v>0</v>
      </c>
      <c r="BH366" s="1598">
        <f t="shared" si="47"/>
        <v>0</v>
      </c>
      <c r="BI366" s="1598">
        <f t="shared" si="47"/>
        <v>0</v>
      </c>
      <c r="BJ366" s="1598">
        <f t="shared" si="47"/>
        <v>0</v>
      </c>
      <c r="BK366" s="1598">
        <f t="shared" si="42"/>
        <v>0</v>
      </c>
      <c r="BL366" s="1598">
        <f t="shared" si="42"/>
        <v>0</v>
      </c>
      <c r="BM366" s="1598">
        <f t="shared" si="42"/>
        <v>0</v>
      </c>
      <c r="BN366" s="1598">
        <f t="shared" si="42"/>
        <v>0</v>
      </c>
      <c r="BO366" s="1598">
        <f t="shared" si="41"/>
        <v>0</v>
      </c>
      <c r="BP366" s="1598">
        <f t="shared" si="41"/>
        <v>0</v>
      </c>
      <c r="BQ366" s="1576"/>
      <c r="BR366" s="1735" t="s">
        <v>2044</v>
      </c>
      <c r="BS366" s="1581"/>
      <c r="BT366" s="1539"/>
      <c r="BU366" s="1430">
        <v>1501006852</v>
      </c>
      <c r="BV366" s="1430" t="s">
        <v>1984</v>
      </c>
    </row>
    <row r="367" spans="1:74" s="1430" customFormat="1" outlineLevel="1">
      <c r="A367" s="1499">
        <v>133</v>
      </c>
      <c r="B367" s="1539" t="s">
        <v>2123</v>
      </c>
      <c r="C367" s="1578"/>
      <c r="D367" s="1511" t="s">
        <v>934</v>
      </c>
      <c r="E367" s="1579"/>
      <c r="F367" s="1334"/>
      <c r="G367" s="1318"/>
      <c r="H367" s="1318"/>
      <c r="I367" s="1379"/>
      <c r="J367" s="1379"/>
      <c r="K367" s="1402"/>
      <c r="L367" s="1337"/>
      <c r="M367" s="1337"/>
      <c r="N367" s="1339" t="s">
        <v>1984</v>
      </c>
      <c r="O367" s="1336"/>
      <c r="P367" s="1598">
        <f t="shared" si="48"/>
        <v>0</v>
      </c>
      <c r="Q367" s="1573">
        <f t="shared" si="48"/>
        <v>1.1647579999999999E-3</v>
      </c>
      <c r="R367" s="1598">
        <f t="shared" si="48"/>
        <v>0</v>
      </c>
      <c r="S367" s="1598">
        <f t="shared" si="48"/>
        <v>0</v>
      </c>
      <c r="T367" s="1598">
        <f t="shared" si="44"/>
        <v>1.1647579999999999E-3</v>
      </c>
      <c r="U367" s="1598">
        <f t="shared" si="49"/>
        <v>0</v>
      </c>
      <c r="V367" s="1598">
        <v>0</v>
      </c>
      <c r="W367" s="1598">
        <v>0</v>
      </c>
      <c r="X367" s="1598"/>
      <c r="Y367" s="1598"/>
      <c r="Z367" s="1598"/>
      <c r="AA367" s="1598"/>
      <c r="AB367" s="1598"/>
      <c r="AC367" s="1598"/>
      <c r="AD367" s="1598"/>
      <c r="AE367" s="1598"/>
      <c r="AF367" s="1598"/>
      <c r="AG367" s="1598"/>
      <c r="AH367" s="1725"/>
      <c r="AI367" s="1725"/>
      <c r="AJ367" s="1725"/>
      <c r="AK367" s="1725"/>
      <c r="AL367" s="1725"/>
      <c r="AM367" s="1725"/>
      <c r="AN367" s="1725"/>
      <c r="AO367" s="1725"/>
      <c r="AP367" s="1725"/>
      <c r="AQ367" s="1725"/>
      <c r="AR367" s="1725"/>
      <c r="AS367" s="1725">
        <f t="shared" si="45"/>
        <v>0</v>
      </c>
      <c r="AT367" s="1725"/>
      <c r="AU367" s="1624">
        <v>0</v>
      </c>
      <c r="AV367" s="1624">
        <v>0</v>
      </c>
      <c r="AW367" s="1624">
        <v>0</v>
      </c>
      <c r="AX367" s="1624">
        <v>0</v>
      </c>
      <c r="AY367" s="1624">
        <v>0</v>
      </c>
      <c r="AZ367" s="1624">
        <v>0</v>
      </c>
      <c r="BA367" s="1624">
        <v>0</v>
      </c>
      <c r="BB367" s="1593"/>
      <c r="BC367" s="1738" t="s">
        <v>2052</v>
      </c>
      <c r="BD367" s="1595"/>
      <c r="BE367" s="1598">
        <f t="shared" si="46"/>
        <v>0</v>
      </c>
      <c r="BF367" s="1739">
        <v>1.1647579999999999E-3</v>
      </c>
      <c r="BG367" s="1598">
        <f t="shared" si="47"/>
        <v>0</v>
      </c>
      <c r="BH367" s="1598">
        <f t="shared" si="47"/>
        <v>0</v>
      </c>
      <c r="BI367" s="1598">
        <f t="shared" si="47"/>
        <v>0</v>
      </c>
      <c r="BJ367" s="1598">
        <f t="shared" si="47"/>
        <v>0</v>
      </c>
      <c r="BK367" s="1598">
        <f t="shared" si="42"/>
        <v>0</v>
      </c>
      <c r="BL367" s="1598">
        <f t="shared" si="42"/>
        <v>0</v>
      </c>
      <c r="BM367" s="1598">
        <f t="shared" si="42"/>
        <v>0</v>
      </c>
      <c r="BN367" s="1598">
        <f t="shared" si="42"/>
        <v>0</v>
      </c>
      <c r="BO367" s="1598">
        <f t="shared" si="41"/>
        <v>0</v>
      </c>
      <c r="BP367" s="1598">
        <f t="shared" si="41"/>
        <v>0</v>
      </c>
      <c r="BQ367" s="1576"/>
      <c r="BR367" s="1740" t="s">
        <v>2052</v>
      </c>
      <c r="BS367" s="1581"/>
      <c r="BT367" s="1539"/>
      <c r="BU367" s="1430">
        <v>1501006853</v>
      </c>
      <c r="BV367" s="1430" t="s">
        <v>1984</v>
      </c>
    </row>
    <row r="368" spans="1:74" s="1430" customFormat="1" outlineLevel="1">
      <c r="A368" s="1499">
        <v>134</v>
      </c>
      <c r="B368" s="1539" t="s">
        <v>2124</v>
      </c>
      <c r="C368" s="1578"/>
      <c r="D368" s="1511" t="s">
        <v>934</v>
      </c>
      <c r="E368" s="1579"/>
      <c r="F368" s="1334"/>
      <c r="G368" s="1318"/>
      <c r="H368" s="1318"/>
      <c r="I368" s="1379"/>
      <c r="J368" s="1379"/>
      <c r="K368" s="1402"/>
      <c r="L368" s="1337"/>
      <c r="M368" s="1337"/>
      <c r="N368" s="1339" t="s">
        <v>1984</v>
      </c>
      <c r="O368" s="1336"/>
      <c r="P368" s="1598">
        <f t="shared" si="48"/>
        <v>0</v>
      </c>
      <c r="Q368" s="1573">
        <f t="shared" si="48"/>
        <v>1.90058E-3</v>
      </c>
      <c r="R368" s="1598">
        <f t="shared" si="48"/>
        <v>0</v>
      </c>
      <c r="S368" s="1598">
        <f t="shared" si="48"/>
        <v>0</v>
      </c>
      <c r="T368" s="1598">
        <f t="shared" si="44"/>
        <v>1.90058E-3</v>
      </c>
      <c r="U368" s="1598">
        <f t="shared" si="49"/>
        <v>0</v>
      </c>
      <c r="V368" s="1598">
        <v>0</v>
      </c>
      <c r="W368" s="1598">
        <v>0</v>
      </c>
      <c r="X368" s="1598"/>
      <c r="Y368" s="1598"/>
      <c r="Z368" s="1598"/>
      <c r="AA368" s="1598"/>
      <c r="AB368" s="1598"/>
      <c r="AC368" s="1598"/>
      <c r="AD368" s="1598"/>
      <c r="AE368" s="1598"/>
      <c r="AF368" s="1598"/>
      <c r="AG368" s="1598"/>
      <c r="AH368" s="1725"/>
      <c r="AI368" s="1725"/>
      <c r="AJ368" s="1725"/>
      <c r="AK368" s="1725"/>
      <c r="AL368" s="1725"/>
      <c r="AM368" s="1725"/>
      <c r="AN368" s="1725"/>
      <c r="AO368" s="1725"/>
      <c r="AP368" s="1725"/>
      <c r="AQ368" s="1725"/>
      <c r="AR368" s="1725"/>
      <c r="AS368" s="1725">
        <f t="shared" si="45"/>
        <v>0</v>
      </c>
      <c r="AT368" s="1725"/>
      <c r="AU368" s="1624">
        <v>0</v>
      </c>
      <c r="AV368" s="1624">
        <v>0</v>
      </c>
      <c r="AW368" s="1624">
        <v>0</v>
      </c>
      <c r="AX368" s="1624">
        <v>0</v>
      </c>
      <c r="AY368" s="1624">
        <v>0</v>
      </c>
      <c r="AZ368" s="1624">
        <v>0</v>
      </c>
      <c r="BA368" s="1624">
        <v>0</v>
      </c>
      <c r="BB368" s="1593"/>
      <c r="BC368" s="1736" t="s">
        <v>1997</v>
      </c>
      <c r="BD368" s="1595"/>
      <c r="BE368" s="1598">
        <f t="shared" si="46"/>
        <v>0</v>
      </c>
      <c r="BF368" s="1739">
        <v>1.90058E-3</v>
      </c>
      <c r="BG368" s="1598">
        <f t="shared" si="47"/>
        <v>0</v>
      </c>
      <c r="BH368" s="1598">
        <f t="shared" si="47"/>
        <v>0</v>
      </c>
      <c r="BI368" s="1598">
        <f t="shared" si="47"/>
        <v>0</v>
      </c>
      <c r="BJ368" s="1598">
        <f t="shared" si="47"/>
        <v>0</v>
      </c>
      <c r="BK368" s="1598">
        <f t="shared" si="42"/>
        <v>0</v>
      </c>
      <c r="BL368" s="1598">
        <f t="shared" si="42"/>
        <v>0</v>
      </c>
      <c r="BM368" s="1598">
        <f t="shared" si="42"/>
        <v>0</v>
      </c>
      <c r="BN368" s="1598">
        <f t="shared" si="42"/>
        <v>0</v>
      </c>
      <c r="BO368" s="1598">
        <f t="shared" si="41"/>
        <v>0</v>
      </c>
      <c r="BP368" s="1598">
        <f t="shared" si="41"/>
        <v>0</v>
      </c>
      <c r="BQ368" s="1576"/>
      <c r="BR368" s="1737" t="s">
        <v>1997</v>
      </c>
      <c r="BS368" s="1581"/>
      <c r="BT368" s="1539"/>
      <c r="BU368" s="1430">
        <v>1501006854</v>
      </c>
      <c r="BV368" s="1430" t="s">
        <v>1984</v>
      </c>
    </row>
    <row r="369" spans="1:74" s="1430" customFormat="1" outlineLevel="1">
      <c r="A369" s="1499">
        <v>135</v>
      </c>
      <c r="B369" s="1539" t="s">
        <v>2125</v>
      </c>
      <c r="C369" s="1578"/>
      <c r="D369" s="1511" t="s">
        <v>934</v>
      </c>
      <c r="E369" s="1579"/>
      <c r="F369" s="1334"/>
      <c r="G369" s="1318"/>
      <c r="H369" s="1318"/>
      <c r="I369" s="1379"/>
      <c r="J369" s="1379"/>
      <c r="K369" s="1402"/>
      <c r="L369" s="1337"/>
      <c r="M369" s="1337"/>
      <c r="N369" s="1339" t="s">
        <v>1984</v>
      </c>
      <c r="O369" s="1336"/>
      <c r="P369" s="1598">
        <f t="shared" si="48"/>
        <v>0</v>
      </c>
      <c r="Q369" s="1573">
        <f t="shared" si="48"/>
        <v>2.6575694E-2</v>
      </c>
      <c r="R369" s="1598">
        <f t="shared" si="48"/>
        <v>0</v>
      </c>
      <c r="S369" s="1598">
        <f t="shared" si="48"/>
        <v>0</v>
      </c>
      <c r="T369" s="1598">
        <f t="shared" si="44"/>
        <v>2.6575694E-2</v>
      </c>
      <c r="U369" s="1598">
        <f t="shared" si="49"/>
        <v>0</v>
      </c>
      <c r="V369" s="1598">
        <v>0</v>
      </c>
      <c r="W369" s="1598">
        <v>0</v>
      </c>
      <c r="X369" s="1598"/>
      <c r="Y369" s="1598"/>
      <c r="Z369" s="1598"/>
      <c r="AA369" s="1598"/>
      <c r="AB369" s="1598"/>
      <c r="AC369" s="1598"/>
      <c r="AD369" s="1598"/>
      <c r="AE369" s="1598"/>
      <c r="AF369" s="1598"/>
      <c r="AG369" s="1598"/>
      <c r="AH369" s="1725"/>
      <c r="AI369" s="1725"/>
      <c r="AJ369" s="1725"/>
      <c r="AK369" s="1725"/>
      <c r="AL369" s="1725"/>
      <c r="AM369" s="1725"/>
      <c r="AN369" s="1725"/>
      <c r="AO369" s="1725"/>
      <c r="AP369" s="1725"/>
      <c r="AQ369" s="1725"/>
      <c r="AR369" s="1725"/>
      <c r="AS369" s="1725">
        <f t="shared" si="45"/>
        <v>0</v>
      </c>
      <c r="AT369" s="1725"/>
      <c r="AU369" s="1624">
        <v>0</v>
      </c>
      <c r="AV369" s="1624">
        <v>0</v>
      </c>
      <c r="AW369" s="1624">
        <v>0</v>
      </c>
      <c r="AX369" s="1624">
        <v>0</v>
      </c>
      <c r="AY369" s="1624">
        <v>0</v>
      </c>
      <c r="AZ369" s="1624">
        <v>0</v>
      </c>
      <c r="BA369" s="1624">
        <v>0</v>
      </c>
      <c r="BB369" s="1593"/>
      <c r="BC369" s="1738" t="s">
        <v>2052</v>
      </c>
      <c r="BD369" s="1595"/>
      <c r="BE369" s="1598">
        <f t="shared" si="46"/>
        <v>0</v>
      </c>
      <c r="BF369" s="1739">
        <v>2.6575694E-2</v>
      </c>
      <c r="BG369" s="1598">
        <f t="shared" si="47"/>
        <v>0</v>
      </c>
      <c r="BH369" s="1598">
        <f t="shared" si="47"/>
        <v>0</v>
      </c>
      <c r="BI369" s="1598">
        <f t="shared" si="47"/>
        <v>0</v>
      </c>
      <c r="BJ369" s="1598">
        <f t="shared" si="47"/>
        <v>0</v>
      </c>
      <c r="BK369" s="1598">
        <f t="shared" si="42"/>
        <v>0</v>
      </c>
      <c r="BL369" s="1598">
        <f t="shared" si="42"/>
        <v>0</v>
      </c>
      <c r="BM369" s="1598">
        <f t="shared" si="42"/>
        <v>0</v>
      </c>
      <c r="BN369" s="1598">
        <f t="shared" si="42"/>
        <v>0</v>
      </c>
      <c r="BO369" s="1598">
        <f t="shared" si="42"/>
        <v>0</v>
      </c>
      <c r="BP369" s="1598">
        <f t="shared" si="42"/>
        <v>0</v>
      </c>
      <c r="BQ369" s="1576"/>
      <c r="BR369" s="1740" t="s">
        <v>2052</v>
      </c>
      <c r="BS369" s="1581"/>
      <c r="BT369" s="1539"/>
      <c r="BU369" s="1430">
        <v>1501006855</v>
      </c>
      <c r="BV369" s="1430" t="s">
        <v>1984</v>
      </c>
    </row>
    <row r="370" spans="1:74" s="1430" customFormat="1" outlineLevel="1">
      <c r="A370" s="1499">
        <v>136</v>
      </c>
      <c r="B370" s="1539" t="s">
        <v>2126</v>
      </c>
      <c r="C370" s="1578"/>
      <c r="D370" s="1511" t="s">
        <v>934</v>
      </c>
      <c r="E370" s="1579"/>
      <c r="F370" s="1334"/>
      <c r="G370" s="1318"/>
      <c r="H370" s="1318"/>
      <c r="I370" s="1379"/>
      <c r="J370" s="1379"/>
      <c r="K370" s="1402"/>
      <c r="L370" s="1337"/>
      <c r="M370" s="1337"/>
      <c r="N370" s="1339" t="s">
        <v>1984</v>
      </c>
      <c r="O370" s="1336"/>
      <c r="P370" s="1598">
        <f t="shared" si="48"/>
        <v>0</v>
      </c>
      <c r="Q370" s="1573">
        <f t="shared" si="48"/>
        <v>0.138637134</v>
      </c>
      <c r="R370" s="1598">
        <f t="shared" si="48"/>
        <v>0</v>
      </c>
      <c r="S370" s="1598">
        <f t="shared" si="48"/>
        <v>0</v>
      </c>
      <c r="T370" s="1598">
        <f t="shared" si="44"/>
        <v>0.138637134</v>
      </c>
      <c r="U370" s="1598">
        <f t="shared" si="49"/>
        <v>0</v>
      </c>
      <c r="V370" s="1598">
        <v>0</v>
      </c>
      <c r="W370" s="1598">
        <v>0</v>
      </c>
      <c r="X370" s="1598"/>
      <c r="Y370" s="1598"/>
      <c r="Z370" s="1598"/>
      <c r="AA370" s="1598"/>
      <c r="AB370" s="1598"/>
      <c r="AC370" s="1598"/>
      <c r="AD370" s="1598"/>
      <c r="AE370" s="1598"/>
      <c r="AF370" s="1598"/>
      <c r="AG370" s="1598"/>
      <c r="AH370" s="1725"/>
      <c r="AI370" s="1725"/>
      <c r="AJ370" s="1725"/>
      <c r="AK370" s="1725"/>
      <c r="AL370" s="1725"/>
      <c r="AM370" s="1725"/>
      <c r="AN370" s="1725"/>
      <c r="AO370" s="1725"/>
      <c r="AP370" s="1725"/>
      <c r="AQ370" s="1725"/>
      <c r="AR370" s="1725"/>
      <c r="AS370" s="1725">
        <f t="shared" si="45"/>
        <v>0</v>
      </c>
      <c r="AT370" s="1725"/>
      <c r="AU370" s="1624">
        <v>0</v>
      </c>
      <c r="AV370" s="1624">
        <v>0</v>
      </c>
      <c r="AW370" s="1624">
        <v>0</v>
      </c>
      <c r="AX370" s="1624">
        <v>0</v>
      </c>
      <c r="AY370" s="1624">
        <v>0</v>
      </c>
      <c r="AZ370" s="1624">
        <v>0</v>
      </c>
      <c r="BA370" s="1624">
        <v>0</v>
      </c>
      <c r="BB370" s="1593"/>
      <c r="BC370" s="1738" t="s">
        <v>2052</v>
      </c>
      <c r="BD370" s="1595"/>
      <c r="BE370" s="1598">
        <f t="shared" si="46"/>
        <v>0</v>
      </c>
      <c r="BF370" s="1739">
        <v>0.138637134</v>
      </c>
      <c r="BG370" s="1598">
        <f t="shared" si="47"/>
        <v>0</v>
      </c>
      <c r="BH370" s="1598">
        <f t="shared" si="47"/>
        <v>0</v>
      </c>
      <c r="BI370" s="1598">
        <f t="shared" si="47"/>
        <v>0</v>
      </c>
      <c r="BJ370" s="1598">
        <f t="shared" si="47"/>
        <v>0</v>
      </c>
      <c r="BK370" s="1598">
        <f t="shared" si="42"/>
        <v>0</v>
      </c>
      <c r="BL370" s="1598">
        <f t="shared" si="42"/>
        <v>0</v>
      </c>
      <c r="BM370" s="1598">
        <f t="shared" si="42"/>
        <v>0</v>
      </c>
      <c r="BN370" s="1598">
        <f t="shared" si="42"/>
        <v>0</v>
      </c>
      <c r="BO370" s="1598">
        <f t="shared" si="42"/>
        <v>0</v>
      </c>
      <c r="BP370" s="1598">
        <f t="shared" si="42"/>
        <v>0</v>
      </c>
      <c r="BQ370" s="1576"/>
      <c r="BR370" s="1740" t="s">
        <v>2052</v>
      </c>
      <c r="BS370" s="1581"/>
      <c r="BT370" s="1539"/>
      <c r="BU370" s="1430">
        <v>1501006856</v>
      </c>
      <c r="BV370" s="1430" t="s">
        <v>1984</v>
      </c>
    </row>
    <row r="371" spans="1:74" s="1430" customFormat="1" outlineLevel="1">
      <c r="A371" s="1499">
        <v>137</v>
      </c>
      <c r="B371" s="1539" t="s">
        <v>2127</v>
      </c>
      <c r="C371" s="1578"/>
      <c r="D371" s="1511" t="s">
        <v>934</v>
      </c>
      <c r="E371" s="1579"/>
      <c r="F371" s="1334"/>
      <c r="G371" s="1318"/>
      <c r="H371" s="1318"/>
      <c r="I371" s="1379"/>
      <c r="J371" s="1379"/>
      <c r="K371" s="1402"/>
      <c r="L371" s="1337"/>
      <c r="M371" s="1337"/>
      <c r="N371" s="1339" t="s">
        <v>1984</v>
      </c>
      <c r="O371" s="1336"/>
      <c r="P371" s="1598">
        <f t="shared" si="48"/>
        <v>0</v>
      </c>
      <c r="Q371" s="1573">
        <f t="shared" si="48"/>
        <v>1.2702985999999999E-2</v>
      </c>
      <c r="R371" s="1598">
        <f t="shared" si="48"/>
        <v>0</v>
      </c>
      <c r="S371" s="1598">
        <f t="shared" si="48"/>
        <v>0</v>
      </c>
      <c r="T371" s="1598">
        <f t="shared" si="44"/>
        <v>1.2702985999999999E-2</v>
      </c>
      <c r="U371" s="1598">
        <f t="shared" si="49"/>
        <v>0</v>
      </c>
      <c r="V371" s="1598">
        <v>0</v>
      </c>
      <c r="W371" s="1598">
        <v>0</v>
      </c>
      <c r="X371" s="1598"/>
      <c r="Y371" s="1598"/>
      <c r="Z371" s="1598"/>
      <c r="AA371" s="1598"/>
      <c r="AB371" s="1598"/>
      <c r="AC371" s="1598"/>
      <c r="AD371" s="1598"/>
      <c r="AE371" s="1598"/>
      <c r="AF371" s="1598"/>
      <c r="AG371" s="1598"/>
      <c r="AH371" s="1725"/>
      <c r="AI371" s="1725"/>
      <c r="AJ371" s="1725"/>
      <c r="AK371" s="1725"/>
      <c r="AL371" s="1725"/>
      <c r="AM371" s="1725"/>
      <c r="AN371" s="1725"/>
      <c r="AO371" s="1725"/>
      <c r="AP371" s="1725"/>
      <c r="AQ371" s="1725"/>
      <c r="AR371" s="1725"/>
      <c r="AS371" s="1725">
        <f t="shared" si="45"/>
        <v>0</v>
      </c>
      <c r="AT371" s="1725"/>
      <c r="AU371" s="1624">
        <v>0</v>
      </c>
      <c r="AV371" s="1624">
        <v>0</v>
      </c>
      <c r="AW371" s="1624">
        <v>0</v>
      </c>
      <c r="AX371" s="1624">
        <v>0</v>
      </c>
      <c r="AY371" s="1624">
        <v>0</v>
      </c>
      <c r="AZ371" s="1624">
        <v>0</v>
      </c>
      <c r="BA371" s="1624">
        <v>0</v>
      </c>
      <c r="BB371" s="1593"/>
      <c r="BC371" s="1738" t="s">
        <v>2052</v>
      </c>
      <c r="BD371" s="1595"/>
      <c r="BE371" s="1598">
        <f t="shared" si="46"/>
        <v>0</v>
      </c>
      <c r="BF371" s="1739">
        <v>1.2702985999999999E-2</v>
      </c>
      <c r="BG371" s="1598">
        <f t="shared" si="47"/>
        <v>0</v>
      </c>
      <c r="BH371" s="1598">
        <f t="shared" si="47"/>
        <v>0</v>
      </c>
      <c r="BI371" s="1598">
        <f t="shared" si="47"/>
        <v>0</v>
      </c>
      <c r="BJ371" s="1598">
        <f t="shared" si="47"/>
        <v>0</v>
      </c>
      <c r="BK371" s="1598">
        <f t="shared" si="42"/>
        <v>0</v>
      </c>
      <c r="BL371" s="1598">
        <f t="shared" si="42"/>
        <v>0</v>
      </c>
      <c r="BM371" s="1598">
        <f t="shared" si="42"/>
        <v>0</v>
      </c>
      <c r="BN371" s="1598">
        <f t="shared" si="42"/>
        <v>0</v>
      </c>
      <c r="BO371" s="1598">
        <f t="shared" si="42"/>
        <v>0</v>
      </c>
      <c r="BP371" s="1598">
        <f t="shared" si="42"/>
        <v>0</v>
      </c>
      <c r="BQ371" s="1576"/>
      <c r="BR371" s="1740" t="s">
        <v>2052</v>
      </c>
      <c r="BS371" s="1581"/>
      <c r="BT371" s="1539"/>
      <c r="BU371" s="1430">
        <v>1501006857</v>
      </c>
      <c r="BV371" s="1430" t="s">
        <v>1984</v>
      </c>
    </row>
    <row r="372" spans="1:74" s="1430" customFormat="1" outlineLevel="1">
      <c r="A372" s="1499">
        <v>138</v>
      </c>
      <c r="B372" s="1539" t="s">
        <v>2128</v>
      </c>
      <c r="C372" s="1578"/>
      <c r="D372" s="1511" t="s">
        <v>934</v>
      </c>
      <c r="E372" s="1579"/>
      <c r="F372" s="1334"/>
      <c r="G372" s="1318"/>
      <c r="H372" s="1318"/>
      <c r="I372" s="1379"/>
      <c r="J372" s="1379"/>
      <c r="K372" s="1402"/>
      <c r="L372" s="1337"/>
      <c r="M372" s="1337"/>
      <c r="N372" s="1339" t="s">
        <v>1984</v>
      </c>
      <c r="O372" s="1336"/>
      <c r="P372" s="1598">
        <f t="shared" si="48"/>
        <v>0</v>
      </c>
      <c r="Q372" s="1573">
        <f t="shared" si="48"/>
        <v>3.2544958999999998E-2</v>
      </c>
      <c r="R372" s="1598">
        <f t="shared" si="48"/>
        <v>0</v>
      </c>
      <c r="S372" s="1598">
        <f t="shared" si="48"/>
        <v>0</v>
      </c>
      <c r="T372" s="1598">
        <f t="shared" si="44"/>
        <v>3.2544958999999998E-2</v>
      </c>
      <c r="U372" s="1598">
        <f t="shared" si="49"/>
        <v>0</v>
      </c>
      <c r="V372" s="1598">
        <v>0</v>
      </c>
      <c r="W372" s="1598">
        <v>0</v>
      </c>
      <c r="X372" s="1598"/>
      <c r="Y372" s="1598"/>
      <c r="Z372" s="1598"/>
      <c r="AA372" s="1598"/>
      <c r="AB372" s="1598"/>
      <c r="AC372" s="1598"/>
      <c r="AD372" s="1598"/>
      <c r="AE372" s="1598"/>
      <c r="AF372" s="1598"/>
      <c r="AG372" s="1598"/>
      <c r="AH372" s="1725"/>
      <c r="AI372" s="1725"/>
      <c r="AJ372" s="1725"/>
      <c r="AK372" s="1725"/>
      <c r="AL372" s="1725"/>
      <c r="AM372" s="1725"/>
      <c r="AN372" s="1725"/>
      <c r="AO372" s="1725"/>
      <c r="AP372" s="1725"/>
      <c r="AQ372" s="1725"/>
      <c r="AR372" s="1725"/>
      <c r="AS372" s="1725">
        <f t="shared" si="45"/>
        <v>0</v>
      </c>
      <c r="AT372" s="1725"/>
      <c r="AU372" s="1624">
        <v>0</v>
      </c>
      <c r="AV372" s="1624">
        <v>0</v>
      </c>
      <c r="AW372" s="1624">
        <v>0</v>
      </c>
      <c r="AX372" s="1624">
        <v>0</v>
      </c>
      <c r="AY372" s="1624">
        <v>0</v>
      </c>
      <c r="AZ372" s="1624">
        <v>0</v>
      </c>
      <c r="BA372" s="1624">
        <v>0</v>
      </c>
      <c r="BB372" s="1593"/>
      <c r="BC372" s="1738" t="s">
        <v>2052</v>
      </c>
      <c r="BD372" s="1595"/>
      <c r="BE372" s="1598">
        <f t="shared" si="46"/>
        <v>0</v>
      </c>
      <c r="BF372" s="1739">
        <v>3.2544958999999998E-2</v>
      </c>
      <c r="BG372" s="1598">
        <f t="shared" si="47"/>
        <v>0</v>
      </c>
      <c r="BH372" s="1598">
        <f t="shared" si="47"/>
        <v>0</v>
      </c>
      <c r="BI372" s="1598">
        <f t="shared" si="47"/>
        <v>0</v>
      </c>
      <c r="BJ372" s="1598">
        <f t="shared" si="47"/>
        <v>0</v>
      </c>
      <c r="BK372" s="1598">
        <f t="shared" si="42"/>
        <v>0</v>
      </c>
      <c r="BL372" s="1598">
        <f t="shared" si="42"/>
        <v>0</v>
      </c>
      <c r="BM372" s="1598">
        <f t="shared" si="42"/>
        <v>0</v>
      </c>
      <c r="BN372" s="1598">
        <f t="shared" si="42"/>
        <v>0</v>
      </c>
      <c r="BO372" s="1598">
        <f t="shared" si="42"/>
        <v>0</v>
      </c>
      <c r="BP372" s="1598">
        <f t="shared" si="42"/>
        <v>0</v>
      </c>
      <c r="BQ372" s="1576"/>
      <c r="BR372" s="1740" t="s">
        <v>2052</v>
      </c>
      <c r="BS372" s="1581"/>
      <c r="BT372" s="1539"/>
      <c r="BU372" s="1430">
        <v>1501006858</v>
      </c>
      <c r="BV372" s="1430" t="s">
        <v>1984</v>
      </c>
    </row>
    <row r="373" spans="1:74" s="1430" customFormat="1" outlineLevel="1">
      <c r="A373" s="1499">
        <v>139</v>
      </c>
      <c r="B373" s="1539" t="s">
        <v>2129</v>
      </c>
      <c r="C373" s="1578"/>
      <c r="D373" s="1511" t="s">
        <v>934</v>
      </c>
      <c r="E373" s="1579"/>
      <c r="F373" s="1334"/>
      <c r="G373" s="1318"/>
      <c r="H373" s="1318"/>
      <c r="I373" s="1379"/>
      <c r="J373" s="1379"/>
      <c r="K373" s="1402"/>
      <c r="L373" s="1337"/>
      <c r="M373" s="1337"/>
      <c r="N373" s="1339" t="s">
        <v>1984</v>
      </c>
      <c r="O373" s="1336"/>
      <c r="P373" s="1598">
        <f t="shared" si="48"/>
        <v>0</v>
      </c>
      <c r="Q373" s="1573">
        <f t="shared" si="48"/>
        <v>2.9272968E-2</v>
      </c>
      <c r="R373" s="1598">
        <f t="shared" si="48"/>
        <v>0</v>
      </c>
      <c r="S373" s="1598">
        <f t="shared" si="48"/>
        <v>0</v>
      </c>
      <c r="T373" s="1598">
        <f t="shared" si="44"/>
        <v>2.9272968E-2</v>
      </c>
      <c r="U373" s="1598">
        <f t="shared" si="49"/>
        <v>0</v>
      </c>
      <c r="V373" s="1598">
        <v>0</v>
      </c>
      <c r="W373" s="1598">
        <v>0</v>
      </c>
      <c r="X373" s="1598"/>
      <c r="Y373" s="1598"/>
      <c r="Z373" s="1598"/>
      <c r="AA373" s="1598"/>
      <c r="AB373" s="1598"/>
      <c r="AC373" s="1598"/>
      <c r="AD373" s="1598"/>
      <c r="AE373" s="1598"/>
      <c r="AF373" s="1598"/>
      <c r="AG373" s="1598"/>
      <c r="AH373" s="1725"/>
      <c r="AI373" s="1725"/>
      <c r="AJ373" s="1725"/>
      <c r="AK373" s="1725"/>
      <c r="AL373" s="1725"/>
      <c r="AM373" s="1725"/>
      <c r="AN373" s="1725"/>
      <c r="AO373" s="1725"/>
      <c r="AP373" s="1725"/>
      <c r="AQ373" s="1725"/>
      <c r="AR373" s="1725"/>
      <c r="AS373" s="1725">
        <f t="shared" si="45"/>
        <v>0</v>
      </c>
      <c r="AT373" s="1725"/>
      <c r="AU373" s="1624">
        <v>0</v>
      </c>
      <c r="AV373" s="1624">
        <v>0</v>
      </c>
      <c r="AW373" s="1624">
        <v>0</v>
      </c>
      <c r="AX373" s="1624">
        <v>0</v>
      </c>
      <c r="AY373" s="1624">
        <v>0</v>
      </c>
      <c r="AZ373" s="1624">
        <v>0</v>
      </c>
      <c r="BA373" s="1624">
        <v>0</v>
      </c>
      <c r="BB373" s="1593"/>
      <c r="BC373" s="1738" t="s">
        <v>2052</v>
      </c>
      <c r="BD373" s="1595"/>
      <c r="BE373" s="1598">
        <f t="shared" si="46"/>
        <v>0</v>
      </c>
      <c r="BF373" s="1739">
        <v>2.9272968E-2</v>
      </c>
      <c r="BG373" s="1598">
        <f t="shared" si="47"/>
        <v>0</v>
      </c>
      <c r="BH373" s="1598">
        <f t="shared" si="47"/>
        <v>0</v>
      </c>
      <c r="BI373" s="1598">
        <f t="shared" si="47"/>
        <v>0</v>
      </c>
      <c r="BJ373" s="1598">
        <f t="shared" si="47"/>
        <v>0</v>
      </c>
      <c r="BK373" s="1598">
        <f t="shared" si="42"/>
        <v>0</v>
      </c>
      <c r="BL373" s="1598">
        <f t="shared" si="42"/>
        <v>0</v>
      </c>
      <c r="BM373" s="1598">
        <f t="shared" si="42"/>
        <v>0</v>
      </c>
      <c r="BN373" s="1598">
        <f t="shared" si="42"/>
        <v>0</v>
      </c>
      <c r="BO373" s="1598">
        <f t="shared" si="42"/>
        <v>0</v>
      </c>
      <c r="BP373" s="1598">
        <f t="shared" si="42"/>
        <v>0</v>
      </c>
      <c r="BQ373" s="1576"/>
      <c r="BR373" s="1740" t="s">
        <v>2052</v>
      </c>
      <c r="BS373" s="1581"/>
      <c r="BT373" s="1539"/>
      <c r="BU373" s="1430">
        <v>1501006859</v>
      </c>
      <c r="BV373" s="1430" t="s">
        <v>1984</v>
      </c>
    </row>
    <row r="374" spans="1:74" s="1430" customFormat="1" outlineLevel="1">
      <c r="A374" s="1499">
        <v>140</v>
      </c>
      <c r="B374" s="1539" t="s">
        <v>2130</v>
      </c>
      <c r="C374" s="1578"/>
      <c r="D374" s="1511" t="s">
        <v>934</v>
      </c>
      <c r="E374" s="1579"/>
      <c r="F374" s="1334"/>
      <c r="G374" s="1318"/>
      <c r="H374" s="1318"/>
      <c r="I374" s="1379"/>
      <c r="J374" s="1379"/>
      <c r="K374" s="1402"/>
      <c r="L374" s="1337"/>
      <c r="M374" s="1337"/>
      <c r="N374" s="1339" t="s">
        <v>1984</v>
      </c>
      <c r="O374" s="1336"/>
      <c r="P374" s="1598">
        <f t="shared" si="48"/>
        <v>0</v>
      </c>
      <c r="Q374" s="1573">
        <f t="shared" si="48"/>
        <v>2.7579689999999999E-3</v>
      </c>
      <c r="R374" s="1598">
        <f t="shared" si="48"/>
        <v>0</v>
      </c>
      <c r="S374" s="1598">
        <f t="shared" si="48"/>
        <v>0</v>
      </c>
      <c r="T374" s="1598">
        <f t="shared" si="44"/>
        <v>2.7579689999999999E-3</v>
      </c>
      <c r="U374" s="1598">
        <f t="shared" si="49"/>
        <v>0</v>
      </c>
      <c r="V374" s="1598">
        <v>0</v>
      </c>
      <c r="W374" s="1598">
        <v>0</v>
      </c>
      <c r="X374" s="1598"/>
      <c r="Y374" s="1598"/>
      <c r="Z374" s="1598"/>
      <c r="AA374" s="1598"/>
      <c r="AB374" s="1598"/>
      <c r="AC374" s="1598"/>
      <c r="AD374" s="1598"/>
      <c r="AE374" s="1598"/>
      <c r="AF374" s="1598"/>
      <c r="AG374" s="1598"/>
      <c r="AH374" s="1725"/>
      <c r="AI374" s="1725"/>
      <c r="AJ374" s="1725"/>
      <c r="AK374" s="1725"/>
      <c r="AL374" s="1725"/>
      <c r="AM374" s="1725"/>
      <c r="AN374" s="1725"/>
      <c r="AO374" s="1725"/>
      <c r="AP374" s="1725"/>
      <c r="AQ374" s="1725"/>
      <c r="AR374" s="1725"/>
      <c r="AS374" s="1725">
        <f t="shared" si="45"/>
        <v>0</v>
      </c>
      <c r="AT374" s="1725"/>
      <c r="AU374" s="1624">
        <v>0</v>
      </c>
      <c r="AV374" s="1624">
        <v>0</v>
      </c>
      <c r="AW374" s="1624">
        <v>0</v>
      </c>
      <c r="AX374" s="1624">
        <v>0</v>
      </c>
      <c r="AY374" s="1624">
        <v>0</v>
      </c>
      <c r="AZ374" s="1624">
        <v>0</v>
      </c>
      <c r="BA374" s="1624">
        <v>0</v>
      </c>
      <c r="BB374" s="1593"/>
      <c r="BC374" s="1738" t="s">
        <v>2052</v>
      </c>
      <c r="BD374" s="1595"/>
      <c r="BE374" s="1598">
        <f t="shared" si="46"/>
        <v>0</v>
      </c>
      <c r="BF374" s="1739">
        <v>2.7579689999999999E-3</v>
      </c>
      <c r="BG374" s="1598">
        <f t="shared" si="47"/>
        <v>0</v>
      </c>
      <c r="BH374" s="1598">
        <f t="shared" si="47"/>
        <v>0</v>
      </c>
      <c r="BI374" s="1598">
        <f t="shared" si="47"/>
        <v>0</v>
      </c>
      <c r="BJ374" s="1598">
        <f t="shared" si="47"/>
        <v>0</v>
      </c>
      <c r="BK374" s="1598">
        <f t="shared" si="42"/>
        <v>0</v>
      </c>
      <c r="BL374" s="1598">
        <f t="shared" si="42"/>
        <v>0</v>
      </c>
      <c r="BM374" s="1598">
        <f t="shared" si="42"/>
        <v>0</v>
      </c>
      <c r="BN374" s="1598">
        <f t="shared" si="42"/>
        <v>0</v>
      </c>
      <c r="BO374" s="1598">
        <f t="shared" si="42"/>
        <v>0</v>
      </c>
      <c r="BP374" s="1598">
        <f t="shared" si="42"/>
        <v>0</v>
      </c>
      <c r="BQ374" s="1576"/>
      <c r="BR374" s="1740" t="s">
        <v>2052</v>
      </c>
      <c r="BS374" s="1581"/>
      <c r="BT374" s="1539"/>
      <c r="BU374" s="1430">
        <v>1501006860</v>
      </c>
      <c r="BV374" s="1430" t="s">
        <v>1984</v>
      </c>
    </row>
    <row r="375" spans="1:74" s="1430" customFormat="1" outlineLevel="1">
      <c r="A375" s="1499">
        <v>141</v>
      </c>
      <c r="B375" s="1539" t="s">
        <v>2131</v>
      </c>
      <c r="C375" s="1578"/>
      <c r="D375" s="1511" t="s">
        <v>934</v>
      </c>
      <c r="E375" s="1579"/>
      <c r="F375" s="1334"/>
      <c r="G375" s="1318"/>
      <c r="H375" s="1318"/>
      <c r="I375" s="1379"/>
      <c r="J375" s="1379"/>
      <c r="K375" s="1402"/>
      <c r="L375" s="1337"/>
      <c r="M375" s="1337"/>
      <c r="N375" s="1339" t="s">
        <v>1984</v>
      </c>
      <c r="O375" s="1336"/>
      <c r="P375" s="1598">
        <f t="shared" si="48"/>
        <v>0</v>
      </c>
      <c r="Q375" s="1573">
        <f t="shared" si="48"/>
        <v>1.049073E-3</v>
      </c>
      <c r="R375" s="1598">
        <f t="shared" si="48"/>
        <v>0</v>
      </c>
      <c r="S375" s="1598">
        <f t="shared" si="48"/>
        <v>0</v>
      </c>
      <c r="T375" s="1598">
        <f t="shared" si="44"/>
        <v>1.049073E-3</v>
      </c>
      <c r="U375" s="1598">
        <f t="shared" si="49"/>
        <v>0</v>
      </c>
      <c r="V375" s="1598">
        <v>0</v>
      </c>
      <c r="W375" s="1598">
        <v>0</v>
      </c>
      <c r="X375" s="1598"/>
      <c r="Y375" s="1598"/>
      <c r="Z375" s="1598"/>
      <c r="AA375" s="1598"/>
      <c r="AB375" s="1598"/>
      <c r="AC375" s="1598"/>
      <c r="AD375" s="1598"/>
      <c r="AE375" s="1598"/>
      <c r="AF375" s="1598"/>
      <c r="AG375" s="1598"/>
      <c r="AH375" s="1725"/>
      <c r="AI375" s="1725"/>
      <c r="AJ375" s="1725"/>
      <c r="AK375" s="1725"/>
      <c r="AL375" s="1725"/>
      <c r="AM375" s="1725"/>
      <c r="AN375" s="1725"/>
      <c r="AO375" s="1725"/>
      <c r="AP375" s="1725"/>
      <c r="AQ375" s="1725"/>
      <c r="AR375" s="1725"/>
      <c r="AS375" s="1725">
        <f t="shared" si="45"/>
        <v>0</v>
      </c>
      <c r="AT375" s="1725"/>
      <c r="AU375" s="1624">
        <v>0</v>
      </c>
      <c r="AV375" s="1624">
        <v>0</v>
      </c>
      <c r="AW375" s="1624">
        <v>0</v>
      </c>
      <c r="AX375" s="1624">
        <v>0</v>
      </c>
      <c r="AY375" s="1624">
        <v>0</v>
      </c>
      <c r="AZ375" s="1624">
        <v>0</v>
      </c>
      <c r="BA375" s="1624">
        <v>0</v>
      </c>
      <c r="BB375" s="1593"/>
      <c r="BC375" s="1738" t="s">
        <v>2052</v>
      </c>
      <c r="BD375" s="1595"/>
      <c r="BE375" s="1598">
        <f t="shared" si="46"/>
        <v>0</v>
      </c>
      <c r="BF375" s="1739">
        <v>1.049073E-3</v>
      </c>
      <c r="BG375" s="1598">
        <f t="shared" si="47"/>
        <v>0</v>
      </c>
      <c r="BH375" s="1598">
        <f t="shared" si="47"/>
        <v>0</v>
      </c>
      <c r="BI375" s="1598">
        <f t="shared" si="47"/>
        <v>0</v>
      </c>
      <c r="BJ375" s="1598">
        <f t="shared" si="47"/>
        <v>0</v>
      </c>
      <c r="BK375" s="1598">
        <f t="shared" si="42"/>
        <v>0</v>
      </c>
      <c r="BL375" s="1598">
        <f t="shared" si="42"/>
        <v>0</v>
      </c>
      <c r="BM375" s="1598">
        <f t="shared" si="42"/>
        <v>0</v>
      </c>
      <c r="BN375" s="1598">
        <f t="shared" si="42"/>
        <v>0</v>
      </c>
      <c r="BO375" s="1598">
        <f t="shared" si="42"/>
        <v>0</v>
      </c>
      <c r="BP375" s="1598">
        <f t="shared" si="42"/>
        <v>0</v>
      </c>
      <c r="BQ375" s="1576"/>
      <c r="BR375" s="1740" t="s">
        <v>2052</v>
      </c>
      <c r="BS375" s="1581"/>
      <c r="BT375" s="1539"/>
      <c r="BU375" s="1430">
        <v>1501006861</v>
      </c>
      <c r="BV375" s="1430" t="s">
        <v>1984</v>
      </c>
    </row>
    <row r="376" spans="1:74" s="1430" customFormat="1" outlineLevel="1">
      <c r="A376" s="1499">
        <v>142</v>
      </c>
      <c r="B376" s="1539" t="s">
        <v>2132</v>
      </c>
      <c r="C376" s="1578"/>
      <c r="D376" s="1511" t="s">
        <v>934</v>
      </c>
      <c r="E376" s="1579"/>
      <c r="F376" s="1334"/>
      <c r="G376" s="1318"/>
      <c r="H376" s="1318"/>
      <c r="I376" s="1379"/>
      <c r="J376" s="1379"/>
      <c r="K376" s="1402"/>
      <c r="L376" s="1337"/>
      <c r="M376" s="1337"/>
      <c r="N376" s="1339" t="s">
        <v>1984</v>
      </c>
      <c r="O376" s="1336"/>
      <c r="P376" s="1598">
        <f t="shared" si="48"/>
        <v>0</v>
      </c>
      <c r="Q376" s="1573">
        <f t="shared" si="48"/>
        <v>5.6178390000000003E-3</v>
      </c>
      <c r="R376" s="1598">
        <f t="shared" si="48"/>
        <v>0</v>
      </c>
      <c r="S376" s="1598">
        <f t="shared" si="48"/>
        <v>0</v>
      </c>
      <c r="T376" s="1598">
        <f t="shared" si="44"/>
        <v>5.6178390000000003E-3</v>
      </c>
      <c r="U376" s="1598">
        <f t="shared" si="49"/>
        <v>0</v>
      </c>
      <c r="V376" s="1598">
        <v>0</v>
      </c>
      <c r="W376" s="1598">
        <v>0</v>
      </c>
      <c r="X376" s="1598"/>
      <c r="Y376" s="1598"/>
      <c r="Z376" s="1598"/>
      <c r="AA376" s="1598"/>
      <c r="AB376" s="1598"/>
      <c r="AC376" s="1598"/>
      <c r="AD376" s="1598"/>
      <c r="AE376" s="1598"/>
      <c r="AF376" s="1598"/>
      <c r="AG376" s="1598"/>
      <c r="AH376" s="1725"/>
      <c r="AI376" s="1725"/>
      <c r="AJ376" s="1725"/>
      <c r="AK376" s="1725"/>
      <c r="AL376" s="1725"/>
      <c r="AM376" s="1725"/>
      <c r="AN376" s="1725"/>
      <c r="AO376" s="1725"/>
      <c r="AP376" s="1725"/>
      <c r="AQ376" s="1725"/>
      <c r="AR376" s="1725"/>
      <c r="AS376" s="1725">
        <f t="shared" si="45"/>
        <v>0</v>
      </c>
      <c r="AT376" s="1725"/>
      <c r="AU376" s="1624">
        <v>0</v>
      </c>
      <c r="AV376" s="1624">
        <v>0</v>
      </c>
      <c r="AW376" s="1624">
        <v>0</v>
      </c>
      <c r="AX376" s="1624">
        <v>0</v>
      </c>
      <c r="AY376" s="1624">
        <v>0</v>
      </c>
      <c r="AZ376" s="1624">
        <v>0</v>
      </c>
      <c r="BA376" s="1624">
        <v>0</v>
      </c>
      <c r="BB376" s="1593"/>
      <c r="BC376" s="1738" t="s">
        <v>2052</v>
      </c>
      <c r="BD376" s="1595"/>
      <c r="BE376" s="1598">
        <f t="shared" si="46"/>
        <v>0</v>
      </c>
      <c r="BF376" s="1739">
        <v>5.6178390000000003E-3</v>
      </c>
      <c r="BG376" s="1598">
        <f t="shared" si="47"/>
        <v>0</v>
      </c>
      <c r="BH376" s="1598">
        <f t="shared" si="47"/>
        <v>0</v>
      </c>
      <c r="BI376" s="1598">
        <f t="shared" si="47"/>
        <v>0</v>
      </c>
      <c r="BJ376" s="1598">
        <f t="shared" si="47"/>
        <v>0</v>
      </c>
      <c r="BK376" s="1598">
        <f t="shared" si="42"/>
        <v>0</v>
      </c>
      <c r="BL376" s="1598">
        <f t="shared" si="42"/>
        <v>0</v>
      </c>
      <c r="BM376" s="1598">
        <f t="shared" si="42"/>
        <v>0</v>
      </c>
      <c r="BN376" s="1598">
        <f t="shared" si="42"/>
        <v>0</v>
      </c>
      <c r="BO376" s="1598">
        <f t="shared" si="42"/>
        <v>0</v>
      </c>
      <c r="BP376" s="1598">
        <f t="shared" si="42"/>
        <v>0</v>
      </c>
      <c r="BQ376" s="1576"/>
      <c r="BR376" s="1740" t="s">
        <v>2052</v>
      </c>
      <c r="BS376" s="1581"/>
      <c r="BT376" s="1539"/>
      <c r="BU376" s="1430">
        <v>1501006862</v>
      </c>
      <c r="BV376" s="1430" t="s">
        <v>1984</v>
      </c>
    </row>
    <row r="377" spans="1:74" s="1430" customFormat="1" outlineLevel="1">
      <c r="A377" s="1499">
        <v>143</v>
      </c>
      <c r="B377" s="1539" t="s">
        <v>2133</v>
      </c>
      <c r="C377" s="1578"/>
      <c r="D377" s="1511" t="s">
        <v>934</v>
      </c>
      <c r="E377" s="1579"/>
      <c r="F377" s="1334"/>
      <c r="G377" s="1318"/>
      <c r="H377" s="1318"/>
      <c r="I377" s="1379"/>
      <c r="J377" s="1379"/>
      <c r="K377" s="1402"/>
      <c r="L377" s="1337"/>
      <c r="M377" s="1337"/>
      <c r="N377" s="1339" t="s">
        <v>1984</v>
      </c>
      <c r="O377" s="1336"/>
      <c r="P377" s="1598">
        <f t="shared" si="48"/>
        <v>0</v>
      </c>
      <c r="Q377" s="1573">
        <f t="shared" si="48"/>
        <v>4.9465999999999997E-5</v>
      </c>
      <c r="R377" s="1598">
        <f t="shared" si="48"/>
        <v>0</v>
      </c>
      <c r="S377" s="1598">
        <f t="shared" si="48"/>
        <v>0</v>
      </c>
      <c r="T377" s="1598">
        <f t="shared" si="44"/>
        <v>4.9465999999999997E-5</v>
      </c>
      <c r="U377" s="1598">
        <f t="shared" si="49"/>
        <v>0</v>
      </c>
      <c r="V377" s="1598">
        <v>0</v>
      </c>
      <c r="W377" s="1598">
        <v>0</v>
      </c>
      <c r="X377" s="1598"/>
      <c r="Y377" s="1598"/>
      <c r="Z377" s="1598"/>
      <c r="AA377" s="1598"/>
      <c r="AB377" s="1598"/>
      <c r="AC377" s="1598"/>
      <c r="AD377" s="1598"/>
      <c r="AE377" s="1598"/>
      <c r="AF377" s="1598"/>
      <c r="AG377" s="1598"/>
      <c r="AH377" s="1725"/>
      <c r="AI377" s="1725"/>
      <c r="AJ377" s="1725"/>
      <c r="AK377" s="1725"/>
      <c r="AL377" s="1725"/>
      <c r="AM377" s="1725"/>
      <c r="AN377" s="1725"/>
      <c r="AO377" s="1725"/>
      <c r="AP377" s="1725"/>
      <c r="AQ377" s="1725"/>
      <c r="AR377" s="1725"/>
      <c r="AS377" s="1725">
        <f t="shared" si="45"/>
        <v>0</v>
      </c>
      <c r="AT377" s="1725"/>
      <c r="AU377" s="1624">
        <v>0</v>
      </c>
      <c r="AV377" s="1624">
        <v>0</v>
      </c>
      <c r="AW377" s="1624">
        <v>0</v>
      </c>
      <c r="AX377" s="1624">
        <v>0</v>
      </c>
      <c r="AY377" s="1624">
        <v>0</v>
      </c>
      <c r="AZ377" s="1624">
        <v>0</v>
      </c>
      <c r="BA377" s="1624">
        <v>0</v>
      </c>
      <c r="BB377" s="1593"/>
      <c r="BC377" s="1738" t="s">
        <v>2052</v>
      </c>
      <c r="BD377" s="1595"/>
      <c r="BE377" s="1598">
        <f t="shared" si="46"/>
        <v>0</v>
      </c>
      <c r="BF377" s="1739">
        <v>4.9465999999999997E-5</v>
      </c>
      <c r="BG377" s="1598">
        <f t="shared" si="47"/>
        <v>0</v>
      </c>
      <c r="BH377" s="1598">
        <f t="shared" si="47"/>
        <v>0</v>
      </c>
      <c r="BI377" s="1598">
        <f t="shared" si="47"/>
        <v>0</v>
      </c>
      <c r="BJ377" s="1598">
        <f t="shared" si="47"/>
        <v>0</v>
      </c>
      <c r="BK377" s="1598">
        <f t="shared" si="42"/>
        <v>0</v>
      </c>
      <c r="BL377" s="1598">
        <f t="shared" si="42"/>
        <v>0</v>
      </c>
      <c r="BM377" s="1598">
        <f t="shared" si="42"/>
        <v>0</v>
      </c>
      <c r="BN377" s="1598">
        <f t="shared" si="42"/>
        <v>0</v>
      </c>
      <c r="BO377" s="1598">
        <f t="shared" si="42"/>
        <v>0</v>
      </c>
      <c r="BP377" s="1598">
        <f t="shared" si="42"/>
        <v>0</v>
      </c>
      <c r="BQ377" s="1576"/>
      <c r="BR377" s="1740" t="s">
        <v>2052</v>
      </c>
      <c r="BS377" s="1581"/>
      <c r="BT377" s="1539"/>
      <c r="BU377" s="1430">
        <v>1501006863</v>
      </c>
      <c r="BV377" s="1430" t="s">
        <v>1984</v>
      </c>
    </row>
    <row r="378" spans="1:74" s="1430" customFormat="1" outlineLevel="1">
      <c r="A378" s="1499">
        <v>144</v>
      </c>
      <c r="B378" s="1539" t="s">
        <v>2134</v>
      </c>
      <c r="C378" s="1578"/>
      <c r="D378" s="1511" t="s">
        <v>934</v>
      </c>
      <c r="E378" s="1579"/>
      <c r="F378" s="1334"/>
      <c r="G378" s="1318"/>
      <c r="H378" s="1318"/>
      <c r="I378" s="1379"/>
      <c r="J378" s="1379"/>
      <c r="K378" s="1402"/>
      <c r="L378" s="1337"/>
      <c r="M378" s="1337"/>
      <c r="N378" s="1339" t="s">
        <v>1984</v>
      </c>
      <c r="O378" s="1336"/>
      <c r="P378" s="1598">
        <f t="shared" si="48"/>
        <v>0</v>
      </c>
      <c r="Q378" s="1573">
        <f t="shared" si="48"/>
        <v>1.0752108999999999E-2</v>
      </c>
      <c r="R378" s="1598">
        <f t="shared" si="48"/>
        <v>0</v>
      </c>
      <c r="S378" s="1598">
        <f t="shared" si="48"/>
        <v>0</v>
      </c>
      <c r="T378" s="1598">
        <f t="shared" si="44"/>
        <v>1.0752108999999999E-2</v>
      </c>
      <c r="U378" s="1598">
        <f t="shared" si="49"/>
        <v>0</v>
      </c>
      <c r="V378" s="1598">
        <v>0</v>
      </c>
      <c r="W378" s="1598">
        <v>0</v>
      </c>
      <c r="X378" s="1598"/>
      <c r="Y378" s="1598"/>
      <c r="Z378" s="1598"/>
      <c r="AA378" s="1598"/>
      <c r="AB378" s="1598"/>
      <c r="AC378" s="1598"/>
      <c r="AD378" s="1598"/>
      <c r="AE378" s="1598"/>
      <c r="AF378" s="1598"/>
      <c r="AG378" s="1598"/>
      <c r="AH378" s="1725"/>
      <c r="AI378" s="1725"/>
      <c r="AJ378" s="1725"/>
      <c r="AK378" s="1725"/>
      <c r="AL378" s="1725"/>
      <c r="AM378" s="1725"/>
      <c r="AN378" s="1725"/>
      <c r="AO378" s="1725"/>
      <c r="AP378" s="1725"/>
      <c r="AQ378" s="1725"/>
      <c r="AR378" s="1725"/>
      <c r="AS378" s="1725">
        <f t="shared" si="45"/>
        <v>0</v>
      </c>
      <c r="AT378" s="1725"/>
      <c r="AU378" s="1624">
        <v>0</v>
      </c>
      <c r="AV378" s="1624">
        <v>0</v>
      </c>
      <c r="AW378" s="1624">
        <v>0</v>
      </c>
      <c r="AX378" s="1624">
        <v>0</v>
      </c>
      <c r="AY378" s="1624">
        <v>0</v>
      </c>
      <c r="AZ378" s="1624">
        <v>0</v>
      </c>
      <c r="BA378" s="1624">
        <v>0</v>
      </c>
      <c r="BB378" s="1593"/>
      <c r="BC378" s="1738" t="s">
        <v>2052</v>
      </c>
      <c r="BD378" s="1595"/>
      <c r="BE378" s="1598">
        <f t="shared" si="46"/>
        <v>0</v>
      </c>
      <c r="BF378" s="1739">
        <v>1.0752108999999999E-2</v>
      </c>
      <c r="BG378" s="1598">
        <f t="shared" si="47"/>
        <v>0</v>
      </c>
      <c r="BH378" s="1598">
        <f t="shared" si="47"/>
        <v>0</v>
      </c>
      <c r="BI378" s="1598">
        <f t="shared" si="47"/>
        <v>0</v>
      </c>
      <c r="BJ378" s="1598">
        <f t="shared" si="47"/>
        <v>0</v>
      </c>
      <c r="BK378" s="1598">
        <f t="shared" si="42"/>
        <v>0</v>
      </c>
      <c r="BL378" s="1598">
        <f t="shared" si="42"/>
        <v>0</v>
      </c>
      <c r="BM378" s="1598">
        <f t="shared" si="42"/>
        <v>0</v>
      </c>
      <c r="BN378" s="1598">
        <f t="shared" si="42"/>
        <v>0</v>
      </c>
      <c r="BO378" s="1598">
        <f t="shared" si="42"/>
        <v>0</v>
      </c>
      <c r="BP378" s="1598">
        <f t="shared" si="42"/>
        <v>0</v>
      </c>
      <c r="BQ378" s="1576"/>
      <c r="BR378" s="1740" t="s">
        <v>2052</v>
      </c>
      <c r="BS378" s="1581"/>
      <c r="BT378" s="1539"/>
      <c r="BU378" s="1430">
        <v>1501006864</v>
      </c>
      <c r="BV378" s="1430" t="s">
        <v>1984</v>
      </c>
    </row>
    <row r="379" spans="1:74" s="1430" customFormat="1" outlineLevel="1">
      <c r="A379" s="1499">
        <v>145</v>
      </c>
      <c r="B379" s="1539" t="s">
        <v>2135</v>
      </c>
      <c r="C379" s="1578"/>
      <c r="D379" s="1511" t="s">
        <v>934</v>
      </c>
      <c r="E379" s="1579"/>
      <c r="F379" s="1334"/>
      <c r="G379" s="1318"/>
      <c r="H379" s="1318"/>
      <c r="I379" s="1379"/>
      <c r="J379" s="1379"/>
      <c r="K379" s="1402"/>
      <c r="L379" s="1337"/>
      <c r="M379" s="1337"/>
      <c r="N379" s="1339" t="s">
        <v>1984</v>
      </c>
      <c r="O379" s="1336"/>
      <c r="P379" s="1598">
        <f t="shared" ref="P379:S396" si="50">BE379</f>
        <v>0</v>
      </c>
      <c r="Q379" s="1573">
        <f t="shared" si="50"/>
        <v>3.9941100000000002E-4</v>
      </c>
      <c r="R379" s="1598">
        <f t="shared" si="50"/>
        <v>0</v>
      </c>
      <c r="S379" s="1598">
        <f t="shared" si="50"/>
        <v>0</v>
      </c>
      <c r="T379" s="1598">
        <f t="shared" si="44"/>
        <v>3.9941100000000002E-4</v>
      </c>
      <c r="U379" s="1598">
        <f t="shared" si="49"/>
        <v>0</v>
      </c>
      <c r="V379" s="1598">
        <v>0</v>
      </c>
      <c r="W379" s="1598">
        <v>0</v>
      </c>
      <c r="X379" s="1598"/>
      <c r="Y379" s="1598"/>
      <c r="Z379" s="1598"/>
      <c r="AA379" s="1598"/>
      <c r="AB379" s="1598"/>
      <c r="AC379" s="1598"/>
      <c r="AD379" s="1598"/>
      <c r="AE379" s="1598"/>
      <c r="AF379" s="1598"/>
      <c r="AG379" s="1598"/>
      <c r="AH379" s="1725"/>
      <c r="AI379" s="1725"/>
      <c r="AJ379" s="1725"/>
      <c r="AK379" s="1725"/>
      <c r="AL379" s="1725"/>
      <c r="AM379" s="1725"/>
      <c r="AN379" s="1725"/>
      <c r="AO379" s="1725"/>
      <c r="AP379" s="1725"/>
      <c r="AQ379" s="1725"/>
      <c r="AR379" s="1725"/>
      <c r="AS379" s="1725">
        <f t="shared" si="45"/>
        <v>0</v>
      </c>
      <c r="AT379" s="1725"/>
      <c r="AU379" s="1624">
        <v>0</v>
      </c>
      <c r="AV379" s="1624">
        <v>0</v>
      </c>
      <c r="AW379" s="1624">
        <v>0</v>
      </c>
      <c r="AX379" s="1624">
        <v>0</v>
      </c>
      <c r="AY379" s="1624">
        <v>0</v>
      </c>
      <c r="AZ379" s="1624">
        <v>0</v>
      </c>
      <c r="BA379" s="1624">
        <v>0</v>
      </c>
      <c r="BB379" s="1593"/>
      <c r="BC379" s="1738" t="s">
        <v>2052</v>
      </c>
      <c r="BD379" s="1595"/>
      <c r="BE379" s="1598">
        <f t="shared" si="46"/>
        <v>0</v>
      </c>
      <c r="BF379" s="1739">
        <v>3.9941100000000002E-4</v>
      </c>
      <c r="BG379" s="1598">
        <f t="shared" si="47"/>
        <v>0</v>
      </c>
      <c r="BH379" s="1598">
        <f t="shared" si="47"/>
        <v>0</v>
      </c>
      <c r="BI379" s="1598">
        <f t="shared" si="47"/>
        <v>0</v>
      </c>
      <c r="BJ379" s="1598">
        <f t="shared" si="47"/>
        <v>0</v>
      </c>
      <c r="BK379" s="1598">
        <f t="shared" si="42"/>
        <v>0</v>
      </c>
      <c r="BL379" s="1598">
        <f t="shared" si="42"/>
        <v>0</v>
      </c>
      <c r="BM379" s="1598">
        <f t="shared" si="42"/>
        <v>0</v>
      </c>
      <c r="BN379" s="1598">
        <f t="shared" si="42"/>
        <v>0</v>
      </c>
      <c r="BO379" s="1598">
        <f t="shared" si="42"/>
        <v>0</v>
      </c>
      <c r="BP379" s="1598">
        <f t="shared" si="42"/>
        <v>0</v>
      </c>
      <c r="BQ379" s="1576"/>
      <c r="BR379" s="1740" t="s">
        <v>2052</v>
      </c>
      <c r="BS379" s="1581"/>
      <c r="BT379" s="1539"/>
      <c r="BU379" s="1430">
        <v>1501006865</v>
      </c>
      <c r="BV379" s="1430" t="s">
        <v>1984</v>
      </c>
    </row>
    <row r="380" spans="1:74" s="1430" customFormat="1" outlineLevel="1">
      <c r="A380" s="1499">
        <v>146</v>
      </c>
      <c r="B380" s="1539" t="s">
        <v>2136</v>
      </c>
      <c r="C380" s="1578"/>
      <c r="D380" s="1511" t="s">
        <v>934</v>
      </c>
      <c r="E380" s="1579"/>
      <c r="F380" s="1334"/>
      <c r="G380" s="1318"/>
      <c r="H380" s="1318"/>
      <c r="I380" s="1379"/>
      <c r="J380" s="1379"/>
      <c r="K380" s="1402"/>
      <c r="L380" s="1337"/>
      <c r="M380" s="1337"/>
      <c r="N380" s="1339" t="s">
        <v>1984</v>
      </c>
      <c r="O380" s="1336"/>
      <c r="P380" s="1598">
        <f t="shared" si="50"/>
        <v>0</v>
      </c>
      <c r="Q380" s="1573">
        <f t="shared" si="50"/>
        <v>9.8566000000000005E-5</v>
      </c>
      <c r="R380" s="1598">
        <f t="shared" si="50"/>
        <v>0</v>
      </c>
      <c r="S380" s="1598">
        <f t="shared" si="50"/>
        <v>0</v>
      </c>
      <c r="T380" s="1598">
        <f t="shared" si="44"/>
        <v>9.8566000000000005E-5</v>
      </c>
      <c r="U380" s="1598">
        <f t="shared" si="49"/>
        <v>0</v>
      </c>
      <c r="V380" s="1598">
        <v>0</v>
      </c>
      <c r="W380" s="1598">
        <v>0</v>
      </c>
      <c r="X380" s="1598"/>
      <c r="Y380" s="1598"/>
      <c r="Z380" s="1598"/>
      <c r="AA380" s="1598"/>
      <c r="AB380" s="1598"/>
      <c r="AC380" s="1598"/>
      <c r="AD380" s="1598"/>
      <c r="AE380" s="1598"/>
      <c r="AF380" s="1598"/>
      <c r="AG380" s="1598"/>
      <c r="AH380" s="1725"/>
      <c r="AI380" s="1725"/>
      <c r="AJ380" s="1725"/>
      <c r="AK380" s="1725"/>
      <c r="AL380" s="1725"/>
      <c r="AM380" s="1725"/>
      <c r="AN380" s="1725"/>
      <c r="AO380" s="1725"/>
      <c r="AP380" s="1725"/>
      <c r="AQ380" s="1725"/>
      <c r="AR380" s="1725"/>
      <c r="AS380" s="1725">
        <f t="shared" si="45"/>
        <v>0</v>
      </c>
      <c r="AT380" s="1725"/>
      <c r="AU380" s="1624">
        <v>0</v>
      </c>
      <c r="AV380" s="1624">
        <v>0</v>
      </c>
      <c r="AW380" s="1624">
        <v>0</v>
      </c>
      <c r="AX380" s="1624">
        <v>0</v>
      </c>
      <c r="AY380" s="1624">
        <v>0</v>
      </c>
      <c r="AZ380" s="1624">
        <v>0</v>
      </c>
      <c r="BA380" s="1624">
        <v>0</v>
      </c>
      <c r="BB380" s="1593"/>
      <c r="BC380" s="1738" t="s">
        <v>2052</v>
      </c>
      <c r="BD380" s="1595"/>
      <c r="BE380" s="1598">
        <f t="shared" si="46"/>
        <v>0</v>
      </c>
      <c r="BF380" s="1739">
        <v>9.8566000000000005E-5</v>
      </c>
      <c r="BG380" s="1598">
        <f t="shared" si="47"/>
        <v>0</v>
      </c>
      <c r="BH380" s="1598">
        <f t="shared" si="47"/>
        <v>0</v>
      </c>
      <c r="BI380" s="1598">
        <f t="shared" si="47"/>
        <v>0</v>
      </c>
      <c r="BJ380" s="1598">
        <f t="shared" si="47"/>
        <v>0</v>
      </c>
      <c r="BK380" s="1598">
        <f t="shared" si="42"/>
        <v>0</v>
      </c>
      <c r="BL380" s="1598">
        <f t="shared" si="42"/>
        <v>0</v>
      </c>
      <c r="BM380" s="1598">
        <f t="shared" si="42"/>
        <v>0</v>
      </c>
      <c r="BN380" s="1598">
        <f t="shared" si="42"/>
        <v>0</v>
      </c>
      <c r="BO380" s="1598">
        <f t="shared" si="42"/>
        <v>0</v>
      </c>
      <c r="BP380" s="1598">
        <f t="shared" si="42"/>
        <v>0</v>
      </c>
      <c r="BQ380" s="1576"/>
      <c r="BR380" s="1740" t="s">
        <v>2052</v>
      </c>
      <c r="BS380" s="1581"/>
      <c r="BT380" s="1539"/>
      <c r="BU380" s="1430">
        <v>1501006866</v>
      </c>
      <c r="BV380" s="1430" t="s">
        <v>1984</v>
      </c>
    </row>
    <row r="381" spans="1:74" s="1430" customFormat="1" outlineLevel="1">
      <c r="A381" s="1499">
        <v>147</v>
      </c>
      <c r="B381" s="1539" t="s">
        <v>2137</v>
      </c>
      <c r="C381" s="1578"/>
      <c r="D381" s="1511" t="s">
        <v>934</v>
      </c>
      <c r="E381" s="1579"/>
      <c r="F381" s="1334"/>
      <c r="G381" s="1318"/>
      <c r="H381" s="1318"/>
      <c r="I381" s="1379"/>
      <c r="J381" s="1379"/>
      <c r="K381" s="1402"/>
      <c r="L381" s="1337"/>
      <c r="M381" s="1337"/>
      <c r="N381" s="1339" t="s">
        <v>1984</v>
      </c>
      <c r="O381" s="1336"/>
      <c r="P381" s="1598">
        <f t="shared" si="50"/>
        <v>0</v>
      </c>
      <c r="Q381" s="1573">
        <f t="shared" si="50"/>
        <v>1.0304429E-2</v>
      </c>
      <c r="R381" s="1598">
        <f t="shared" si="50"/>
        <v>0</v>
      </c>
      <c r="S381" s="1598">
        <f t="shared" si="50"/>
        <v>0</v>
      </c>
      <c r="T381" s="1598">
        <f t="shared" si="44"/>
        <v>1.0304429E-2</v>
      </c>
      <c r="U381" s="1598">
        <f t="shared" si="49"/>
        <v>0</v>
      </c>
      <c r="V381" s="1598">
        <v>0</v>
      </c>
      <c r="W381" s="1598">
        <v>0</v>
      </c>
      <c r="X381" s="1598"/>
      <c r="Y381" s="1598"/>
      <c r="Z381" s="1598"/>
      <c r="AA381" s="1598"/>
      <c r="AB381" s="1598"/>
      <c r="AC381" s="1598"/>
      <c r="AD381" s="1598"/>
      <c r="AE381" s="1598"/>
      <c r="AF381" s="1598"/>
      <c r="AG381" s="1598"/>
      <c r="AH381" s="1725"/>
      <c r="AI381" s="1725"/>
      <c r="AJ381" s="1725"/>
      <c r="AK381" s="1725"/>
      <c r="AL381" s="1725"/>
      <c r="AM381" s="1725"/>
      <c r="AN381" s="1725"/>
      <c r="AO381" s="1725"/>
      <c r="AP381" s="1725"/>
      <c r="AQ381" s="1725"/>
      <c r="AR381" s="1725"/>
      <c r="AS381" s="1725">
        <f t="shared" si="45"/>
        <v>0</v>
      </c>
      <c r="AT381" s="1725"/>
      <c r="AU381" s="1624">
        <v>0</v>
      </c>
      <c r="AV381" s="1624">
        <v>0</v>
      </c>
      <c r="AW381" s="1624">
        <v>0</v>
      </c>
      <c r="AX381" s="1624">
        <v>0</v>
      </c>
      <c r="AY381" s="1624">
        <v>0</v>
      </c>
      <c r="AZ381" s="1624">
        <v>0</v>
      </c>
      <c r="BA381" s="1624">
        <v>0</v>
      </c>
      <c r="BB381" s="1593"/>
      <c r="BC381" s="1738" t="s">
        <v>2052</v>
      </c>
      <c r="BD381" s="1595"/>
      <c r="BE381" s="1598">
        <f t="shared" si="46"/>
        <v>0</v>
      </c>
      <c r="BF381" s="1739">
        <v>1.0304429E-2</v>
      </c>
      <c r="BG381" s="1598">
        <f t="shared" si="47"/>
        <v>0</v>
      </c>
      <c r="BH381" s="1598">
        <f t="shared" si="47"/>
        <v>0</v>
      </c>
      <c r="BI381" s="1598">
        <f t="shared" si="47"/>
        <v>0</v>
      </c>
      <c r="BJ381" s="1598">
        <f t="shared" si="47"/>
        <v>0</v>
      </c>
      <c r="BK381" s="1598">
        <f t="shared" si="42"/>
        <v>0</v>
      </c>
      <c r="BL381" s="1598">
        <f t="shared" si="42"/>
        <v>0</v>
      </c>
      <c r="BM381" s="1598">
        <f t="shared" si="42"/>
        <v>0</v>
      </c>
      <c r="BN381" s="1598">
        <f t="shared" ref="BN381:BP396" si="51">CG381</f>
        <v>0</v>
      </c>
      <c r="BO381" s="1598">
        <f t="shared" si="51"/>
        <v>0</v>
      </c>
      <c r="BP381" s="1598">
        <f t="shared" si="51"/>
        <v>0</v>
      </c>
      <c r="BQ381" s="1576"/>
      <c r="BR381" s="1740" t="s">
        <v>2052</v>
      </c>
      <c r="BS381" s="1581"/>
      <c r="BT381" s="1539"/>
      <c r="BU381" s="1430">
        <v>1501006867</v>
      </c>
      <c r="BV381" s="1430" t="s">
        <v>1984</v>
      </c>
    </row>
    <row r="382" spans="1:74" s="1430" customFormat="1" outlineLevel="1">
      <c r="A382" s="1499">
        <v>148</v>
      </c>
      <c r="B382" s="1539" t="s">
        <v>2138</v>
      </c>
      <c r="C382" s="1578"/>
      <c r="D382" s="1511" t="s">
        <v>934</v>
      </c>
      <c r="E382" s="1579"/>
      <c r="F382" s="1334"/>
      <c r="G382" s="1318"/>
      <c r="H382" s="1318"/>
      <c r="I382" s="1379"/>
      <c r="J382" s="1379"/>
      <c r="K382" s="1402"/>
      <c r="L382" s="1337"/>
      <c r="M382" s="1337"/>
      <c r="N382" s="1339" t="s">
        <v>1984</v>
      </c>
      <c r="O382" s="1336"/>
      <c r="P382" s="1598">
        <f t="shared" si="50"/>
        <v>0</v>
      </c>
      <c r="Q382" s="1573">
        <f t="shared" si="50"/>
        <v>2.2363740000000002E-3</v>
      </c>
      <c r="R382" s="1598">
        <f t="shared" si="50"/>
        <v>0</v>
      </c>
      <c r="S382" s="1598">
        <f t="shared" si="50"/>
        <v>0</v>
      </c>
      <c r="T382" s="1598">
        <f t="shared" si="44"/>
        <v>2.2363740000000002E-3</v>
      </c>
      <c r="U382" s="1598">
        <f t="shared" si="49"/>
        <v>0</v>
      </c>
      <c r="V382" s="1598">
        <v>0</v>
      </c>
      <c r="W382" s="1598">
        <v>0</v>
      </c>
      <c r="X382" s="1598"/>
      <c r="Y382" s="1598"/>
      <c r="Z382" s="1598"/>
      <c r="AA382" s="1598"/>
      <c r="AB382" s="1598"/>
      <c r="AC382" s="1598"/>
      <c r="AD382" s="1598"/>
      <c r="AE382" s="1598"/>
      <c r="AF382" s="1598"/>
      <c r="AG382" s="1598"/>
      <c r="AH382" s="1725"/>
      <c r="AI382" s="1725"/>
      <c r="AJ382" s="1725"/>
      <c r="AK382" s="1725"/>
      <c r="AL382" s="1725"/>
      <c r="AM382" s="1725"/>
      <c r="AN382" s="1725"/>
      <c r="AO382" s="1725"/>
      <c r="AP382" s="1725"/>
      <c r="AQ382" s="1725"/>
      <c r="AR382" s="1725"/>
      <c r="AS382" s="1725">
        <f t="shared" si="45"/>
        <v>0</v>
      </c>
      <c r="AT382" s="1725"/>
      <c r="AU382" s="1624">
        <v>0</v>
      </c>
      <c r="AV382" s="1624">
        <v>0</v>
      </c>
      <c r="AW382" s="1624">
        <v>0</v>
      </c>
      <c r="AX382" s="1624">
        <v>0</v>
      </c>
      <c r="AY382" s="1624">
        <v>0</v>
      </c>
      <c r="AZ382" s="1624">
        <v>0</v>
      </c>
      <c r="BA382" s="1624">
        <v>0</v>
      </c>
      <c r="BB382" s="1593"/>
      <c r="BC382" s="1738" t="s">
        <v>2052</v>
      </c>
      <c r="BD382" s="1595"/>
      <c r="BE382" s="1598">
        <f t="shared" si="46"/>
        <v>0</v>
      </c>
      <c r="BF382" s="1739">
        <v>2.2363740000000002E-3</v>
      </c>
      <c r="BG382" s="1598">
        <f t="shared" si="47"/>
        <v>0</v>
      </c>
      <c r="BH382" s="1598">
        <f t="shared" si="47"/>
        <v>0</v>
      </c>
      <c r="BI382" s="1598">
        <f t="shared" si="47"/>
        <v>0</v>
      </c>
      <c r="BJ382" s="1598">
        <f t="shared" si="47"/>
        <v>0</v>
      </c>
      <c r="BK382" s="1598">
        <f t="shared" si="47"/>
        <v>0</v>
      </c>
      <c r="BL382" s="1598">
        <f t="shared" si="47"/>
        <v>0</v>
      </c>
      <c r="BM382" s="1598">
        <f t="shared" si="47"/>
        <v>0</v>
      </c>
      <c r="BN382" s="1598">
        <f t="shared" si="51"/>
        <v>0</v>
      </c>
      <c r="BO382" s="1598">
        <f t="shared" si="51"/>
        <v>0</v>
      </c>
      <c r="BP382" s="1598">
        <f t="shared" si="51"/>
        <v>0</v>
      </c>
      <c r="BQ382" s="1576"/>
      <c r="BR382" s="1740" t="s">
        <v>2052</v>
      </c>
      <c r="BS382" s="1581"/>
      <c r="BT382" s="1539"/>
      <c r="BU382" s="1430">
        <v>1501006868</v>
      </c>
      <c r="BV382" s="1430" t="s">
        <v>1984</v>
      </c>
    </row>
    <row r="383" spans="1:74" s="1430" customFormat="1" outlineLevel="1">
      <c r="A383" s="1499">
        <v>149</v>
      </c>
      <c r="B383" s="1539" t="s">
        <v>2139</v>
      </c>
      <c r="C383" s="1578"/>
      <c r="D383" s="1511" t="s">
        <v>934</v>
      </c>
      <c r="E383" s="1579"/>
      <c r="F383" s="1334"/>
      <c r="G383" s="1318"/>
      <c r="H383" s="1318"/>
      <c r="I383" s="1379"/>
      <c r="J383" s="1379"/>
      <c r="K383" s="1402"/>
      <c r="L383" s="1337"/>
      <c r="M383" s="1337"/>
      <c r="N383" s="1339" t="s">
        <v>1984</v>
      </c>
      <c r="O383" s="1336"/>
      <c r="P383" s="1598">
        <f t="shared" si="50"/>
        <v>0</v>
      </c>
      <c r="Q383" s="1573">
        <f t="shared" si="50"/>
        <v>1.438855E-3</v>
      </c>
      <c r="R383" s="1598">
        <f t="shared" si="50"/>
        <v>0</v>
      </c>
      <c r="S383" s="1598">
        <f t="shared" si="50"/>
        <v>0</v>
      </c>
      <c r="T383" s="1598">
        <f t="shared" si="44"/>
        <v>1.438855E-3</v>
      </c>
      <c r="U383" s="1598">
        <f t="shared" si="49"/>
        <v>0</v>
      </c>
      <c r="V383" s="1598">
        <v>0</v>
      </c>
      <c r="W383" s="1598">
        <v>0</v>
      </c>
      <c r="X383" s="1598"/>
      <c r="Y383" s="1598"/>
      <c r="Z383" s="1598"/>
      <c r="AA383" s="1598"/>
      <c r="AB383" s="1598"/>
      <c r="AC383" s="1598"/>
      <c r="AD383" s="1598"/>
      <c r="AE383" s="1598"/>
      <c r="AF383" s="1598"/>
      <c r="AG383" s="1598"/>
      <c r="AH383" s="1725"/>
      <c r="AI383" s="1725"/>
      <c r="AJ383" s="1725"/>
      <c r="AK383" s="1725"/>
      <c r="AL383" s="1725"/>
      <c r="AM383" s="1725"/>
      <c r="AN383" s="1725"/>
      <c r="AO383" s="1725"/>
      <c r="AP383" s="1725"/>
      <c r="AQ383" s="1725"/>
      <c r="AR383" s="1725"/>
      <c r="AS383" s="1725">
        <f t="shared" si="45"/>
        <v>0</v>
      </c>
      <c r="AT383" s="1725"/>
      <c r="AU383" s="1624">
        <v>0</v>
      </c>
      <c r="AV383" s="1624">
        <v>0</v>
      </c>
      <c r="AW383" s="1624">
        <v>0</v>
      </c>
      <c r="AX383" s="1624">
        <v>0</v>
      </c>
      <c r="AY383" s="1624">
        <v>0</v>
      </c>
      <c r="AZ383" s="1624">
        <v>0</v>
      </c>
      <c r="BA383" s="1624">
        <v>0</v>
      </c>
      <c r="BB383" s="1593"/>
      <c r="BC383" s="1741" t="s">
        <v>2057</v>
      </c>
      <c r="BD383" s="1595"/>
      <c r="BE383" s="1598">
        <f t="shared" si="46"/>
        <v>0</v>
      </c>
      <c r="BF383" s="1739">
        <v>1.438855E-3</v>
      </c>
      <c r="BG383" s="1598">
        <f t="shared" si="47"/>
        <v>0</v>
      </c>
      <c r="BH383" s="1598">
        <f t="shared" si="47"/>
        <v>0</v>
      </c>
      <c r="BI383" s="1598">
        <f t="shared" si="47"/>
        <v>0</v>
      </c>
      <c r="BJ383" s="1598">
        <f t="shared" si="47"/>
        <v>0</v>
      </c>
      <c r="BK383" s="1598">
        <f t="shared" si="47"/>
        <v>0</v>
      </c>
      <c r="BL383" s="1598">
        <f t="shared" si="47"/>
        <v>0</v>
      </c>
      <c r="BM383" s="1598">
        <f t="shared" si="47"/>
        <v>0</v>
      </c>
      <c r="BN383" s="1598">
        <f t="shared" si="51"/>
        <v>0</v>
      </c>
      <c r="BO383" s="1598">
        <f t="shared" si="51"/>
        <v>0</v>
      </c>
      <c r="BP383" s="1598">
        <f t="shared" si="51"/>
        <v>0</v>
      </c>
      <c r="BQ383" s="1576"/>
      <c r="BR383" s="1742" t="s">
        <v>2057</v>
      </c>
      <c r="BS383" s="1581"/>
      <c r="BT383" s="1539"/>
      <c r="BU383" s="1430">
        <v>1501006869</v>
      </c>
      <c r="BV383" s="1430" t="s">
        <v>1984</v>
      </c>
    </row>
    <row r="384" spans="1:74" s="1430" customFormat="1" outlineLevel="1">
      <c r="A384" s="1499">
        <v>150</v>
      </c>
      <c r="B384" s="1539" t="s">
        <v>2140</v>
      </c>
      <c r="C384" s="1578"/>
      <c r="D384" s="1511" t="s">
        <v>934</v>
      </c>
      <c r="E384" s="1579"/>
      <c r="F384" s="1334"/>
      <c r="G384" s="1318"/>
      <c r="H384" s="1318"/>
      <c r="I384" s="1379"/>
      <c r="J384" s="1379"/>
      <c r="K384" s="1402"/>
      <c r="L384" s="1337"/>
      <c r="M384" s="1337"/>
      <c r="N384" s="1339" t="s">
        <v>1984</v>
      </c>
      <c r="O384" s="1336"/>
      <c r="P384" s="1598">
        <f t="shared" si="50"/>
        <v>0</v>
      </c>
      <c r="Q384" s="1573">
        <f t="shared" si="50"/>
        <v>8.5482000000000006E-5</v>
      </c>
      <c r="R384" s="1598">
        <f t="shared" si="50"/>
        <v>0</v>
      </c>
      <c r="S384" s="1598">
        <f t="shared" si="50"/>
        <v>0</v>
      </c>
      <c r="T384" s="1598">
        <f t="shared" si="44"/>
        <v>8.5482000000000006E-5</v>
      </c>
      <c r="U384" s="1598">
        <f t="shared" si="49"/>
        <v>0</v>
      </c>
      <c r="V384" s="1598">
        <v>0</v>
      </c>
      <c r="W384" s="1598">
        <v>0</v>
      </c>
      <c r="X384" s="1598"/>
      <c r="Y384" s="1598"/>
      <c r="Z384" s="1598"/>
      <c r="AA384" s="1598"/>
      <c r="AB384" s="1598"/>
      <c r="AC384" s="1598"/>
      <c r="AD384" s="1598"/>
      <c r="AE384" s="1598"/>
      <c r="AF384" s="1598"/>
      <c r="AG384" s="1598"/>
      <c r="AH384" s="1725"/>
      <c r="AI384" s="1725"/>
      <c r="AJ384" s="1725"/>
      <c r="AK384" s="1725"/>
      <c r="AL384" s="1725"/>
      <c r="AM384" s="1725"/>
      <c r="AN384" s="1725"/>
      <c r="AO384" s="1725"/>
      <c r="AP384" s="1725"/>
      <c r="AQ384" s="1725"/>
      <c r="AR384" s="1725"/>
      <c r="AS384" s="1725">
        <f t="shared" si="45"/>
        <v>0</v>
      </c>
      <c r="AT384" s="1725"/>
      <c r="AU384" s="1624">
        <v>0</v>
      </c>
      <c r="AV384" s="1624">
        <v>0</v>
      </c>
      <c r="AW384" s="1624">
        <v>0</v>
      </c>
      <c r="AX384" s="1624">
        <v>0</v>
      </c>
      <c r="AY384" s="1624">
        <v>0</v>
      </c>
      <c r="AZ384" s="1624">
        <v>0</v>
      </c>
      <c r="BA384" s="1624">
        <v>0</v>
      </c>
      <c r="BB384" s="1593"/>
      <c r="BC384" s="1741" t="s">
        <v>2057</v>
      </c>
      <c r="BD384" s="1595"/>
      <c r="BE384" s="1598">
        <f t="shared" si="46"/>
        <v>0</v>
      </c>
      <c r="BF384" s="1739">
        <v>8.5482000000000006E-5</v>
      </c>
      <c r="BG384" s="1598">
        <f t="shared" si="47"/>
        <v>0</v>
      </c>
      <c r="BH384" s="1598">
        <f t="shared" si="47"/>
        <v>0</v>
      </c>
      <c r="BI384" s="1598">
        <f t="shared" si="47"/>
        <v>0</v>
      </c>
      <c r="BJ384" s="1598">
        <f t="shared" si="47"/>
        <v>0</v>
      </c>
      <c r="BK384" s="1598">
        <f t="shared" si="47"/>
        <v>0</v>
      </c>
      <c r="BL384" s="1598">
        <f t="shared" si="47"/>
        <v>0</v>
      </c>
      <c r="BM384" s="1598">
        <f t="shared" si="47"/>
        <v>0</v>
      </c>
      <c r="BN384" s="1598">
        <f t="shared" si="51"/>
        <v>0</v>
      </c>
      <c r="BO384" s="1598">
        <f t="shared" si="51"/>
        <v>0</v>
      </c>
      <c r="BP384" s="1598">
        <f t="shared" si="51"/>
        <v>0</v>
      </c>
      <c r="BQ384" s="1576"/>
      <c r="BR384" s="1742" t="s">
        <v>2057</v>
      </c>
      <c r="BS384" s="1581"/>
      <c r="BT384" s="1539"/>
      <c r="BU384" s="1430">
        <v>1501006870</v>
      </c>
      <c r="BV384" s="1430" t="s">
        <v>1984</v>
      </c>
    </row>
    <row r="385" spans="1:74" s="1430" customFormat="1" outlineLevel="1">
      <c r="A385" s="1499">
        <v>151</v>
      </c>
      <c r="B385" s="1539" t="s">
        <v>2141</v>
      </c>
      <c r="C385" s="1578"/>
      <c r="D385" s="1511" t="s">
        <v>934</v>
      </c>
      <c r="E385" s="1579"/>
      <c r="F385" s="1334"/>
      <c r="G385" s="1318"/>
      <c r="H385" s="1318"/>
      <c r="I385" s="1379"/>
      <c r="J385" s="1379"/>
      <c r="K385" s="1402"/>
      <c r="L385" s="1337"/>
      <c r="M385" s="1337"/>
      <c r="N385" s="1339" t="s">
        <v>1984</v>
      </c>
      <c r="O385" s="1336"/>
      <c r="P385" s="1598">
        <f t="shared" si="50"/>
        <v>0</v>
      </c>
      <c r="Q385" s="1573">
        <f t="shared" si="50"/>
        <v>4.2384409999999999E-3</v>
      </c>
      <c r="R385" s="1598">
        <f t="shared" si="50"/>
        <v>0</v>
      </c>
      <c r="S385" s="1598">
        <f t="shared" si="50"/>
        <v>0</v>
      </c>
      <c r="T385" s="1598">
        <f t="shared" si="44"/>
        <v>4.2384409999999999E-3</v>
      </c>
      <c r="U385" s="1598">
        <f t="shared" si="49"/>
        <v>0</v>
      </c>
      <c r="V385" s="1598">
        <v>0</v>
      </c>
      <c r="W385" s="1598">
        <v>0</v>
      </c>
      <c r="X385" s="1598"/>
      <c r="Y385" s="1598"/>
      <c r="Z385" s="1598"/>
      <c r="AA385" s="1598"/>
      <c r="AB385" s="1598"/>
      <c r="AC385" s="1598"/>
      <c r="AD385" s="1598"/>
      <c r="AE385" s="1598"/>
      <c r="AF385" s="1598"/>
      <c r="AG385" s="1598"/>
      <c r="AH385" s="1725"/>
      <c r="AI385" s="1725"/>
      <c r="AJ385" s="1725"/>
      <c r="AK385" s="1725"/>
      <c r="AL385" s="1725"/>
      <c r="AM385" s="1725"/>
      <c r="AN385" s="1725"/>
      <c r="AO385" s="1725"/>
      <c r="AP385" s="1725"/>
      <c r="AQ385" s="1725"/>
      <c r="AR385" s="1725"/>
      <c r="AS385" s="1725">
        <f t="shared" si="45"/>
        <v>0</v>
      </c>
      <c r="AT385" s="1725"/>
      <c r="AU385" s="1624">
        <v>0</v>
      </c>
      <c r="AV385" s="1624">
        <v>0</v>
      </c>
      <c r="AW385" s="1624">
        <v>0</v>
      </c>
      <c r="AX385" s="1624">
        <v>0</v>
      </c>
      <c r="AY385" s="1624">
        <v>0</v>
      </c>
      <c r="AZ385" s="1624">
        <v>0</v>
      </c>
      <c r="BA385" s="1624">
        <v>0</v>
      </c>
      <c r="BB385" s="1593"/>
      <c r="BC385" s="1726" t="s">
        <v>1985</v>
      </c>
      <c r="BD385" s="1595"/>
      <c r="BE385" s="1598">
        <f t="shared" si="46"/>
        <v>0</v>
      </c>
      <c r="BF385" s="1739">
        <v>4.2384409999999999E-3</v>
      </c>
      <c r="BG385" s="1598">
        <f t="shared" si="47"/>
        <v>0</v>
      </c>
      <c r="BH385" s="1598">
        <f t="shared" si="47"/>
        <v>0</v>
      </c>
      <c r="BI385" s="1598">
        <f t="shared" si="47"/>
        <v>0</v>
      </c>
      <c r="BJ385" s="1598">
        <f t="shared" si="47"/>
        <v>0</v>
      </c>
      <c r="BK385" s="1598">
        <f t="shared" si="47"/>
        <v>0</v>
      </c>
      <c r="BL385" s="1598">
        <f t="shared" si="47"/>
        <v>0</v>
      </c>
      <c r="BM385" s="1598">
        <f t="shared" si="47"/>
        <v>0</v>
      </c>
      <c r="BN385" s="1598">
        <f t="shared" si="51"/>
        <v>0</v>
      </c>
      <c r="BO385" s="1598">
        <f t="shared" si="51"/>
        <v>0</v>
      </c>
      <c r="BP385" s="1598">
        <f t="shared" si="51"/>
        <v>0</v>
      </c>
      <c r="BQ385" s="1576"/>
      <c r="BR385" s="1727" t="s">
        <v>1985</v>
      </c>
      <c r="BS385" s="1581"/>
      <c r="BT385" s="1539"/>
      <c r="BU385" s="1430">
        <v>1501006871</v>
      </c>
      <c r="BV385" s="1430" t="s">
        <v>1984</v>
      </c>
    </row>
    <row r="386" spans="1:74" s="1430" customFormat="1" outlineLevel="1">
      <c r="A386" s="1499">
        <v>152</v>
      </c>
      <c r="B386" s="1539" t="s">
        <v>2142</v>
      </c>
      <c r="C386" s="1578"/>
      <c r="D386" s="1511" t="s">
        <v>934</v>
      </c>
      <c r="E386" s="1579"/>
      <c r="F386" s="1334"/>
      <c r="G386" s="1318"/>
      <c r="H386" s="1318"/>
      <c r="I386" s="1379"/>
      <c r="J386" s="1379"/>
      <c r="K386" s="1402"/>
      <c r="L386" s="1337"/>
      <c r="M386" s="1337"/>
      <c r="N386" s="1339" t="s">
        <v>1984</v>
      </c>
      <c r="O386" s="1336"/>
      <c r="P386" s="1598">
        <f t="shared" si="50"/>
        <v>0</v>
      </c>
      <c r="Q386" s="1573">
        <f t="shared" si="50"/>
        <v>3.0444899999999998E-4</v>
      </c>
      <c r="R386" s="1598">
        <f t="shared" si="50"/>
        <v>0</v>
      </c>
      <c r="S386" s="1598">
        <f t="shared" si="50"/>
        <v>0</v>
      </c>
      <c r="T386" s="1598">
        <f t="shared" si="44"/>
        <v>3.0444899999999998E-4</v>
      </c>
      <c r="U386" s="1598">
        <f t="shared" si="49"/>
        <v>0</v>
      </c>
      <c r="V386" s="1598">
        <v>0</v>
      </c>
      <c r="W386" s="1598">
        <v>0</v>
      </c>
      <c r="X386" s="1598"/>
      <c r="Y386" s="1598"/>
      <c r="Z386" s="1598"/>
      <c r="AA386" s="1598"/>
      <c r="AB386" s="1598"/>
      <c r="AC386" s="1598"/>
      <c r="AD386" s="1598"/>
      <c r="AE386" s="1598"/>
      <c r="AF386" s="1598"/>
      <c r="AG386" s="1598"/>
      <c r="AH386" s="1725"/>
      <c r="AI386" s="1725"/>
      <c r="AJ386" s="1725"/>
      <c r="AK386" s="1725"/>
      <c r="AL386" s="1725"/>
      <c r="AM386" s="1725"/>
      <c r="AN386" s="1725"/>
      <c r="AO386" s="1725"/>
      <c r="AP386" s="1725"/>
      <c r="AQ386" s="1725"/>
      <c r="AR386" s="1725"/>
      <c r="AS386" s="1725">
        <f t="shared" si="45"/>
        <v>0</v>
      </c>
      <c r="AT386" s="1725"/>
      <c r="AU386" s="1624">
        <v>0</v>
      </c>
      <c r="AV386" s="1624">
        <v>0</v>
      </c>
      <c r="AW386" s="1624">
        <v>0</v>
      </c>
      <c r="AX386" s="1624">
        <v>0</v>
      </c>
      <c r="AY386" s="1624">
        <v>0</v>
      </c>
      <c r="AZ386" s="1624">
        <v>0</v>
      </c>
      <c r="BA386" s="1624">
        <v>0</v>
      </c>
      <c r="BB386" s="1593"/>
      <c r="BC386" s="1736" t="s">
        <v>1997</v>
      </c>
      <c r="BD386" s="1595"/>
      <c r="BE386" s="1598">
        <f t="shared" si="46"/>
        <v>0</v>
      </c>
      <c r="BF386" s="1739">
        <v>3.0444899999999998E-4</v>
      </c>
      <c r="BG386" s="1598">
        <f t="shared" si="47"/>
        <v>0</v>
      </c>
      <c r="BH386" s="1598">
        <f t="shared" si="47"/>
        <v>0</v>
      </c>
      <c r="BI386" s="1598">
        <f t="shared" si="47"/>
        <v>0</v>
      </c>
      <c r="BJ386" s="1598">
        <f t="shared" si="47"/>
        <v>0</v>
      </c>
      <c r="BK386" s="1598">
        <f t="shared" si="47"/>
        <v>0</v>
      </c>
      <c r="BL386" s="1598">
        <f t="shared" si="47"/>
        <v>0</v>
      </c>
      <c r="BM386" s="1598">
        <f t="shared" si="47"/>
        <v>0</v>
      </c>
      <c r="BN386" s="1598">
        <f t="shared" si="51"/>
        <v>0</v>
      </c>
      <c r="BO386" s="1598">
        <f t="shared" si="51"/>
        <v>0</v>
      </c>
      <c r="BP386" s="1598">
        <f t="shared" si="51"/>
        <v>0</v>
      </c>
      <c r="BQ386" s="1576"/>
      <c r="BR386" s="1737" t="s">
        <v>1997</v>
      </c>
      <c r="BS386" s="1581"/>
      <c r="BT386" s="1539"/>
      <c r="BU386" s="1430">
        <v>1501006872</v>
      </c>
      <c r="BV386" s="1430" t="s">
        <v>1984</v>
      </c>
    </row>
    <row r="387" spans="1:74" s="1430" customFormat="1" outlineLevel="1">
      <c r="A387" s="1499">
        <v>153</v>
      </c>
      <c r="B387" s="1539" t="s">
        <v>2143</v>
      </c>
      <c r="C387" s="1578"/>
      <c r="D387" s="1511" t="s">
        <v>934</v>
      </c>
      <c r="E387" s="1579"/>
      <c r="F387" s="1334"/>
      <c r="G387" s="1318"/>
      <c r="H387" s="1318"/>
      <c r="I387" s="1379"/>
      <c r="J387" s="1379"/>
      <c r="K387" s="1402"/>
      <c r="L387" s="1337"/>
      <c r="M387" s="1337"/>
      <c r="N387" s="1339" t="s">
        <v>1984</v>
      </c>
      <c r="O387" s="1336"/>
      <c r="P387" s="1598">
        <f t="shared" si="50"/>
        <v>0</v>
      </c>
      <c r="Q387" s="1573">
        <f t="shared" si="50"/>
        <v>1.3285770000000001E-3</v>
      </c>
      <c r="R387" s="1598">
        <f t="shared" si="50"/>
        <v>0</v>
      </c>
      <c r="S387" s="1598">
        <f t="shared" si="50"/>
        <v>0</v>
      </c>
      <c r="T387" s="1598">
        <f t="shared" si="44"/>
        <v>1.3285770000000001E-3</v>
      </c>
      <c r="U387" s="1598">
        <f t="shared" si="49"/>
        <v>0</v>
      </c>
      <c r="V387" s="1598">
        <v>0</v>
      </c>
      <c r="W387" s="1598">
        <v>0</v>
      </c>
      <c r="X387" s="1598"/>
      <c r="Y387" s="1598"/>
      <c r="Z387" s="1598"/>
      <c r="AA387" s="1598"/>
      <c r="AB387" s="1598"/>
      <c r="AC387" s="1598"/>
      <c r="AD387" s="1598"/>
      <c r="AE387" s="1598"/>
      <c r="AF387" s="1598"/>
      <c r="AG387" s="1598"/>
      <c r="AH387" s="1725"/>
      <c r="AI387" s="1725"/>
      <c r="AJ387" s="1725"/>
      <c r="AK387" s="1725"/>
      <c r="AL387" s="1725"/>
      <c r="AM387" s="1725"/>
      <c r="AN387" s="1725"/>
      <c r="AO387" s="1725"/>
      <c r="AP387" s="1725"/>
      <c r="AQ387" s="1725"/>
      <c r="AR387" s="1725"/>
      <c r="AS387" s="1725">
        <f t="shared" si="45"/>
        <v>0</v>
      </c>
      <c r="AT387" s="1725"/>
      <c r="AU387" s="1624">
        <v>0</v>
      </c>
      <c r="AV387" s="1624">
        <v>0</v>
      </c>
      <c r="AW387" s="1624">
        <v>0</v>
      </c>
      <c r="AX387" s="1624">
        <v>0</v>
      </c>
      <c r="AY387" s="1624">
        <v>0</v>
      </c>
      <c r="AZ387" s="1624">
        <v>0</v>
      </c>
      <c r="BA387" s="1624">
        <v>0</v>
      </c>
      <c r="BB387" s="1593"/>
      <c r="BC387" s="1736" t="s">
        <v>1997</v>
      </c>
      <c r="BD387" s="1595"/>
      <c r="BE387" s="1598">
        <f t="shared" si="46"/>
        <v>0</v>
      </c>
      <c r="BF387" s="1739">
        <v>1.3285770000000001E-3</v>
      </c>
      <c r="BG387" s="1598">
        <f t="shared" si="47"/>
        <v>0</v>
      </c>
      <c r="BH387" s="1598">
        <f t="shared" si="47"/>
        <v>0</v>
      </c>
      <c r="BI387" s="1598">
        <f t="shared" si="47"/>
        <v>0</v>
      </c>
      <c r="BJ387" s="1598">
        <f t="shared" si="47"/>
        <v>0</v>
      </c>
      <c r="BK387" s="1598">
        <f t="shared" si="47"/>
        <v>0</v>
      </c>
      <c r="BL387" s="1598">
        <f t="shared" si="47"/>
        <v>0</v>
      </c>
      <c r="BM387" s="1598">
        <f t="shared" si="47"/>
        <v>0</v>
      </c>
      <c r="BN387" s="1598">
        <f t="shared" si="51"/>
        <v>0</v>
      </c>
      <c r="BO387" s="1598">
        <f t="shared" si="51"/>
        <v>0</v>
      </c>
      <c r="BP387" s="1598">
        <f t="shared" si="51"/>
        <v>0</v>
      </c>
      <c r="BQ387" s="1576"/>
      <c r="BR387" s="1737" t="s">
        <v>1997</v>
      </c>
      <c r="BS387" s="1581"/>
      <c r="BT387" s="1539"/>
      <c r="BU387" s="1430">
        <v>1501006873</v>
      </c>
      <c r="BV387" s="1430" t="s">
        <v>1984</v>
      </c>
    </row>
    <row r="388" spans="1:74" s="1430" customFormat="1" outlineLevel="1">
      <c r="A388" s="1499">
        <v>154</v>
      </c>
      <c r="B388" s="1539" t="s">
        <v>2144</v>
      </c>
      <c r="C388" s="1578"/>
      <c r="D388" s="1511" t="s">
        <v>934</v>
      </c>
      <c r="E388" s="1579"/>
      <c r="F388" s="1334"/>
      <c r="G388" s="1318"/>
      <c r="H388" s="1318"/>
      <c r="I388" s="1379"/>
      <c r="J388" s="1379"/>
      <c r="K388" s="1402"/>
      <c r="L388" s="1337"/>
      <c r="M388" s="1337"/>
      <c r="N388" s="1339" t="s">
        <v>1984</v>
      </c>
      <c r="O388" s="1336"/>
      <c r="P388" s="1598">
        <f t="shared" si="50"/>
        <v>0</v>
      </c>
      <c r="Q388" s="1573">
        <f t="shared" si="50"/>
        <v>2.0736180000000002E-3</v>
      </c>
      <c r="R388" s="1598">
        <f t="shared" si="50"/>
        <v>0</v>
      </c>
      <c r="S388" s="1598">
        <f t="shared" si="50"/>
        <v>0</v>
      </c>
      <c r="T388" s="1598">
        <f t="shared" si="44"/>
        <v>2.0736180000000002E-3</v>
      </c>
      <c r="U388" s="1598">
        <f t="shared" si="49"/>
        <v>0</v>
      </c>
      <c r="V388" s="1598">
        <v>0</v>
      </c>
      <c r="W388" s="1598">
        <v>0</v>
      </c>
      <c r="X388" s="1598"/>
      <c r="Y388" s="1598"/>
      <c r="Z388" s="1598"/>
      <c r="AA388" s="1598"/>
      <c r="AB388" s="1598"/>
      <c r="AC388" s="1598"/>
      <c r="AD388" s="1598"/>
      <c r="AE388" s="1598"/>
      <c r="AF388" s="1598"/>
      <c r="AG388" s="1598"/>
      <c r="AH388" s="1725"/>
      <c r="AI388" s="1725"/>
      <c r="AJ388" s="1725"/>
      <c r="AK388" s="1725"/>
      <c r="AL388" s="1725"/>
      <c r="AM388" s="1725"/>
      <c r="AN388" s="1725"/>
      <c r="AO388" s="1725"/>
      <c r="AP388" s="1725"/>
      <c r="AQ388" s="1725"/>
      <c r="AR388" s="1725"/>
      <c r="AS388" s="1725">
        <f t="shared" si="45"/>
        <v>0</v>
      </c>
      <c r="AT388" s="1725"/>
      <c r="AU388" s="1624">
        <v>0</v>
      </c>
      <c r="AV388" s="1624">
        <v>0</v>
      </c>
      <c r="AW388" s="1624">
        <v>0</v>
      </c>
      <c r="AX388" s="1624">
        <v>0</v>
      </c>
      <c r="AY388" s="1624">
        <v>0</v>
      </c>
      <c r="AZ388" s="1624">
        <v>0</v>
      </c>
      <c r="BA388" s="1624">
        <v>0</v>
      </c>
      <c r="BB388" s="1593"/>
      <c r="BC388" s="1736" t="s">
        <v>1997</v>
      </c>
      <c r="BD388" s="1595"/>
      <c r="BE388" s="1598">
        <f t="shared" si="46"/>
        <v>0</v>
      </c>
      <c r="BF388" s="1739">
        <v>2.0736180000000002E-3</v>
      </c>
      <c r="BG388" s="1598">
        <f t="shared" si="47"/>
        <v>0</v>
      </c>
      <c r="BH388" s="1598">
        <f t="shared" si="47"/>
        <v>0</v>
      </c>
      <c r="BI388" s="1598">
        <f t="shared" si="47"/>
        <v>0</v>
      </c>
      <c r="BJ388" s="1598">
        <f t="shared" si="47"/>
        <v>0</v>
      </c>
      <c r="BK388" s="1598">
        <f t="shared" si="47"/>
        <v>0</v>
      </c>
      <c r="BL388" s="1598">
        <f t="shared" si="47"/>
        <v>0</v>
      </c>
      <c r="BM388" s="1598">
        <f t="shared" si="47"/>
        <v>0</v>
      </c>
      <c r="BN388" s="1598">
        <f t="shared" si="51"/>
        <v>0</v>
      </c>
      <c r="BO388" s="1598">
        <f t="shared" si="51"/>
        <v>0</v>
      </c>
      <c r="BP388" s="1598">
        <f t="shared" si="51"/>
        <v>0</v>
      </c>
      <c r="BQ388" s="1576"/>
      <c r="BR388" s="1737" t="s">
        <v>1997</v>
      </c>
      <c r="BS388" s="1581"/>
      <c r="BT388" s="1539"/>
      <c r="BU388" s="1430">
        <v>1501006874</v>
      </c>
      <c r="BV388" s="1430" t="s">
        <v>1984</v>
      </c>
    </row>
    <row r="389" spans="1:74" s="1430" customFormat="1" outlineLevel="1">
      <c r="A389" s="1499">
        <v>155</v>
      </c>
      <c r="B389" s="1539" t="s">
        <v>2145</v>
      </c>
      <c r="C389" s="1578"/>
      <c r="D389" s="1511" t="s">
        <v>934</v>
      </c>
      <c r="E389" s="1579"/>
      <c r="F389" s="1334"/>
      <c r="G389" s="1318"/>
      <c r="H389" s="1318"/>
      <c r="I389" s="1379"/>
      <c r="J389" s="1379"/>
      <c r="K389" s="1402"/>
      <c r="L389" s="1337"/>
      <c r="M389" s="1337"/>
      <c r="N389" s="1339" t="s">
        <v>1984</v>
      </c>
      <c r="O389" s="1336"/>
      <c r="P389" s="1598">
        <f t="shared" si="50"/>
        <v>0</v>
      </c>
      <c r="Q389" s="1573">
        <f t="shared" si="50"/>
        <v>8.1516999999999999E-5</v>
      </c>
      <c r="R389" s="1598">
        <f t="shared" si="50"/>
        <v>0</v>
      </c>
      <c r="S389" s="1598">
        <f t="shared" si="50"/>
        <v>0</v>
      </c>
      <c r="T389" s="1598">
        <f t="shared" si="44"/>
        <v>8.1516999999999999E-5</v>
      </c>
      <c r="U389" s="1598">
        <f t="shared" si="49"/>
        <v>0</v>
      </c>
      <c r="V389" s="1598">
        <v>0</v>
      </c>
      <c r="W389" s="1598">
        <v>0</v>
      </c>
      <c r="X389" s="1598"/>
      <c r="Y389" s="1598"/>
      <c r="Z389" s="1598"/>
      <c r="AA389" s="1598"/>
      <c r="AB389" s="1598"/>
      <c r="AC389" s="1598"/>
      <c r="AD389" s="1598"/>
      <c r="AE389" s="1598"/>
      <c r="AF389" s="1598"/>
      <c r="AG389" s="1598"/>
      <c r="AH389" s="1725"/>
      <c r="AI389" s="1725"/>
      <c r="AJ389" s="1725"/>
      <c r="AK389" s="1725"/>
      <c r="AL389" s="1725"/>
      <c r="AM389" s="1725"/>
      <c r="AN389" s="1725"/>
      <c r="AO389" s="1725"/>
      <c r="AP389" s="1725"/>
      <c r="AQ389" s="1725"/>
      <c r="AR389" s="1725"/>
      <c r="AS389" s="1725">
        <f t="shared" si="45"/>
        <v>0</v>
      </c>
      <c r="AT389" s="1725"/>
      <c r="AU389" s="1624">
        <v>0</v>
      </c>
      <c r="AV389" s="1624">
        <v>0</v>
      </c>
      <c r="AW389" s="1624">
        <v>0</v>
      </c>
      <c r="AX389" s="1624">
        <v>0</v>
      </c>
      <c r="AY389" s="1624">
        <v>0</v>
      </c>
      <c r="AZ389" s="1624">
        <v>0</v>
      </c>
      <c r="BA389" s="1624">
        <v>0</v>
      </c>
      <c r="BB389" s="1593"/>
      <c r="BC389" s="1726" t="s">
        <v>1985</v>
      </c>
      <c r="BD389" s="1595"/>
      <c r="BE389" s="1598">
        <f t="shared" si="46"/>
        <v>0</v>
      </c>
      <c r="BF389" s="1739">
        <f>(172.42+642.75)/10000000</f>
        <v>8.1516999999999999E-5</v>
      </c>
      <c r="BG389" s="1598">
        <f t="shared" si="47"/>
        <v>0</v>
      </c>
      <c r="BH389" s="1598">
        <f t="shared" si="47"/>
        <v>0</v>
      </c>
      <c r="BI389" s="1598">
        <f t="shared" si="47"/>
        <v>0</v>
      </c>
      <c r="BJ389" s="1598">
        <f t="shared" si="47"/>
        <v>0</v>
      </c>
      <c r="BK389" s="1598">
        <f t="shared" si="47"/>
        <v>0</v>
      </c>
      <c r="BL389" s="1598">
        <f t="shared" si="47"/>
        <v>0</v>
      </c>
      <c r="BM389" s="1598">
        <f t="shared" si="47"/>
        <v>0</v>
      </c>
      <c r="BN389" s="1598">
        <f t="shared" si="51"/>
        <v>0</v>
      </c>
      <c r="BO389" s="1598">
        <f t="shared" si="51"/>
        <v>0</v>
      </c>
      <c r="BP389" s="1598">
        <f t="shared" si="51"/>
        <v>0</v>
      </c>
      <c r="BQ389" s="1576"/>
      <c r="BR389" s="1727" t="s">
        <v>1985</v>
      </c>
      <c r="BS389" s="1581"/>
      <c r="BT389" s="1539"/>
      <c r="BU389" s="1430">
        <v>1501007958</v>
      </c>
      <c r="BV389" s="1430" t="s">
        <v>1984</v>
      </c>
    </row>
    <row r="390" spans="1:74" s="1430" customFormat="1" ht="29" outlineLevel="1">
      <c r="A390" s="1499">
        <v>156</v>
      </c>
      <c r="B390" s="1539" t="s">
        <v>2146</v>
      </c>
      <c r="C390" s="1578"/>
      <c r="D390" s="1511" t="s">
        <v>934</v>
      </c>
      <c r="E390" s="1579"/>
      <c r="F390" s="1334"/>
      <c r="G390" s="1318"/>
      <c r="H390" s="1318"/>
      <c r="I390" s="1379"/>
      <c r="J390" s="1379"/>
      <c r="K390" s="1402"/>
      <c r="L390" s="1337"/>
      <c r="M390" s="1337"/>
      <c r="N390" s="1339" t="s">
        <v>2147</v>
      </c>
      <c r="O390" s="1336"/>
      <c r="P390" s="1598">
        <f t="shared" si="50"/>
        <v>0</v>
      </c>
      <c r="Q390" s="1573">
        <f t="shared" si="50"/>
        <v>7.8696799999999997E-2</v>
      </c>
      <c r="R390" s="1598">
        <f t="shared" si="50"/>
        <v>0</v>
      </c>
      <c r="S390" s="1598">
        <f t="shared" si="50"/>
        <v>0</v>
      </c>
      <c r="T390" s="1598">
        <f t="shared" si="44"/>
        <v>7.8696799999999997E-2</v>
      </c>
      <c r="U390" s="1598">
        <f t="shared" si="49"/>
        <v>0</v>
      </c>
      <c r="V390" s="1598">
        <v>0</v>
      </c>
      <c r="W390" s="1598">
        <v>0</v>
      </c>
      <c r="X390" s="1598"/>
      <c r="Y390" s="1598"/>
      <c r="Z390" s="1598"/>
      <c r="AA390" s="1598"/>
      <c r="AB390" s="1598"/>
      <c r="AC390" s="1598"/>
      <c r="AD390" s="1598"/>
      <c r="AE390" s="1598"/>
      <c r="AF390" s="1598"/>
      <c r="AG390" s="1598"/>
      <c r="AH390" s="1725"/>
      <c r="AI390" s="1725"/>
      <c r="AJ390" s="1725"/>
      <c r="AK390" s="1725"/>
      <c r="AL390" s="1725"/>
      <c r="AM390" s="1725"/>
      <c r="AN390" s="1725"/>
      <c r="AO390" s="1725"/>
      <c r="AP390" s="1725"/>
      <c r="AQ390" s="1725"/>
      <c r="AR390" s="1725"/>
      <c r="AS390" s="1725">
        <f t="shared" si="45"/>
        <v>0</v>
      </c>
      <c r="AT390" s="1725"/>
      <c r="AU390" s="1624">
        <v>0</v>
      </c>
      <c r="AV390" s="1624">
        <v>0</v>
      </c>
      <c r="AW390" s="1624">
        <v>0</v>
      </c>
      <c r="AX390" s="1624">
        <v>0</v>
      </c>
      <c r="AY390" s="1624">
        <v>0</v>
      </c>
      <c r="AZ390" s="1624">
        <v>0</v>
      </c>
      <c r="BA390" s="1624">
        <v>0</v>
      </c>
      <c r="BB390" s="1593"/>
      <c r="BC390" s="1738" t="s">
        <v>2052</v>
      </c>
      <c r="BD390" s="1595"/>
      <c r="BE390" s="1598">
        <f t="shared" si="46"/>
        <v>0</v>
      </c>
      <c r="BF390" s="1739">
        <v>7.8696799999999997E-2</v>
      </c>
      <c r="BG390" s="1598">
        <f t="shared" si="47"/>
        <v>0</v>
      </c>
      <c r="BH390" s="1598">
        <f t="shared" si="47"/>
        <v>0</v>
      </c>
      <c r="BI390" s="1598">
        <f t="shared" si="47"/>
        <v>0</v>
      </c>
      <c r="BJ390" s="1598">
        <f t="shared" si="47"/>
        <v>0</v>
      </c>
      <c r="BK390" s="1598">
        <f t="shared" si="47"/>
        <v>0</v>
      </c>
      <c r="BL390" s="1598">
        <f t="shared" si="47"/>
        <v>0</v>
      </c>
      <c r="BM390" s="1598">
        <f t="shared" si="47"/>
        <v>0</v>
      </c>
      <c r="BN390" s="1598">
        <f t="shared" si="51"/>
        <v>0</v>
      </c>
      <c r="BO390" s="1598">
        <f t="shared" si="51"/>
        <v>0</v>
      </c>
      <c r="BP390" s="1598">
        <f t="shared" si="51"/>
        <v>0</v>
      </c>
      <c r="BQ390" s="1576"/>
      <c r="BR390" s="1740" t="s">
        <v>2052</v>
      </c>
      <c r="BS390" s="1581"/>
      <c r="BT390" s="1539"/>
      <c r="BU390" s="1430">
        <v>1501008285</v>
      </c>
      <c r="BV390" s="1430" t="s">
        <v>2147</v>
      </c>
    </row>
    <row r="391" spans="1:74" s="1430" customFormat="1" outlineLevel="1">
      <c r="A391" s="1499">
        <v>157</v>
      </c>
      <c r="B391" s="1539" t="s">
        <v>2148</v>
      </c>
      <c r="C391" s="1578"/>
      <c r="D391" s="1511" t="s">
        <v>934</v>
      </c>
      <c r="E391" s="1579"/>
      <c r="F391" s="1334"/>
      <c r="G391" s="1318"/>
      <c r="H391" s="1318"/>
      <c r="I391" s="1379"/>
      <c r="J391" s="1379"/>
      <c r="K391" s="1402"/>
      <c r="L391" s="1337"/>
      <c r="M391" s="1337"/>
      <c r="N391" s="1339" t="s">
        <v>1984</v>
      </c>
      <c r="O391" s="1336"/>
      <c r="P391" s="1598">
        <f t="shared" si="50"/>
        <v>0</v>
      </c>
      <c r="Q391" s="1573">
        <f t="shared" si="50"/>
        <v>1.6370498000000001E-2</v>
      </c>
      <c r="R391" s="1598">
        <f t="shared" si="50"/>
        <v>0</v>
      </c>
      <c r="S391" s="1598">
        <f t="shared" si="50"/>
        <v>0</v>
      </c>
      <c r="T391" s="1598">
        <f t="shared" si="44"/>
        <v>1.6370498000000001E-2</v>
      </c>
      <c r="U391" s="1598">
        <f t="shared" si="49"/>
        <v>0</v>
      </c>
      <c r="V391" s="1598">
        <v>0</v>
      </c>
      <c r="W391" s="1598">
        <v>0</v>
      </c>
      <c r="X391" s="1598"/>
      <c r="Y391" s="1598"/>
      <c r="Z391" s="1598"/>
      <c r="AA391" s="1598"/>
      <c r="AB391" s="1598"/>
      <c r="AC391" s="1598"/>
      <c r="AD391" s="1598"/>
      <c r="AE391" s="1598"/>
      <c r="AF391" s="1598"/>
      <c r="AG391" s="1598"/>
      <c r="AH391" s="1725"/>
      <c r="AI391" s="1725"/>
      <c r="AJ391" s="1725"/>
      <c r="AK391" s="1725"/>
      <c r="AL391" s="1725"/>
      <c r="AM391" s="1725"/>
      <c r="AN391" s="1725"/>
      <c r="AO391" s="1725"/>
      <c r="AP391" s="1725"/>
      <c r="AQ391" s="1725"/>
      <c r="AR391" s="1725"/>
      <c r="AS391" s="1725">
        <f t="shared" si="45"/>
        <v>0</v>
      </c>
      <c r="AT391" s="1725"/>
      <c r="AU391" s="1624">
        <v>0</v>
      </c>
      <c r="AV391" s="1624">
        <v>0</v>
      </c>
      <c r="AW391" s="1624">
        <v>0</v>
      </c>
      <c r="AX391" s="1624">
        <v>0</v>
      </c>
      <c r="AY391" s="1624">
        <v>0</v>
      </c>
      <c r="AZ391" s="1624">
        <v>0</v>
      </c>
      <c r="BA391" s="1624">
        <v>0</v>
      </c>
      <c r="BB391" s="1593"/>
      <c r="BC391" s="1741" t="s">
        <v>2057</v>
      </c>
      <c r="BD391" s="1595"/>
      <c r="BE391" s="1598">
        <f t="shared" si="46"/>
        <v>0</v>
      </c>
      <c r="BF391" s="1739">
        <v>1.6370498000000001E-2</v>
      </c>
      <c r="BG391" s="1598">
        <f t="shared" si="47"/>
        <v>0</v>
      </c>
      <c r="BH391" s="1598">
        <f t="shared" si="47"/>
        <v>0</v>
      </c>
      <c r="BI391" s="1598">
        <f t="shared" si="47"/>
        <v>0</v>
      </c>
      <c r="BJ391" s="1598">
        <f t="shared" si="47"/>
        <v>0</v>
      </c>
      <c r="BK391" s="1598">
        <f t="shared" si="47"/>
        <v>0</v>
      </c>
      <c r="BL391" s="1598">
        <f t="shared" si="47"/>
        <v>0</v>
      </c>
      <c r="BM391" s="1598">
        <f t="shared" si="47"/>
        <v>0</v>
      </c>
      <c r="BN391" s="1598">
        <f t="shared" si="51"/>
        <v>0</v>
      </c>
      <c r="BO391" s="1598">
        <f t="shared" si="51"/>
        <v>0</v>
      </c>
      <c r="BP391" s="1598">
        <f t="shared" si="51"/>
        <v>0</v>
      </c>
      <c r="BQ391" s="1576"/>
      <c r="BR391" s="1742" t="s">
        <v>2057</v>
      </c>
      <c r="BS391" s="1581"/>
      <c r="BT391" s="1539"/>
      <c r="BU391" s="1430">
        <v>160100270</v>
      </c>
      <c r="BV391" s="1430" t="s">
        <v>1984</v>
      </c>
    </row>
    <row r="392" spans="1:74" s="1430" customFormat="1" outlineLevel="1">
      <c r="A392" s="1499">
        <v>158</v>
      </c>
      <c r="B392" s="1539" t="s">
        <v>2149</v>
      </c>
      <c r="C392" s="1578"/>
      <c r="D392" s="1511" t="s">
        <v>934</v>
      </c>
      <c r="E392" s="1579"/>
      <c r="F392" s="1334"/>
      <c r="G392" s="1318"/>
      <c r="H392" s="1318"/>
      <c r="I392" s="1379"/>
      <c r="J392" s="1379"/>
      <c r="K392" s="1402"/>
      <c r="L392" s="1337"/>
      <c r="M392" s="1337"/>
      <c r="N392" s="1339" t="s">
        <v>1984</v>
      </c>
      <c r="O392" s="1336"/>
      <c r="P392" s="1598">
        <f t="shared" si="50"/>
        <v>0</v>
      </c>
      <c r="Q392" s="1573">
        <f t="shared" si="50"/>
        <v>1.2547599E-2</v>
      </c>
      <c r="R392" s="1598">
        <f t="shared" si="50"/>
        <v>0</v>
      </c>
      <c r="S392" s="1598">
        <f t="shared" si="50"/>
        <v>0</v>
      </c>
      <c r="T392" s="1598">
        <f t="shared" si="44"/>
        <v>1.2547599E-2</v>
      </c>
      <c r="U392" s="1598">
        <f t="shared" si="49"/>
        <v>0</v>
      </c>
      <c r="V392" s="1598">
        <v>0</v>
      </c>
      <c r="W392" s="1598">
        <v>0</v>
      </c>
      <c r="X392" s="1598"/>
      <c r="Y392" s="1598"/>
      <c r="Z392" s="1598"/>
      <c r="AA392" s="1598"/>
      <c r="AB392" s="1598"/>
      <c r="AC392" s="1598"/>
      <c r="AD392" s="1598"/>
      <c r="AE392" s="1598"/>
      <c r="AF392" s="1598"/>
      <c r="AG392" s="1598"/>
      <c r="AH392" s="1725"/>
      <c r="AI392" s="1725"/>
      <c r="AJ392" s="1725"/>
      <c r="AK392" s="1725"/>
      <c r="AL392" s="1725"/>
      <c r="AM392" s="1725"/>
      <c r="AN392" s="1725"/>
      <c r="AO392" s="1725"/>
      <c r="AP392" s="1725"/>
      <c r="AQ392" s="1725"/>
      <c r="AR392" s="1725"/>
      <c r="AS392" s="1725">
        <f t="shared" si="45"/>
        <v>0</v>
      </c>
      <c r="AT392" s="1725"/>
      <c r="AU392" s="1624">
        <v>0</v>
      </c>
      <c r="AV392" s="1624">
        <v>0</v>
      </c>
      <c r="AW392" s="1624">
        <v>0</v>
      </c>
      <c r="AX392" s="1624">
        <v>0</v>
      </c>
      <c r="AY392" s="1624">
        <v>0</v>
      </c>
      <c r="AZ392" s="1624">
        <v>0</v>
      </c>
      <c r="BA392" s="1624">
        <v>0</v>
      </c>
      <c r="BB392" s="1593"/>
      <c r="BC392" s="1738" t="s">
        <v>2052</v>
      </c>
      <c r="BD392" s="1595"/>
      <c r="BE392" s="1598">
        <f t="shared" si="46"/>
        <v>0</v>
      </c>
      <c r="BF392" s="1739">
        <v>1.2547599E-2</v>
      </c>
      <c r="BG392" s="1598">
        <f t="shared" si="47"/>
        <v>0</v>
      </c>
      <c r="BH392" s="1598">
        <f t="shared" si="47"/>
        <v>0</v>
      </c>
      <c r="BI392" s="1598">
        <f t="shared" si="47"/>
        <v>0</v>
      </c>
      <c r="BJ392" s="1598">
        <f t="shared" si="47"/>
        <v>0</v>
      </c>
      <c r="BK392" s="1598">
        <f t="shared" si="47"/>
        <v>0</v>
      </c>
      <c r="BL392" s="1598">
        <f t="shared" si="47"/>
        <v>0</v>
      </c>
      <c r="BM392" s="1598">
        <f t="shared" si="47"/>
        <v>0</v>
      </c>
      <c r="BN392" s="1598">
        <f t="shared" si="51"/>
        <v>0</v>
      </c>
      <c r="BO392" s="1598">
        <f t="shared" si="51"/>
        <v>0</v>
      </c>
      <c r="BP392" s="1598">
        <f t="shared" si="51"/>
        <v>0</v>
      </c>
      <c r="BQ392" s="1576"/>
      <c r="BR392" s="1740" t="s">
        <v>2052</v>
      </c>
      <c r="BS392" s="1581"/>
      <c r="BT392" s="1539"/>
      <c r="BU392" s="1430">
        <v>160100271</v>
      </c>
      <c r="BV392" s="1430" t="s">
        <v>1984</v>
      </c>
    </row>
    <row r="393" spans="1:74" s="1430" customFormat="1" outlineLevel="1">
      <c r="A393" s="1499">
        <v>159</v>
      </c>
      <c r="B393" s="1539" t="s">
        <v>2150</v>
      </c>
      <c r="C393" s="1578"/>
      <c r="D393" s="1511" t="s">
        <v>934</v>
      </c>
      <c r="E393" s="1579"/>
      <c r="F393" s="1334"/>
      <c r="G393" s="1318"/>
      <c r="H393" s="1318"/>
      <c r="I393" s="1379"/>
      <c r="J393" s="1379"/>
      <c r="K393" s="1402"/>
      <c r="L393" s="1337"/>
      <c r="M393" s="1337"/>
      <c r="N393" s="1339" t="s">
        <v>1984</v>
      </c>
      <c r="O393" s="1336"/>
      <c r="P393" s="1598">
        <f t="shared" si="50"/>
        <v>0</v>
      </c>
      <c r="Q393" s="1573">
        <f t="shared" si="50"/>
        <v>3.6008699999999998E-4</v>
      </c>
      <c r="R393" s="1598">
        <f t="shared" si="50"/>
        <v>0</v>
      </c>
      <c r="S393" s="1598">
        <f t="shared" si="50"/>
        <v>0</v>
      </c>
      <c r="T393" s="1598">
        <f t="shared" si="44"/>
        <v>3.6008699999999998E-4</v>
      </c>
      <c r="U393" s="1598">
        <f t="shared" si="49"/>
        <v>0</v>
      </c>
      <c r="V393" s="1598">
        <v>0</v>
      </c>
      <c r="W393" s="1598">
        <v>0</v>
      </c>
      <c r="X393" s="1598"/>
      <c r="Y393" s="1598"/>
      <c r="Z393" s="1598"/>
      <c r="AA393" s="1598"/>
      <c r="AB393" s="1598"/>
      <c r="AC393" s="1598"/>
      <c r="AD393" s="1598"/>
      <c r="AE393" s="1598"/>
      <c r="AF393" s="1598"/>
      <c r="AG393" s="1598"/>
      <c r="AH393" s="1725"/>
      <c r="AI393" s="1725"/>
      <c r="AJ393" s="1725"/>
      <c r="AK393" s="1725"/>
      <c r="AL393" s="1725"/>
      <c r="AM393" s="1725"/>
      <c r="AN393" s="1725"/>
      <c r="AO393" s="1725"/>
      <c r="AP393" s="1725"/>
      <c r="AQ393" s="1725"/>
      <c r="AR393" s="1725"/>
      <c r="AS393" s="1725">
        <f t="shared" si="45"/>
        <v>0</v>
      </c>
      <c r="AT393" s="1725"/>
      <c r="AU393" s="1624">
        <v>0</v>
      </c>
      <c r="AV393" s="1624">
        <v>0</v>
      </c>
      <c r="AW393" s="1624">
        <v>0</v>
      </c>
      <c r="AX393" s="1624">
        <v>0</v>
      </c>
      <c r="AY393" s="1624">
        <v>0</v>
      </c>
      <c r="AZ393" s="1624">
        <v>0</v>
      </c>
      <c r="BA393" s="1624">
        <v>0</v>
      </c>
      <c r="BB393" s="1593"/>
      <c r="BC393" s="1738" t="s">
        <v>2052</v>
      </c>
      <c r="BD393" s="1595"/>
      <c r="BE393" s="1598">
        <f t="shared" si="46"/>
        <v>0</v>
      </c>
      <c r="BF393" s="1739">
        <v>3.6008699999999998E-4</v>
      </c>
      <c r="BG393" s="1598">
        <f t="shared" si="47"/>
        <v>0</v>
      </c>
      <c r="BH393" s="1598">
        <f t="shared" si="47"/>
        <v>0</v>
      </c>
      <c r="BI393" s="1598">
        <f t="shared" si="47"/>
        <v>0</v>
      </c>
      <c r="BJ393" s="1598">
        <f t="shared" si="47"/>
        <v>0</v>
      </c>
      <c r="BK393" s="1598">
        <f t="shared" si="47"/>
        <v>0</v>
      </c>
      <c r="BL393" s="1598">
        <f t="shared" si="47"/>
        <v>0</v>
      </c>
      <c r="BM393" s="1598">
        <f t="shared" si="47"/>
        <v>0</v>
      </c>
      <c r="BN393" s="1598">
        <f t="shared" si="51"/>
        <v>0</v>
      </c>
      <c r="BO393" s="1598">
        <f t="shared" si="51"/>
        <v>0</v>
      </c>
      <c r="BP393" s="1598">
        <f t="shared" si="51"/>
        <v>0</v>
      </c>
      <c r="BQ393" s="1576"/>
      <c r="BR393" s="1740" t="s">
        <v>2052</v>
      </c>
      <c r="BS393" s="1581"/>
      <c r="BT393" s="1539"/>
      <c r="BU393" s="1430">
        <v>160100272</v>
      </c>
      <c r="BV393" s="1430" t="s">
        <v>1984</v>
      </c>
    </row>
    <row r="394" spans="1:74" s="1430" customFormat="1" outlineLevel="1">
      <c r="A394" s="1499">
        <v>160</v>
      </c>
      <c r="B394" s="1539" t="s">
        <v>2151</v>
      </c>
      <c r="C394" s="1578"/>
      <c r="D394" s="1511" t="s">
        <v>934</v>
      </c>
      <c r="E394" s="1579"/>
      <c r="F394" s="1334"/>
      <c r="G394" s="1318"/>
      <c r="H394" s="1318"/>
      <c r="I394" s="1379"/>
      <c r="J394" s="1379"/>
      <c r="K394" s="1402"/>
      <c r="L394" s="1337"/>
      <c r="M394" s="1337"/>
      <c r="N394" s="1339" t="s">
        <v>1984</v>
      </c>
      <c r="O394" s="1336"/>
      <c r="P394" s="1598">
        <f t="shared" si="50"/>
        <v>0</v>
      </c>
      <c r="Q394" s="1573">
        <f t="shared" si="50"/>
        <v>3.0684199999999999E-4</v>
      </c>
      <c r="R394" s="1598">
        <f t="shared" si="50"/>
        <v>0</v>
      </c>
      <c r="S394" s="1598">
        <f t="shared" si="50"/>
        <v>0</v>
      </c>
      <c r="T394" s="1598">
        <f t="shared" si="44"/>
        <v>3.0684199999999999E-4</v>
      </c>
      <c r="U394" s="1598">
        <f t="shared" si="49"/>
        <v>0</v>
      </c>
      <c r="V394" s="1598">
        <v>0</v>
      </c>
      <c r="W394" s="1598">
        <v>0</v>
      </c>
      <c r="X394" s="1598"/>
      <c r="Y394" s="1598"/>
      <c r="Z394" s="1598"/>
      <c r="AA394" s="1598"/>
      <c r="AB394" s="1598"/>
      <c r="AC394" s="1598"/>
      <c r="AD394" s="1598"/>
      <c r="AE394" s="1598"/>
      <c r="AF394" s="1598"/>
      <c r="AG394" s="1598"/>
      <c r="AH394" s="1725"/>
      <c r="AI394" s="1725"/>
      <c r="AJ394" s="1725"/>
      <c r="AK394" s="1725"/>
      <c r="AL394" s="1725"/>
      <c r="AM394" s="1725"/>
      <c r="AN394" s="1725"/>
      <c r="AO394" s="1725"/>
      <c r="AP394" s="1725"/>
      <c r="AQ394" s="1725"/>
      <c r="AR394" s="1725"/>
      <c r="AS394" s="1725">
        <f t="shared" si="45"/>
        <v>0</v>
      </c>
      <c r="AT394" s="1725"/>
      <c r="AU394" s="1624">
        <v>0</v>
      </c>
      <c r="AV394" s="1624">
        <v>0</v>
      </c>
      <c r="AW394" s="1624">
        <v>0</v>
      </c>
      <c r="AX394" s="1624">
        <v>0</v>
      </c>
      <c r="AY394" s="1624">
        <v>0</v>
      </c>
      <c r="AZ394" s="1624">
        <v>0</v>
      </c>
      <c r="BA394" s="1624">
        <v>0</v>
      </c>
      <c r="BB394" s="1593"/>
      <c r="BC394" s="1736" t="s">
        <v>1997</v>
      </c>
      <c r="BD394" s="1595"/>
      <c r="BE394" s="1598">
        <f t="shared" si="46"/>
        <v>0</v>
      </c>
      <c r="BF394" s="1739">
        <f>(649.01+2419.41)/10000000</f>
        <v>3.0684199999999999E-4</v>
      </c>
      <c r="BG394" s="1598">
        <f t="shared" si="47"/>
        <v>0</v>
      </c>
      <c r="BH394" s="1598">
        <f t="shared" si="47"/>
        <v>0</v>
      </c>
      <c r="BI394" s="1598">
        <f t="shared" si="47"/>
        <v>0</v>
      </c>
      <c r="BJ394" s="1598">
        <f t="shared" si="47"/>
        <v>0</v>
      </c>
      <c r="BK394" s="1598">
        <f t="shared" si="47"/>
        <v>0</v>
      </c>
      <c r="BL394" s="1598">
        <f t="shared" si="47"/>
        <v>0</v>
      </c>
      <c r="BM394" s="1598">
        <f t="shared" si="47"/>
        <v>0</v>
      </c>
      <c r="BN394" s="1598">
        <f t="shared" si="51"/>
        <v>0</v>
      </c>
      <c r="BO394" s="1598">
        <f t="shared" si="51"/>
        <v>0</v>
      </c>
      <c r="BP394" s="1598">
        <f t="shared" si="51"/>
        <v>0</v>
      </c>
      <c r="BQ394" s="1576"/>
      <c r="BR394" s="1737" t="s">
        <v>1997</v>
      </c>
      <c r="BS394" s="1581"/>
      <c r="BT394" s="1539"/>
      <c r="BU394" s="1430">
        <v>180102383</v>
      </c>
      <c r="BV394" s="1430" t="s">
        <v>1984</v>
      </c>
    </row>
    <row r="395" spans="1:74" s="1430" customFormat="1" outlineLevel="1">
      <c r="A395" s="1499">
        <v>161</v>
      </c>
      <c r="B395" s="1539" t="s">
        <v>2152</v>
      </c>
      <c r="C395" s="1578"/>
      <c r="D395" s="1511" t="s">
        <v>934</v>
      </c>
      <c r="E395" s="1579"/>
      <c r="F395" s="1334"/>
      <c r="G395" s="1318"/>
      <c r="H395" s="1318"/>
      <c r="I395" s="1379"/>
      <c r="J395" s="1379"/>
      <c r="K395" s="1402"/>
      <c r="L395" s="1337"/>
      <c r="M395" s="1337"/>
      <c r="N395" s="1339"/>
      <c r="O395" s="1336"/>
      <c r="P395" s="1598">
        <f t="shared" si="50"/>
        <v>0</v>
      </c>
      <c r="Q395" s="1598">
        <f t="shared" si="50"/>
        <v>0</v>
      </c>
      <c r="R395" s="1598">
        <f t="shared" si="50"/>
        <v>0</v>
      </c>
      <c r="S395" s="1598">
        <f t="shared" si="50"/>
        <v>0</v>
      </c>
      <c r="T395" s="1598">
        <f t="shared" ref="T395:T396" si="52">SUM(P395:S395)</f>
        <v>0</v>
      </c>
      <c r="U395" s="1573">
        <v>0.11917999999999999</v>
      </c>
      <c r="V395" s="1598">
        <v>0</v>
      </c>
      <c r="W395" s="1598">
        <v>0</v>
      </c>
      <c r="X395" s="1598"/>
      <c r="Y395" s="1598"/>
      <c r="Z395" s="1598"/>
      <c r="AA395" s="1598"/>
      <c r="AB395" s="1598"/>
      <c r="AC395" s="1598"/>
      <c r="AD395" s="1598"/>
      <c r="AE395" s="1598"/>
      <c r="AF395" s="1598"/>
      <c r="AG395" s="1598"/>
      <c r="AH395" s="1598">
        <f>BQ395</f>
        <v>0</v>
      </c>
      <c r="AI395" s="1598">
        <f>BR395</f>
        <v>0</v>
      </c>
      <c r="AJ395" s="1598"/>
      <c r="AK395" s="1598"/>
      <c r="AL395" s="1598"/>
      <c r="AM395" s="1598"/>
      <c r="AN395" s="1598"/>
      <c r="AO395" s="1598">
        <f t="shared" ref="AO395:AR396" si="53">BS395</f>
        <v>0</v>
      </c>
      <c r="AP395" s="1598">
        <f t="shared" si="53"/>
        <v>0</v>
      </c>
      <c r="AQ395" s="1598">
        <f t="shared" si="53"/>
        <v>0</v>
      </c>
      <c r="AR395" s="1598">
        <f t="shared" si="53"/>
        <v>0</v>
      </c>
      <c r="AS395" s="1598">
        <f t="shared" ref="AS395:AS396" si="54">SUM(AO395:AR395)</f>
        <v>0</v>
      </c>
      <c r="AT395" s="1576">
        <v>0.11917999999999999</v>
      </c>
      <c r="AU395" s="1624">
        <v>0</v>
      </c>
      <c r="AV395" s="1624">
        <v>0</v>
      </c>
      <c r="AW395" s="1624">
        <v>0</v>
      </c>
      <c r="AX395" s="1624">
        <v>0</v>
      </c>
      <c r="AY395" s="1624">
        <v>0</v>
      </c>
      <c r="AZ395" s="1624">
        <v>0</v>
      </c>
      <c r="BA395" s="1624">
        <v>0</v>
      </c>
      <c r="BB395" s="1593"/>
      <c r="BC395" s="1736"/>
      <c r="BD395" s="1595"/>
      <c r="BE395" s="1598">
        <f t="shared" si="46"/>
        <v>0</v>
      </c>
      <c r="BF395" s="1598">
        <f t="shared" si="46"/>
        <v>0</v>
      </c>
      <c r="BG395" s="1598">
        <f t="shared" si="46"/>
        <v>0</v>
      </c>
      <c r="BH395" s="1598">
        <f t="shared" si="46"/>
        <v>0</v>
      </c>
      <c r="BI395" s="1576">
        <v>0.11917999999999999</v>
      </c>
      <c r="BJ395" s="1598">
        <f t="shared" ref="BJ395:BM396" si="55">CC395</f>
        <v>0</v>
      </c>
      <c r="BK395" s="1598">
        <f t="shared" si="55"/>
        <v>0</v>
      </c>
      <c r="BL395" s="1598">
        <f t="shared" si="55"/>
        <v>0</v>
      </c>
      <c r="BM395" s="1598">
        <f t="shared" si="55"/>
        <v>0</v>
      </c>
      <c r="BN395" s="1598">
        <f t="shared" si="51"/>
        <v>0</v>
      </c>
      <c r="BO395" s="1598">
        <f t="shared" si="51"/>
        <v>0</v>
      </c>
      <c r="BP395" s="1598">
        <f t="shared" si="51"/>
        <v>0</v>
      </c>
      <c r="BQ395" s="1576"/>
      <c r="BR395" s="1737"/>
      <c r="BS395" s="1581"/>
      <c r="BT395" s="1539"/>
    </row>
    <row r="396" spans="1:74" s="1430" customFormat="1" outlineLevel="1">
      <c r="A396" s="1499">
        <v>162</v>
      </c>
      <c r="B396" s="1539" t="s">
        <v>2153</v>
      </c>
      <c r="C396" s="1578"/>
      <c r="D396" s="1511" t="s">
        <v>934</v>
      </c>
      <c r="E396" s="1579"/>
      <c r="F396" s="1334"/>
      <c r="G396" s="1318"/>
      <c r="H396" s="1318"/>
      <c r="I396" s="1379"/>
      <c r="J396" s="1379"/>
      <c r="K396" s="1402"/>
      <c r="L396" s="1337"/>
      <c r="M396" s="1337"/>
      <c r="N396" s="1339"/>
      <c r="O396" s="1336"/>
      <c r="P396" s="1598">
        <f t="shared" si="50"/>
        <v>0</v>
      </c>
      <c r="Q396" s="1598">
        <f t="shared" si="50"/>
        <v>0</v>
      </c>
      <c r="R396" s="1598">
        <f t="shared" si="50"/>
        <v>0</v>
      </c>
      <c r="S396" s="1598">
        <f t="shared" si="50"/>
        <v>0</v>
      </c>
      <c r="T396" s="1598">
        <f t="shared" si="52"/>
        <v>0</v>
      </c>
      <c r="U396" s="1573">
        <v>0.68323680199999992</v>
      </c>
      <c r="V396" s="1598">
        <v>0</v>
      </c>
      <c r="W396" s="1598">
        <v>0</v>
      </c>
      <c r="X396" s="1598"/>
      <c r="Y396" s="1598"/>
      <c r="Z396" s="1598"/>
      <c r="AA396" s="1598"/>
      <c r="AB396" s="1598"/>
      <c r="AC396" s="1598"/>
      <c r="AD396" s="1598"/>
      <c r="AE396" s="1598"/>
      <c r="AF396" s="1598"/>
      <c r="AG396" s="1598"/>
      <c r="AH396" s="1598">
        <f>BQ396</f>
        <v>0</v>
      </c>
      <c r="AI396" s="1598">
        <f>BR396</f>
        <v>0</v>
      </c>
      <c r="AJ396" s="1598"/>
      <c r="AK396" s="1598"/>
      <c r="AL396" s="1598"/>
      <c r="AM396" s="1598"/>
      <c r="AN396" s="1598"/>
      <c r="AO396" s="1598">
        <f t="shared" si="53"/>
        <v>0</v>
      </c>
      <c r="AP396" s="1598">
        <f t="shared" si="53"/>
        <v>0</v>
      </c>
      <c r="AQ396" s="1598">
        <f t="shared" si="53"/>
        <v>0</v>
      </c>
      <c r="AR396" s="1598">
        <f t="shared" si="53"/>
        <v>0</v>
      </c>
      <c r="AS396" s="1598">
        <f t="shared" si="54"/>
        <v>0</v>
      </c>
      <c r="AT396" s="1576">
        <v>0.68323680199999992</v>
      </c>
      <c r="AU396" s="1624">
        <v>0</v>
      </c>
      <c r="AV396" s="1624">
        <v>0</v>
      </c>
      <c r="AW396" s="1624">
        <v>0</v>
      </c>
      <c r="AX396" s="1624">
        <v>0</v>
      </c>
      <c r="AY396" s="1624">
        <v>0</v>
      </c>
      <c r="AZ396" s="1624">
        <v>0</v>
      </c>
      <c r="BA396" s="1624">
        <v>0</v>
      </c>
      <c r="BB396" s="1593"/>
      <c r="BC396" s="1736"/>
      <c r="BD396" s="1595"/>
      <c r="BE396" s="1598">
        <f t="shared" ref="BE396:BH396" si="56">BX396</f>
        <v>0</v>
      </c>
      <c r="BF396" s="1598">
        <f t="shared" si="56"/>
        <v>0</v>
      </c>
      <c r="BG396" s="1598">
        <f t="shared" si="56"/>
        <v>0</v>
      </c>
      <c r="BH396" s="1598">
        <f t="shared" si="56"/>
        <v>0</v>
      </c>
      <c r="BI396" s="1576">
        <v>0.68323680199999992</v>
      </c>
      <c r="BJ396" s="1598">
        <f t="shared" si="55"/>
        <v>0</v>
      </c>
      <c r="BK396" s="1598">
        <f t="shared" si="55"/>
        <v>0</v>
      </c>
      <c r="BL396" s="1598">
        <f t="shared" si="55"/>
        <v>0</v>
      </c>
      <c r="BM396" s="1598">
        <f t="shared" si="55"/>
        <v>0</v>
      </c>
      <c r="BN396" s="1598">
        <f t="shared" si="51"/>
        <v>0</v>
      </c>
      <c r="BO396" s="1598">
        <f t="shared" si="51"/>
        <v>0</v>
      </c>
      <c r="BP396" s="1598">
        <f t="shared" si="51"/>
        <v>0</v>
      </c>
      <c r="BQ396" s="1576"/>
      <c r="BR396" s="1737"/>
      <c r="BS396" s="1581"/>
      <c r="BT396" s="1539"/>
    </row>
    <row r="397" spans="1:74" s="1430" customFormat="1">
      <c r="A397" s="1499"/>
      <c r="B397" s="1539"/>
      <c r="C397" s="1578"/>
      <c r="D397" s="1511"/>
      <c r="E397" s="1579"/>
      <c r="F397" s="1334"/>
      <c r="G397" s="1318"/>
      <c r="H397" s="1318"/>
      <c r="I397" s="1336"/>
      <c r="J397" s="1336"/>
      <c r="K397" s="1402"/>
      <c r="L397" s="1337"/>
      <c r="M397" s="1337"/>
      <c r="N397" s="1339"/>
      <c r="O397" s="1336"/>
      <c r="P397" s="1572"/>
      <c r="Q397" s="1573"/>
      <c r="R397" s="1573"/>
      <c r="S397" s="1573"/>
      <c r="T397" s="1573"/>
      <c r="U397" s="1573"/>
      <c r="V397" s="1573"/>
      <c r="W397" s="1573">
        <v>0</v>
      </c>
      <c r="X397" s="1573"/>
      <c r="Y397" s="1573"/>
      <c r="Z397" s="1573"/>
      <c r="AA397" s="1573"/>
      <c r="AB397" s="1573"/>
      <c r="AC397" s="1580"/>
      <c r="AD397" s="1580"/>
      <c r="AE397" s="1580"/>
      <c r="AF397" s="1580"/>
      <c r="AG397" s="1580"/>
      <c r="AH397" s="1580"/>
      <c r="AI397" s="1580"/>
      <c r="AJ397" s="1580"/>
      <c r="AK397" s="1580"/>
      <c r="AL397" s="1580"/>
      <c r="AM397" s="1580"/>
      <c r="AN397" s="1580"/>
      <c r="AO397" s="1572"/>
      <c r="AP397" s="1630"/>
      <c r="AQ397" s="1724"/>
      <c r="AR397" s="1630"/>
      <c r="AS397" s="1630"/>
      <c r="AT397" s="1576"/>
      <c r="AU397" s="1576"/>
      <c r="AV397" s="1576">
        <v>0</v>
      </c>
      <c r="AW397" s="1576"/>
      <c r="AX397" s="1576"/>
      <c r="AY397" s="1576"/>
      <c r="AZ397" s="1576"/>
      <c r="BA397" s="1576"/>
      <c r="BB397" s="1576"/>
      <c r="BC397" s="1336"/>
      <c r="BD397" s="1581"/>
      <c r="BE397" s="1539"/>
    </row>
    <row r="398" spans="1:74">
      <c r="A398" s="1311"/>
      <c r="B398" s="1431" t="s">
        <v>271</v>
      </c>
      <c r="C398" s="1311"/>
      <c r="D398" s="1311"/>
      <c r="E398" s="1310"/>
      <c r="F398" s="1432"/>
      <c r="G398" s="1431"/>
      <c r="H398" s="1431"/>
      <c r="I398" s="1431"/>
      <c r="J398" s="1431"/>
      <c r="K398" s="1310"/>
      <c r="L398" s="1431"/>
      <c r="M398" s="1431"/>
      <c r="N398" s="1433"/>
      <c r="O398" s="1431"/>
      <c r="P398" s="1744">
        <f t="shared" ref="P398:AB398" si="57">SUM(P9:P397)</f>
        <v>0</v>
      </c>
      <c r="Q398" s="1744">
        <f t="shared" si="57"/>
        <v>7.1026184399999988</v>
      </c>
      <c r="R398" s="1744">
        <f t="shared" si="57"/>
        <v>47.893661160999997</v>
      </c>
      <c r="S398" s="1744">
        <f t="shared" si="57"/>
        <v>43.293817991000004</v>
      </c>
      <c r="T398" s="1744">
        <f t="shared" si="57"/>
        <v>98.290097591999967</v>
      </c>
      <c r="U398" s="1744">
        <f t="shared" si="57"/>
        <v>20.170059832999996</v>
      </c>
      <c r="V398" s="1744">
        <f t="shared" si="57"/>
        <v>28.293387726000002</v>
      </c>
      <c r="W398" s="1744">
        <f t="shared" si="57"/>
        <v>108.28000000000002</v>
      </c>
      <c r="X398" s="1744">
        <f t="shared" si="57"/>
        <v>214.42000000000002</v>
      </c>
      <c r="Y398" s="1744">
        <f t="shared" si="57"/>
        <v>195.37</v>
      </c>
      <c r="Z398" s="1744">
        <f t="shared" si="57"/>
        <v>161.54</v>
      </c>
      <c r="AA398" s="1744">
        <f t="shared" si="57"/>
        <v>11.79</v>
      </c>
      <c r="AB398" s="1744">
        <f t="shared" si="57"/>
        <v>65.290000000000006</v>
      </c>
      <c r="AC398" s="1744"/>
      <c r="AD398" s="1744"/>
      <c r="AE398" s="1744"/>
      <c r="AF398" s="1744"/>
      <c r="AG398" s="1744"/>
      <c r="AH398" s="1744"/>
      <c r="AI398" s="1744"/>
      <c r="AJ398" s="1744"/>
      <c r="AK398" s="1744"/>
      <c r="AL398" s="1744"/>
      <c r="AM398" s="1744"/>
      <c r="AN398" s="1744"/>
      <c r="AO398" s="1744">
        <f t="shared" ref="AO398:BA398" si="58">SUM(AO9:AO397)</f>
        <v>0</v>
      </c>
      <c r="AP398" s="1744">
        <f t="shared" si="58"/>
        <v>5.7769527700000003</v>
      </c>
      <c r="AQ398" s="1744">
        <f t="shared" si="58"/>
        <v>12.483090952000001</v>
      </c>
      <c r="AR398" s="1744">
        <f t="shared" si="58"/>
        <v>25.443973090999993</v>
      </c>
      <c r="AS398" s="1744">
        <f t="shared" si="58"/>
        <v>43.704016813000003</v>
      </c>
      <c r="AT398" s="1744">
        <f t="shared" si="58"/>
        <v>12.804938353000001</v>
      </c>
      <c r="AU398" s="1744">
        <f t="shared" si="58"/>
        <v>78.833673265000002</v>
      </c>
      <c r="AV398" s="1744">
        <f t="shared" si="58"/>
        <v>17.11</v>
      </c>
      <c r="AW398" s="1744">
        <f t="shared" si="58"/>
        <v>315.27999999999997</v>
      </c>
      <c r="AX398" s="1744">
        <f t="shared" si="58"/>
        <v>203.37</v>
      </c>
      <c r="AY398" s="1744">
        <f t="shared" si="58"/>
        <v>161.54</v>
      </c>
      <c r="AZ398" s="1744">
        <f t="shared" si="58"/>
        <v>11.79</v>
      </c>
      <c r="BA398" s="1744">
        <f t="shared" si="58"/>
        <v>65.290000000000006</v>
      </c>
      <c r="BB398" s="1745">
        <f>SUM(BB104:BB396)</f>
        <v>0</v>
      </c>
      <c r="BC398" s="1431"/>
      <c r="BD398" s="1311"/>
      <c r="BE398" s="1431"/>
    </row>
    <row r="400" spans="1:74">
      <c r="BB400" s="1746"/>
    </row>
    <row r="401" spans="42:48">
      <c r="AP401" s="1746"/>
      <c r="AQ401" s="1746"/>
      <c r="AR401" s="1746"/>
      <c r="AS401" s="1746"/>
      <c r="AT401" s="1554">
        <f>AT232</f>
        <v>0.40371165099999995</v>
      </c>
      <c r="AU401" s="1554">
        <f t="shared" ref="AU401:AV401" si="59">AU232</f>
        <v>0.56615120600000002</v>
      </c>
      <c r="AV401" s="1554">
        <f t="shared" si="59"/>
        <v>0</v>
      </c>
    </row>
  </sheetData>
  <autoFilter ref="P8:BI402" xr:uid="{00000000-0009-0000-0000-000013000000}">
    <filterColumn colId="4" showButton="0"/>
    <filterColumn colId="29" showButton="0"/>
  </autoFilter>
  <mergeCells count="29">
    <mergeCell ref="O4:O6"/>
    <mergeCell ref="BD4:BD6"/>
    <mergeCell ref="BE4:BE6"/>
    <mergeCell ref="P5:P6"/>
    <mergeCell ref="T5:T6"/>
    <mergeCell ref="AC5:AC6"/>
    <mergeCell ref="AO5:AO6"/>
    <mergeCell ref="AS5:AS6"/>
    <mergeCell ref="P4:W4"/>
    <mergeCell ref="AC4:AI4"/>
    <mergeCell ref="AO4:AV4"/>
    <mergeCell ref="BB4:BB6"/>
    <mergeCell ref="BC4:BC6"/>
    <mergeCell ref="O191:O193"/>
    <mergeCell ref="O195:O199"/>
    <mergeCell ref="A4:A6"/>
    <mergeCell ref="B4:B6"/>
    <mergeCell ref="C4:C6"/>
    <mergeCell ref="D4:D6"/>
    <mergeCell ref="E4:E6"/>
    <mergeCell ref="F4:F6"/>
    <mergeCell ref="G4:G6"/>
    <mergeCell ref="H4:H6"/>
    <mergeCell ref="I4:I6"/>
    <mergeCell ref="J4:J6"/>
    <mergeCell ref="K4:K6"/>
    <mergeCell ref="L4:L6"/>
    <mergeCell ref="M4:M6"/>
    <mergeCell ref="N4:N6"/>
  </mergeCells>
  <conditionalFormatting sqref="C154:C155">
    <cfRule type="containsText" dxfId="462" priority="219" operator="containsText" text="DPR not submitted">
      <formula>NOT(ISERROR(SEARCH("DPR not submitted",C154)))</formula>
    </cfRule>
    <cfRule type="containsText" dxfId="461" priority="220" operator="containsText" text="Yet to be approved">
      <formula>NOT(ISERROR(SEARCH("Yet to be approved",C154)))</formula>
    </cfRule>
  </conditionalFormatting>
  <conditionalFormatting sqref="D44:D56">
    <cfRule type="containsText" dxfId="460" priority="368" operator="containsText" text="DPR not submitted">
      <formula>NOT(ISERROR(SEARCH("DPR not submitted",D44)))</formula>
    </cfRule>
    <cfRule type="containsText" dxfId="459" priority="369" operator="containsText" text="Yet to be approved">
      <formula>NOT(ISERROR(SEARCH("Yet to be approved",D44)))</formula>
    </cfRule>
  </conditionalFormatting>
  <conditionalFormatting sqref="D79">
    <cfRule type="containsText" dxfId="458" priority="366" operator="containsText" text="DPR not submitted">
      <formula>NOT(ISERROR(SEARCH("DPR not submitted",D79)))</formula>
    </cfRule>
    <cfRule type="containsText" dxfId="457" priority="367" operator="containsText" text="Yet to be approved">
      <formula>NOT(ISERROR(SEARCH("Yet to be approved",D79)))</formula>
    </cfRule>
  </conditionalFormatting>
  <conditionalFormatting sqref="D87">
    <cfRule type="containsText" dxfId="456" priority="362" operator="containsText" text="DPR not submitted">
      <formula>NOT(ISERROR(SEARCH("DPR not submitted",D87)))</formula>
    </cfRule>
    <cfRule type="containsText" dxfId="455" priority="363" operator="containsText" text="Yet to be approved">
      <formula>NOT(ISERROR(SEARCH("Yet to be approved",D87)))</formula>
    </cfRule>
  </conditionalFormatting>
  <conditionalFormatting sqref="D120:D227">
    <cfRule type="containsText" dxfId="454" priority="315" operator="containsText" text="DPR not submitted">
      <formula>NOT(ISERROR(SEARCH("DPR not submitted",D120)))</formula>
    </cfRule>
    <cfRule type="containsText" dxfId="453" priority="316" operator="containsText" text="Yet to be approved">
      <formula>NOT(ISERROR(SEARCH("Yet to be approved",D120)))</formula>
    </cfRule>
  </conditionalFormatting>
  <conditionalFormatting sqref="D232">
    <cfRule type="containsText" dxfId="452" priority="358" operator="containsText" text="DPR not submitted">
      <formula>NOT(ISERROR(SEARCH("DPR not submitted",D232)))</formula>
    </cfRule>
    <cfRule type="containsText" dxfId="451" priority="359" operator="containsText" text="Yet to be approved">
      <formula>NOT(ISERROR(SEARCH("Yet to be approved",D232)))</formula>
    </cfRule>
  </conditionalFormatting>
  <conditionalFormatting sqref="D8:E43">
    <cfRule type="containsText" dxfId="450" priority="372" operator="containsText" text="DPR not submitted">
      <formula>NOT(ISERROR(SEARCH("DPR not submitted",D8)))</formula>
    </cfRule>
    <cfRule type="containsText" dxfId="449" priority="373" operator="containsText" text="Yet to be approved">
      <formula>NOT(ISERROR(SEARCH("Yet to be approved",D8)))</formula>
    </cfRule>
  </conditionalFormatting>
  <conditionalFormatting sqref="D88:E118">
    <cfRule type="containsText" dxfId="448" priority="353" operator="containsText" text="DPR not submitted">
      <formula>NOT(ISERROR(SEARCH("DPR not submitted",D88)))</formula>
    </cfRule>
    <cfRule type="containsText" dxfId="447" priority="354" operator="containsText" text="Yet to be approved">
      <formula>NOT(ISERROR(SEARCH("Yet to be approved",D88)))</formula>
    </cfRule>
  </conditionalFormatting>
  <conditionalFormatting sqref="D233:E397">
    <cfRule type="containsText" dxfId="446" priority="343" operator="containsText" text="DPR not submitted">
      <formula>NOT(ISERROR(SEARCH("DPR not submitted",D233)))</formula>
    </cfRule>
    <cfRule type="containsText" dxfId="445" priority="344" operator="containsText" text="Yet to be approved">
      <formula>NOT(ISERROR(SEARCH("Yet to be approved",D233)))</formula>
    </cfRule>
  </conditionalFormatting>
  <conditionalFormatting sqref="E44:E53">
    <cfRule type="containsText" dxfId="444" priority="370" operator="containsText" text="DPR not submitted">
      <formula>NOT(ISERROR(SEARCH("DPR not submitted",E44)))</formula>
    </cfRule>
    <cfRule type="containsText" dxfId="443" priority="371" operator="containsText" text="Yet to be approved">
      <formula>NOT(ISERROR(SEARCH("Yet to be approved",E44)))</formula>
    </cfRule>
  </conditionalFormatting>
  <conditionalFormatting sqref="E55:E87">
    <cfRule type="containsText" dxfId="442" priority="364" operator="containsText" text="DPR not submitted">
      <formula>NOT(ISERROR(SEARCH("DPR not submitted",E55)))</formula>
    </cfRule>
    <cfRule type="containsText" dxfId="441" priority="365" operator="containsText" text="Yet to be approved">
      <formula>NOT(ISERROR(SEARCH("Yet to be approved",E55)))</formula>
    </cfRule>
  </conditionalFormatting>
  <conditionalFormatting sqref="E123:E128">
    <cfRule type="containsText" dxfId="440" priority="355" operator="containsText" text="DPR not submitted">
      <formula>NOT(ISERROR(SEARCH("DPR not submitted",E123)))</formula>
    </cfRule>
    <cfRule type="containsText" dxfId="439" priority="356" operator="containsText" text="Yet to be approved">
      <formula>NOT(ISERROR(SEARCH("Yet to be approved",E123)))</formula>
    </cfRule>
  </conditionalFormatting>
  <conditionalFormatting sqref="E130:E138">
    <cfRule type="containsText" dxfId="438" priority="321" operator="containsText" text="DPR not submitted">
      <formula>NOT(ISERROR(SEARCH("DPR not submitted",E130)))</formula>
    </cfRule>
    <cfRule type="containsText" dxfId="437" priority="322" operator="containsText" text="Yet to be approved">
      <formula>NOT(ISERROR(SEARCH("Yet to be approved",E130)))</formula>
    </cfRule>
  </conditionalFormatting>
  <conditionalFormatting sqref="E141:E143 E145:E168 E176:N176 E177:E185 E186:N186 E187:E192 E193:N193 E194:E199 E201 E202:N202 H214:H229">
    <cfRule type="containsText" dxfId="436" priority="314" operator="containsText" text="Yet to be approved">
      <formula>NOT(ISERROR(SEARCH("Yet to be approved",E141)))</formula>
    </cfRule>
  </conditionalFormatting>
  <conditionalFormatting sqref="E170:E175">
    <cfRule type="containsText" dxfId="435" priority="65" operator="containsText" text="DPR not submitted">
      <formula>NOT(ISERROR(SEARCH("DPR not submitted",E170)))</formula>
    </cfRule>
    <cfRule type="containsText" dxfId="434" priority="66" operator="containsText" text="Yet to be approved">
      <formula>NOT(ISERROR(SEARCH("Yet to be approved",E170)))</formula>
    </cfRule>
  </conditionalFormatting>
  <conditionalFormatting sqref="E231:E232">
    <cfRule type="containsText" dxfId="433" priority="360" operator="containsText" text="DPR not submitted">
      <formula>NOT(ISERROR(SEARCH("DPR not submitted",E231)))</formula>
    </cfRule>
    <cfRule type="containsText" dxfId="432" priority="361" operator="containsText" text="Yet to be approved">
      <formula>NOT(ISERROR(SEARCH("Yet to be approved",E231)))</formula>
    </cfRule>
  </conditionalFormatting>
  <conditionalFormatting sqref="E140:O140 O177 O187 O194">
    <cfRule type="containsText" dxfId="431" priority="7" operator="containsText" text="DPR not submitted">
      <formula>NOT(ISERROR(SEARCH("DPR not submitted",E140)))</formula>
    </cfRule>
    <cfRule type="containsText" dxfId="430" priority="8" operator="containsText" text="Yet to be approved">
      <formula>NOT(ISERROR(SEARCH("Yet to be approved",E140)))</formula>
    </cfRule>
  </conditionalFormatting>
  <conditionalFormatting sqref="E144:O144">
    <cfRule type="containsText" dxfId="429" priority="3" operator="containsText" text="DPR not submitted">
      <formula>NOT(ISERROR(SEARCH("DPR not submitted",E144)))</formula>
    </cfRule>
    <cfRule type="containsText" dxfId="428" priority="4" operator="containsText" text="Yet to be approved">
      <formula>NOT(ISERROR(SEARCH("Yet to be approved",E144)))</formula>
    </cfRule>
  </conditionalFormatting>
  <conditionalFormatting sqref="E200:U200">
    <cfRule type="containsText" dxfId="427" priority="1" operator="containsText" text="DPR not submitted">
      <formula>NOT(ISERROR(SEARCH("DPR not submitted",E200)))</formula>
    </cfRule>
    <cfRule type="containsText" dxfId="426" priority="2" operator="containsText" text="Yet to be approved">
      <formula>NOT(ISERROR(SEARCH("Yet to be approved",E200)))</formula>
    </cfRule>
  </conditionalFormatting>
  <conditionalFormatting sqref="G220">
    <cfRule type="containsText" dxfId="425" priority="213" operator="containsText" text="DPR not submitted">
      <formula>NOT(ISERROR(SEARCH("DPR not submitted",G220)))</formula>
    </cfRule>
    <cfRule type="containsText" dxfId="424" priority="214" operator="containsText" text="Yet to be approved">
      <formula>NOT(ISERROR(SEARCH("Yet to be approved",G220)))</formula>
    </cfRule>
  </conditionalFormatting>
  <conditionalFormatting sqref="G223">
    <cfRule type="containsText" dxfId="423" priority="215" operator="containsText" text="DPR not submitted">
      <formula>NOT(ISERROR(SEARCH("DPR not submitted",G223)))</formula>
    </cfRule>
    <cfRule type="containsText" dxfId="422" priority="216" operator="containsText" text="Yet to be approved">
      <formula>NOT(ISERROR(SEARCH("Yet to be approved",G223)))</formula>
    </cfRule>
  </conditionalFormatting>
  <conditionalFormatting sqref="G228">
    <cfRule type="containsText" dxfId="421" priority="209" operator="containsText" text="DPR not submitted">
      <formula>NOT(ISERROR(SEARCH("DPR not submitted",G228)))</formula>
    </cfRule>
    <cfRule type="containsText" dxfId="420" priority="210" operator="containsText" text="Yet to be approved">
      <formula>NOT(ISERROR(SEARCH("Yet to be approved",G228)))</formula>
    </cfRule>
  </conditionalFormatting>
  <conditionalFormatting sqref="G213:H213">
    <cfRule type="containsText" dxfId="419" priority="229" operator="containsText" text="DPR not submitted">
      <formula>NOT(ISERROR(SEARCH("DPR not submitted",G213)))</formula>
    </cfRule>
  </conditionalFormatting>
  <conditionalFormatting sqref="H131:H138">
    <cfRule type="containsText" dxfId="418" priority="317" operator="containsText" text="DPR not submitted">
      <formula>NOT(ISERROR(SEARCH("DPR not submitted",H131)))</formula>
    </cfRule>
    <cfRule type="containsText" dxfId="417" priority="318" operator="containsText" text="Yet to be approved">
      <formula>NOT(ISERROR(SEARCH("Yet to be approved",H131)))</formula>
    </cfRule>
  </conditionalFormatting>
  <conditionalFormatting sqref="H145">
    <cfRule type="containsText" dxfId="416" priority="211" operator="containsText" text="DPR not submitted">
      <formula>NOT(ISERROR(SEARCH("DPR not submitted",H145)))</formula>
    </cfRule>
    <cfRule type="containsText" dxfId="415" priority="212" operator="containsText" text="Yet to be approved">
      <formula>NOT(ISERROR(SEARCH("Yet to be approved",H145)))</formula>
    </cfRule>
  </conditionalFormatting>
  <conditionalFormatting sqref="H201:H213 G213">
    <cfRule type="containsText" dxfId="414" priority="230" operator="containsText" text="Yet to be approved">
      <formula>NOT(ISERROR(SEARCH("Yet to be approved",G201)))</formula>
    </cfRule>
  </conditionalFormatting>
  <conditionalFormatting sqref="H201:H229 E141:E143 E145:E168 E176:N176 E177:E185 E186:N186 E187:E192 E193:N193 E194:E199 E201 E202:G202 I202:N202">
    <cfRule type="containsText" dxfId="413" priority="313" operator="containsText" text="DPR not submitted">
      <formula>NOT(ISERROR(SEARCH("DPR not submitted",E141)))</formula>
    </cfRule>
  </conditionalFormatting>
  <conditionalFormatting sqref="H141:J143">
    <cfRule type="containsText" dxfId="412" priority="225" operator="containsText" text="DPR not submitted">
      <formula>NOT(ISERROR(SEARCH("DPR not submitted",H141)))</formula>
    </cfRule>
    <cfRule type="containsText" dxfId="411" priority="226" operator="containsText" text="Yet to be approved">
      <formula>NOT(ISERROR(SEARCH("Yet to be approved",H141)))</formula>
    </cfRule>
  </conditionalFormatting>
  <conditionalFormatting sqref="H146:J146">
    <cfRule type="containsText" dxfId="410" priority="223" operator="containsText" text="DPR not submitted">
      <formula>NOT(ISERROR(SEARCH("DPR not submitted",H146)))</formula>
    </cfRule>
    <cfRule type="containsText" dxfId="409" priority="224" operator="containsText" text="Yet to be approved">
      <formula>NOT(ISERROR(SEARCH("Yet to be approved",H146)))</formula>
    </cfRule>
  </conditionalFormatting>
  <conditionalFormatting sqref="H168:K168">
    <cfRule type="containsText" dxfId="408" priority="227" operator="containsText" text="DPR not submitted">
      <formula>NOT(ISERROR(SEARCH("DPR not submitted",H168)))</formula>
    </cfRule>
    <cfRule type="containsText" dxfId="407" priority="228" operator="containsText" text="Yet to be approved">
      <formula>NOT(ISERROR(SEARCH("Yet to be approved",H168)))</formula>
    </cfRule>
  </conditionalFormatting>
  <conditionalFormatting sqref="K213:O213">
    <cfRule type="containsText" dxfId="406" priority="5" operator="containsText" text="DPR not submitted">
      <formula>NOT(ISERROR(SEARCH("DPR not submitted",K213)))</formula>
    </cfRule>
    <cfRule type="containsText" dxfId="405" priority="6" operator="containsText" text="Yet to be approved">
      <formula>NOT(ISERROR(SEARCH("Yet to be approved",K213)))</formula>
    </cfRule>
  </conditionalFormatting>
  <conditionalFormatting sqref="W131:W138">
    <cfRule type="containsText" dxfId="404" priority="325" operator="containsText" text="DPR not submitted">
      <formula>NOT(ISERROR(SEARCH("DPR not submitted",W131)))</formula>
    </cfRule>
    <cfRule type="containsText" dxfId="403" priority="326" operator="containsText" text="Yet to be approved">
      <formula>NOT(ISERROR(SEARCH("Yet to be approved",W131)))</formula>
    </cfRule>
  </conditionalFormatting>
  <conditionalFormatting sqref="X149">
    <cfRule type="containsText" dxfId="402" priority="311" operator="containsText" text="DPR not submitted">
      <formula>NOT(ISERROR(SEARCH("DPR not submitted",X149)))</formula>
    </cfRule>
    <cfRule type="containsText" dxfId="401" priority="312" operator="containsText" text="Yet to be approved">
      <formula>NOT(ISERROR(SEARCH("Yet to be approved",X149)))</formula>
    </cfRule>
  </conditionalFormatting>
  <conditionalFormatting sqref="X151">
    <cfRule type="containsText" dxfId="400" priority="309" operator="containsText" text="DPR not submitted">
      <formula>NOT(ISERROR(SEARCH("DPR not submitted",X151)))</formula>
    </cfRule>
    <cfRule type="containsText" dxfId="399" priority="310" operator="containsText" text="Yet to be approved">
      <formula>NOT(ISERROR(SEARCH("Yet to be approved",X151)))</formula>
    </cfRule>
  </conditionalFormatting>
  <conditionalFormatting sqref="X153">
    <cfRule type="containsText" dxfId="398" priority="307" operator="containsText" text="DPR not submitted">
      <formula>NOT(ISERROR(SEARCH("DPR not submitted",X153)))</formula>
    </cfRule>
    <cfRule type="containsText" dxfId="397" priority="308" operator="containsText" text="Yet to be approved">
      <formula>NOT(ISERROR(SEARCH("Yet to be approved",X153)))</formula>
    </cfRule>
  </conditionalFormatting>
  <conditionalFormatting sqref="X169">
    <cfRule type="containsText" dxfId="396" priority="305" operator="containsText" text="DPR not submitted">
      <formula>NOT(ISERROR(SEARCH("DPR not submitted",X169)))</formula>
    </cfRule>
    <cfRule type="containsText" dxfId="395" priority="306" operator="containsText" text="Yet to be approved">
      <formula>NOT(ISERROR(SEARCH("Yet to be approved",X169)))</formula>
    </cfRule>
  </conditionalFormatting>
  <conditionalFormatting sqref="X172:X176">
    <cfRule type="containsText" dxfId="394" priority="63" operator="containsText" text="DPR not submitted">
      <formula>NOT(ISERROR(SEARCH("DPR not submitted",X172)))</formula>
    </cfRule>
    <cfRule type="containsText" dxfId="393" priority="64" operator="containsText" text="Yet to be approved">
      <formula>NOT(ISERROR(SEARCH("Yet to be approved",X172)))</formula>
    </cfRule>
  </conditionalFormatting>
  <conditionalFormatting sqref="Y231:AB231 AE231:AI231">
    <cfRule type="containsText" dxfId="392" priority="374" operator="containsText" text="DPR not submitted">
      <formula>NOT(ISERROR(SEARCH("DPR not submitted",Y231)))</formula>
    </cfRule>
    <cfRule type="containsText" dxfId="391" priority="375" operator="containsText" text="Yet to be approved">
      <formula>NOT(ISERROR(SEARCH("Yet to be approved",Y231)))</formula>
    </cfRule>
  </conditionalFormatting>
  <conditionalFormatting sqref="Z166">
    <cfRule type="containsText" dxfId="390" priority="285" operator="containsText" text="DPR not submitted">
      <formula>NOT(ISERROR(SEARCH("DPR not submitted",Z166)))</formula>
    </cfRule>
    <cfRule type="containsText" dxfId="389" priority="286" operator="containsText" text="Yet to be approved">
      <formula>NOT(ISERROR(SEARCH("Yet to be approved",Z166)))</formula>
    </cfRule>
  </conditionalFormatting>
  <conditionalFormatting sqref="AC163:AD165">
    <cfRule type="containsText" dxfId="388" priority="283" operator="containsText" text="DPR not submitted">
      <formula>NOT(ISERROR(SEARCH("DPR not submitted",AC163)))</formula>
    </cfRule>
    <cfRule type="containsText" dxfId="387" priority="284" operator="containsText" text="Yet to be approved">
      <formula>NOT(ISERROR(SEARCH("Yet to be approved",AC163)))</formula>
    </cfRule>
  </conditionalFormatting>
  <conditionalFormatting sqref="AC221:AD222">
    <cfRule type="containsText" dxfId="386" priority="303" operator="containsText" text="DPR not submitted">
      <formula>NOT(ISERROR(SEARCH("DPR not submitted",AC221)))</formula>
    </cfRule>
    <cfRule type="containsText" dxfId="385" priority="304" operator="containsText" text="Yet to be approved">
      <formula>NOT(ISERROR(SEARCH("Yet to be approved",AC221)))</formula>
    </cfRule>
  </conditionalFormatting>
  <conditionalFormatting sqref="AC131:AI138">
    <cfRule type="containsText" dxfId="384" priority="319" operator="containsText" text="DPR not submitted">
      <formula>NOT(ISERROR(SEARCH("DPR not submitted",AC131)))</formula>
    </cfRule>
    <cfRule type="containsText" dxfId="383" priority="320" operator="containsText" text="Yet to be approved">
      <formula>NOT(ISERROR(SEARCH("Yet to be approved",AC131)))</formula>
    </cfRule>
  </conditionalFormatting>
  <conditionalFormatting sqref="AC147:AI155">
    <cfRule type="containsText" dxfId="382" priority="277" operator="containsText" text="DPR not submitted">
      <formula>NOT(ISERROR(SEARCH("DPR not submitted",AC147)))</formula>
    </cfRule>
    <cfRule type="containsText" dxfId="381" priority="278" operator="containsText" text="Yet to be approved">
      <formula>NOT(ISERROR(SEARCH("Yet to be approved",AC147)))</formula>
    </cfRule>
  </conditionalFormatting>
  <conditionalFormatting sqref="AC169:AI171">
    <cfRule type="containsText" dxfId="380" priority="287" operator="containsText" text="DPR not submitted">
      <formula>NOT(ISERROR(SEARCH("DPR not submitted",AC169)))</formula>
    </cfRule>
    <cfRule type="containsText" dxfId="379" priority="288" operator="containsText" text="Yet to be approved">
      <formula>NOT(ISERROR(SEARCH("Yet to be approved",AC169)))</formula>
    </cfRule>
  </conditionalFormatting>
  <conditionalFormatting sqref="AC177:AI180">
    <cfRule type="containsText" dxfId="378" priority="289" operator="containsText" text="DPR not submitted">
      <formula>NOT(ISERROR(SEARCH("DPR not submitted",AC177)))</formula>
    </cfRule>
    <cfRule type="containsText" dxfId="377" priority="290" operator="containsText" text="Yet to be approved">
      <formula>NOT(ISERROR(SEARCH("Yet to be approved",AC177)))</formula>
    </cfRule>
  </conditionalFormatting>
  <conditionalFormatting sqref="AC200:AI213">
    <cfRule type="containsText" dxfId="376" priority="299" operator="containsText" text="DPR not submitted">
      <formula>NOT(ISERROR(SEARCH("DPR not submitted",AC200)))</formula>
    </cfRule>
    <cfRule type="containsText" dxfId="375" priority="300" operator="containsText" text="Yet to be approved">
      <formula>NOT(ISERROR(SEARCH("Yet to be approved",AC200)))</formula>
    </cfRule>
  </conditionalFormatting>
  <conditionalFormatting sqref="AC141:AJ143">
    <cfRule type="containsText" dxfId="374" priority="274" operator="containsText" text="Yet to be approved">
      <formula>NOT(ISERROR(SEARCH("Yet to be approved",AC141)))</formula>
    </cfRule>
  </conditionalFormatting>
  <conditionalFormatting sqref="AC141:AJ145">
    <cfRule type="containsText" dxfId="373" priority="273" operator="containsText" text="DPR not submitted">
      <formula>NOT(ISERROR(SEARCH("DPR not submitted",AC141)))</formula>
    </cfRule>
  </conditionalFormatting>
  <conditionalFormatting sqref="AC144:AJ145 AK145:AM145">
    <cfRule type="containsText" dxfId="372" priority="276" operator="containsText" text="Yet to be approved">
      <formula>NOT(ISERROR(SEARCH("Yet to be approved",AC144)))</formula>
    </cfRule>
  </conditionalFormatting>
  <conditionalFormatting sqref="AC157:AJ161">
    <cfRule type="containsText" dxfId="371" priority="281" operator="containsText" text="DPR not submitted">
      <formula>NOT(ISERROR(SEARCH("DPR not submitted",AC157)))</formula>
    </cfRule>
    <cfRule type="containsText" dxfId="370" priority="282" operator="containsText" text="Yet to be approved">
      <formula>NOT(ISERROR(SEARCH("Yet to be approved",AC157)))</formula>
    </cfRule>
  </conditionalFormatting>
  <conditionalFormatting sqref="AC172:AJ176">
    <cfRule type="containsText" dxfId="369" priority="61" operator="containsText" text="DPR not submitted">
      <formula>NOT(ISERROR(SEARCH("DPR not submitted",AC172)))</formula>
    </cfRule>
    <cfRule type="containsText" dxfId="368" priority="62" operator="containsText" text="Yet to be approved">
      <formula>NOT(ISERROR(SEARCH("Yet to be approved",AC172)))</formula>
    </cfRule>
  </conditionalFormatting>
  <conditionalFormatting sqref="AC181:AJ185">
    <cfRule type="containsText" dxfId="367" priority="291" operator="containsText" text="DPR not submitted">
      <formula>NOT(ISERROR(SEARCH("DPR not submitted",AC181)))</formula>
    </cfRule>
    <cfRule type="containsText" dxfId="366" priority="292" operator="containsText" text="Yet to be approved">
      <formula>NOT(ISERROR(SEARCH("Yet to be approved",AC181)))</formula>
    </cfRule>
  </conditionalFormatting>
  <conditionalFormatting sqref="AC190:AJ192">
    <cfRule type="containsText" dxfId="365" priority="295" operator="containsText" text="DPR not submitted">
      <formula>NOT(ISERROR(SEARCH("DPR not submitted",AC190)))</formula>
    </cfRule>
    <cfRule type="containsText" dxfId="364" priority="296" operator="containsText" text="Yet to be approved">
      <formula>NOT(ISERROR(SEARCH("Yet to be approved",AC190)))</formula>
    </cfRule>
  </conditionalFormatting>
  <conditionalFormatting sqref="AC146:AK146">
    <cfRule type="containsText" dxfId="363" priority="267" operator="containsText" text="DPR not submitted">
      <formula>NOT(ISERROR(SEARCH("DPR not submitted",AC146)))</formula>
    </cfRule>
    <cfRule type="containsText" dxfId="362" priority="268" operator="containsText" text="Yet to be approved">
      <formula>NOT(ISERROR(SEARCH("Yet to be approved",AC146)))</formula>
    </cfRule>
  </conditionalFormatting>
  <conditionalFormatting sqref="AC186:AK189">
    <cfRule type="containsText" dxfId="361" priority="293" operator="containsText" text="DPR not submitted">
      <formula>NOT(ISERROR(SEARCH("DPR not submitted",AC186)))</formula>
    </cfRule>
    <cfRule type="containsText" dxfId="360" priority="294" operator="containsText" text="Yet to be approved">
      <formula>NOT(ISERROR(SEARCH("Yet to be approved",AC186)))</formula>
    </cfRule>
  </conditionalFormatting>
  <conditionalFormatting sqref="AC194:AK199">
    <cfRule type="containsText" dxfId="359" priority="297" operator="containsText" text="DPR not submitted">
      <formula>NOT(ISERROR(SEARCH("DPR not submitted",AC194)))</formula>
    </cfRule>
    <cfRule type="containsText" dxfId="358" priority="298" operator="containsText" text="Yet to be approved">
      <formula>NOT(ISERROR(SEARCH("Yet to be approved",AC194)))</formula>
    </cfRule>
  </conditionalFormatting>
  <conditionalFormatting sqref="AE168:AI168">
    <cfRule type="containsText" dxfId="357" priority="247" operator="containsText" text="DPR not submitted">
      <formula>NOT(ISERROR(SEARCH("DPR not submitted",AE168)))</formula>
    </cfRule>
    <cfRule type="containsText" dxfId="356" priority="248" operator="containsText" text="Yet to be approved">
      <formula>NOT(ISERROR(SEARCH("Yet to be approved",AE168)))</formula>
    </cfRule>
  </conditionalFormatting>
  <conditionalFormatting sqref="AE140:AJ140">
    <cfRule type="containsText" dxfId="355" priority="271" operator="containsText" text="DPR not submitted">
      <formula>NOT(ISERROR(SEARCH("DPR not submitted",AE140)))</formula>
    </cfRule>
    <cfRule type="containsText" dxfId="354" priority="272" operator="containsText" text="Yet to be approved">
      <formula>NOT(ISERROR(SEARCH("Yet to be approved",AE140)))</formula>
    </cfRule>
  </conditionalFormatting>
  <conditionalFormatting sqref="AE156:AJ156">
    <cfRule type="containsText" dxfId="353" priority="279" operator="containsText" text="DPR not submitted">
      <formula>NOT(ISERROR(SEARCH("DPR not submitted",AE156)))</formula>
    </cfRule>
    <cfRule type="containsText" dxfId="352" priority="280" operator="containsText" text="Yet to be approved">
      <formula>NOT(ISERROR(SEARCH("Yet to be approved",AE156)))</formula>
    </cfRule>
  </conditionalFormatting>
  <conditionalFormatting sqref="AE162:AJ163">
    <cfRule type="containsText" dxfId="351" priority="257" operator="containsText" text="DPR not submitted">
      <formula>NOT(ISERROR(SEARCH("DPR not submitted",AE162)))</formula>
    </cfRule>
    <cfRule type="containsText" dxfId="350" priority="258" operator="containsText" text="Yet to be approved">
      <formula>NOT(ISERROR(SEARCH("Yet to be approved",AE162)))</formula>
    </cfRule>
  </conditionalFormatting>
  <conditionalFormatting sqref="AE193:AJ193">
    <cfRule type="containsText" dxfId="349" priority="243" operator="containsText" text="DPR not submitted">
      <formula>NOT(ISERROR(SEARCH("DPR not submitted",AE193)))</formula>
    </cfRule>
    <cfRule type="containsText" dxfId="348" priority="244" operator="containsText" text="Yet to be approved">
      <formula>NOT(ISERROR(SEARCH("Yet to be approved",AE193)))</formula>
    </cfRule>
  </conditionalFormatting>
  <conditionalFormatting sqref="AE165:AK165">
    <cfRule type="containsText" dxfId="347" priority="251" operator="containsText" text="DPR not submitted">
      <formula>NOT(ISERROR(SEARCH("DPR not submitted",AE165)))</formula>
    </cfRule>
    <cfRule type="containsText" dxfId="346" priority="252" operator="containsText" text="Yet to be approved">
      <formula>NOT(ISERROR(SEARCH("Yet to be approved",AE165)))</formula>
    </cfRule>
  </conditionalFormatting>
  <conditionalFormatting sqref="AE167:AK167">
    <cfRule type="containsText" dxfId="345" priority="249" operator="containsText" text="DPR not submitted">
      <formula>NOT(ISERROR(SEARCH("DPR not submitted",AE167)))</formula>
    </cfRule>
    <cfRule type="containsText" dxfId="344" priority="250" operator="containsText" text="Yet to be approved">
      <formula>NOT(ISERROR(SEARCH("Yet to be approved",AE167)))</formula>
    </cfRule>
  </conditionalFormatting>
  <conditionalFormatting sqref="AE220:AK223">
    <cfRule type="containsText" dxfId="343" priority="233" operator="containsText" text="DPR not submitted">
      <formula>NOT(ISERROR(SEARCH("DPR not submitted",AE220)))</formula>
    </cfRule>
    <cfRule type="containsText" dxfId="342" priority="234" operator="containsText" text="Yet to be approved">
      <formula>NOT(ISERROR(SEARCH("Yet to be approved",AE220)))</formula>
    </cfRule>
  </conditionalFormatting>
  <conditionalFormatting sqref="AE166:AL166">
    <cfRule type="containsText" dxfId="341" priority="253" operator="containsText" text="DPR not submitted">
      <formula>NOT(ISERROR(SEARCH("DPR not submitted",AE166)))</formula>
    </cfRule>
    <cfRule type="containsText" dxfId="340" priority="254" operator="containsText" text="Yet to be approved">
      <formula>NOT(ISERROR(SEARCH("Yet to be approved",AE166)))</formula>
    </cfRule>
  </conditionalFormatting>
  <conditionalFormatting sqref="AE164:AS164">
    <cfRule type="containsText" dxfId="339" priority="17" operator="containsText" text="DPR not submitted">
      <formula>NOT(ISERROR(SEARCH("DPR not submitted",AE164)))</formula>
    </cfRule>
    <cfRule type="containsText" dxfId="338" priority="18" operator="containsText" text="Yet to be approved">
      <formula>NOT(ISERROR(SEARCH("Yet to be approved",AE164)))</formula>
    </cfRule>
  </conditionalFormatting>
  <conditionalFormatting sqref="AE228:AS228">
    <cfRule type="containsText" dxfId="337" priority="13" operator="containsText" text="DPR not submitted">
      <formula>NOT(ISERROR(SEARCH("DPR not submitted",AE228)))</formula>
    </cfRule>
    <cfRule type="containsText" dxfId="336" priority="14" operator="containsText" text="Yet to be approved">
      <formula>NOT(ISERROR(SEARCH("Yet to be approved",AE228)))</formula>
    </cfRule>
  </conditionalFormatting>
  <conditionalFormatting sqref="AJ151">
    <cfRule type="containsText" dxfId="335" priority="263" operator="containsText" text="DPR not submitted">
      <formula>NOT(ISERROR(SEARCH("DPR not submitted",AJ151)))</formula>
    </cfRule>
    <cfRule type="containsText" dxfId="334" priority="264" operator="containsText" text="Yet to be approved">
      <formula>NOT(ISERROR(SEARCH("Yet to be approved",AJ151)))</formula>
    </cfRule>
  </conditionalFormatting>
  <conditionalFormatting sqref="AJ153">
    <cfRule type="containsText" dxfId="333" priority="261" operator="containsText" text="DPR not submitted">
      <formula>NOT(ISERROR(SEARCH("DPR not submitted",AJ153)))</formula>
    </cfRule>
    <cfRule type="containsText" dxfId="332" priority="262" operator="containsText" text="Yet to be approved">
      <formula>NOT(ISERROR(SEARCH("Yet to be approved",AJ153)))</formula>
    </cfRule>
  </conditionalFormatting>
  <conditionalFormatting sqref="AJ213 AC214:AJ219">
    <cfRule type="containsText" dxfId="331" priority="301" operator="containsText" text="DPR not submitted">
      <formula>NOT(ISERROR(SEARCH("DPR not submitted",AC213)))</formula>
    </cfRule>
    <cfRule type="containsText" dxfId="330" priority="302" operator="containsText" text="Yet to be approved">
      <formula>NOT(ISERROR(SEARCH("Yet to be approved",AC213)))</formula>
    </cfRule>
  </conditionalFormatting>
  <conditionalFormatting sqref="AJ200:AK201">
    <cfRule type="containsText" dxfId="329" priority="239" operator="containsText" text="DPR not submitted">
      <formula>NOT(ISERROR(SEARCH("DPR not submitted",AJ200)))</formula>
    </cfRule>
    <cfRule type="containsText" dxfId="328" priority="240" operator="containsText" text="Yet to be approved">
      <formula>NOT(ISERROR(SEARCH("Yet to be approved",AJ200)))</formula>
    </cfRule>
  </conditionalFormatting>
  <conditionalFormatting sqref="AJ202:AL202">
    <cfRule type="containsText" dxfId="327" priority="235" operator="containsText" text="DPR not submitted">
      <formula>NOT(ISERROR(SEARCH("DPR not submitted",AJ202)))</formula>
    </cfRule>
    <cfRule type="containsText" dxfId="326" priority="236" operator="containsText" text="Yet to be approved">
      <formula>NOT(ISERROR(SEARCH("Yet to be approved",AJ202)))</formula>
    </cfRule>
  </conditionalFormatting>
  <conditionalFormatting sqref="AJ145:AM145">
    <cfRule type="containsText" dxfId="325" priority="275" operator="containsText" text="DPR not submitted">
      <formula>NOT(ISERROR(SEARCH("DPR not submitted",AJ145)))</formula>
    </cfRule>
  </conditionalFormatting>
  <conditionalFormatting sqref="AJ147:AM147">
    <cfRule type="containsText" dxfId="324" priority="269" operator="containsText" text="DPR not submitted">
      <formula>NOT(ISERROR(SEARCH("DPR not submitted",AJ147)))</formula>
    </cfRule>
    <cfRule type="containsText" dxfId="323" priority="270" operator="containsText" text="Yet to be approved">
      <formula>NOT(ISERROR(SEARCH("Yet to be approved",AJ147)))</formula>
    </cfRule>
  </conditionalFormatting>
  <conditionalFormatting sqref="AK158">
    <cfRule type="containsText" dxfId="322" priority="255" operator="containsText" text="DPR not submitted">
      <formula>NOT(ISERROR(SEARCH("DPR not submitted",AK158)))</formula>
    </cfRule>
    <cfRule type="containsText" dxfId="321" priority="256" operator="containsText" text="Yet to be approved">
      <formula>NOT(ISERROR(SEARCH("Yet to be approved",AK158)))</formula>
    </cfRule>
  </conditionalFormatting>
  <conditionalFormatting sqref="AK162">
    <cfRule type="containsText" dxfId="320" priority="259" operator="containsText" text="DPR not submitted">
      <formula>NOT(ISERROR(SEARCH("DPR not submitted",AK162)))</formula>
    </cfRule>
    <cfRule type="containsText" dxfId="319" priority="260" operator="containsText" text="Yet to be approved">
      <formula>NOT(ISERROR(SEARCH("Yet to be approved",AK162)))</formula>
    </cfRule>
  </conditionalFormatting>
  <conditionalFormatting sqref="AK190:AL193">
    <cfRule type="containsText" dxfId="318" priority="245" operator="containsText" text="DPR not submitted">
      <formula>NOT(ISERROR(SEARCH("DPR not submitted",AK190)))</formula>
    </cfRule>
    <cfRule type="containsText" dxfId="317" priority="246" operator="containsText" text="Yet to be approved">
      <formula>NOT(ISERROR(SEARCH("Yet to be approved",AK190)))</formula>
    </cfRule>
  </conditionalFormatting>
  <conditionalFormatting sqref="AK131:AN138">
    <cfRule type="containsText" dxfId="316" priority="323" operator="containsText" text="DPR not submitted">
      <formula>NOT(ISERROR(SEARCH("DPR not submitted",AK131)))</formula>
    </cfRule>
    <cfRule type="containsText" dxfId="315" priority="324" operator="containsText" text="Yet to be approved">
      <formula>NOT(ISERROR(SEARCH("Yet to be approved",AK131)))</formula>
    </cfRule>
  </conditionalFormatting>
  <conditionalFormatting sqref="AK148:AS156">
    <cfRule type="containsText" dxfId="314" priority="45" operator="containsText" text="DPR not submitted">
      <formula>NOT(ISERROR(SEARCH("DPR not submitted",AK148)))</formula>
    </cfRule>
    <cfRule type="containsText" dxfId="313" priority="46" operator="containsText" text="Yet to be approved">
      <formula>NOT(ISERROR(SEARCH("Yet to be approved",AK148)))</formula>
    </cfRule>
  </conditionalFormatting>
  <conditionalFormatting sqref="AK168:AS171">
    <cfRule type="containsText" dxfId="312" priority="39" operator="containsText" text="DPR not submitted">
      <formula>NOT(ISERROR(SEARCH("DPR not submitted",AK168)))</formula>
    </cfRule>
    <cfRule type="containsText" dxfId="311" priority="40" operator="containsText" text="Yet to be approved">
      <formula>NOT(ISERROR(SEARCH("Yet to be approved",AK168)))</formula>
    </cfRule>
  </conditionalFormatting>
  <conditionalFormatting sqref="AK176:AS180">
    <cfRule type="containsText" dxfId="310" priority="37" operator="containsText" text="DPR not submitted">
      <formula>NOT(ISERROR(SEARCH("DPR not submitted",AK176)))</formula>
    </cfRule>
    <cfRule type="containsText" dxfId="309" priority="38" operator="containsText" text="Yet to be approved">
      <formula>NOT(ISERROR(SEARCH("Yet to be approved",AK176)))</formula>
    </cfRule>
  </conditionalFormatting>
  <conditionalFormatting sqref="AK203:AS213">
    <cfRule type="containsText" dxfId="308" priority="29" operator="containsText" text="DPR not submitted">
      <formula>NOT(ISERROR(SEARCH("DPR not submitted",AK203)))</formula>
    </cfRule>
    <cfRule type="containsText" dxfId="307" priority="30" operator="containsText" text="Yet to be approved">
      <formula>NOT(ISERROR(SEARCH("Yet to be approved",AK203)))</formula>
    </cfRule>
  </conditionalFormatting>
  <conditionalFormatting sqref="AK231:AT231">
    <cfRule type="containsText" dxfId="306" priority="47" operator="containsText" text="DPR not submitted">
      <formula>NOT(ISERROR(SEARCH("DPR not submitted",AK231)))</formula>
    </cfRule>
    <cfRule type="containsText" dxfId="305" priority="48" operator="containsText" text="Yet to be approved">
      <formula>NOT(ISERROR(SEARCH("Yet to be approved",AK231)))</formula>
    </cfRule>
  </conditionalFormatting>
  <conditionalFormatting sqref="AL223">
    <cfRule type="containsText" dxfId="304" priority="231" operator="containsText" text="DPR not submitted">
      <formula>NOT(ISERROR(SEARCH("DPR not submitted",AL223)))</formula>
    </cfRule>
    <cfRule type="containsText" dxfId="303" priority="232" operator="containsText" text="Yet to be approved">
      <formula>NOT(ISERROR(SEARCH("Yet to be approved",AL223)))</formula>
    </cfRule>
  </conditionalFormatting>
  <conditionalFormatting sqref="AL194:AM200">
    <cfRule type="containsText" dxfId="302" priority="241" operator="containsText" text="DPR not submitted">
      <formula>NOT(ISERROR(SEARCH("DPR not submitted",AL194)))</formula>
    </cfRule>
    <cfRule type="containsText" dxfId="301" priority="242" operator="containsText" text="Yet to be approved">
      <formula>NOT(ISERROR(SEARCH("Yet to be approved",AL194)))</formula>
    </cfRule>
  </conditionalFormatting>
  <conditionalFormatting sqref="AL157:AS163">
    <cfRule type="containsText" dxfId="300" priority="43" operator="containsText" text="DPR not submitted">
      <formula>NOT(ISERROR(SEARCH("DPR not submitted",AL157)))</formula>
    </cfRule>
    <cfRule type="containsText" dxfId="299" priority="44" operator="containsText" text="Yet to be approved">
      <formula>NOT(ISERROR(SEARCH("Yet to be approved",AL157)))</formula>
    </cfRule>
  </conditionalFormatting>
  <conditionalFormatting sqref="AL172:AS175">
    <cfRule type="containsText" dxfId="298" priority="9" operator="containsText" text="DPR not submitted">
      <formula>NOT(ISERROR(SEARCH("DPR not submitted",AL172)))</formula>
    </cfRule>
    <cfRule type="containsText" dxfId="297" priority="10" operator="containsText" text="Yet to be approved">
      <formula>NOT(ISERROR(SEARCH("Yet to be approved",AL172)))</formula>
    </cfRule>
  </conditionalFormatting>
  <conditionalFormatting sqref="AL181:AS186">
    <cfRule type="containsText" dxfId="296" priority="19" operator="containsText" text="DPR not submitted">
      <formula>NOT(ISERROR(SEARCH("DPR not submitted",AL181)))</formula>
    </cfRule>
    <cfRule type="containsText" dxfId="295" priority="20" operator="containsText" text="Yet to be approved">
      <formula>NOT(ISERROR(SEARCH("Yet to be approved",AL181)))</formula>
    </cfRule>
  </conditionalFormatting>
  <conditionalFormatting sqref="AL214:AS220">
    <cfRule type="containsText" dxfId="294" priority="27" operator="containsText" text="DPR not submitted">
      <formula>NOT(ISERROR(SEARCH("DPR not submitted",AL214)))</formula>
    </cfRule>
    <cfRule type="containsText" dxfId="293" priority="28" operator="containsText" text="Yet to be approved">
      <formula>NOT(ISERROR(SEARCH("Yet to be approved",AL214)))</formula>
    </cfRule>
  </conditionalFormatting>
  <conditionalFormatting sqref="AL224:AS227">
    <cfRule type="containsText" dxfId="292" priority="23" operator="containsText" text="DPR not submitted">
      <formula>NOT(ISERROR(SEARCH("DPR not submitted",AL224)))</formula>
    </cfRule>
    <cfRule type="containsText" dxfId="291" priority="24" operator="containsText" text="Yet to be approved">
      <formula>NOT(ISERROR(SEARCH("Yet to be approved",AL224)))</formula>
    </cfRule>
  </conditionalFormatting>
  <conditionalFormatting sqref="AL229:AS229">
    <cfRule type="containsText" dxfId="290" priority="11" operator="containsText" text="DPR not submitted">
      <formula>NOT(ISERROR(SEARCH("DPR not submitted",AL229)))</formula>
    </cfRule>
    <cfRule type="containsText" dxfId="289" priority="12" operator="containsText" text="Yet to be approved">
      <formula>NOT(ISERROR(SEARCH("Yet to be approved",AL229)))</formula>
    </cfRule>
  </conditionalFormatting>
  <conditionalFormatting sqref="AM146">
    <cfRule type="containsText" dxfId="288" priority="265" operator="containsText" text="DPR not submitted">
      <formula>NOT(ISERROR(SEARCH("DPR not submitted",AM146)))</formula>
    </cfRule>
    <cfRule type="containsText" dxfId="287" priority="266" operator="containsText" text="Yet to be approved">
      <formula>NOT(ISERROR(SEARCH("Yet to be approved",AM146)))</formula>
    </cfRule>
  </conditionalFormatting>
  <conditionalFormatting sqref="AM165:AS167">
    <cfRule type="containsText" dxfId="286" priority="41" operator="containsText" text="DPR not submitted">
      <formula>NOT(ISERROR(SEARCH("DPR not submitted",AM165)))</formula>
    </cfRule>
    <cfRule type="containsText" dxfId="285" priority="42" operator="containsText" text="Yet to be approved">
      <formula>NOT(ISERROR(SEARCH("Yet to be approved",AM165)))</formula>
    </cfRule>
  </conditionalFormatting>
  <conditionalFormatting sqref="AM187:AS189">
    <cfRule type="containsText" dxfId="284" priority="35" operator="containsText" text="DPR not submitted">
      <formula>NOT(ISERROR(SEARCH("DPR not submitted",AM187)))</formula>
    </cfRule>
    <cfRule type="containsText" dxfId="283" priority="36" operator="containsText" text="Yet to be approved">
      <formula>NOT(ISERROR(SEARCH("Yet to be approved",AM187)))</formula>
    </cfRule>
  </conditionalFormatting>
  <conditionalFormatting sqref="AM193:AS193">
    <cfRule type="containsText" dxfId="282" priority="21" operator="containsText" text="DPR not submitted">
      <formula>NOT(ISERROR(SEARCH("DPR not submitted",AM193)))</formula>
    </cfRule>
    <cfRule type="containsText" dxfId="281" priority="22" operator="containsText" text="Yet to be approved">
      <formula>NOT(ISERROR(SEARCH("Yet to be approved",AM193)))</formula>
    </cfRule>
  </conditionalFormatting>
  <conditionalFormatting sqref="AM201:AS202">
    <cfRule type="containsText" dxfId="280" priority="31" operator="containsText" text="DPR not submitted">
      <formula>NOT(ISERROR(SEARCH("DPR not submitted",AM201)))</formula>
    </cfRule>
    <cfRule type="containsText" dxfId="279" priority="32" operator="containsText" text="Yet to be approved">
      <formula>NOT(ISERROR(SEARCH("Yet to be approved",AM201)))</formula>
    </cfRule>
  </conditionalFormatting>
  <conditionalFormatting sqref="AM221:AS223">
    <cfRule type="containsText" dxfId="278" priority="25" operator="containsText" text="DPR not submitted">
      <formula>NOT(ISERROR(SEARCH("DPR not submitted",AM221)))</formula>
    </cfRule>
    <cfRule type="containsText" dxfId="277" priority="26" operator="containsText" text="Yet to be approved">
      <formula>NOT(ISERROR(SEARCH("Yet to be approved",AM221)))</formula>
    </cfRule>
  </conditionalFormatting>
  <conditionalFormatting sqref="AN146:AN147 C148 C150 AC167:AD168 E203:E227 AC224:AJ227 D228:E229 AC229:AJ229">
    <cfRule type="containsText" dxfId="276" priority="221" operator="containsText" text="DPR not submitted">
      <formula>NOT(ISERROR(SEARCH("DPR not submitted",C146)))</formula>
    </cfRule>
    <cfRule type="containsText" dxfId="275" priority="222" operator="containsText" text="Yet to be approved">
      <formula>NOT(ISERROR(SEARCH("Yet to be approved",C146)))</formula>
    </cfRule>
  </conditionalFormatting>
  <conditionalFormatting sqref="AN200">
    <cfRule type="containsText" dxfId="274" priority="237" operator="containsText" text="DPR not submitted">
      <formula>NOT(ISERROR(SEARCH("DPR not submitted",AN200)))</formula>
    </cfRule>
    <cfRule type="containsText" dxfId="273" priority="238" operator="containsText" text="Yet to be approved">
      <formula>NOT(ISERROR(SEARCH("Yet to be approved",AN200)))</formula>
    </cfRule>
  </conditionalFormatting>
  <conditionalFormatting sqref="AN190:AS192">
    <cfRule type="containsText" dxfId="272" priority="33" operator="containsText" text="DPR not submitted">
      <formula>NOT(ISERROR(SEARCH("DPR not submitted",AN190)))</formula>
    </cfRule>
    <cfRule type="containsText" dxfId="271" priority="34" operator="containsText" text="Yet to be approved">
      <formula>NOT(ISERROR(SEARCH("Yet to be approved",AN190)))</formula>
    </cfRule>
  </conditionalFormatting>
  <conditionalFormatting sqref="AO194:AS200">
    <cfRule type="containsText" dxfId="270" priority="15" operator="containsText" text="DPR not submitted">
      <formula>NOT(ISERROR(SEARCH("DPR not submitted",AO194)))</formula>
    </cfRule>
    <cfRule type="containsText" dxfId="269" priority="16" operator="containsText" text="Yet to be approved">
      <formula>NOT(ISERROR(SEARCH("Yet to be approved",AO194)))</formula>
    </cfRule>
  </conditionalFormatting>
  <conditionalFormatting sqref="AT148:AU174">
    <cfRule type="containsText" dxfId="268" priority="217" operator="containsText" text="DPR not submitted">
      <formula>NOT(ISERROR(SEARCH("DPR not submitted",AT148)))</formula>
    </cfRule>
    <cfRule type="containsText" dxfId="267" priority="218" operator="containsText" text="Yet to be approved">
      <formula>NOT(ISERROR(SEARCH("Yet to be approved",AT148)))</formula>
    </cfRule>
  </conditionalFormatting>
  <conditionalFormatting sqref="AT176:AU229">
    <cfRule type="containsText" dxfId="266" priority="207" operator="containsText" text="DPR not submitted">
      <formula>NOT(ISERROR(SEARCH("DPR not submitted",AT176)))</formula>
    </cfRule>
    <cfRule type="containsText" dxfId="265" priority="208" operator="containsText" text="Yet to be approved">
      <formula>NOT(ISERROR(SEARCH("Yet to be approved",AT176)))</formula>
    </cfRule>
  </conditionalFormatting>
  <conditionalFormatting sqref="AT175:AW175">
    <cfRule type="containsText" dxfId="264" priority="51" operator="containsText" text="DPR not submitted">
      <formula>NOT(ISERROR(SEARCH("DPR not submitted",AT175)))</formula>
    </cfRule>
    <cfRule type="containsText" dxfId="263" priority="52" operator="containsText" text="Yet to be approved">
      <formula>NOT(ISERROR(SEARCH("Yet to be approved",AT175)))</formula>
    </cfRule>
  </conditionalFormatting>
  <conditionalFormatting sqref="AV131:AV138">
    <cfRule type="containsText" dxfId="262" priority="195" operator="containsText" text="DPR not submitted">
      <formula>NOT(ISERROR(SEARCH("DPR not submitted",AV131)))</formula>
    </cfRule>
    <cfRule type="containsText" dxfId="261" priority="196" operator="containsText" text="Yet to be approved">
      <formula>NOT(ISERROR(SEARCH("Yet to be approved",AV131)))</formula>
    </cfRule>
  </conditionalFormatting>
  <conditionalFormatting sqref="AV148:AV156">
    <cfRule type="containsText" dxfId="260" priority="183" operator="containsText" text="DPR not submitted">
      <formula>NOT(ISERROR(SEARCH("DPR not submitted",AV148)))</formula>
    </cfRule>
    <cfRule type="containsText" dxfId="259" priority="184" operator="containsText" text="Yet to be approved">
      <formula>NOT(ISERROR(SEARCH("Yet to be approved",AV148)))</formula>
    </cfRule>
  </conditionalFormatting>
  <conditionalFormatting sqref="AV168:AV171">
    <cfRule type="containsText" dxfId="258" priority="159" operator="containsText" text="DPR not submitted">
      <formula>NOT(ISERROR(SEARCH("DPR not submitted",AV168)))</formula>
    </cfRule>
    <cfRule type="containsText" dxfId="257" priority="160" operator="containsText" text="Yet to be approved">
      <formula>NOT(ISERROR(SEARCH("Yet to be approved",AV168)))</formula>
    </cfRule>
  </conditionalFormatting>
  <conditionalFormatting sqref="AV176:AV180">
    <cfRule type="containsText" dxfId="256" priority="153" operator="containsText" text="DPR not submitted">
      <formula>NOT(ISERROR(SEARCH("DPR not submitted",AV176)))</formula>
    </cfRule>
    <cfRule type="containsText" dxfId="255" priority="154" operator="containsText" text="Yet to be approved">
      <formula>NOT(ISERROR(SEARCH("Yet to be approved",AV176)))</formula>
    </cfRule>
  </conditionalFormatting>
  <conditionalFormatting sqref="AV203:AV213">
    <cfRule type="containsText" dxfId="254" priority="135" operator="containsText" text="DPR not submitted">
      <formula>NOT(ISERROR(SEARCH("DPR not submitted",AV203)))</formula>
    </cfRule>
    <cfRule type="containsText" dxfId="253" priority="136" operator="containsText" text="Yet to be approved">
      <formula>NOT(ISERROR(SEARCH("Yet to be approved",AV203)))</formula>
    </cfRule>
  </conditionalFormatting>
  <conditionalFormatting sqref="AV157:AW163">
    <cfRule type="containsText" dxfId="252" priority="173" operator="containsText" text="DPR not submitted">
      <formula>NOT(ISERROR(SEARCH("DPR not submitted",AV157)))</formula>
    </cfRule>
    <cfRule type="containsText" dxfId="251" priority="174" operator="containsText" text="Yet to be approved">
      <formula>NOT(ISERROR(SEARCH("Yet to be approved",AV157)))</formula>
    </cfRule>
  </conditionalFormatting>
  <conditionalFormatting sqref="AV172:AW174 AW176">
    <cfRule type="containsText" dxfId="250" priority="155" operator="containsText" text="DPR not submitted">
      <formula>NOT(ISERROR(SEARCH("DPR not submitted",AV172)))</formula>
    </cfRule>
    <cfRule type="containsText" dxfId="249" priority="156" operator="containsText" text="Yet to be approved">
      <formula>NOT(ISERROR(SEARCH("Yet to be approved",AV172)))</formula>
    </cfRule>
  </conditionalFormatting>
  <conditionalFormatting sqref="AV181:AW185">
    <cfRule type="containsText" dxfId="248" priority="149" operator="containsText" text="DPR not submitted">
      <formula>NOT(ISERROR(SEARCH("DPR not submitted",AV181)))</formula>
    </cfRule>
    <cfRule type="containsText" dxfId="247" priority="150" operator="containsText" text="Yet to be approved">
      <formula>NOT(ISERROR(SEARCH("Yet to be approved",AV181)))</formula>
    </cfRule>
  </conditionalFormatting>
  <conditionalFormatting sqref="AV214:AW220">
    <cfRule type="containsText" dxfId="246" priority="133" operator="containsText" text="DPR not submitted">
      <formula>NOT(ISERROR(SEARCH("DPR not submitted",AV214)))</formula>
    </cfRule>
    <cfRule type="containsText" dxfId="245" priority="134" operator="containsText" text="Yet to be approved">
      <formula>NOT(ISERROR(SEARCH("Yet to be approved",AV214)))</formula>
    </cfRule>
  </conditionalFormatting>
  <conditionalFormatting sqref="AV146:AX146 AV147:AW147">
    <cfRule type="containsText" dxfId="244" priority="191" operator="containsText" text="DPR not submitted">
      <formula>NOT(ISERROR(SEARCH("DPR not submitted",AV146)))</formula>
    </cfRule>
    <cfRule type="containsText" dxfId="243" priority="192" operator="containsText" text="Yet to be approved">
      <formula>NOT(ISERROR(SEARCH("Yet to be approved",AV146)))</formula>
    </cfRule>
  </conditionalFormatting>
  <conditionalFormatting sqref="AV165:AX167">
    <cfRule type="containsText" dxfId="242" priority="163" operator="containsText" text="DPR not submitted">
      <formula>NOT(ISERROR(SEARCH("DPR not submitted",AV165)))</formula>
    </cfRule>
    <cfRule type="containsText" dxfId="241" priority="164" operator="containsText" text="Yet to be approved">
      <formula>NOT(ISERROR(SEARCH("Yet to be approved",AV165)))</formula>
    </cfRule>
  </conditionalFormatting>
  <conditionalFormatting sqref="AV187:AX189">
    <cfRule type="containsText" dxfId="240" priority="145" operator="containsText" text="DPR not submitted">
      <formula>NOT(ISERROR(SEARCH("DPR not submitted",AV187)))</formula>
    </cfRule>
    <cfRule type="containsText" dxfId="239" priority="146" operator="containsText" text="Yet to be approved">
      <formula>NOT(ISERROR(SEARCH("Yet to be approved",AV187)))</formula>
    </cfRule>
  </conditionalFormatting>
  <conditionalFormatting sqref="AV201:AX202">
    <cfRule type="containsText" dxfId="238" priority="137" operator="containsText" text="DPR not submitted">
      <formula>NOT(ISERROR(SEARCH("DPR not submitted",AV201)))</formula>
    </cfRule>
    <cfRule type="containsText" dxfId="237" priority="138" operator="containsText" text="Yet to be approved">
      <formula>NOT(ISERROR(SEARCH("Yet to be approved",AV201)))</formula>
    </cfRule>
  </conditionalFormatting>
  <conditionalFormatting sqref="AV221:AX223">
    <cfRule type="containsText" dxfId="236" priority="119" operator="containsText" text="DPR not submitted">
      <formula>NOT(ISERROR(SEARCH("DPR not submitted",AV221)))</formula>
    </cfRule>
    <cfRule type="containsText" dxfId="235" priority="120" operator="containsText" text="Yet to be approved">
      <formula>NOT(ISERROR(SEARCH("Yet to be approved",AV221)))</formula>
    </cfRule>
  </conditionalFormatting>
  <conditionalFormatting sqref="AV228:AX229">
    <cfRule type="containsText" dxfId="234" priority="67" operator="containsText" text="DPR not submitted">
      <formula>NOT(ISERROR(SEARCH("DPR not submitted",AV228)))</formula>
    </cfRule>
    <cfRule type="containsText" dxfId="233" priority="68" operator="containsText" text="Yet to be approved">
      <formula>NOT(ISERROR(SEARCH("Yet to be approved",AV228)))</formula>
    </cfRule>
  </conditionalFormatting>
  <conditionalFormatting sqref="AV190:AY192">
    <cfRule type="containsText" dxfId="232" priority="141" operator="containsText" text="DPR not submitted">
      <formula>NOT(ISERROR(SEARCH("DPR not submitted",AV190)))</formula>
    </cfRule>
    <cfRule type="containsText" dxfId="231" priority="142" operator="containsText" text="Yet to be approved">
      <formula>NOT(ISERROR(SEARCH("Yet to be approved",AV190)))</formula>
    </cfRule>
  </conditionalFormatting>
  <conditionalFormatting sqref="AV145:AZ145">
    <cfRule type="containsText" dxfId="230" priority="193" operator="containsText" text="DPR not submitted">
      <formula>NOT(ISERROR(SEARCH("DPR not submitted",AV145)))</formula>
    </cfRule>
    <cfRule type="containsText" dxfId="229" priority="194" operator="containsText" text="Yet to be approved">
      <formula>NOT(ISERROR(SEARCH("Yet to be approved",AV145)))</formula>
    </cfRule>
  </conditionalFormatting>
  <conditionalFormatting sqref="AV194:AZ200">
    <cfRule type="containsText" dxfId="228" priority="77" operator="containsText" text="DPR not submitted">
      <formula>NOT(ISERROR(SEARCH("DPR not submitted",AV194)))</formula>
    </cfRule>
    <cfRule type="containsText" dxfId="227" priority="78" operator="containsText" text="Yet to be approved">
      <formula>NOT(ISERROR(SEARCH("Yet to be approved",AV194)))</formula>
    </cfRule>
  </conditionalFormatting>
  <conditionalFormatting sqref="AV164:BD164">
    <cfRule type="containsText" dxfId="226" priority="95" operator="containsText" text="DPR not submitted">
      <formula>NOT(ISERROR(SEARCH("DPR not submitted",AV164)))</formula>
    </cfRule>
    <cfRule type="containsText" dxfId="225" priority="96" operator="containsText" text="Yet to be approved">
      <formula>NOT(ISERROR(SEARCH("Yet to be approved",AV164)))</formula>
    </cfRule>
  </conditionalFormatting>
  <conditionalFormatting sqref="AV186:BD186">
    <cfRule type="containsText" dxfId="224" priority="103" operator="containsText" text="DPR not submitted">
      <formula>NOT(ISERROR(SEARCH("DPR not submitted",AV186)))</formula>
    </cfRule>
    <cfRule type="containsText" dxfId="223" priority="104" operator="containsText" text="Yet to be approved">
      <formula>NOT(ISERROR(SEARCH("Yet to be approved",AV186)))</formula>
    </cfRule>
  </conditionalFormatting>
  <conditionalFormatting sqref="AV193:BD193">
    <cfRule type="containsText" dxfId="222" priority="105" operator="containsText" text="DPR not submitted">
      <formula>NOT(ISERROR(SEARCH("DPR not submitted",AV193)))</formula>
    </cfRule>
    <cfRule type="containsText" dxfId="221" priority="106" operator="containsText" text="Yet to be approved">
      <formula>NOT(ISERROR(SEARCH("Yet to be approved",AV193)))</formula>
    </cfRule>
  </conditionalFormatting>
  <conditionalFormatting sqref="AW149">
    <cfRule type="containsText" dxfId="220" priority="71" operator="containsText" text="DPR not submitted">
      <formula>NOT(ISERROR(SEARCH("DPR not submitted",AW149)))</formula>
    </cfRule>
    <cfRule type="containsText" dxfId="219" priority="72" operator="containsText" text="Yet to be approved">
      <formula>NOT(ISERROR(SEARCH("Yet to be approved",AW149)))</formula>
    </cfRule>
  </conditionalFormatting>
  <conditionalFormatting sqref="AW151">
    <cfRule type="containsText" dxfId="218" priority="177" operator="containsText" text="DPR not submitted">
      <formula>NOT(ISERROR(SEARCH("DPR not submitted",AW151)))</formula>
    </cfRule>
    <cfRule type="containsText" dxfId="217" priority="178" operator="containsText" text="Yet to be approved">
      <formula>NOT(ISERROR(SEARCH("Yet to be approved",AW151)))</formula>
    </cfRule>
  </conditionalFormatting>
  <conditionalFormatting sqref="AW153">
    <cfRule type="containsText" dxfId="216" priority="175" operator="containsText" text="DPR not submitted">
      <formula>NOT(ISERROR(SEARCH("DPR not submitted",AW153)))</formula>
    </cfRule>
    <cfRule type="containsText" dxfId="215" priority="176" operator="containsText" text="Yet to be approved">
      <formula>NOT(ISERROR(SEARCH("Yet to be approved",AW153)))</formula>
    </cfRule>
  </conditionalFormatting>
  <conditionalFormatting sqref="AW156">
    <cfRule type="containsText" dxfId="214" priority="73" operator="containsText" text="DPR not submitted">
      <formula>NOT(ISERROR(SEARCH("DPR not submitted",AW156)))</formula>
    </cfRule>
    <cfRule type="containsText" dxfId="213" priority="74" operator="containsText" text="Yet to be approved">
      <formula>NOT(ISERROR(SEARCH("Yet to be approved",AW156)))</formula>
    </cfRule>
  </conditionalFormatting>
  <conditionalFormatting sqref="AW213">
    <cfRule type="containsText" dxfId="212" priority="75" operator="containsText" text="DPR not submitted">
      <formula>NOT(ISERROR(SEARCH("DPR not submitted",AW213)))</formula>
    </cfRule>
    <cfRule type="containsText" dxfId="211" priority="76" operator="containsText" text="Yet to be approved">
      <formula>NOT(ISERROR(SEARCH("Yet to be approved",AW213)))</formula>
    </cfRule>
  </conditionalFormatting>
  <conditionalFormatting sqref="AX158">
    <cfRule type="containsText" dxfId="210" priority="167" operator="containsText" text="DPR not submitted">
      <formula>NOT(ISERROR(SEARCH("DPR not submitted",AX158)))</formula>
    </cfRule>
    <cfRule type="containsText" dxfId="209" priority="168" operator="containsText" text="Yet to be approved">
      <formula>NOT(ISERROR(SEARCH("Yet to be approved",AX158)))</formula>
    </cfRule>
  </conditionalFormatting>
  <conditionalFormatting sqref="AX220">
    <cfRule type="containsText" dxfId="208" priority="121" operator="containsText" text="DPR not submitted">
      <formula>NOT(ISERROR(SEARCH("DPR not submitted",AX220)))</formula>
    </cfRule>
    <cfRule type="containsText" dxfId="207" priority="122" operator="containsText" text="Yet to be approved">
      <formula>NOT(ISERROR(SEARCH("Yet to be approved",AX220)))</formula>
    </cfRule>
  </conditionalFormatting>
  <conditionalFormatting sqref="AX147:AY149">
    <cfRule type="containsText" dxfId="206" priority="187" operator="containsText" text="DPR not submitted">
      <formula>NOT(ISERROR(SEARCH("DPR not submitted",AX147)))</formula>
    </cfRule>
    <cfRule type="containsText" dxfId="205" priority="188" operator="containsText" text="Yet to be approved">
      <formula>NOT(ISERROR(SEARCH("Yet to be approved",AX147)))</formula>
    </cfRule>
  </conditionalFormatting>
  <conditionalFormatting sqref="AX150:AZ153">
    <cfRule type="containsText" dxfId="204" priority="185" operator="containsText" text="DPR not submitted">
      <formula>NOT(ISERROR(SEARCH("DPR not submitted",AX150)))</formula>
    </cfRule>
    <cfRule type="containsText" dxfId="203" priority="186" operator="containsText" text="Yet to be approved">
      <formula>NOT(ISERROR(SEARCH("Yet to be approved",AX150)))</formula>
    </cfRule>
  </conditionalFormatting>
  <conditionalFormatting sqref="AX131:BA138">
    <cfRule type="containsText" dxfId="202" priority="197" operator="containsText" text="DPR not submitted">
      <formula>NOT(ISERROR(SEARCH("DPR not submitted",AX131)))</formula>
    </cfRule>
    <cfRule type="containsText" dxfId="201" priority="198" operator="containsText" text="Yet to be approved">
      <formula>NOT(ISERROR(SEARCH("Yet to be approved",AX131)))</formula>
    </cfRule>
  </conditionalFormatting>
  <conditionalFormatting sqref="AX154:BA156">
    <cfRule type="containsText" dxfId="200" priority="181" operator="containsText" text="DPR not submitted">
      <formula>NOT(ISERROR(SEARCH("DPR not submitted",AX154)))</formula>
    </cfRule>
    <cfRule type="containsText" dxfId="199" priority="182" operator="containsText" text="Yet to be approved">
      <formula>NOT(ISERROR(SEARCH("Yet to be approved",AX154)))</formula>
    </cfRule>
  </conditionalFormatting>
  <conditionalFormatting sqref="AX162:BA162">
    <cfRule type="containsText" dxfId="198" priority="171" operator="containsText" text="DPR not submitted">
      <formula>NOT(ISERROR(SEARCH("DPR not submitted",AX162)))</formula>
    </cfRule>
    <cfRule type="containsText" dxfId="197" priority="172" operator="containsText" text="Yet to be approved">
      <formula>NOT(ISERROR(SEARCH("Yet to be approved",AX162)))</formula>
    </cfRule>
  </conditionalFormatting>
  <conditionalFormatting sqref="AX168:BA171">
    <cfRule type="containsText" dxfId="196" priority="157" operator="containsText" text="DPR not submitted">
      <formula>NOT(ISERROR(SEARCH("DPR not submitted",AX168)))</formula>
    </cfRule>
    <cfRule type="containsText" dxfId="195" priority="158" operator="containsText" text="Yet to be approved">
      <formula>NOT(ISERROR(SEARCH("Yet to be approved",AX168)))</formula>
    </cfRule>
  </conditionalFormatting>
  <conditionalFormatting sqref="AX203:BA213">
    <cfRule type="containsText" dxfId="194" priority="131" operator="containsText" text="DPR not submitted">
      <formula>NOT(ISERROR(SEARCH("DPR not submitted",AX203)))</formula>
    </cfRule>
    <cfRule type="containsText" dxfId="193" priority="132" operator="containsText" text="Yet to be approved">
      <formula>NOT(ISERROR(SEARCH("Yet to be approved",AX203)))</formula>
    </cfRule>
  </conditionalFormatting>
  <conditionalFormatting sqref="AX176:BB180">
    <cfRule type="containsText" dxfId="192" priority="151" operator="containsText" text="DPR not submitted">
      <formula>NOT(ISERROR(SEARCH("DPR not submitted",AX176)))</formula>
    </cfRule>
    <cfRule type="containsText" dxfId="191" priority="152" operator="containsText" text="Yet to be approved">
      <formula>NOT(ISERROR(SEARCH("Yet to be approved",AX176)))</formula>
    </cfRule>
  </conditionalFormatting>
  <conditionalFormatting sqref="AY202">
    <cfRule type="containsText" dxfId="190" priority="127" operator="containsText" text="DPR not submitted">
      <formula>NOT(ISERROR(SEARCH("DPR not submitted",AY202)))</formula>
    </cfRule>
    <cfRule type="containsText" dxfId="189" priority="128" operator="containsText" text="Yet to be approved">
      <formula>NOT(ISERROR(SEARCH("Yet to be approved",AY202)))</formula>
    </cfRule>
  </conditionalFormatting>
  <conditionalFormatting sqref="AY141:BA143">
    <cfRule type="containsText" dxfId="188" priority="179" operator="containsText" text="DPR not submitted">
      <formula>NOT(ISERROR(SEARCH("DPR not submitted",AY141)))</formula>
    </cfRule>
    <cfRule type="containsText" dxfId="187" priority="180" operator="containsText" text="Yet to be approved">
      <formula>NOT(ISERROR(SEARCH("Yet to be approved",AY141)))</formula>
    </cfRule>
  </conditionalFormatting>
  <conditionalFormatting sqref="AY157:BA161">
    <cfRule type="containsText" dxfId="186" priority="169" operator="containsText" text="DPR not submitted">
      <formula>NOT(ISERROR(SEARCH("DPR not submitted",AY157)))</formula>
    </cfRule>
    <cfRule type="containsText" dxfId="185" priority="170" operator="containsText" text="Yet to be approved">
      <formula>NOT(ISERROR(SEARCH("Yet to be approved",AY157)))</formula>
    </cfRule>
  </conditionalFormatting>
  <conditionalFormatting sqref="AY163:BA163">
    <cfRule type="containsText" dxfId="184" priority="165" operator="containsText" text="DPR not submitted">
      <formula>NOT(ISERROR(SEARCH("DPR not submitted",AY163)))</formula>
    </cfRule>
    <cfRule type="containsText" dxfId="183" priority="166" operator="containsText" text="Yet to be approved">
      <formula>NOT(ISERROR(SEARCH("Yet to be approved",AY163)))</formula>
    </cfRule>
  </conditionalFormatting>
  <conditionalFormatting sqref="AY214:BA220">
    <cfRule type="containsText" dxfId="182" priority="123" operator="containsText" text="DPR not submitted">
      <formula>NOT(ISERROR(SEARCH("DPR not submitted",AY214)))</formula>
    </cfRule>
    <cfRule type="containsText" dxfId="181" priority="124" operator="containsText" text="Yet to be approved">
      <formula>NOT(ISERROR(SEARCH("Yet to be approved",AY214)))</formula>
    </cfRule>
  </conditionalFormatting>
  <conditionalFormatting sqref="AY172:BB175">
    <cfRule type="containsText" dxfId="180" priority="49" operator="containsText" text="DPR not submitted">
      <formula>NOT(ISERROR(SEARCH("DPR not submitted",AY172)))</formula>
    </cfRule>
    <cfRule type="containsText" dxfId="179" priority="50" operator="containsText" text="Yet to be approved">
      <formula>NOT(ISERROR(SEARCH("Yet to be approved",AY172)))</formula>
    </cfRule>
  </conditionalFormatting>
  <conditionalFormatting sqref="AY181:BB185">
    <cfRule type="containsText" dxfId="178" priority="147" operator="containsText" text="DPR not submitted">
      <formula>NOT(ISERROR(SEARCH("DPR not submitted",AY181)))</formula>
    </cfRule>
    <cfRule type="containsText" dxfId="177" priority="148" operator="containsText" text="Yet to be approved">
      <formula>NOT(ISERROR(SEARCH("Yet to be approved",AY181)))</formula>
    </cfRule>
  </conditionalFormatting>
  <conditionalFormatting sqref="AZ146:AZ149">
    <cfRule type="containsText" dxfId="176" priority="189" operator="containsText" text="DPR not submitted">
      <formula>NOT(ISERROR(SEARCH("DPR not submitted",AZ146)))</formula>
    </cfRule>
    <cfRule type="containsText" dxfId="175" priority="190" operator="containsText" text="Yet to be approved">
      <formula>NOT(ISERROR(SEARCH("Yet to be approved",AZ146)))</formula>
    </cfRule>
  </conditionalFormatting>
  <conditionalFormatting sqref="AZ165:BA167">
    <cfRule type="containsText" dxfId="174" priority="161" operator="containsText" text="DPR not submitted">
      <formula>NOT(ISERROR(SEARCH("DPR not submitted",AZ165)))</formula>
    </cfRule>
    <cfRule type="containsText" dxfId="173" priority="162" operator="containsText" text="Yet to be approved">
      <formula>NOT(ISERROR(SEARCH("Yet to be approved",AZ165)))</formula>
    </cfRule>
  </conditionalFormatting>
  <conditionalFormatting sqref="AZ201:BA202">
    <cfRule type="containsText" dxfId="172" priority="129" operator="containsText" text="DPR not submitted">
      <formula>NOT(ISERROR(SEARCH("DPR not submitted",AZ201)))</formula>
    </cfRule>
    <cfRule type="containsText" dxfId="171" priority="130" operator="containsText" text="Yet to be approved">
      <formula>NOT(ISERROR(SEARCH("Yet to be approved",AZ201)))</formula>
    </cfRule>
  </conditionalFormatting>
  <conditionalFormatting sqref="AZ221:BA222">
    <cfRule type="containsText" dxfId="170" priority="117" operator="containsText" text="DPR not submitted">
      <formula>NOT(ISERROR(SEARCH("DPR not submitted",AZ221)))</formula>
    </cfRule>
    <cfRule type="containsText" dxfId="169" priority="118" operator="containsText" text="Yet to be approved">
      <formula>NOT(ISERROR(SEARCH("Yet to be approved",AZ221)))</formula>
    </cfRule>
  </conditionalFormatting>
  <conditionalFormatting sqref="AZ187:BB189">
    <cfRule type="containsText" dxfId="168" priority="143" operator="containsText" text="DPR not submitted">
      <formula>NOT(ISERROR(SEARCH("DPR not submitted",AZ187)))</formula>
    </cfRule>
    <cfRule type="containsText" dxfId="167" priority="144" operator="containsText" text="Yet to be approved">
      <formula>NOT(ISERROR(SEARCH("Yet to be approved",AZ187)))</formula>
    </cfRule>
  </conditionalFormatting>
  <conditionalFormatting sqref="BA146:BA153 AY223:BA228 AV224:AW227 AZ229:BA229">
    <cfRule type="containsText" dxfId="166" priority="115" operator="containsText" text="DPR not submitted">
      <formula>NOT(ISERROR(SEARCH("DPR not submitted",AV146)))</formula>
    </cfRule>
    <cfRule type="containsText" dxfId="165" priority="116" operator="containsText" text="Yet to be approved">
      <formula>NOT(ISERROR(SEARCH("Yet to be approved",AV146)))</formula>
    </cfRule>
  </conditionalFormatting>
  <conditionalFormatting sqref="BA200">
    <cfRule type="containsText" dxfId="164" priority="125" operator="containsText" text="DPR not submitted">
      <formula>NOT(ISERROR(SEARCH("DPR not submitted",BA200)))</formula>
    </cfRule>
    <cfRule type="containsText" dxfId="163" priority="126" operator="containsText" text="Yet to be approved">
      <formula>NOT(ISERROR(SEARCH("Yet to be approved",BA200)))</formula>
    </cfRule>
  </conditionalFormatting>
  <conditionalFormatting sqref="BA190:BB192">
    <cfRule type="containsText" dxfId="162" priority="139" operator="containsText" text="DPR not submitted">
      <formula>NOT(ISERROR(SEARCH("DPR not submitted",BA190)))</formula>
    </cfRule>
    <cfRule type="containsText" dxfId="161" priority="140" operator="containsText" text="Yet to be approved">
      <formula>NOT(ISERROR(SEARCH("Yet to be approved",BA190)))</formula>
    </cfRule>
  </conditionalFormatting>
  <conditionalFormatting sqref="BC130:BD130">
    <cfRule type="containsText" dxfId="160" priority="111" operator="containsText" text="DPR not submitted">
      <formula>NOT(ISERROR(SEARCH("DPR not submitted",BC130)))</formula>
    </cfRule>
    <cfRule type="containsText" dxfId="159" priority="112" operator="containsText" text="Yet to be approved">
      <formula>NOT(ISERROR(SEARCH("Yet to be approved",BC130)))</formula>
    </cfRule>
  </conditionalFormatting>
  <conditionalFormatting sqref="BC140:BD140">
    <cfRule type="containsText" dxfId="158" priority="79" operator="containsText" text="DPR not submitted">
      <formula>NOT(ISERROR(SEARCH("DPR not submitted",BC140)))</formula>
    </cfRule>
    <cfRule type="containsText" dxfId="157" priority="80" operator="containsText" text="Yet to be approved">
      <formula>NOT(ISERROR(SEARCH("Yet to be approved",BC140)))</formula>
    </cfRule>
  </conditionalFormatting>
  <conditionalFormatting sqref="BC144:BD144">
    <cfRule type="containsText" dxfId="156" priority="81" operator="containsText" text="DPR not submitted">
      <formula>NOT(ISERROR(SEARCH("DPR not submitted",BC144)))</formula>
    </cfRule>
    <cfRule type="containsText" dxfId="155" priority="82" operator="containsText" text="Yet to be approved">
      <formula>NOT(ISERROR(SEARCH("Yet to be approved",BC144)))</formula>
    </cfRule>
  </conditionalFormatting>
  <conditionalFormatting sqref="BC147:BD147">
    <cfRule type="containsText" dxfId="154" priority="83" operator="containsText" text="DPR not submitted">
      <formula>NOT(ISERROR(SEARCH("DPR not submitted",BC147)))</formula>
    </cfRule>
    <cfRule type="containsText" dxfId="153" priority="84" operator="containsText" text="Yet to be approved">
      <formula>NOT(ISERROR(SEARCH("Yet to be approved",BC147)))</formula>
    </cfRule>
  </conditionalFormatting>
  <conditionalFormatting sqref="BC149:BD149">
    <cfRule type="containsText" dxfId="152" priority="85" operator="containsText" text="DPR not submitted">
      <formula>NOT(ISERROR(SEARCH("DPR not submitted",BC149)))</formula>
    </cfRule>
    <cfRule type="containsText" dxfId="151" priority="86" operator="containsText" text="Yet to be approved">
      <formula>NOT(ISERROR(SEARCH("Yet to be approved",BC149)))</formula>
    </cfRule>
  </conditionalFormatting>
  <conditionalFormatting sqref="BC151:BD151">
    <cfRule type="containsText" dxfId="150" priority="87" operator="containsText" text="DPR not submitted">
      <formula>NOT(ISERROR(SEARCH("DPR not submitted",BC151)))</formula>
    </cfRule>
    <cfRule type="containsText" dxfId="149" priority="88" operator="containsText" text="Yet to be approved">
      <formula>NOT(ISERROR(SEARCH("Yet to be approved",BC151)))</formula>
    </cfRule>
  </conditionalFormatting>
  <conditionalFormatting sqref="BC153:BD153">
    <cfRule type="containsText" dxfId="148" priority="89" operator="containsText" text="DPR not submitted">
      <formula>NOT(ISERROR(SEARCH("DPR not submitted",BC153)))</formula>
    </cfRule>
    <cfRule type="containsText" dxfId="147" priority="90" operator="containsText" text="Yet to be approved">
      <formula>NOT(ISERROR(SEARCH("Yet to be approved",BC153)))</formula>
    </cfRule>
  </conditionalFormatting>
  <conditionalFormatting sqref="BC158:BD158">
    <cfRule type="containsText" dxfId="146" priority="91" operator="containsText" text="DPR not submitted">
      <formula>NOT(ISERROR(SEARCH("DPR not submitted",BC158)))</formula>
    </cfRule>
    <cfRule type="containsText" dxfId="145" priority="92" operator="containsText" text="Yet to be approved">
      <formula>NOT(ISERROR(SEARCH("Yet to be approved",BC158)))</formula>
    </cfRule>
  </conditionalFormatting>
  <conditionalFormatting sqref="BC162:BD162">
    <cfRule type="containsText" dxfId="144" priority="93" operator="containsText" text="DPR not submitted">
      <formula>NOT(ISERROR(SEARCH("DPR not submitted",BC162)))</formula>
    </cfRule>
    <cfRule type="containsText" dxfId="143" priority="94" operator="containsText" text="Yet to be approved">
      <formula>NOT(ISERROR(SEARCH("Yet to be approved",BC162)))</formula>
    </cfRule>
  </conditionalFormatting>
  <conditionalFormatting sqref="BC166:BD166">
    <cfRule type="containsText" dxfId="142" priority="97" operator="containsText" text="DPR not submitted">
      <formula>NOT(ISERROR(SEARCH("DPR not submitted",BC166)))</formula>
    </cfRule>
    <cfRule type="containsText" dxfId="141" priority="98" operator="containsText" text="Yet to be approved">
      <formula>NOT(ISERROR(SEARCH("Yet to be approved",BC166)))</formula>
    </cfRule>
  </conditionalFormatting>
  <conditionalFormatting sqref="BC169:BD169">
    <cfRule type="containsText" dxfId="140" priority="99" operator="containsText" text="DPR not submitted">
      <formula>NOT(ISERROR(SEARCH("DPR not submitted",BC169)))</formula>
    </cfRule>
    <cfRule type="containsText" dxfId="139" priority="100" operator="containsText" text="Yet to be approved">
      <formula>NOT(ISERROR(SEARCH("Yet to be approved",BC169)))</formula>
    </cfRule>
  </conditionalFormatting>
  <conditionalFormatting sqref="BC176:BD176">
    <cfRule type="containsText" dxfId="138" priority="101" operator="containsText" text="DPR not submitted">
      <formula>NOT(ISERROR(SEARCH("DPR not submitted",BC176)))</formula>
    </cfRule>
    <cfRule type="containsText" dxfId="137" priority="102" operator="containsText" text="Yet to be approved">
      <formula>NOT(ISERROR(SEARCH("Yet to be approved",BC176)))</formula>
    </cfRule>
  </conditionalFormatting>
  <conditionalFormatting sqref="BC200:BD200">
    <cfRule type="containsText" dxfId="136" priority="107" operator="containsText" text="DPR not submitted">
      <formula>NOT(ISERROR(SEARCH("DPR not submitted",BC200)))</formula>
    </cfRule>
    <cfRule type="containsText" dxfId="135" priority="108" operator="containsText" text="Yet to be approved">
      <formula>NOT(ISERROR(SEARCH("Yet to be approved",BC200)))</formula>
    </cfRule>
  </conditionalFormatting>
  <conditionalFormatting sqref="BC202:BD202">
    <cfRule type="containsText" dxfId="134" priority="109" operator="containsText" text="DPR not submitted">
      <formula>NOT(ISERROR(SEARCH("DPR not submitted",BC202)))</formula>
    </cfRule>
    <cfRule type="containsText" dxfId="133" priority="110" operator="containsText" text="Yet to be approved">
      <formula>NOT(ISERROR(SEARCH("Yet to be approved",BC202)))</formula>
    </cfRule>
  </conditionalFormatting>
  <conditionalFormatting sqref="BC223:BD223">
    <cfRule type="containsText" dxfId="132" priority="113" operator="containsText" text="DPR not submitted">
      <formula>NOT(ISERROR(SEARCH("DPR not submitted",BC223)))</formula>
    </cfRule>
    <cfRule type="containsText" dxfId="131" priority="114" operator="containsText" text="Yet to be approved">
      <formula>NOT(ISERROR(SEARCH("Yet to be approved",BC223)))</formula>
    </cfRule>
  </conditionalFormatting>
  <conditionalFormatting sqref="BC228:BD228">
    <cfRule type="containsText" dxfId="130" priority="69" operator="containsText" text="DPR not submitted">
      <formula>NOT(ISERROR(SEARCH("DPR not submitted",BC228)))</formula>
    </cfRule>
    <cfRule type="containsText" dxfId="129" priority="70" operator="containsText" text="Yet to be approved">
      <formula>NOT(ISERROR(SEARCH("Yet to be approved",BC228)))</formula>
    </cfRule>
  </conditionalFormatting>
  <dataValidations count="8">
    <dataValidation type="date" allowBlank="1" showInputMessage="1" showErrorMessage="1" error="Please enter date in dd-mm-yy or dd-mm-yyyy format" sqref="F120" xr:uid="{43283B7E-A9A0-4E69-95E6-6C8EB17AF691}">
      <formula1>38718</formula1>
      <formula2>73050</formula2>
    </dataValidation>
    <dataValidation type="list" allowBlank="1" showInputMessage="1" showErrorMessage="1" sqref="BD10:BD396" xr:uid="{D48AB269-24C1-4965-9B20-12C2F96AA4F1}">
      <formula1>$BF$1:$BF$7</formula1>
    </dataValidation>
    <dataValidation type="list" allowBlank="1" showInputMessage="1" showErrorMessage="1" sqref="C139:C229" xr:uid="{1C509D78-DA16-4560-A864-ED22327DC3CD}">
      <formula1>$BE$1:$BE$4</formula1>
    </dataValidation>
    <dataValidation type="list" allowBlank="1" showInputMessage="1" showErrorMessage="1" sqref="BD397" xr:uid="{A9DA5FEB-BA25-46FA-83E6-0FBF36612865}">
      <formula1>$BU$1:$BU$6</formula1>
    </dataValidation>
    <dataValidation type="list" allowBlank="1" showInputMessage="1" showErrorMessage="1" sqref="BS107 BS235:BS396" xr:uid="{4DCBEF96-9605-4324-9877-3B2D18F72A67}">
      <formula1>$BW$1:$BW$7</formula1>
    </dataValidation>
    <dataValidation type="list" allowBlank="1" showInputMessage="1" showErrorMessage="1" sqref="C107 C235:C396" xr:uid="{04564592-81C1-4685-AA0F-84EF9EDF56F5}">
      <formula1>$BV$1:$BV$4</formula1>
    </dataValidation>
    <dataValidation type="list" allowBlank="1" showInputMessage="1" showErrorMessage="1" sqref="C397:C1048576 C230:C234 C108:C138 C1:C106" xr:uid="{DBE0863C-C40B-4DFC-8430-E27A399A50B2}">
      <formula1>$BG$1:$BG$4</formula1>
    </dataValidation>
    <dataValidation type="list" allowBlank="1" showInputMessage="1" showErrorMessage="1" sqref="BD398:BD1048576 BD1:BD9" xr:uid="{9B55E4C1-093C-4622-801C-6C84C16DDB2E}">
      <formula1>$BH$1:$BH$7</formula1>
    </dataValidation>
  </dataValidations>
  <printOptions verticalCentered="1"/>
  <pageMargins left="0" right="0" top="0.83263888888888904" bottom="0.235416666666667" header="0.235416666666667" footer="0.235416666666667"/>
  <pageSetup paperSize="9" scale="40" orientation="landscape" r:id="rId1"/>
  <headerFooter alignWithMargins="0">
    <oddHeader>&amp;C&amp;"-,Bold"MSPGCL: CSTPS Unit 3-7
MTR Petition Formats- Generation
Form 4.2: Capitalisation Plan</oddHeader>
  </headerFooter>
  <legacyDrawing r:id="rId2"/>
  <extLst>
    <ext xmlns:x14="http://schemas.microsoft.com/office/spreadsheetml/2009/9/main" uri="{78C0D931-6437-407d-A8EE-F0AAD7539E65}">
      <x14:conditionalFormattings>
        <x14:conditionalFormatting xmlns:xm="http://schemas.microsoft.com/office/excel/2006/main">
          <x14:cfRule type="containsText" priority="357" operator="containsText" id="{3A93FBB1-7419-416E-83AA-58A50ADD7654}">
            <xm:f>NOT(ISERROR(SEARCH($P$5,E121)))</xm:f>
            <xm:f>$P$5</xm:f>
            <x14:dxf>
              <font>
                <color rgb="FF9C6500"/>
              </font>
              <fill>
                <patternFill>
                  <bgColor rgb="FFFFEB9C"/>
                </patternFill>
              </fill>
            </x14:dxf>
          </x14:cfRule>
          <xm:sqref>E121:F122</xm:sqref>
        </x14:conditionalFormatting>
        <x14:conditionalFormatting xmlns:xm="http://schemas.microsoft.com/office/excel/2006/main">
          <x14:cfRule type="containsText" priority="376" operator="containsText" id="{C67D864A-E8B0-4E1F-999E-F154DEDF9C67}">
            <xm:f>NOT(ISERROR(SEARCH($BH$7,BD1)))</xm:f>
            <xm:f>$BH$7</xm:f>
            <x14:dxf>
              <font>
                <b val="0"/>
                <i/>
                <color rgb="FFFF0000"/>
              </font>
              <fill>
                <patternFill patternType="none"/>
              </fill>
            </x14:dxf>
          </x14:cfRule>
          <x14:cfRule type="containsText" priority="377" operator="containsText" id="{D3157BE2-850B-47F9-9E94-D2191F30AD4C}">
            <xm:f>NOT(ISERROR(SEARCH(#REF!,BD1)))</xm:f>
            <xm:f>#REF!</xm:f>
            <x14:dxf>
              <fill>
                <patternFill patternType="solid">
                  <bgColor theme="0" tint="-0.34998626667073579"/>
                </patternFill>
              </fill>
            </x14:dxf>
          </x14:cfRule>
          <x14:cfRule type="containsText" priority="378" operator="containsText" id="{44F816EB-7938-48D6-9410-3D65487B02DB}">
            <xm:f>NOT(ISERROR(SEARCH($BH$6,BD1)))</xm:f>
            <xm:f>$BH$6</xm:f>
            <x14:dxf>
              <font>
                <color rgb="FF9C0006"/>
              </font>
              <fill>
                <patternFill patternType="solid">
                  <bgColor rgb="FFFFC7CE"/>
                </patternFill>
              </fill>
            </x14:dxf>
          </x14:cfRule>
          <x14:cfRule type="containsText" priority="379" operator="containsText" id="{EC27028D-638B-4124-9947-895A8A67D7A0}">
            <xm:f>NOT(ISERROR(SEARCH($BH$5,BD1)))</xm:f>
            <xm:f>$BH$5</xm:f>
            <x14:dxf>
              <font>
                <color rgb="FF9C0006"/>
              </font>
              <fill>
                <patternFill patternType="solid">
                  <bgColor rgb="FFFFC7CE"/>
                </patternFill>
              </fill>
            </x14:dxf>
          </x14:cfRule>
          <x14:cfRule type="containsText" priority="380" operator="containsText" id="{8A0AF8C4-7DD4-4257-BBAA-8DA674DE123B}">
            <xm:f>NOT(ISERROR(SEARCH($BH$4,BD1)))</xm:f>
            <xm:f>$BH$4</xm:f>
            <x14:dxf>
              <font>
                <color rgb="FF006100"/>
              </font>
              <fill>
                <patternFill patternType="solid">
                  <bgColor rgb="FFC6EFCE"/>
                </patternFill>
              </fill>
            </x14:dxf>
          </x14:cfRule>
          <x14:cfRule type="containsText" priority="381" operator="containsText" id="{BEDD4DD4-C771-493A-BE84-44EB50C8541A}">
            <xm:f>NOT(ISERROR(SEARCH($BH$3,BD1)))</xm:f>
            <xm:f>$BH$3</xm:f>
            <x14:dxf>
              <font>
                <color rgb="FF00B050"/>
              </font>
            </x14:dxf>
          </x14:cfRule>
          <x14:cfRule type="containsText" priority="382" operator="containsText" id="{D8993485-8607-4097-8428-D94D51AC4336}">
            <xm:f>NOT(ISERROR(SEARCH($BH$2,BD1)))</xm:f>
            <xm:f>$BH$2</xm:f>
            <x14:dxf>
              <font>
                <color rgb="FF9C6500"/>
              </font>
              <fill>
                <patternFill patternType="solid">
                  <bgColor rgb="FFFFEB9C"/>
                </patternFill>
              </fill>
            </x14:dxf>
          </x14:cfRule>
          <x14:cfRule type="containsText" priority="383" operator="containsText" id="{37EBF7B5-9CFD-440C-B72C-C5163EB81833}">
            <xm:f>NOT(ISERROR(SEARCH($BH$1,BD1)))</xm:f>
            <xm:f>$BH$1</xm:f>
            <x14:dxf>
              <font>
                <color rgb="FF00B0F0"/>
              </font>
            </x14:dxf>
          </x14:cfRule>
          <xm:sqref>BD1:BD9 BD398:BD1048576</xm:sqref>
        </x14:conditionalFormatting>
        <x14:conditionalFormatting xmlns:xm="http://schemas.microsoft.com/office/excel/2006/main">
          <x14:cfRule type="containsText" priority="199" operator="containsText" id="{A901BC46-E61C-4F42-ACE5-7B6A4DC0F7A4}">
            <xm:f>NOT(ISERROR(SEARCH($BF$7,BD10)))</xm:f>
            <xm:f>$BF$7</xm:f>
            <x14:dxf>
              <font>
                <b val="0"/>
                <i/>
                <color rgb="FFFF0000"/>
              </font>
              <fill>
                <patternFill patternType="none"/>
              </fill>
            </x14:dxf>
          </x14:cfRule>
          <x14:cfRule type="containsText" priority="200" operator="containsText" id="{DD9CEF03-BCBF-47BD-93C2-E1F3852A59C4}">
            <xm:f>NOT(ISERROR(SEARCH(#REF!,BD10)))</xm:f>
            <xm:f>#REF!</xm:f>
            <x14:dxf>
              <fill>
                <patternFill patternType="solid">
                  <bgColor rgb="FFA6A6A6"/>
                </patternFill>
              </fill>
            </x14:dxf>
          </x14:cfRule>
          <x14:cfRule type="containsText" priority="201" operator="containsText" id="{F75F2C41-BBFF-4055-975A-37EA9FE6425C}">
            <xm:f>NOT(ISERROR(SEARCH($BF$6,BD10)))</xm:f>
            <xm:f>$BF$6</xm:f>
            <x14:dxf>
              <font>
                <color rgb="FF9C0006"/>
              </font>
              <fill>
                <patternFill patternType="solid">
                  <bgColor rgb="FFFFC7CE"/>
                </patternFill>
              </fill>
            </x14:dxf>
          </x14:cfRule>
          <x14:cfRule type="containsText" priority="202" operator="containsText" id="{CC05FD67-DAF6-4C08-98B8-067CDFA96C28}">
            <xm:f>NOT(ISERROR(SEARCH($BF$5,BD10)))</xm:f>
            <xm:f>$BF$5</xm:f>
            <x14:dxf>
              <font>
                <color rgb="FF9C0006"/>
              </font>
              <fill>
                <patternFill patternType="solid">
                  <bgColor rgb="FFFFC7CE"/>
                </patternFill>
              </fill>
            </x14:dxf>
          </x14:cfRule>
          <x14:cfRule type="containsText" priority="203" operator="containsText" id="{560502D5-2122-41A0-8AFB-3D8A9AC9EBA6}">
            <xm:f>NOT(ISERROR(SEARCH($BF$4,BD10)))</xm:f>
            <xm:f>$BF$4</xm:f>
            <x14:dxf>
              <font>
                <color rgb="FF006100"/>
              </font>
              <fill>
                <patternFill patternType="solid">
                  <bgColor rgb="FFC6EFCE"/>
                </patternFill>
              </fill>
            </x14:dxf>
          </x14:cfRule>
          <x14:cfRule type="containsText" priority="204" operator="containsText" id="{3DE0DAE2-0786-44A6-8CE4-9A3A088E03A3}">
            <xm:f>NOT(ISERROR(SEARCH($BF$3,BD10)))</xm:f>
            <xm:f>$BF$3</xm:f>
            <x14:dxf>
              <font>
                <color rgb="FF00B050"/>
              </font>
            </x14:dxf>
          </x14:cfRule>
          <x14:cfRule type="containsText" priority="205" operator="containsText" id="{2060DE57-A32D-4A47-8562-1F4EB67BE600}">
            <xm:f>NOT(ISERROR(SEARCH($BF$2,BD10)))</xm:f>
            <xm:f>$BF$2</xm:f>
            <x14:dxf>
              <font>
                <color rgb="FF9C6500"/>
              </font>
              <fill>
                <patternFill patternType="solid">
                  <bgColor rgb="FFFFEB9C"/>
                </patternFill>
              </fill>
            </x14:dxf>
          </x14:cfRule>
          <x14:cfRule type="containsText" priority="206" operator="containsText" id="{D46C49E3-6B32-48B1-89A7-7EFC5C3AA196}">
            <xm:f>NOT(ISERROR(SEARCH($BF$1,BD10)))</xm:f>
            <xm:f>$BF$1</xm:f>
            <x14:dxf>
              <font>
                <color rgb="FF00B0F0"/>
              </font>
            </x14:dxf>
          </x14:cfRule>
          <xm:sqref>BD10:BD139 BD141:BD143 BD145:BD146 BD148 BD150 BD152 BD154:BD157 BD159:BD161 BD163 BD165 BD167:BD168 BD177:BD185 BD187:BD192 BD194:BD199 BD201 BD203:BD222 BD224:BD227 BD229:BD396</xm:sqref>
        </x14:conditionalFormatting>
        <x14:conditionalFormatting xmlns:xm="http://schemas.microsoft.com/office/excel/2006/main">
          <x14:cfRule type="containsText" priority="53" operator="containsText" id="{0149B5B5-B2C4-4331-870A-52E0167603E3}">
            <xm:f>NOT(ISERROR(SEARCH($BF$7,BD170)))</xm:f>
            <xm:f>$BF$7</xm:f>
            <x14:dxf>
              <font>
                <b val="0"/>
                <i/>
                <color rgb="FFFF0000"/>
              </font>
              <fill>
                <patternFill patternType="none"/>
              </fill>
            </x14:dxf>
          </x14:cfRule>
          <x14:cfRule type="containsText" priority="54" operator="containsText" id="{BA93E186-7C78-4AF2-8CFC-D18FC62E2605}">
            <xm:f>NOT(ISERROR(SEARCH(#REF!,BD170)))</xm:f>
            <xm:f>#REF!</xm:f>
            <x14:dxf>
              <fill>
                <patternFill patternType="solid">
                  <bgColor rgb="FFA6A6A6"/>
                </patternFill>
              </fill>
            </x14:dxf>
          </x14:cfRule>
          <x14:cfRule type="containsText" priority="55" operator="containsText" id="{EE9C8874-6FB3-4CAB-A60C-4079E0F78DCB}">
            <xm:f>NOT(ISERROR(SEARCH($BF$6,BD170)))</xm:f>
            <xm:f>$BF$6</xm:f>
            <x14:dxf>
              <font>
                <color rgb="FF9C0006"/>
              </font>
              <fill>
                <patternFill patternType="solid">
                  <bgColor rgb="FFFFC7CE"/>
                </patternFill>
              </fill>
            </x14:dxf>
          </x14:cfRule>
          <x14:cfRule type="containsText" priority="56" operator="containsText" id="{1ECB4E3A-BAAF-497C-9D0C-372F9FBEBA16}">
            <xm:f>NOT(ISERROR(SEARCH($BF$5,BD170)))</xm:f>
            <xm:f>$BF$5</xm:f>
            <x14:dxf>
              <font>
                <color rgb="FF9C0006"/>
              </font>
              <fill>
                <patternFill patternType="solid">
                  <bgColor rgb="FFFFC7CE"/>
                </patternFill>
              </fill>
            </x14:dxf>
          </x14:cfRule>
          <x14:cfRule type="containsText" priority="57" operator="containsText" id="{2568CE71-CCEB-4894-B261-529096AC04B8}">
            <xm:f>NOT(ISERROR(SEARCH($BF$4,BD170)))</xm:f>
            <xm:f>$BF$4</xm:f>
            <x14:dxf>
              <font>
                <color rgb="FF006100"/>
              </font>
              <fill>
                <patternFill patternType="solid">
                  <bgColor rgb="FFC6EFCE"/>
                </patternFill>
              </fill>
            </x14:dxf>
          </x14:cfRule>
          <x14:cfRule type="containsText" priority="58" operator="containsText" id="{C704B3DF-A876-42EB-91DB-74AF5D2565A4}">
            <xm:f>NOT(ISERROR(SEARCH($BF$3,BD170)))</xm:f>
            <xm:f>$BF$3</xm:f>
            <x14:dxf>
              <font>
                <color rgb="FF00B050"/>
              </font>
            </x14:dxf>
          </x14:cfRule>
          <x14:cfRule type="containsText" priority="59" operator="containsText" id="{489A666E-2D54-416F-97C9-10B6F2D29B25}">
            <xm:f>NOT(ISERROR(SEARCH($BF$2,BD170)))</xm:f>
            <xm:f>$BF$2</xm:f>
            <x14:dxf>
              <font>
                <color rgb="FF9C6500"/>
              </font>
              <fill>
                <patternFill patternType="solid">
                  <bgColor rgb="FFFFEB9C"/>
                </patternFill>
              </fill>
            </x14:dxf>
          </x14:cfRule>
          <x14:cfRule type="containsText" priority="60" operator="containsText" id="{7D9A1920-FF79-4DF3-83DC-F2642452FF52}">
            <xm:f>NOT(ISERROR(SEARCH($BF$1,BD170)))</xm:f>
            <xm:f>$BF$1</xm:f>
            <x14:dxf>
              <font>
                <color rgb="FF00B0F0"/>
              </font>
            </x14:dxf>
          </x14:cfRule>
          <xm:sqref>BD170:BD175</xm:sqref>
        </x14:conditionalFormatting>
        <x14:conditionalFormatting xmlns:xm="http://schemas.microsoft.com/office/excel/2006/main">
          <x14:cfRule type="containsText" priority="327" operator="containsText" id="{EB7BED66-0F3D-48A5-AF17-E36FA3FE4307}">
            <xm:f>NOT(ISERROR(SEARCH(#REF!,BD397)))</xm:f>
            <xm:f>#REF!</xm:f>
            <x14:dxf>
              <font>
                <b val="0"/>
                <i/>
                <color rgb="FFFF0000"/>
              </font>
              <fill>
                <patternFill patternType="none"/>
              </fill>
            </x14:dxf>
          </x14:cfRule>
          <x14:cfRule type="containsText" priority="328" operator="containsText" id="{E0F8A429-B7C9-406E-B7D4-594D53780AA7}">
            <xm:f>NOT(ISERROR(SEARCH(#REF!,BD397)))</xm:f>
            <xm:f>#REF!</xm:f>
            <x14:dxf>
              <fill>
                <patternFill patternType="solid">
                  <bgColor theme="0" tint="-0.34998626667073579"/>
                </patternFill>
              </fill>
            </x14:dxf>
          </x14:cfRule>
          <x14:cfRule type="containsText" priority="329" operator="containsText" id="{CE8722DE-E823-4669-B891-B3B33E305A0D}">
            <xm:f>NOT(ISERROR(SEARCH($BU$6,BD397)))</xm:f>
            <xm:f>$BU$6</xm:f>
            <x14:dxf>
              <font>
                <color rgb="FF9C0006"/>
              </font>
              <fill>
                <patternFill patternType="solid">
                  <bgColor rgb="FFFFC7CE"/>
                </patternFill>
              </fill>
            </x14:dxf>
          </x14:cfRule>
          <x14:cfRule type="containsText" priority="330" operator="containsText" id="{A0C5EF3E-0A3F-4F6A-8539-9B66D7AFABA5}">
            <xm:f>NOT(ISERROR(SEARCH($BU$5,BD397)))</xm:f>
            <xm:f>$BU$5</xm:f>
            <x14:dxf>
              <font>
                <color rgb="FF9C0006"/>
              </font>
              <fill>
                <patternFill patternType="solid">
                  <bgColor rgb="FFFFC7CE"/>
                </patternFill>
              </fill>
            </x14:dxf>
          </x14:cfRule>
          <x14:cfRule type="containsText" priority="331" operator="containsText" id="{6B5CF879-4137-4C85-9224-CE61EC7209E0}">
            <xm:f>NOT(ISERROR(SEARCH($BU$4,BD397)))</xm:f>
            <xm:f>$BU$4</xm:f>
            <x14:dxf>
              <font>
                <color rgb="FF006100"/>
              </font>
              <fill>
                <patternFill patternType="solid">
                  <bgColor rgb="FFC6EFCE"/>
                </patternFill>
              </fill>
            </x14:dxf>
          </x14:cfRule>
          <x14:cfRule type="containsText" priority="332" operator="containsText" id="{231A2B25-2D3D-49A0-B6AF-EEA3B1BF73BC}">
            <xm:f>NOT(ISERROR(SEARCH($BU$3,BD397)))</xm:f>
            <xm:f>$BU$3</xm:f>
            <x14:dxf>
              <font>
                <color rgb="FF00B050"/>
              </font>
            </x14:dxf>
          </x14:cfRule>
          <x14:cfRule type="containsText" priority="333" operator="containsText" id="{DDFC1EFE-A406-4E5D-976B-1E2E80BDE712}">
            <xm:f>NOT(ISERROR(SEARCH($BU$2,BD397)))</xm:f>
            <xm:f>$BU$2</xm:f>
            <x14:dxf>
              <font>
                <color rgb="FF9C6500"/>
              </font>
              <fill>
                <patternFill patternType="solid">
                  <bgColor rgb="FFFFEB9C"/>
                </patternFill>
              </fill>
            </x14:dxf>
          </x14:cfRule>
          <x14:cfRule type="containsText" priority="334" operator="containsText" id="{11F74F10-6719-4C04-B2BA-23D44F67DA84}">
            <xm:f>NOT(ISERROR(SEARCH($BU$1,BD397)))</xm:f>
            <xm:f>$BU$1</xm:f>
            <x14:dxf>
              <font>
                <color rgb="FF00B0F0"/>
              </font>
            </x14:dxf>
          </x14:cfRule>
          <xm:sqref>BD397</xm:sqref>
        </x14:conditionalFormatting>
        <x14:conditionalFormatting xmlns:xm="http://schemas.microsoft.com/office/excel/2006/main">
          <x14:cfRule type="containsText" priority="345" operator="containsText" id="{636D93D2-34E9-4A2C-AF26-BF89E48EC49B}">
            <xm:f>NOT(ISERROR(SEARCH($BW$7,BS107)))</xm:f>
            <xm:f>$BW$7</xm:f>
            <x14:dxf>
              <font>
                <b val="0"/>
                <i/>
                <color rgb="FFFF0000"/>
              </font>
              <fill>
                <patternFill patternType="none"/>
              </fill>
            </x14:dxf>
          </x14:cfRule>
          <x14:cfRule type="containsText" priority="346" operator="containsText" id="{F464FA6A-74B8-4994-AF3E-B5503BDE2962}">
            <xm:f>NOT(ISERROR(SEARCH(#REF!,BS107)))</xm:f>
            <xm:f>#REF!</xm:f>
            <x14:dxf>
              <fill>
                <patternFill patternType="solid">
                  <bgColor theme="0" tint="-0.34998626667073579"/>
                </patternFill>
              </fill>
            </x14:dxf>
          </x14:cfRule>
          <x14:cfRule type="containsText" priority="347" operator="containsText" id="{8336F811-5C2F-47DE-AF75-156B7FCA6C4A}">
            <xm:f>NOT(ISERROR(SEARCH($BW$6,BS107)))</xm:f>
            <xm:f>$BW$6</xm:f>
            <x14:dxf>
              <font>
                <color rgb="FF9C0006"/>
              </font>
              <fill>
                <patternFill patternType="solid">
                  <bgColor rgb="FFFFC7CE"/>
                </patternFill>
              </fill>
            </x14:dxf>
          </x14:cfRule>
          <x14:cfRule type="containsText" priority="348" operator="containsText" id="{BC821671-B2F1-4D25-9AF8-8E14D8FC1962}">
            <xm:f>NOT(ISERROR(SEARCH($BW$5,BS107)))</xm:f>
            <xm:f>$BW$5</xm:f>
            <x14:dxf>
              <font>
                <color rgb="FF9C0006"/>
              </font>
              <fill>
                <patternFill patternType="solid">
                  <bgColor rgb="FFFFC7CE"/>
                </patternFill>
              </fill>
            </x14:dxf>
          </x14:cfRule>
          <x14:cfRule type="containsText" priority="349" operator="containsText" id="{43BB51DE-061E-46C6-AC94-C7C892EBC446}">
            <xm:f>NOT(ISERROR(SEARCH($BW$4,BS107)))</xm:f>
            <xm:f>$BW$4</xm:f>
            <x14:dxf>
              <font>
                <color rgb="FF006100"/>
              </font>
              <fill>
                <patternFill patternType="solid">
                  <bgColor rgb="FFC6EFCE"/>
                </patternFill>
              </fill>
            </x14:dxf>
          </x14:cfRule>
          <x14:cfRule type="containsText" priority="350" operator="containsText" id="{B8301A2D-888C-496E-AB30-7C5DE921656F}">
            <xm:f>NOT(ISERROR(SEARCH($BW$3,BS107)))</xm:f>
            <xm:f>$BW$3</xm:f>
            <x14:dxf>
              <font>
                <color rgb="FF00B050"/>
              </font>
            </x14:dxf>
          </x14:cfRule>
          <x14:cfRule type="containsText" priority="351" operator="containsText" id="{D035C340-1B30-4374-9ED3-46F69AB4A3BF}">
            <xm:f>NOT(ISERROR(SEARCH($BW$2,BS107)))</xm:f>
            <xm:f>$BW$2</xm:f>
            <x14:dxf>
              <font>
                <color rgb="FF9C6500"/>
              </font>
              <fill>
                <patternFill patternType="solid">
                  <bgColor rgb="FFFFEB9C"/>
                </patternFill>
              </fill>
            </x14:dxf>
          </x14:cfRule>
          <x14:cfRule type="containsText" priority="352" operator="containsText" id="{35CC939E-8E95-42AB-8415-4DCEEBBE2BC7}">
            <xm:f>NOT(ISERROR(SEARCH($BW$1,BS107)))</xm:f>
            <xm:f>$BW$1</xm:f>
            <x14:dxf>
              <font>
                <color rgb="FF00B0F0"/>
              </font>
            </x14:dxf>
          </x14:cfRule>
          <xm:sqref>BS107</xm:sqref>
        </x14:conditionalFormatting>
        <x14:conditionalFormatting xmlns:xm="http://schemas.microsoft.com/office/excel/2006/main">
          <x14:cfRule type="containsText" priority="335" operator="containsText" id="{78D6C45E-DDEC-4CD4-981B-76CD407F67A6}">
            <xm:f>NOT(ISERROR(SEARCH($BW$7,BS235)))</xm:f>
            <xm:f>$BW$7</xm:f>
            <x14:dxf>
              <font>
                <b val="0"/>
                <i/>
                <color rgb="FFFF0000"/>
              </font>
              <fill>
                <patternFill patternType="none"/>
              </fill>
            </x14:dxf>
          </x14:cfRule>
          <x14:cfRule type="containsText" priority="336" operator="containsText" id="{0064CAC1-DBFD-471C-BCE0-E147BE215AAE}">
            <xm:f>NOT(ISERROR(SEARCH(#REF!,BS235)))</xm:f>
            <xm:f>#REF!</xm:f>
            <x14:dxf>
              <fill>
                <patternFill patternType="solid">
                  <bgColor theme="0" tint="-0.34998626667073579"/>
                </patternFill>
              </fill>
            </x14:dxf>
          </x14:cfRule>
          <x14:cfRule type="containsText" priority="337" operator="containsText" id="{BD856BA3-1750-495E-AEB2-ACABCA33E92A}">
            <xm:f>NOT(ISERROR(SEARCH($BW$6,BS235)))</xm:f>
            <xm:f>$BW$6</xm:f>
            <x14:dxf>
              <font>
                <color rgb="FF9C0006"/>
              </font>
              <fill>
                <patternFill patternType="solid">
                  <bgColor rgb="FFFFC7CE"/>
                </patternFill>
              </fill>
            </x14:dxf>
          </x14:cfRule>
          <x14:cfRule type="containsText" priority="338" operator="containsText" id="{2F672D4D-9D0E-462D-B980-E6BC7171F4D2}">
            <xm:f>NOT(ISERROR(SEARCH($BW$5,BS235)))</xm:f>
            <xm:f>$BW$5</xm:f>
            <x14:dxf>
              <font>
                <color rgb="FF9C0006"/>
              </font>
              <fill>
                <patternFill patternType="solid">
                  <bgColor rgb="FFFFC7CE"/>
                </patternFill>
              </fill>
            </x14:dxf>
          </x14:cfRule>
          <x14:cfRule type="containsText" priority="339" operator="containsText" id="{CBDD741A-A3DC-47FE-9C36-BB0A3E35D407}">
            <xm:f>NOT(ISERROR(SEARCH($BW$4,BS235)))</xm:f>
            <xm:f>$BW$4</xm:f>
            <x14:dxf>
              <font>
                <color rgb="FF006100"/>
              </font>
              <fill>
                <patternFill patternType="solid">
                  <bgColor rgb="FFC6EFCE"/>
                </patternFill>
              </fill>
            </x14:dxf>
          </x14:cfRule>
          <x14:cfRule type="containsText" priority="340" operator="containsText" id="{4C7847A2-3B94-417A-A71A-7BC1F2ECCC96}">
            <xm:f>NOT(ISERROR(SEARCH($BW$3,BS235)))</xm:f>
            <xm:f>$BW$3</xm:f>
            <x14:dxf>
              <font>
                <color rgb="FF00B050"/>
              </font>
            </x14:dxf>
          </x14:cfRule>
          <x14:cfRule type="containsText" priority="341" operator="containsText" id="{5AEAA629-726D-4229-B718-86D89D24CB7E}">
            <xm:f>NOT(ISERROR(SEARCH($BW$2,BS235)))</xm:f>
            <xm:f>$BW$2</xm:f>
            <x14:dxf>
              <font>
                <color rgb="FF9C6500"/>
              </font>
              <fill>
                <patternFill patternType="solid">
                  <bgColor rgb="FFFFEB9C"/>
                </patternFill>
              </fill>
            </x14:dxf>
          </x14:cfRule>
          <x14:cfRule type="containsText" priority="342" operator="containsText" id="{D242C480-0FBF-4D1D-A131-5761A103794F}">
            <xm:f>NOT(ISERROR(SEARCH($BW$1,BS235)))</xm:f>
            <xm:f>$BW$1</xm:f>
            <x14:dxf>
              <font>
                <color rgb="FF00B0F0"/>
              </font>
            </x14:dxf>
          </x14:cfRule>
          <xm:sqref>BS235:BS396</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P88711"/>
  <sheetViews>
    <sheetView showGridLines="0" view="pageBreakPreview" zoomScale="80" zoomScaleNormal="80" zoomScaleSheetLayoutView="80" workbookViewId="0">
      <pane xSplit="2" ySplit="6" topLeftCell="C398" activePane="bottomRight" state="frozen"/>
      <selection activeCell="N12" sqref="N12"/>
      <selection pane="topRight" activeCell="N12" sqref="N12"/>
      <selection pane="bottomLeft" activeCell="N12" sqref="N12"/>
      <selection pane="bottomRight" activeCell="D791" sqref="A1:XFD1048576"/>
    </sheetView>
  </sheetViews>
  <sheetFormatPr defaultColWidth="9.1796875" defaultRowHeight="14.5" outlineLevelRow="1"/>
  <cols>
    <col min="1" max="1" width="8.26953125" style="1316" customWidth="1"/>
    <col min="2" max="2" width="62.54296875" style="1434" customWidth="1"/>
    <col min="3" max="3" width="34.1796875" style="1442" customWidth="1"/>
    <col min="4" max="4" width="13.7265625" style="1435" customWidth="1"/>
    <col min="5" max="5" width="10.453125" style="1477" customWidth="1"/>
    <col min="6" max="7" width="17.81640625" style="1546" customWidth="1"/>
    <col min="8" max="8" width="11.7265625" style="1546" customWidth="1"/>
    <col min="9" max="9" width="11.453125" style="1546" customWidth="1"/>
    <col min="10" max="10" width="11.81640625" style="1546" customWidth="1"/>
    <col min="11" max="12" width="10.54296875" style="1546" customWidth="1"/>
    <col min="13" max="13" width="13.1796875" style="1546" customWidth="1"/>
    <col min="14" max="14" width="9.1796875" style="1546" customWidth="1"/>
    <col min="15" max="16" width="18.1796875" style="1316" customWidth="1"/>
    <col min="17" max="16384" width="9.1796875" style="1316"/>
  </cols>
  <sheetData>
    <row r="1" spans="1:16">
      <c r="C1" s="1308" t="s">
        <v>1552</v>
      </c>
      <c r="F1" s="1477"/>
      <c r="G1" s="1477"/>
      <c r="H1" s="1477"/>
      <c r="I1" s="1477"/>
      <c r="J1" s="1477"/>
      <c r="K1" s="1477"/>
      <c r="L1" s="1477"/>
      <c r="M1" s="1477"/>
      <c r="N1" s="1477"/>
    </row>
    <row r="2" spans="1:16">
      <c r="C2" s="1478" t="s">
        <v>928</v>
      </c>
      <c r="F2" s="1477"/>
      <c r="G2" s="1477"/>
      <c r="H2" s="1477"/>
      <c r="I2" s="1477"/>
      <c r="J2" s="1477"/>
      <c r="K2" s="1477"/>
      <c r="L2" s="1477"/>
      <c r="M2" s="1477"/>
      <c r="N2" s="1477"/>
    </row>
    <row r="3" spans="1:16">
      <c r="B3" s="1479" t="s">
        <v>0</v>
      </c>
      <c r="C3" s="1480" t="s">
        <v>638</v>
      </c>
      <c r="D3" s="1481"/>
      <c r="E3" s="1482"/>
      <c r="F3" s="1482"/>
      <c r="G3" s="1482"/>
      <c r="H3" s="1482"/>
      <c r="I3" s="1482"/>
      <c r="J3" s="1483"/>
      <c r="K3" s="1483"/>
      <c r="L3" s="1483"/>
      <c r="M3" s="1484" t="s">
        <v>10</v>
      </c>
      <c r="N3" s="1483"/>
    </row>
    <row r="4" spans="1:16">
      <c r="A4" s="1910" t="s">
        <v>340</v>
      </c>
      <c r="B4" s="1910" t="s">
        <v>16</v>
      </c>
      <c r="C4" s="1910" t="s">
        <v>490</v>
      </c>
      <c r="D4" s="1932" t="s">
        <v>491</v>
      </c>
      <c r="E4" s="1915" t="s">
        <v>50</v>
      </c>
      <c r="F4" s="1929" t="s">
        <v>500</v>
      </c>
      <c r="G4" s="1927" t="s">
        <v>501</v>
      </c>
      <c r="H4" s="1927" t="s">
        <v>49</v>
      </c>
      <c r="I4" s="1927" t="s">
        <v>48</v>
      </c>
      <c r="J4" s="1927" t="s">
        <v>2154</v>
      </c>
      <c r="K4" s="1927"/>
      <c r="L4" s="1927"/>
      <c r="M4" s="1927"/>
      <c r="N4" s="1929" t="s">
        <v>46</v>
      </c>
    </row>
    <row r="5" spans="1:16">
      <c r="A5" s="1910"/>
      <c r="B5" s="1910"/>
      <c r="C5" s="1910"/>
      <c r="D5" s="1932"/>
      <c r="E5" s="1915"/>
      <c r="F5" s="1930"/>
      <c r="G5" s="1927"/>
      <c r="H5" s="1927"/>
      <c r="I5" s="1927"/>
      <c r="J5" s="1927"/>
      <c r="K5" s="1927"/>
      <c r="L5" s="1927"/>
      <c r="M5" s="1927"/>
      <c r="N5" s="1930"/>
    </row>
    <row r="6" spans="1:16" ht="29">
      <c r="A6" s="1910"/>
      <c r="B6" s="1910"/>
      <c r="C6" s="1910"/>
      <c r="D6" s="1932"/>
      <c r="E6" s="1915"/>
      <c r="F6" s="1931"/>
      <c r="G6" s="1927"/>
      <c r="H6" s="1927"/>
      <c r="I6" s="1927"/>
      <c r="J6" s="1485" t="s">
        <v>45</v>
      </c>
      <c r="K6" s="1485" t="s">
        <v>44</v>
      </c>
      <c r="L6" s="1485" t="s">
        <v>43</v>
      </c>
      <c r="M6" s="1485" t="s">
        <v>42</v>
      </c>
      <c r="N6" s="1931"/>
      <c r="O6" s="1436"/>
      <c r="P6" s="1436"/>
    </row>
    <row r="7" spans="1:16" ht="15.75" customHeight="1">
      <c r="A7" s="1486"/>
      <c r="B7" s="1433" t="s">
        <v>508</v>
      </c>
      <c r="C7" s="1309"/>
      <c r="D7" s="1432"/>
      <c r="E7" s="1309"/>
      <c r="F7" s="1433"/>
      <c r="G7" s="1433"/>
      <c r="H7" s="1433"/>
      <c r="I7" s="1433"/>
      <c r="J7" s="1433"/>
      <c r="K7" s="1433"/>
      <c r="L7" s="1433"/>
      <c r="M7" s="1433"/>
      <c r="N7" s="1433"/>
    </row>
    <row r="8" spans="1:16" outlineLevel="1">
      <c r="A8" s="1487">
        <v>0</v>
      </c>
      <c r="B8" s="1332" t="s">
        <v>1562</v>
      </c>
      <c r="C8" s="1488">
        <v>0</v>
      </c>
      <c r="D8" s="1489" t="s">
        <v>1566</v>
      </c>
      <c r="E8" s="1490">
        <v>0</v>
      </c>
      <c r="F8" s="1437"/>
      <c r="G8" s="1437"/>
      <c r="H8" s="1437">
        <f>F8-G8</f>
        <v>0</v>
      </c>
      <c r="I8" s="1437">
        <v>0</v>
      </c>
      <c r="J8" s="1437">
        <v>0</v>
      </c>
      <c r="K8" s="1438"/>
      <c r="L8" s="1438"/>
      <c r="M8" s="1437">
        <f>SUM(J8:L8)</f>
        <v>0</v>
      </c>
      <c r="N8" s="1437">
        <f>H8+I8-M8</f>
        <v>0</v>
      </c>
    </row>
    <row r="9" spans="1:16" ht="17.5" outlineLevel="1">
      <c r="A9" s="1491" t="s">
        <v>171</v>
      </c>
      <c r="B9" s="1333" t="s">
        <v>1563</v>
      </c>
      <c r="C9" s="1492" t="s">
        <v>1562</v>
      </c>
      <c r="D9" s="1334" t="s">
        <v>1566</v>
      </c>
      <c r="E9" s="1335">
        <v>0</v>
      </c>
      <c r="F9" s="1437"/>
      <c r="G9" s="1437"/>
      <c r="H9" s="1437">
        <f t="shared" ref="H9:H72" si="0">F9-G9</f>
        <v>0</v>
      </c>
      <c r="I9" s="1437">
        <v>0</v>
      </c>
      <c r="J9" s="1437">
        <v>0</v>
      </c>
      <c r="K9" s="1438"/>
      <c r="L9" s="1438"/>
      <c r="M9" s="1437">
        <f t="shared" ref="M9:M72" si="1">SUM(J9:L9)</f>
        <v>0</v>
      </c>
      <c r="N9" s="1437">
        <f t="shared" ref="N9:N72" si="2">H9+I9-M9</f>
        <v>0</v>
      </c>
    </row>
    <row r="10" spans="1:16" ht="15.5" outlineLevel="1">
      <c r="A10" s="1493">
        <v>1</v>
      </c>
      <c r="B10" s="1494" t="s">
        <v>1564</v>
      </c>
      <c r="C10" s="1495" t="s">
        <v>1562</v>
      </c>
      <c r="D10" s="1341" t="s">
        <v>1566</v>
      </c>
      <c r="E10" s="1496">
        <v>7.2</v>
      </c>
      <c r="F10" s="1437"/>
      <c r="G10" s="1437"/>
      <c r="H10" s="1437">
        <f t="shared" si="0"/>
        <v>0</v>
      </c>
      <c r="I10" s="1437">
        <v>0</v>
      </c>
      <c r="J10" s="1437">
        <v>0</v>
      </c>
      <c r="K10" s="1438"/>
      <c r="L10" s="1438"/>
      <c r="M10" s="1437">
        <f t="shared" si="1"/>
        <v>0</v>
      </c>
      <c r="N10" s="1437">
        <f t="shared" si="2"/>
        <v>0</v>
      </c>
    </row>
    <row r="11" spans="1:16" ht="31" outlineLevel="1">
      <c r="A11" s="1491">
        <v>1</v>
      </c>
      <c r="B11" s="1497" t="s">
        <v>1567</v>
      </c>
      <c r="C11" s="1492" t="s">
        <v>1562</v>
      </c>
      <c r="D11" s="1334" t="s">
        <v>1566</v>
      </c>
      <c r="E11" s="1498">
        <v>0</v>
      </c>
      <c r="F11" s="1437">
        <v>0</v>
      </c>
      <c r="G11" s="1437">
        <v>0</v>
      </c>
      <c r="H11" s="1437">
        <f t="shared" si="0"/>
        <v>0</v>
      </c>
      <c r="I11" s="1437">
        <v>1.35</v>
      </c>
      <c r="J11" s="1437">
        <v>1.35</v>
      </c>
      <c r="K11" s="1438"/>
      <c r="L11" s="1438"/>
      <c r="M11" s="1437">
        <f t="shared" si="1"/>
        <v>1.35</v>
      </c>
      <c r="N11" s="1437">
        <f t="shared" si="2"/>
        <v>0</v>
      </c>
    </row>
    <row r="12" spans="1:16" ht="31" outlineLevel="1">
      <c r="A12" s="1491">
        <v>2</v>
      </c>
      <c r="B12" s="1497" t="s">
        <v>1572</v>
      </c>
      <c r="C12" s="1492" t="s">
        <v>1562</v>
      </c>
      <c r="D12" s="1334" t="s">
        <v>1566</v>
      </c>
      <c r="E12" s="1498">
        <v>0</v>
      </c>
      <c r="F12" s="1437">
        <v>0.33134400000000003</v>
      </c>
      <c r="G12" s="1437">
        <v>0.33134400000000003</v>
      </c>
      <c r="H12" s="1437">
        <f t="shared" si="0"/>
        <v>0</v>
      </c>
      <c r="I12" s="1437">
        <v>0</v>
      </c>
      <c r="J12" s="1437">
        <v>0</v>
      </c>
      <c r="K12" s="1438"/>
      <c r="L12" s="1438"/>
      <c r="M12" s="1437">
        <f t="shared" si="1"/>
        <v>0</v>
      </c>
      <c r="N12" s="1437">
        <f t="shared" si="2"/>
        <v>0</v>
      </c>
    </row>
    <row r="13" spans="1:16" ht="31" outlineLevel="1">
      <c r="A13" s="1491">
        <v>3</v>
      </c>
      <c r="B13" s="1497" t="s">
        <v>1577</v>
      </c>
      <c r="C13" s="1492" t="s">
        <v>1562</v>
      </c>
      <c r="D13" s="1334" t="s">
        <v>1566</v>
      </c>
      <c r="E13" s="1498">
        <v>0</v>
      </c>
      <c r="F13" s="1437">
        <v>0.33134400000000003</v>
      </c>
      <c r="G13" s="1437">
        <v>0.33134400000000003</v>
      </c>
      <c r="H13" s="1437">
        <f t="shared" si="0"/>
        <v>0</v>
      </c>
      <c r="I13" s="1437">
        <v>0</v>
      </c>
      <c r="J13" s="1437">
        <v>0</v>
      </c>
      <c r="K13" s="1438"/>
      <c r="L13" s="1438"/>
      <c r="M13" s="1437">
        <f t="shared" si="1"/>
        <v>0</v>
      </c>
      <c r="N13" s="1437">
        <f t="shared" si="2"/>
        <v>0</v>
      </c>
    </row>
    <row r="14" spans="1:16" ht="31" outlineLevel="1">
      <c r="A14" s="1491">
        <v>4</v>
      </c>
      <c r="B14" s="1497" t="s">
        <v>1581</v>
      </c>
      <c r="C14" s="1492" t="s">
        <v>1562</v>
      </c>
      <c r="D14" s="1334" t="s">
        <v>1566</v>
      </c>
      <c r="E14" s="1498">
        <v>0</v>
      </c>
      <c r="F14" s="1437">
        <v>0.73326380000000002</v>
      </c>
      <c r="G14" s="1437">
        <v>0.73326380000000002</v>
      </c>
      <c r="H14" s="1437">
        <f t="shared" si="0"/>
        <v>0</v>
      </c>
      <c r="I14" s="1437">
        <v>0</v>
      </c>
      <c r="J14" s="1437">
        <v>0</v>
      </c>
      <c r="K14" s="1438"/>
      <c r="L14" s="1438"/>
      <c r="M14" s="1437">
        <f t="shared" si="1"/>
        <v>0</v>
      </c>
      <c r="N14" s="1437">
        <f t="shared" si="2"/>
        <v>0</v>
      </c>
    </row>
    <row r="15" spans="1:16" ht="15.5" outlineLevel="1">
      <c r="A15" s="1491">
        <v>5</v>
      </c>
      <c r="B15" s="1497" t="s">
        <v>1584</v>
      </c>
      <c r="C15" s="1492" t="s">
        <v>1562</v>
      </c>
      <c r="D15" s="1334" t="s">
        <v>1566</v>
      </c>
      <c r="E15" s="1358">
        <v>0</v>
      </c>
      <c r="F15" s="1437">
        <v>0</v>
      </c>
      <c r="G15" s="1437">
        <v>0</v>
      </c>
      <c r="H15" s="1437">
        <f t="shared" si="0"/>
        <v>0</v>
      </c>
      <c r="I15" s="1437">
        <v>0.52329999999999999</v>
      </c>
      <c r="J15" s="1437">
        <v>0.52329999999999999</v>
      </c>
      <c r="K15" s="1438"/>
      <c r="L15" s="1438"/>
      <c r="M15" s="1437">
        <f t="shared" si="1"/>
        <v>0.52329999999999999</v>
      </c>
      <c r="N15" s="1437">
        <f t="shared" si="2"/>
        <v>0</v>
      </c>
    </row>
    <row r="16" spans="1:16" ht="31" outlineLevel="1">
      <c r="A16" s="1491">
        <v>6</v>
      </c>
      <c r="B16" s="1497" t="s">
        <v>1587</v>
      </c>
      <c r="C16" s="1492" t="s">
        <v>1562</v>
      </c>
      <c r="D16" s="1334" t="s">
        <v>1566</v>
      </c>
      <c r="E16" s="1358">
        <v>0</v>
      </c>
      <c r="F16" s="1437">
        <v>0</v>
      </c>
      <c r="G16" s="1437">
        <v>0</v>
      </c>
      <c r="H16" s="1437">
        <f t="shared" si="0"/>
        <v>0</v>
      </c>
      <c r="I16" s="1437">
        <v>0.19409999999999999</v>
      </c>
      <c r="J16" s="1437">
        <v>0.19409999999999999</v>
      </c>
      <c r="K16" s="1438"/>
      <c r="L16" s="1438"/>
      <c r="M16" s="1437">
        <f t="shared" si="1"/>
        <v>0.19409999999999999</v>
      </c>
      <c r="N16" s="1437">
        <f t="shared" si="2"/>
        <v>0</v>
      </c>
    </row>
    <row r="17" spans="1:14" ht="46.5" outlineLevel="1">
      <c r="A17" s="1491">
        <v>7</v>
      </c>
      <c r="B17" s="1497" t="s">
        <v>1589</v>
      </c>
      <c r="C17" s="1492" t="s">
        <v>1562</v>
      </c>
      <c r="D17" s="1334" t="s">
        <v>1566</v>
      </c>
      <c r="E17" s="1359">
        <v>0</v>
      </c>
      <c r="F17" s="1437">
        <v>0.53521083000000003</v>
      </c>
      <c r="G17" s="1437">
        <v>0.53521083000000003</v>
      </c>
      <c r="H17" s="1437">
        <f t="shared" si="0"/>
        <v>0</v>
      </c>
      <c r="I17" s="1437">
        <v>0</v>
      </c>
      <c r="J17" s="1437">
        <v>0</v>
      </c>
      <c r="K17" s="1438"/>
      <c r="L17" s="1438"/>
      <c r="M17" s="1437">
        <f t="shared" si="1"/>
        <v>0</v>
      </c>
      <c r="N17" s="1437">
        <f t="shared" si="2"/>
        <v>0</v>
      </c>
    </row>
    <row r="18" spans="1:14" ht="31" outlineLevel="1">
      <c r="A18" s="1491">
        <v>8</v>
      </c>
      <c r="B18" s="1497" t="s">
        <v>1592</v>
      </c>
      <c r="C18" s="1492" t="s">
        <v>1562</v>
      </c>
      <c r="D18" s="1334" t="s">
        <v>1566</v>
      </c>
      <c r="E18" s="1358">
        <v>0</v>
      </c>
      <c r="F18" s="1437">
        <v>0.56971689999999997</v>
      </c>
      <c r="G18" s="1437">
        <v>0.56971689999999997</v>
      </c>
      <c r="H18" s="1437">
        <f t="shared" si="0"/>
        <v>0</v>
      </c>
      <c r="I18" s="1437">
        <v>0</v>
      </c>
      <c r="J18" s="1437">
        <v>0</v>
      </c>
      <c r="K18" s="1438"/>
      <c r="L18" s="1438"/>
      <c r="M18" s="1437">
        <f t="shared" si="1"/>
        <v>0</v>
      </c>
      <c r="N18" s="1437">
        <f t="shared" si="2"/>
        <v>0</v>
      </c>
    </row>
    <row r="19" spans="1:14" ht="31" outlineLevel="1">
      <c r="A19" s="1491">
        <v>9</v>
      </c>
      <c r="B19" s="1497" t="s">
        <v>1595</v>
      </c>
      <c r="C19" s="1492" t="s">
        <v>1562</v>
      </c>
      <c r="D19" s="1334" t="s">
        <v>1566</v>
      </c>
      <c r="E19" s="1358">
        <v>0</v>
      </c>
      <c r="F19" s="1437">
        <v>0.42568995599999998</v>
      </c>
      <c r="G19" s="1437">
        <v>0.42568995599999998</v>
      </c>
      <c r="H19" s="1437">
        <f t="shared" si="0"/>
        <v>0</v>
      </c>
      <c r="I19" s="1437">
        <v>0</v>
      </c>
      <c r="J19" s="1437">
        <v>0</v>
      </c>
      <c r="K19" s="1438"/>
      <c r="L19" s="1438"/>
      <c r="M19" s="1437">
        <f t="shared" si="1"/>
        <v>0</v>
      </c>
      <c r="N19" s="1437">
        <f t="shared" si="2"/>
        <v>0</v>
      </c>
    </row>
    <row r="20" spans="1:14" ht="31" outlineLevel="1">
      <c r="A20" s="1491">
        <v>10</v>
      </c>
      <c r="B20" s="1497" t="s">
        <v>1598</v>
      </c>
      <c r="C20" s="1492" t="s">
        <v>1562</v>
      </c>
      <c r="D20" s="1334" t="s">
        <v>1566</v>
      </c>
      <c r="E20" s="1358">
        <v>0</v>
      </c>
      <c r="F20" s="1437">
        <v>0.27832896000000001</v>
      </c>
      <c r="G20" s="1437">
        <v>0.27832896000000001</v>
      </c>
      <c r="H20" s="1437">
        <f t="shared" si="0"/>
        <v>0</v>
      </c>
      <c r="I20" s="1437">
        <v>0</v>
      </c>
      <c r="J20" s="1437">
        <v>0</v>
      </c>
      <c r="K20" s="1438"/>
      <c r="L20" s="1438"/>
      <c r="M20" s="1437">
        <f t="shared" si="1"/>
        <v>0</v>
      </c>
      <c r="N20" s="1437">
        <f t="shared" si="2"/>
        <v>0</v>
      </c>
    </row>
    <row r="21" spans="1:14" ht="15.5" outlineLevel="1">
      <c r="A21" s="1491">
        <v>11</v>
      </c>
      <c r="B21" s="1497" t="s">
        <v>1601</v>
      </c>
      <c r="C21" s="1492" t="s">
        <v>1562</v>
      </c>
      <c r="D21" s="1334" t="s">
        <v>1566</v>
      </c>
      <c r="E21" s="1359">
        <v>0</v>
      </c>
      <c r="F21" s="1437">
        <v>0.26431690000000002</v>
      </c>
      <c r="G21" s="1437">
        <v>0.26431690000000002</v>
      </c>
      <c r="H21" s="1437">
        <f t="shared" si="0"/>
        <v>0</v>
      </c>
      <c r="I21" s="1437">
        <v>0</v>
      </c>
      <c r="J21" s="1437">
        <v>0</v>
      </c>
      <c r="K21" s="1438"/>
      <c r="L21" s="1438"/>
      <c r="M21" s="1437">
        <f t="shared" si="1"/>
        <v>0</v>
      </c>
      <c r="N21" s="1437">
        <f t="shared" si="2"/>
        <v>0</v>
      </c>
    </row>
    <row r="22" spans="1:14" ht="31" outlineLevel="1">
      <c r="A22" s="1491">
        <v>12</v>
      </c>
      <c r="B22" s="1497" t="s">
        <v>1603</v>
      </c>
      <c r="C22" s="1492" t="s">
        <v>1562</v>
      </c>
      <c r="D22" s="1334" t="s">
        <v>1566</v>
      </c>
      <c r="E22" s="1358">
        <v>0</v>
      </c>
      <c r="F22" s="1437">
        <v>0</v>
      </c>
      <c r="G22" s="1437">
        <v>0</v>
      </c>
      <c r="H22" s="1437">
        <f t="shared" si="0"/>
        <v>0</v>
      </c>
      <c r="I22" s="1437">
        <v>0</v>
      </c>
      <c r="J22" s="1437">
        <v>0</v>
      </c>
      <c r="K22" s="1438"/>
      <c r="L22" s="1438"/>
      <c r="M22" s="1437">
        <f t="shared" si="1"/>
        <v>0</v>
      </c>
      <c r="N22" s="1437">
        <f t="shared" si="2"/>
        <v>0</v>
      </c>
    </row>
    <row r="23" spans="1:14" ht="31" outlineLevel="1">
      <c r="A23" s="1491">
        <v>13</v>
      </c>
      <c r="B23" s="1497" t="s">
        <v>1606</v>
      </c>
      <c r="C23" s="1492" t="s">
        <v>1562</v>
      </c>
      <c r="D23" s="1334" t="s">
        <v>1566</v>
      </c>
      <c r="E23" s="1358">
        <v>0</v>
      </c>
      <c r="F23" s="1437">
        <v>0</v>
      </c>
      <c r="G23" s="1437">
        <v>0</v>
      </c>
      <c r="H23" s="1437">
        <f t="shared" si="0"/>
        <v>0</v>
      </c>
      <c r="I23" s="1437">
        <v>0</v>
      </c>
      <c r="J23" s="1437">
        <v>0</v>
      </c>
      <c r="K23" s="1438"/>
      <c r="L23" s="1438"/>
      <c r="M23" s="1437">
        <f t="shared" si="1"/>
        <v>0</v>
      </c>
      <c r="N23" s="1437">
        <f t="shared" si="2"/>
        <v>0</v>
      </c>
    </row>
    <row r="24" spans="1:14" ht="15.5" outlineLevel="1">
      <c r="A24" s="1493">
        <v>2</v>
      </c>
      <c r="B24" s="1494" t="s">
        <v>1607</v>
      </c>
      <c r="C24" s="1495" t="s">
        <v>1562</v>
      </c>
      <c r="D24" s="1341" t="s">
        <v>1566</v>
      </c>
      <c r="E24" s="1496">
        <v>4.3</v>
      </c>
      <c r="F24" s="1437">
        <v>0</v>
      </c>
      <c r="G24" s="1437">
        <v>0</v>
      </c>
      <c r="H24" s="1437">
        <f t="shared" si="0"/>
        <v>0</v>
      </c>
      <c r="I24" s="1437">
        <v>0</v>
      </c>
      <c r="J24" s="1437">
        <v>0</v>
      </c>
      <c r="K24" s="1438"/>
      <c r="L24" s="1438"/>
      <c r="M24" s="1437">
        <f t="shared" si="1"/>
        <v>0</v>
      </c>
      <c r="N24" s="1437">
        <f t="shared" si="2"/>
        <v>0</v>
      </c>
    </row>
    <row r="25" spans="1:14" ht="46.5" outlineLevel="1">
      <c r="A25" s="1499">
        <v>1</v>
      </c>
      <c r="B25" s="1497" t="s">
        <v>1608</v>
      </c>
      <c r="C25" s="1492" t="s">
        <v>1562</v>
      </c>
      <c r="D25" s="1334" t="s">
        <v>1566</v>
      </c>
      <c r="E25" s="1358">
        <v>0</v>
      </c>
      <c r="F25" s="1437">
        <v>0.51811829399999998</v>
      </c>
      <c r="G25" s="1437">
        <v>0.51811829399999998</v>
      </c>
      <c r="H25" s="1437">
        <f t="shared" si="0"/>
        <v>0</v>
      </c>
      <c r="I25" s="1437">
        <v>0</v>
      </c>
      <c r="J25" s="1437">
        <v>0</v>
      </c>
      <c r="K25" s="1438"/>
      <c r="L25" s="1438"/>
      <c r="M25" s="1437">
        <f t="shared" si="1"/>
        <v>0</v>
      </c>
      <c r="N25" s="1437">
        <f t="shared" si="2"/>
        <v>0</v>
      </c>
    </row>
    <row r="26" spans="1:14" ht="15.5" outlineLevel="1">
      <c r="A26" s="1499">
        <v>2</v>
      </c>
      <c r="B26" s="1497" t="s">
        <v>1612</v>
      </c>
      <c r="C26" s="1492" t="s">
        <v>1562</v>
      </c>
      <c r="D26" s="1334" t="s">
        <v>1566</v>
      </c>
      <c r="E26" s="1359">
        <v>0</v>
      </c>
      <c r="F26" s="1437">
        <v>0.37712800000000002</v>
      </c>
      <c r="G26" s="1437">
        <v>0.37712800000000002</v>
      </c>
      <c r="H26" s="1437">
        <f t="shared" si="0"/>
        <v>0</v>
      </c>
      <c r="I26" s="1437">
        <v>0</v>
      </c>
      <c r="J26" s="1437">
        <v>0</v>
      </c>
      <c r="K26" s="1438"/>
      <c r="L26" s="1438"/>
      <c r="M26" s="1437">
        <f t="shared" si="1"/>
        <v>0</v>
      </c>
      <c r="N26" s="1437">
        <f t="shared" si="2"/>
        <v>0</v>
      </c>
    </row>
    <row r="27" spans="1:14" ht="15.5" outlineLevel="1">
      <c r="A27" s="1499">
        <v>3</v>
      </c>
      <c r="B27" s="1497" t="s">
        <v>1615</v>
      </c>
      <c r="C27" s="1492" t="s">
        <v>1562</v>
      </c>
      <c r="D27" s="1334" t="s">
        <v>1566</v>
      </c>
      <c r="E27" s="1358">
        <v>0</v>
      </c>
      <c r="F27" s="1437">
        <v>0.27501740000000002</v>
      </c>
      <c r="G27" s="1437">
        <v>0.27501740000000002</v>
      </c>
      <c r="H27" s="1437">
        <f t="shared" si="0"/>
        <v>0</v>
      </c>
      <c r="I27" s="1437">
        <v>0</v>
      </c>
      <c r="J27" s="1437">
        <v>0</v>
      </c>
      <c r="K27" s="1438"/>
      <c r="L27" s="1438"/>
      <c r="M27" s="1437">
        <f t="shared" si="1"/>
        <v>0</v>
      </c>
      <c r="N27" s="1437">
        <f t="shared" si="2"/>
        <v>0</v>
      </c>
    </row>
    <row r="28" spans="1:14" ht="46.5" outlineLevel="1">
      <c r="A28" s="1499">
        <v>4</v>
      </c>
      <c r="B28" s="1497" t="s">
        <v>1619</v>
      </c>
      <c r="C28" s="1492" t="s">
        <v>1562</v>
      </c>
      <c r="D28" s="1334" t="s">
        <v>1566</v>
      </c>
      <c r="E28" s="1358">
        <v>0</v>
      </c>
      <c r="F28" s="1437">
        <v>0.42522480000000001</v>
      </c>
      <c r="G28" s="1437">
        <v>0.42522480000000001</v>
      </c>
      <c r="H28" s="1437">
        <f t="shared" si="0"/>
        <v>0</v>
      </c>
      <c r="I28" s="1437">
        <v>0</v>
      </c>
      <c r="J28" s="1437">
        <v>0</v>
      </c>
      <c r="K28" s="1438"/>
      <c r="L28" s="1438"/>
      <c r="M28" s="1437">
        <f t="shared" si="1"/>
        <v>0</v>
      </c>
      <c r="N28" s="1437">
        <f t="shared" si="2"/>
        <v>0</v>
      </c>
    </row>
    <row r="29" spans="1:14" ht="31" outlineLevel="1">
      <c r="A29" s="1499">
        <v>5</v>
      </c>
      <c r="B29" s="1497" t="s">
        <v>1621</v>
      </c>
      <c r="C29" s="1492" t="s">
        <v>1562</v>
      </c>
      <c r="D29" s="1334" t="s">
        <v>1566</v>
      </c>
      <c r="E29" s="1358">
        <v>0</v>
      </c>
      <c r="F29" s="1437">
        <v>0.54787163999999999</v>
      </c>
      <c r="G29" s="1437">
        <v>0.54787163999999999</v>
      </c>
      <c r="H29" s="1437">
        <f t="shared" si="0"/>
        <v>0</v>
      </c>
      <c r="I29" s="1437">
        <v>0</v>
      </c>
      <c r="J29" s="1437">
        <v>0</v>
      </c>
      <c r="K29" s="1438"/>
      <c r="L29" s="1438"/>
      <c r="M29" s="1437">
        <f t="shared" si="1"/>
        <v>0</v>
      </c>
      <c r="N29" s="1437">
        <f t="shared" si="2"/>
        <v>0</v>
      </c>
    </row>
    <row r="30" spans="1:14" ht="15.5" outlineLevel="1">
      <c r="A30" s="1499">
        <v>6</v>
      </c>
      <c r="B30" s="1497" t="s">
        <v>1625</v>
      </c>
      <c r="C30" s="1492" t="s">
        <v>1562</v>
      </c>
      <c r="D30" s="1334" t="s">
        <v>1566</v>
      </c>
      <c r="E30" s="1358">
        <v>0</v>
      </c>
      <c r="F30" s="1437">
        <v>0.58244799999999997</v>
      </c>
      <c r="G30" s="1437">
        <v>0.58244799999999997</v>
      </c>
      <c r="H30" s="1437">
        <f t="shared" si="0"/>
        <v>0</v>
      </c>
      <c r="I30" s="1437">
        <v>0</v>
      </c>
      <c r="J30" s="1437">
        <v>0</v>
      </c>
      <c r="K30" s="1438"/>
      <c r="L30" s="1438"/>
      <c r="M30" s="1437">
        <f t="shared" si="1"/>
        <v>0</v>
      </c>
      <c r="N30" s="1437">
        <f t="shared" si="2"/>
        <v>0</v>
      </c>
    </row>
    <row r="31" spans="1:14" ht="31" outlineLevel="1">
      <c r="A31" s="1499">
        <v>7</v>
      </c>
      <c r="B31" s="1497" t="s">
        <v>1631</v>
      </c>
      <c r="C31" s="1492" t="s">
        <v>1562</v>
      </c>
      <c r="D31" s="1334" t="s">
        <v>1566</v>
      </c>
      <c r="E31" s="1358">
        <v>0</v>
      </c>
      <c r="F31" s="1437">
        <v>0.42338399999999998</v>
      </c>
      <c r="G31" s="1437">
        <v>0.42338399999999998</v>
      </c>
      <c r="H31" s="1437">
        <f t="shared" si="0"/>
        <v>0</v>
      </c>
      <c r="I31" s="1437">
        <v>0</v>
      </c>
      <c r="J31" s="1437">
        <v>0</v>
      </c>
      <c r="K31" s="1438"/>
      <c r="L31" s="1438"/>
      <c r="M31" s="1437">
        <f t="shared" si="1"/>
        <v>0</v>
      </c>
      <c r="N31" s="1437">
        <f t="shared" si="2"/>
        <v>0</v>
      </c>
    </row>
    <row r="32" spans="1:14" ht="31" outlineLevel="1">
      <c r="A32" s="1499">
        <v>8</v>
      </c>
      <c r="B32" s="1497" t="s">
        <v>1635</v>
      </c>
      <c r="C32" s="1492" t="s">
        <v>1562</v>
      </c>
      <c r="D32" s="1334" t="s">
        <v>1566</v>
      </c>
      <c r="E32" s="1359">
        <v>0</v>
      </c>
      <c r="F32" s="1437">
        <v>0.49233139999999997</v>
      </c>
      <c r="G32" s="1437">
        <v>0.49233139999999997</v>
      </c>
      <c r="H32" s="1437">
        <f t="shared" si="0"/>
        <v>0</v>
      </c>
      <c r="I32" s="1437">
        <v>0</v>
      </c>
      <c r="J32" s="1437">
        <v>0</v>
      </c>
      <c r="K32" s="1438"/>
      <c r="L32" s="1438"/>
      <c r="M32" s="1437">
        <f t="shared" si="1"/>
        <v>0</v>
      </c>
      <c r="N32" s="1437">
        <f t="shared" si="2"/>
        <v>0</v>
      </c>
    </row>
    <row r="33" spans="1:14" ht="15.5" outlineLevel="1">
      <c r="A33" s="1499">
        <v>9</v>
      </c>
      <c r="B33" s="1497" t="s">
        <v>1638</v>
      </c>
      <c r="C33" s="1492" t="s">
        <v>1562</v>
      </c>
      <c r="D33" s="1334" t="s">
        <v>1566</v>
      </c>
      <c r="E33" s="1366">
        <v>0</v>
      </c>
      <c r="F33" s="1437">
        <v>0.52905441600000003</v>
      </c>
      <c r="G33" s="1437">
        <v>0.52905441600000003</v>
      </c>
      <c r="H33" s="1437">
        <f t="shared" si="0"/>
        <v>0</v>
      </c>
      <c r="I33" s="1437">
        <v>0</v>
      </c>
      <c r="J33" s="1437">
        <v>0</v>
      </c>
      <c r="K33" s="1438"/>
      <c r="L33" s="1438"/>
      <c r="M33" s="1437">
        <f t="shared" si="1"/>
        <v>0</v>
      </c>
      <c r="N33" s="1437">
        <f t="shared" si="2"/>
        <v>0</v>
      </c>
    </row>
    <row r="34" spans="1:14" ht="15.5" outlineLevel="1">
      <c r="A34" s="1493">
        <v>3</v>
      </c>
      <c r="B34" s="1494" t="s">
        <v>1642</v>
      </c>
      <c r="C34" s="1495" t="s">
        <v>1562</v>
      </c>
      <c r="D34" s="1341" t="s">
        <v>1566</v>
      </c>
      <c r="E34" s="1496">
        <v>6.1</v>
      </c>
      <c r="F34" s="1437">
        <v>0</v>
      </c>
      <c r="G34" s="1437">
        <v>0</v>
      </c>
      <c r="H34" s="1437">
        <f t="shared" si="0"/>
        <v>0</v>
      </c>
      <c r="I34" s="1437">
        <v>0</v>
      </c>
      <c r="J34" s="1437">
        <v>0</v>
      </c>
      <c r="K34" s="1438"/>
      <c r="L34" s="1438"/>
      <c r="M34" s="1437">
        <f t="shared" si="1"/>
        <v>0</v>
      </c>
      <c r="N34" s="1437">
        <f t="shared" si="2"/>
        <v>0</v>
      </c>
    </row>
    <row r="35" spans="1:14" ht="31" outlineLevel="1">
      <c r="A35" s="1499">
        <v>1</v>
      </c>
      <c r="B35" s="1500" t="s">
        <v>1643</v>
      </c>
      <c r="C35" s="1492" t="s">
        <v>1562</v>
      </c>
      <c r="D35" s="1334" t="s">
        <v>1566</v>
      </c>
      <c r="E35" s="1366">
        <v>0</v>
      </c>
      <c r="F35" s="1437">
        <v>1.9614571240000001</v>
      </c>
      <c r="G35" s="1437">
        <v>1.9614571240000001</v>
      </c>
      <c r="H35" s="1437">
        <f t="shared" si="0"/>
        <v>0</v>
      </c>
      <c r="I35" s="1437">
        <v>0</v>
      </c>
      <c r="J35" s="1437">
        <v>0</v>
      </c>
      <c r="K35" s="1438"/>
      <c r="L35" s="1438"/>
      <c r="M35" s="1437">
        <f t="shared" si="1"/>
        <v>0</v>
      </c>
      <c r="N35" s="1437">
        <f t="shared" si="2"/>
        <v>0</v>
      </c>
    </row>
    <row r="36" spans="1:14" ht="31" outlineLevel="1">
      <c r="A36" s="1499">
        <v>2</v>
      </c>
      <c r="B36" s="1501" t="s">
        <v>1646</v>
      </c>
      <c r="C36" s="1492" t="s">
        <v>1562</v>
      </c>
      <c r="D36" s="1334" t="s">
        <v>1566</v>
      </c>
      <c r="E36" s="1366">
        <v>0</v>
      </c>
      <c r="F36" s="1437">
        <v>0.47613</v>
      </c>
      <c r="G36" s="1437">
        <v>0.47613</v>
      </c>
      <c r="H36" s="1437">
        <f t="shared" si="0"/>
        <v>0</v>
      </c>
      <c r="I36" s="1437">
        <v>0</v>
      </c>
      <c r="J36" s="1437">
        <v>0</v>
      </c>
      <c r="K36" s="1438"/>
      <c r="L36" s="1438"/>
      <c r="M36" s="1437">
        <f t="shared" si="1"/>
        <v>0</v>
      </c>
      <c r="N36" s="1437">
        <f t="shared" si="2"/>
        <v>0</v>
      </c>
    </row>
    <row r="37" spans="1:14" ht="31" outlineLevel="1">
      <c r="A37" s="1502">
        <v>3</v>
      </c>
      <c r="B37" s="1501" t="s">
        <v>1650</v>
      </c>
      <c r="C37" s="1492" t="s">
        <v>1562</v>
      </c>
      <c r="D37" s="1334" t="s">
        <v>1566</v>
      </c>
      <c r="E37" s="1359">
        <v>0</v>
      </c>
      <c r="F37" s="1437">
        <v>0.23365298000000001</v>
      </c>
      <c r="G37" s="1437">
        <v>0.23365298000000001</v>
      </c>
      <c r="H37" s="1437">
        <f t="shared" si="0"/>
        <v>0</v>
      </c>
      <c r="I37" s="1437">
        <v>0</v>
      </c>
      <c r="J37" s="1437">
        <v>0</v>
      </c>
      <c r="K37" s="1438"/>
      <c r="L37" s="1438"/>
      <c r="M37" s="1437">
        <f t="shared" si="1"/>
        <v>0</v>
      </c>
      <c r="N37" s="1437">
        <f t="shared" si="2"/>
        <v>0</v>
      </c>
    </row>
    <row r="38" spans="1:14" ht="31" outlineLevel="1">
      <c r="A38" s="1502">
        <v>4</v>
      </c>
      <c r="B38" s="1501" t="s">
        <v>1654</v>
      </c>
      <c r="C38" s="1492" t="s">
        <v>1562</v>
      </c>
      <c r="D38" s="1334" t="s">
        <v>1566</v>
      </c>
      <c r="E38" s="1358">
        <v>0</v>
      </c>
      <c r="F38" s="1437">
        <v>0.16464893999999999</v>
      </c>
      <c r="G38" s="1437">
        <v>0.16464893999999999</v>
      </c>
      <c r="H38" s="1437">
        <f t="shared" si="0"/>
        <v>0</v>
      </c>
      <c r="I38" s="1437">
        <v>0.06</v>
      </c>
      <c r="J38" s="1437">
        <v>0.06</v>
      </c>
      <c r="K38" s="1438"/>
      <c r="L38" s="1438"/>
      <c r="M38" s="1437">
        <f t="shared" si="1"/>
        <v>0.06</v>
      </c>
      <c r="N38" s="1437">
        <f t="shared" si="2"/>
        <v>0</v>
      </c>
    </row>
    <row r="39" spans="1:14" ht="31" outlineLevel="1">
      <c r="A39" s="1499">
        <v>5</v>
      </c>
      <c r="B39" s="1501" t="s">
        <v>1658</v>
      </c>
      <c r="C39" s="1492" t="s">
        <v>1562</v>
      </c>
      <c r="D39" s="1334" t="s">
        <v>1566</v>
      </c>
      <c r="E39" s="1358">
        <v>0</v>
      </c>
      <c r="F39" s="1437">
        <v>0.19186271399999999</v>
      </c>
      <c r="G39" s="1437">
        <v>0.19186271399999999</v>
      </c>
      <c r="H39" s="1437">
        <f t="shared" si="0"/>
        <v>0</v>
      </c>
      <c r="I39" s="1437">
        <v>0</v>
      </c>
      <c r="J39" s="1437">
        <v>0</v>
      </c>
      <c r="K39" s="1438"/>
      <c r="L39" s="1438"/>
      <c r="M39" s="1437">
        <f t="shared" si="1"/>
        <v>0</v>
      </c>
      <c r="N39" s="1437">
        <f t="shared" si="2"/>
        <v>0</v>
      </c>
    </row>
    <row r="40" spans="1:14" ht="62" outlineLevel="1">
      <c r="A40" s="1502">
        <v>6</v>
      </c>
      <c r="B40" s="1501" t="s">
        <v>1662</v>
      </c>
      <c r="C40" s="1492" t="s">
        <v>1562</v>
      </c>
      <c r="D40" s="1334" t="s">
        <v>1566</v>
      </c>
      <c r="E40" s="1359">
        <v>0</v>
      </c>
      <c r="F40" s="1437">
        <v>0.6734502</v>
      </c>
      <c r="G40" s="1437">
        <v>0.6734502</v>
      </c>
      <c r="H40" s="1437">
        <f t="shared" si="0"/>
        <v>0</v>
      </c>
      <c r="I40" s="1437">
        <v>0</v>
      </c>
      <c r="J40" s="1437">
        <v>0</v>
      </c>
      <c r="K40" s="1438"/>
      <c r="L40" s="1438"/>
      <c r="M40" s="1437">
        <f t="shared" si="1"/>
        <v>0</v>
      </c>
      <c r="N40" s="1437">
        <f t="shared" si="2"/>
        <v>0</v>
      </c>
    </row>
    <row r="41" spans="1:14" ht="46.5" outlineLevel="1">
      <c r="A41" s="1499">
        <v>7</v>
      </c>
      <c r="B41" s="1501" t="s">
        <v>1667</v>
      </c>
      <c r="C41" s="1492" t="s">
        <v>1562</v>
      </c>
      <c r="D41" s="1334" t="s">
        <v>1566</v>
      </c>
      <c r="E41" s="1367">
        <v>0</v>
      </c>
      <c r="F41" s="1437">
        <v>0.118629766</v>
      </c>
      <c r="G41" s="1437">
        <v>0.118629766</v>
      </c>
      <c r="H41" s="1437">
        <f t="shared" si="0"/>
        <v>0</v>
      </c>
      <c r="I41" s="1437">
        <v>0</v>
      </c>
      <c r="J41" s="1437">
        <v>0</v>
      </c>
      <c r="K41" s="1438"/>
      <c r="L41" s="1438"/>
      <c r="M41" s="1437">
        <f t="shared" si="1"/>
        <v>0</v>
      </c>
      <c r="N41" s="1437">
        <f t="shared" si="2"/>
        <v>0</v>
      </c>
    </row>
    <row r="42" spans="1:14" ht="15.5" outlineLevel="1">
      <c r="A42" s="1502">
        <v>8</v>
      </c>
      <c r="B42" s="1503" t="s">
        <v>1669</v>
      </c>
      <c r="C42" s="1492" t="s">
        <v>1562</v>
      </c>
      <c r="D42" s="1334" t="s">
        <v>1566</v>
      </c>
      <c r="E42" s="1359">
        <v>0</v>
      </c>
      <c r="F42" s="1437">
        <v>0</v>
      </c>
      <c r="G42" s="1437">
        <v>0</v>
      </c>
      <c r="H42" s="1437">
        <f t="shared" si="0"/>
        <v>0</v>
      </c>
      <c r="I42" s="1437">
        <v>0</v>
      </c>
      <c r="J42" s="1437">
        <v>0</v>
      </c>
      <c r="K42" s="1438"/>
      <c r="L42" s="1438"/>
      <c r="M42" s="1437">
        <f t="shared" si="1"/>
        <v>0</v>
      </c>
      <c r="N42" s="1437">
        <f t="shared" si="2"/>
        <v>0</v>
      </c>
    </row>
    <row r="43" spans="1:14" ht="15.5" outlineLevel="1">
      <c r="A43" s="1499">
        <v>9</v>
      </c>
      <c r="B43" s="1503" t="s">
        <v>1671</v>
      </c>
      <c r="C43" s="1492" t="s">
        <v>1562</v>
      </c>
      <c r="D43" s="1334" t="s">
        <v>1566</v>
      </c>
      <c r="E43" s="1368">
        <v>0</v>
      </c>
      <c r="F43" s="1437">
        <v>0</v>
      </c>
      <c r="G43" s="1437">
        <v>0</v>
      </c>
      <c r="H43" s="1437">
        <f t="shared" si="0"/>
        <v>0</v>
      </c>
      <c r="I43" s="1437">
        <v>0</v>
      </c>
      <c r="J43" s="1437">
        <v>0</v>
      </c>
      <c r="K43" s="1438"/>
      <c r="L43" s="1438"/>
      <c r="M43" s="1437">
        <f t="shared" si="1"/>
        <v>0</v>
      </c>
      <c r="N43" s="1437">
        <f t="shared" si="2"/>
        <v>0</v>
      </c>
    </row>
    <row r="44" spans="1:14" ht="62" outlineLevel="1">
      <c r="A44" s="1502">
        <v>10</v>
      </c>
      <c r="B44" s="1501" t="s">
        <v>1672</v>
      </c>
      <c r="C44" s="1492" t="s">
        <v>1562</v>
      </c>
      <c r="D44" s="1334" t="s">
        <v>1566</v>
      </c>
      <c r="E44" s="1359">
        <v>0</v>
      </c>
      <c r="F44" s="1437">
        <v>0.38585999999999998</v>
      </c>
      <c r="G44" s="1437">
        <v>0.38585999999999998</v>
      </c>
      <c r="H44" s="1437">
        <f t="shared" si="0"/>
        <v>0</v>
      </c>
      <c r="I44" s="1437">
        <v>0</v>
      </c>
      <c r="J44" s="1437">
        <v>0</v>
      </c>
      <c r="K44" s="1438"/>
      <c r="L44" s="1438"/>
      <c r="M44" s="1437">
        <f t="shared" si="1"/>
        <v>0</v>
      </c>
      <c r="N44" s="1437">
        <f t="shared" si="2"/>
        <v>0</v>
      </c>
    </row>
    <row r="45" spans="1:14" ht="15.5" outlineLevel="1">
      <c r="A45" s="1493">
        <v>4</v>
      </c>
      <c r="B45" s="1494" t="s">
        <v>1676</v>
      </c>
      <c r="C45" s="1495" t="s">
        <v>1562</v>
      </c>
      <c r="D45" s="1341" t="s">
        <v>1566</v>
      </c>
      <c r="E45" s="1496">
        <v>6.64</v>
      </c>
      <c r="F45" s="1437">
        <v>0</v>
      </c>
      <c r="G45" s="1437">
        <v>0</v>
      </c>
      <c r="H45" s="1437">
        <f t="shared" si="0"/>
        <v>0</v>
      </c>
      <c r="I45" s="1437">
        <v>0</v>
      </c>
      <c r="J45" s="1437">
        <v>0</v>
      </c>
      <c r="K45" s="1438"/>
      <c r="L45" s="1438"/>
      <c r="M45" s="1437">
        <f t="shared" si="1"/>
        <v>0</v>
      </c>
      <c r="N45" s="1437">
        <f t="shared" si="2"/>
        <v>0</v>
      </c>
    </row>
    <row r="46" spans="1:14" ht="15.5" outlineLevel="1">
      <c r="A46" s="1504">
        <v>1</v>
      </c>
      <c r="B46" s="1497" t="s">
        <v>1677</v>
      </c>
      <c r="C46" s="1492" t="s">
        <v>1562</v>
      </c>
      <c r="D46" s="1334" t="s">
        <v>1566</v>
      </c>
      <c r="E46" s="1359">
        <v>0</v>
      </c>
      <c r="F46" s="1437">
        <v>1.6232788</v>
      </c>
      <c r="G46" s="1437">
        <v>1.6232788</v>
      </c>
      <c r="H46" s="1437">
        <f t="shared" si="0"/>
        <v>0</v>
      </c>
      <c r="I46" s="1437">
        <v>0</v>
      </c>
      <c r="J46" s="1437">
        <v>0</v>
      </c>
      <c r="K46" s="1438"/>
      <c r="L46" s="1438"/>
      <c r="M46" s="1437">
        <f t="shared" si="1"/>
        <v>0</v>
      </c>
      <c r="N46" s="1437">
        <f t="shared" si="2"/>
        <v>0</v>
      </c>
    </row>
    <row r="47" spans="1:14" ht="36" customHeight="1" outlineLevel="1">
      <c r="A47" s="1504">
        <v>2</v>
      </c>
      <c r="B47" s="1497" t="s">
        <v>1681</v>
      </c>
      <c r="C47" s="1492" t="s">
        <v>1562</v>
      </c>
      <c r="D47" s="1334" t="s">
        <v>1566</v>
      </c>
      <c r="E47" s="1368">
        <v>0</v>
      </c>
      <c r="F47" s="1437">
        <v>0.54529209999999995</v>
      </c>
      <c r="G47" s="1437">
        <v>0.54529209999999995</v>
      </c>
      <c r="H47" s="1437">
        <f t="shared" si="0"/>
        <v>0</v>
      </c>
      <c r="I47" s="1437">
        <v>0</v>
      </c>
      <c r="J47" s="1437">
        <v>0</v>
      </c>
      <c r="K47" s="1438"/>
      <c r="L47" s="1438"/>
      <c r="M47" s="1437">
        <f t="shared" si="1"/>
        <v>0</v>
      </c>
      <c r="N47" s="1437">
        <f t="shared" si="2"/>
        <v>0</v>
      </c>
    </row>
    <row r="48" spans="1:14" ht="31" outlineLevel="1">
      <c r="A48" s="1504">
        <v>3</v>
      </c>
      <c r="B48" s="1497" t="s">
        <v>1687</v>
      </c>
      <c r="C48" s="1492" t="s">
        <v>1562</v>
      </c>
      <c r="D48" s="1334" t="s">
        <v>1566</v>
      </c>
      <c r="E48" s="1368">
        <v>0</v>
      </c>
      <c r="F48" s="1437">
        <v>0.54801796000000003</v>
      </c>
      <c r="G48" s="1437">
        <v>0.54801796000000003</v>
      </c>
      <c r="H48" s="1437">
        <f t="shared" si="0"/>
        <v>0</v>
      </c>
      <c r="I48" s="1437">
        <v>0</v>
      </c>
      <c r="J48" s="1437">
        <v>0</v>
      </c>
      <c r="K48" s="1438"/>
      <c r="L48" s="1438"/>
      <c r="M48" s="1437">
        <f t="shared" si="1"/>
        <v>0</v>
      </c>
      <c r="N48" s="1437">
        <f t="shared" si="2"/>
        <v>0</v>
      </c>
    </row>
    <row r="49" spans="1:14" ht="31" outlineLevel="1">
      <c r="A49" s="1504">
        <v>4</v>
      </c>
      <c r="B49" s="1497" t="s">
        <v>1690</v>
      </c>
      <c r="C49" s="1492" t="s">
        <v>1562</v>
      </c>
      <c r="D49" s="1334" t="s">
        <v>1566</v>
      </c>
      <c r="E49" s="1318">
        <v>0</v>
      </c>
      <c r="F49" s="1437">
        <v>0.39579560000000003</v>
      </c>
      <c r="G49" s="1437">
        <v>0.39579560000000003</v>
      </c>
      <c r="H49" s="1437">
        <f t="shared" si="0"/>
        <v>0</v>
      </c>
      <c r="I49" s="1437">
        <v>0</v>
      </c>
      <c r="J49" s="1437">
        <v>0</v>
      </c>
      <c r="K49" s="1438"/>
      <c r="L49" s="1438"/>
      <c r="M49" s="1437">
        <f t="shared" si="1"/>
        <v>0</v>
      </c>
      <c r="N49" s="1437">
        <f t="shared" si="2"/>
        <v>0</v>
      </c>
    </row>
    <row r="50" spans="1:14" ht="31" outlineLevel="1">
      <c r="A50" s="1504">
        <v>5</v>
      </c>
      <c r="B50" s="1501" t="s">
        <v>1694</v>
      </c>
      <c r="C50" s="1492" t="s">
        <v>1562</v>
      </c>
      <c r="D50" s="1334" t="s">
        <v>1566</v>
      </c>
      <c r="E50" s="1359">
        <v>0</v>
      </c>
      <c r="F50" s="1437">
        <v>1.757524804</v>
      </c>
      <c r="G50" s="1437">
        <v>1.757524804</v>
      </c>
      <c r="H50" s="1437">
        <f t="shared" si="0"/>
        <v>0</v>
      </c>
      <c r="I50" s="1437">
        <v>1.2459E-2</v>
      </c>
      <c r="J50" s="1437">
        <v>1.2459E-2</v>
      </c>
      <c r="K50" s="1438"/>
      <c r="L50" s="1438"/>
      <c r="M50" s="1437">
        <f t="shared" si="1"/>
        <v>1.2459E-2</v>
      </c>
      <c r="N50" s="1437">
        <f t="shared" si="2"/>
        <v>0</v>
      </c>
    </row>
    <row r="51" spans="1:14" ht="15.5" outlineLevel="1">
      <c r="A51" s="1504">
        <v>6</v>
      </c>
      <c r="B51" s="1501" t="s">
        <v>1697</v>
      </c>
      <c r="C51" s="1492" t="s">
        <v>1562</v>
      </c>
      <c r="D51" s="1334" t="s">
        <v>1566</v>
      </c>
      <c r="E51" s="1368">
        <v>0</v>
      </c>
      <c r="F51" s="1437">
        <v>0.229104904</v>
      </c>
      <c r="G51" s="1437">
        <v>0.229104904</v>
      </c>
      <c r="H51" s="1437">
        <f t="shared" si="0"/>
        <v>0</v>
      </c>
      <c r="I51" s="1437">
        <v>0</v>
      </c>
      <c r="J51" s="1437">
        <v>0</v>
      </c>
      <c r="K51" s="1438"/>
      <c r="L51" s="1438"/>
      <c r="M51" s="1437">
        <f t="shared" si="1"/>
        <v>0</v>
      </c>
      <c r="N51" s="1437">
        <f t="shared" si="2"/>
        <v>0</v>
      </c>
    </row>
    <row r="52" spans="1:14" ht="15.5" outlineLevel="1">
      <c r="A52" s="1504">
        <v>7</v>
      </c>
      <c r="B52" s="1501" t="s">
        <v>1701</v>
      </c>
      <c r="C52" s="1492" t="s">
        <v>1562</v>
      </c>
      <c r="D52" s="1334" t="s">
        <v>1566</v>
      </c>
      <c r="E52" s="1359">
        <v>0</v>
      </c>
      <c r="F52" s="1437">
        <v>0.11795988</v>
      </c>
      <c r="G52" s="1437">
        <v>0.11795988</v>
      </c>
      <c r="H52" s="1437">
        <f t="shared" si="0"/>
        <v>0</v>
      </c>
      <c r="I52" s="1437">
        <v>0</v>
      </c>
      <c r="J52" s="1437">
        <v>0</v>
      </c>
      <c r="K52" s="1438"/>
      <c r="L52" s="1438"/>
      <c r="M52" s="1437">
        <f t="shared" si="1"/>
        <v>0</v>
      </c>
      <c r="N52" s="1437">
        <f t="shared" si="2"/>
        <v>0</v>
      </c>
    </row>
    <row r="53" spans="1:14" ht="15.5" outlineLevel="1">
      <c r="A53" s="1504">
        <v>8</v>
      </c>
      <c r="B53" s="1501" t="s">
        <v>1705</v>
      </c>
      <c r="C53" s="1492" t="s">
        <v>1562</v>
      </c>
      <c r="D53" s="1334" t="s">
        <v>1566</v>
      </c>
      <c r="E53" s="1368">
        <v>0</v>
      </c>
      <c r="F53" s="1437">
        <v>0</v>
      </c>
      <c r="G53" s="1437">
        <v>0</v>
      </c>
      <c r="H53" s="1437">
        <f t="shared" si="0"/>
        <v>0</v>
      </c>
      <c r="I53" s="1437">
        <v>0</v>
      </c>
      <c r="J53" s="1437">
        <v>0</v>
      </c>
      <c r="K53" s="1438"/>
      <c r="L53" s="1438"/>
      <c r="M53" s="1437">
        <f t="shared" si="1"/>
        <v>0</v>
      </c>
      <c r="N53" s="1437">
        <f t="shared" si="2"/>
        <v>0</v>
      </c>
    </row>
    <row r="54" spans="1:14" ht="15.5" outlineLevel="1">
      <c r="A54" s="1504">
        <v>9</v>
      </c>
      <c r="B54" s="1501" t="s">
        <v>1708</v>
      </c>
      <c r="C54" s="1492" t="s">
        <v>1562</v>
      </c>
      <c r="D54" s="1334" t="s">
        <v>1566</v>
      </c>
      <c r="E54" s="1368">
        <v>0</v>
      </c>
      <c r="F54" s="1437">
        <v>0</v>
      </c>
      <c r="G54" s="1437">
        <v>0</v>
      </c>
      <c r="H54" s="1437">
        <f t="shared" si="0"/>
        <v>0</v>
      </c>
      <c r="I54" s="1437">
        <v>0.1233369</v>
      </c>
      <c r="J54" s="1437">
        <v>0.1233369</v>
      </c>
      <c r="K54" s="1438"/>
      <c r="L54" s="1438"/>
      <c r="M54" s="1437">
        <f t="shared" si="1"/>
        <v>0.1233369</v>
      </c>
      <c r="N54" s="1437">
        <f t="shared" si="2"/>
        <v>0</v>
      </c>
    </row>
    <row r="55" spans="1:14" ht="33" customHeight="1" outlineLevel="1">
      <c r="A55" s="1505">
        <v>0</v>
      </c>
      <c r="B55" s="1506">
        <v>0</v>
      </c>
      <c r="C55" s="1507">
        <v>0</v>
      </c>
      <c r="D55" s="1508" t="s">
        <v>1566</v>
      </c>
      <c r="E55" s="1359">
        <v>0</v>
      </c>
      <c r="F55" s="1437">
        <v>0</v>
      </c>
      <c r="G55" s="1437">
        <v>0</v>
      </c>
      <c r="H55" s="1437">
        <f t="shared" si="0"/>
        <v>0</v>
      </c>
      <c r="I55" s="1437">
        <v>0</v>
      </c>
      <c r="J55" s="1437">
        <v>0</v>
      </c>
      <c r="K55" s="1438"/>
      <c r="L55" s="1438"/>
      <c r="M55" s="1437">
        <f t="shared" si="1"/>
        <v>0</v>
      </c>
      <c r="N55" s="1437">
        <f t="shared" si="2"/>
        <v>0</v>
      </c>
    </row>
    <row r="56" spans="1:14" ht="31" outlineLevel="1">
      <c r="A56" s="1493" t="s">
        <v>184</v>
      </c>
      <c r="B56" s="1494" t="s">
        <v>1710</v>
      </c>
      <c r="C56" s="1495">
        <v>0</v>
      </c>
      <c r="D56" s="1341" t="s">
        <v>1566</v>
      </c>
      <c r="E56" s="1496">
        <v>0</v>
      </c>
      <c r="F56" s="1437">
        <v>0</v>
      </c>
      <c r="G56" s="1437">
        <v>0</v>
      </c>
      <c r="H56" s="1437">
        <f t="shared" si="0"/>
        <v>0</v>
      </c>
      <c r="I56" s="1437">
        <v>0</v>
      </c>
      <c r="J56" s="1437">
        <v>0</v>
      </c>
      <c r="K56" s="1438"/>
      <c r="L56" s="1438"/>
      <c r="M56" s="1437">
        <f t="shared" si="1"/>
        <v>0</v>
      </c>
      <c r="N56" s="1437">
        <f t="shared" si="2"/>
        <v>0</v>
      </c>
    </row>
    <row r="57" spans="1:14" ht="31" outlineLevel="1">
      <c r="A57" s="1493">
        <v>0</v>
      </c>
      <c r="B57" s="1494" t="s">
        <v>1711</v>
      </c>
      <c r="C57" s="1495" t="s">
        <v>1712</v>
      </c>
      <c r="D57" s="1341" t="s">
        <v>1713</v>
      </c>
      <c r="E57" s="1509">
        <v>41.453400000000002</v>
      </c>
      <c r="F57" s="1437">
        <v>0</v>
      </c>
      <c r="G57" s="1437">
        <v>0</v>
      </c>
      <c r="H57" s="1437">
        <f t="shared" si="0"/>
        <v>0</v>
      </c>
      <c r="I57" s="1437">
        <v>0</v>
      </c>
      <c r="J57" s="1437">
        <v>0</v>
      </c>
      <c r="K57" s="1438"/>
      <c r="L57" s="1438"/>
      <c r="M57" s="1437">
        <f t="shared" si="1"/>
        <v>0</v>
      </c>
      <c r="N57" s="1437">
        <f t="shared" si="2"/>
        <v>0</v>
      </c>
    </row>
    <row r="58" spans="1:14" ht="43.5" outlineLevel="1">
      <c r="A58" s="1499">
        <v>1</v>
      </c>
      <c r="B58" s="1510" t="s">
        <v>1715</v>
      </c>
      <c r="C58" s="1511" t="s">
        <v>1712</v>
      </c>
      <c r="D58" s="1334" t="s">
        <v>1566</v>
      </c>
      <c r="E58" s="1430">
        <v>0</v>
      </c>
      <c r="F58" s="1437">
        <v>3.4589155919999999</v>
      </c>
      <c r="G58" s="1437">
        <v>3.4589155919999999</v>
      </c>
      <c r="H58" s="1437">
        <f t="shared" si="0"/>
        <v>0</v>
      </c>
      <c r="I58" s="1437">
        <v>0</v>
      </c>
      <c r="J58" s="1437">
        <v>0</v>
      </c>
      <c r="K58" s="1438"/>
      <c r="L58" s="1438"/>
      <c r="M58" s="1437">
        <f t="shared" si="1"/>
        <v>0</v>
      </c>
      <c r="N58" s="1437">
        <f t="shared" si="2"/>
        <v>0</v>
      </c>
    </row>
    <row r="59" spans="1:14" ht="29" outlineLevel="1">
      <c r="A59" s="1499">
        <v>2</v>
      </c>
      <c r="B59" s="1510" t="s">
        <v>1717</v>
      </c>
      <c r="C59" s="1511" t="s">
        <v>1712</v>
      </c>
      <c r="D59" s="1334" t="s">
        <v>1566</v>
      </c>
      <c r="E59" s="1430">
        <v>0</v>
      </c>
      <c r="F59" s="1437">
        <v>2.5606</v>
      </c>
      <c r="G59" s="1437">
        <v>2.5606</v>
      </c>
      <c r="H59" s="1437">
        <f t="shared" si="0"/>
        <v>0</v>
      </c>
      <c r="I59" s="1437">
        <v>0</v>
      </c>
      <c r="J59" s="1437">
        <v>0</v>
      </c>
      <c r="K59" s="1438"/>
      <c r="L59" s="1438"/>
      <c r="M59" s="1437">
        <f t="shared" si="1"/>
        <v>0</v>
      </c>
      <c r="N59" s="1437">
        <f t="shared" si="2"/>
        <v>0</v>
      </c>
    </row>
    <row r="60" spans="1:14" ht="43.5" outlineLevel="1">
      <c r="A60" s="1499">
        <v>3</v>
      </c>
      <c r="B60" s="1510" t="s">
        <v>1718</v>
      </c>
      <c r="C60" s="1511" t="s">
        <v>1712</v>
      </c>
      <c r="D60" s="1334" t="s">
        <v>1566</v>
      </c>
      <c r="E60" s="1430">
        <v>0</v>
      </c>
      <c r="F60" s="1437">
        <v>1.0502</v>
      </c>
      <c r="G60" s="1437">
        <v>1.0502</v>
      </c>
      <c r="H60" s="1437">
        <f t="shared" si="0"/>
        <v>0</v>
      </c>
      <c r="I60" s="1437">
        <v>0</v>
      </c>
      <c r="J60" s="1437">
        <v>0</v>
      </c>
      <c r="K60" s="1438"/>
      <c r="L60" s="1438"/>
      <c r="M60" s="1437">
        <f t="shared" si="1"/>
        <v>0</v>
      </c>
      <c r="N60" s="1437">
        <f t="shared" si="2"/>
        <v>0</v>
      </c>
    </row>
    <row r="61" spans="1:14" ht="58" outlineLevel="1">
      <c r="A61" s="1499">
        <v>4</v>
      </c>
      <c r="B61" s="1510" t="s">
        <v>1719</v>
      </c>
      <c r="C61" s="1511" t="s">
        <v>1712</v>
      </c>
      <c r="D61" s="1334" t="s">
        <v>1566</v>
      </c>
      <c r="E61" s="1430">
        <v>0</v>
      </c>
      <c r="F61" s="1437">
        <v>0.84960000000000002</v>
      </c>
      <c r="G61" s="1437">
        <v>0.84960000000000002</v>
      </c>
      <c r="H61" s="1437">
        <f t="shared" si="0"/>
        <v>0</v>
      </c>
      <c r="I61" s="1437">
        <v>0</v>
      </c>
      <c r="J61" s="1437">
        <v>0</v>
      </c>
      <c r="K61" s="1438"/>
      <c r="L61" s="1438"/>
      <c r="M61" s="1437">
        <f t="shared" si="1"/>
        <v>0</v>
      </c>
      <c r="N61" s="1437">
        <f t="shared" si="2"/>
        <v>0</v>
      </c>
    </row>
    <row r="62" spans="1:14" ht="43.5" outlineLevel="1">
      <c r="A62" s="1499">
        <v>5</v>
      </c>
      <c r="B62" s="1510" t="s">
        <v>1720</v>
      </c>
      <c r="C62" s="1511" t="s">
        <v>1712</v>
      </c>
      <c r="D62" s="1334" t="s">
        <v>1566</v>
      </c>
      <c r="E62" s="1430">
        <v>0</v>
      </c>
      <c r="F62" s="1437">
        <v>0.91256150000000003</v>
      </c>
      <c r="G62" s="1437">
        <v>0.91256150000000003</v>
      </c>
      <c r="H62" s="1437">
        <f t="shared" si="0"/>
        <v>0</v>
      </c>
      <c r="I62" s="1437">
        <v>0</v>
      </c>
      <c r="J62" s="1437">
        <v>0</v>
      </c>
      <c r="K62" s="1438"/>
      <c r="L62" s="1438"/>
      <c r="M62" s="1437">
        <f t="shared" si="1"/>
        <v>0</v>
      </c>
      <c r="N62" s="1437">
        <f t="shared" si="2"/>
        <v>0</v>
      </c>
    </row>
    <row r="63" spans="1:14" ht="29" outlineLevel="1">
      <c r="A63" s="1499">
        <v>6</v>
      </c>
      <c r="B63" s="1510" t="s">
        <v>1721</v>
      </c>
      <c r="C63" s="1511" t="s">
        <v>1712</v>
      </c>
      <c r="D63" s="1334" t="s">
        <v>1566</v>
      </c>
      <c r="E63" s="1430">
        <v>0</v>
      </c>
      <c r="F63" s="1437">
        <v>0.60826469999999999</v>
      </c>
      <c r="G63" s="1437">
        <v>0.60826469999999999</v>
      </c>
      <c r="H63" s="1437">
        <f t="shared" si="0"/>
        <v>0</v>
      </c>
      <c r="I63" s="1437">
        <v>0</v>
      </c>
      <c r="J63" s="1437">
        <v>0</v>
      </c>
      <c r="K63" s="1438"/>
      <c r="L63" s="1438"/>
      <c r="M63" s="1437">
        <f t="shared" si="1"/>
        <v>0</v>
      </c>
      <c r="N63" s="1437">
        <f t="shared" si="2"/>
        <v>0</v>
      </c>
    </row>
    <row r="64" spans="1:14" ht="35.15" customHeight="1" outlineLevel="1">
      <c r="A64" s="1499">
        <v>7</v>
      </c>
      <c r="B64" s="1510" t="s">
        <v>1722</v>
      </c>
      <c r="C64" s="1511" t="s">
        <v>1712</v>
      </c>
      <c r="D64" s="1334" t="s">
        <v>1566</v>
      </c>
      <c r="E64" s="1430">
        <v>0</v>
      </c>
      <c r="F64" s="1437">
        <v>0</v>
      </c>
      <c r="G64" s="1437">
        <v>0</v>
      </c>
      <c r="H64" s="1437">
        <f t="shared" si="0"/>
        <v>0</v>
      </c>
      <c r="I64" s="1437">
        <v>0.41</v>
      </c>
      <c r="J64" s="1437">
        <v>0.41</v>
      </c>
      <c r="K64" s="1438"/>
      <c r="L64" s="1438"/>
      <c r="M64" s="1437">
        <f t="shared" si="1"/>
        <v>0.41</v>
      </c>
      <c r="N64" s="1437">
        <f t="shared" si="2"/>
        <v>0</v>
      </c>
    </row>
    <row r="65" spans="1:14" ht="43.5" outlineLevel="1">
      <c r="A65" s="1499">
        <v>8</v>
      </c>
      <c r="B65" s="1510" t="s">
        <v>1723</v>
      </c>
      <c r="C65" s="1511" t="s">
        <v>1712</v>
      </c>
      <c r="D65" s="1334" t="s">
        <v>1566</v>
      </c>
      <c r="E65" s="1430">
        <v>0</v>
      </c>
      <c r="F65" s="1437">
        <v>2.6266799999999999</v>
      </c>
      <c r="G65" s="1437">
        <v>0</v>
      </c>
      <c r="H65" s="1437">
        <f t="shared" si="0"/>
        <v>2.6266799999999999</v>
      </c>
      <c r="I65" s="1437">
        <v>0.95521</v>
      </c>
      <c r="J65" s="1437">
        <v>3.5813899999999999</v>
      </c>
      <c r="K65" s="1438"/>
      <c r="L65" s="1438"/>
      <c r="M65" s="1437">
        <f t="shared" si="1"/>
        <v>3.5813899999999999</v>
      </c>
      <c r="N65" s="1437">
        <f t="shared" si="2"/>
        <v>5.0000000000016698E-4</v>
      </c>
    </row>
    <row r="66" spans="1:14" ht="20.149999999999999" customHeight="1" outlineLevel="1">
      <c r="A66" s="1499">
        <v>9</v>
      </c>
      <c r="B66" s="1510" t="s">
        <v>1725</v>
      </c>
      <c r="C66" s="1511" t="s">
        <v>1712</v>
      </c>
      <c r="D66" s="1334" t="s">
        <v>1566</v>
      </c>
      <c r="E66" s="1430">
        <v>0</v>
      </c>
      <c r="F66" s="1437">
        <v>0</v>
      </c>
      <c r="G66" s="1437">
        <v>0</v>
      </c>
      <c r="H66" s="1437">
        <f t="shared" si="0"/>
        <v>0</v>
      </c>
      <c r="I66" s="1437">
        <v>0</v>
      </c>
      <c r="J66" s="1437">
        <v>0</v>
      </c>
      <c r="K66" s="1438"/>
      <c r="L66" s="1438"/>
      <c r="M66" s="1437">
        <f t="shared" si="1"/>
        <v>0</v>
      </c>
      <c r="N66" s="1437">
        <f t="shared" si="2"/>
        <v>0</v>
      </c>
    </row>
    <row r="67" spans="1:14" ht="29" outlineLevel="1">
      <c r="A67" s="1499">
        <v>10</v>
      </c>
      <c r="B67" s="1510" t="s">
        <v>1727</v>
      </c>
      <c r="C67" s="1511" t="s">
        <v>1712</v>
      </c>
      <c r="D67" s="1334" t="s">
        <v>1566</v>
      </c>
      <c r="E67" s="1430">
        <v>0</v>
      </c>
      <c r="F67" s="1437">
        <v>0</v>
      </c>
      <c r="G67" s="1437">
        <v>0</v>
      </c>
      <c r="H67" s="1437">
        <f t="shared" si="0"/>
        <v>0</v>
      </c>
      <c r="I67" s="1437">
        <v>1.380482</v>
      </c>
      <c r="J67" s="1437">
        <v>1.380482</v>
      </c>
      <c r="K67" s="1438"/>
      <c r="L67" s="1438"/>
      <c r="M67" s="1437">
        <f t="shared" si="1"/>
        <v>1.380482</v>
      </c>
      <c r="N67" s="1437">
        <f t="shared" si="2"/>
        <v>0</v>
      </c>
    </row>
    <row r="68" spans="1:14" ht="29" outlineLevel="1">
      <c r="A68" s="1499">
        <v>11</v>
      </c>
      <c r="B68" s="1510" t="s">
        <v>1729</v>
      </c>
      <c r="C68" s="1511" t="s">
        <v>1712</v>
      </c>
      <c r="D68" s="1334" t="s">
        <v>1566</v>
      </c>
      <c r="E68" s="1430">
        <v>0</v>
      </c>
      <c r="F68" s="1437">
        <v>1.8060844</v>
      </c>
      <c r="G68" s="1437">
        <v>0</v>
      </c>
      <c r="H68" s="1437">
        <f t="shared" si="0"/>
        <v>1.8060844</v>
      </c>
      <c r="I68" s="1437">
        <v>0</v>
      </c>
      <c r="J68" s="1437">
        <v>0</v>
      </c>
      <c r="K68" s="1438"/>
      <c r="L68" s="1438"/>
      <c r="M68" s="1437">
        <f t="shared" si="1"/>
        <v>0</v>
      </c>
      <c r="N68" s="1437">
        <f t="shared" si="2"/>
        <v>1.8060844</v>
      </c>
    </row>
    <row r="69" spans="1:14" ht="29" outlineLevel="1">
      <c r="A69" s="1499">
        <v>12</v>
      </c>
      <c r="B69" s="1510" t="s">
        <v>1730</v>
      </c>
      <c r="C69" s="1511" t="s">
        <v>1712</v>
      </c>
      <c r="D69" s="1334" t="s">
        <v>1566</v>
      </c>
      <c r="E69" s="1430">
        <v>0</v>
      </c>
      <c r="F69" s="1437">
        <v>2.8091143999999999</v>
      </c>
      <c r="G69" s="1437">
        <v>0</v>
      </c>
      <c r="H69" s="1437">
        <f t="shared" si="0"/>
        <v>2.8091143999999999</v>
      </c>
      <c r="I69" s="1437">
        <v>0</v>
      </c>
      <c r="J69" s="1437">
        <v>0</v>
      </c>
      <c r="K69" s="1438"/>
      <c r="L69" s="1438"/>
      <c r="M69" s="1437">
        <f t="shared" si="1"/>
        <v>0</v>
      </c>
      <c r="N69" s="1437">
        <f t="shared" si="2"/>
        <v>2.8091143999999999</v>
      </c>
    </row>
    <row r="70" spans="1:14" ht="29" outlineLevel="1">
      <c r="A70" s="1499">
        <v>13</v>
      </c>
      <c r="B70" s="1510" t="s">
        <v>1731</v>
      </c>
      <c r="C70" s="1511" t="s">
        <v>1712</v>
      </c>
      <c r="D70" s="1334" t="s">
        <v>1566</v>
      </c>
      <c r="E70" s="1430">
        <v>0</v>
      </c>
      <c r="F70" s="1437">
        <v>0.80110199999999998</v>
      </c>
      <c r="G70" s="1437">
        <v>0</v>
      </c>
      <c r="H70" s="1437">
        <f t="shared" si="0"/>
        <v>0.80110199999999998</v>
      </c>
      <c r="I70" s="1437">
        <v>0.38807570000000002</v>
      </c>
      <c r="J70" s="1437">
        <v>1.1891</v>
      </c>
      <c r="K70" s="1438"/>
      <c r="L70" s="1438"/>
      <c r="M70" s="1437">
        <f t="shared" si="1"/>
        <v>1.1891</v>
      </c>
      <c r="N70" s="1437">
        <f t="shared" si="2"/>
        <v>7.770000000006938E-5</v>
      </c>
    </row>
    <row r="71" spans="1:14" ht="59.15" customHeight="1" outlineLevel="1">
      <c r="A71" s="1499">
        <v>14</v>
      </c>
      <c r="B71" s="1510" t="s">
        <v>1732</v>
      </c>
      <c r="C71" s="1511" t="s">
        <v>1712</v>
      </c>
      <c r="D71" s="1334" t="s">
        <v>1566</v>
      </c>
      <c r="E71" s="1430">
        <v>0</v>
      </c>
      <c r="F71" s="1437">
        <v>0</v>
      </c>
      <c r="G71" s="1437">
        <v>0</v>
      </c>
      <c r="H71" s="1437">
        <f t="shared" si="0"/>
        <v>0</v>
      </c>
      <c r="I71" s="1437">
        <v>0.72225269999999997</v>
      </c>
      <c r="J71" s="1437">
        <v>0.72225269999999997</v>
      </c>
      <c r="K71" s="1438"/>
      <c r="L71" s="1438"/>
      <c r="M71" s="1437">
        <f t="shared" si="1"/>
        <v>0.72225269999999997</v>
      </c>
      <c r="N71" s="1437">
        <f t="shared" si="2"/>
        <v>0</v>
      </c>
    </row>
    <row r="72" spans="1:14" ht="49" customHeight="1" outlineLevel="1">
      <c r="A72" s="1499">
        <v>15</v>
      </c>
      <c r="B72" s="1510" t="s">
        <v>1734</v>
      </c>
      <c r="C72" s="1511" t="s">
        <v>1712</v>
      </c>
      <c r="D72" s="1334" t="s">
        <v>1566</v>
      </c>
      <c r="E72" s="1430">
        <v>0</v>
      </c>
      <c r="F72" s="1437">
        <v>0</v>
      </c>
      <c r="G72" s="1437">
        <v>0</v>
      </c>
      <c r="H72" s="1437">
        <f t="shared" si="0"/>
        <v>0</v>
      </c>
      <c r="I72" s="1437">
        <v>0.15304309999999999</v>
      </c>
      <c r="J72" s="1437">
        <v>0.44729429999999998</v>
      </c>
      <c r="K72" s="1438"/>
      <c r="L72" s="1438"/>
      <c r="M72" s="1437">
        <f t="shared" si="1"/>
        <v>0.44729429999999998</v>
      </c>
      <c r="N72" s="1437">
        <f t="shared" si="2"/>
        <v>-0.29425119999999999</v>
      </c>
    </row>
    <row r="73" spans="1:14" ht="32.15" customHeight="1" outlineLevel="1">
      <c r="A73" s="1499">
        <v>16</v>
      </c>
      <c r="B73" s="1510" t="s">
        <v>1735</v>
      </c>
      <c r="C73" s="1511" t="s">
        <v>1712</v>
      </c>
      <c r="D73" s="1334" t="s">
        <v>1566</v>
      </c>
      <c r="E73" s="1430">
        <v>0</v>
      </c>
      <c r="F73" s="1437">
        <v>0.86892840000000005</v>
      </c>
      <c r="G73" s="1437">
        <v>0</v>
      </c>
      <c r="H73" s="1437">
        <f t="shared" ref="H73:H136" si="3">F73-G73</f>
        <v>0.86892840000000005</v>
      </c>
      <c r="I73" s="1437">
        <v>0.33467160000000001</v>
      </c>
      <c r="J73" s="1437">
        <v>1.2036</v>
      </c>
      <c r="K73" s="1438"/>
      <c r="L73" s="1438"/>
      <c r="M73" s="1437">
        <f t="shared" ref="M73:M136" si="4">SUM(J73:L73)</f>
        <v>1.2036</v>
      </c>
      <c r="N73" s="1437">
        <f t="shared" ref="N73:N136" si="5">H73+I73-M73</f>
        <v>0</v>
      </c>
    </row>
    <row r="74" spans="1:14" ht="29" outlineLevel="1">
      <c r="A74" s="1499">
        <v>17</v>
      </c>
      <c r="B74" s="1510" t="s">
        <v>1736</v>
      </c>
      <c r="C74" s="1511" t="s">
        <v>1712</v>
      </c>
      <c r="D74" s="1334" t="s">
        <v>1566</v>
      </c>
      <c r="E74" s="1430">
        <v>0</v>
      </c>
      <c r="F74" s="1437">
        <v>0</v>
      </c>
      <c r="G74" s="1437">
        <v>0</v>
      </c>
      <c r="H74" s="1437">
        <f t="shared" si="3"/>
        <v>0</v>
      </c>
      <c r="I74" s="1437">
        <v>0</v>
      </c>
      <c r="J74" s="1437">
        <v>0</v>
      </c>
      <c r="K74" s="1438"/>
      <c r="L74" s="1438"/>
      <c r="M74" s="1437">
        <f t="shared" si="4"/>
        <v>0</v>
      </c>
      <c r="N74" s="1437">
        <f t="shared" si="5"/>
        <v>0</v>
      </c>
    </row>
    <row r="75" spans="1:14" ht="50.15" customHeight="1" outlineLevel="1">
      <c r="A75" s="1499">
        <v>18</v>
      </c>
      <c r="B75" s="1510" t="s">
        <v>1737</v>
      </c>
      <c r="C75" s="1511" t="s">
        <v>1712</v>
      </c>
      <c r="D75" s="1334" t="s">
        <v>1566</v>
      </c>
      <c r="E75" s="1430">
        <v>0</v>
      </c>
      <c r="F75" s="1437">
        <v>0</v>
      </c>
      <c r="G75" s="1437">
        <v>0</v>
      </c>
      <c r="H75" s="1437">
        <f t="shared" si="3"/>
        <v>0</v>
      </c>
      <c r="I75" s="1437">
        <v>0</v>
      </c>
      <c r="J75" s="1437">
        <v>0</v>
      </c>
      <c r="K75" s="1438"/>
      <c r="L75" s="1438"/>
      <c r="M75" s="1437">
        <f t="shared" si="4"/>
        <v>0</v>
      </c>
      <c r="N75" s="1437">
        <f t="shared" si="5"/>
        <v>0</v>
      </c>
    </row>
    <row r="76" spans="1:14" ht="43.5" outlineLevel="1">
      <c r="A76" s="1499">
        <v>19</v>
      </c>
      <c r="B76" s="1510" t="s">
        <v>1738</v>
      </c>
      <c r="C76" s="1511" t="s">
        <v>1712</v>
      </c>
      <c r="D76" s="1334" t="s">
        <v>1566</v>
      </c>
      <c r="E76" s="1430">
        <v>0</v>
      </c>
      <c r="F76" s="1437">
        <v>0</v>
      </c>
      <c r="G76" s="1437">
        <v>0</v>
      </c>
      <c r="H76" s="1437">
        <f t="shared" si="3"/>
        <v>0</v>
      </c>
      <c r="I76" s="1437">
        <v>0</v>
      </c>
      <c r="J76" s="1437">
        <v>0</v>
      </c>
      <c r="K76" s="1438"/>
      <c r="L76" s="1438"/>
      <c r="M76" s="1437">
        <f t="shared" si="4"/>
        <v>0</v>
      </c>
      <c r="N76" s="1437">
        <f t="shared" si="5"/>
        <v>0</v>
      </c>
    </row>
    <row r="77" spans="1:14" ht="35.15" customHeight="1" outlineLevel="1">
      <c r="A77" s="1499">
        <v>20</v>
      </c>
      <c r="B77" s="1510" t="s">
        <v>1739</v>
      </c>
      <c r="C77" s="1511" t="s">
        <v>1712</v>
      </c>
      <c r="D77" s="1334" t="s">
        <v>1566</v>
      </c>
      <c r="E77" s="1430">
        <v>0</v>
      </c>
      <c r="F77" s="1437">
        <v>0</v>
      </c>
      <c r="G77" s="1437">
        <v>0</v>
      </c>
      <c r="H77" s="1437">
        <f t="shared" si="3"/>
        <v>0</v>
      </c>
      <c r="I77" s="1437">
        <v>0</v>
      </c>
      <c r="J77" s="1437">
        <v>0</v>
      </c>
      <c r="K77" s="1438"/>
      <c r="L77" s="1438"/>
      <c r="M77" s="1437">
        <f t="shared" si="4"/>
        <v>0</v>
      </c>
      <c r="N77" s="1437">
        <f t="shared" si="5"/>
        <v>0</v>
      </c>
    </row>
    <row r="78" spans="1:14" ht="29" outlineLevel="1">
      <c r="A78" s="1499">
        <v>21</v>
      </c>
      <c r="B78" s="1510" t="s">
        <v>1740</v>
      </c>
      <c r="C78" s="1511" t="s">
        <v>1712</v>
      </c>
      <c r="D78" s="1334" t="s">
        <v>1566</v>
      </c>
      <c r="E78" s="1430">
        <v>0</v>
      </c>
      <c r="F78" s="1437">
        <v>0</v>
      </c>
      <c r="G78" s="1437">
        <v>0</v>
      </c>
      <c r="H78" s="1437">
        <f t="shared" si="3"/>
        <v>0</v>
      </c>
      <c r="I78" s="1437">
        <v>0</v>
      </c>
      <c r="J78" s="1437">
        <v>0</v>
      </c>
      <c r="K78" s="1438"/>
      <c r="L78" s="1438"/>
      <c r="M78" s="1437">
        <f t="shared" si="4"/>
        <v>0</v>
      </c>
      <c r="N78" s="1437">
        <f t="shared" si="5"/>
        <v>0</v>
      </c>
    </row>
    <row r="79" spans="1:14" ht="30" customHeight="1" outlineLevel="1">
      <c r="A79" s="1499">
        <v>22</v>
      </c>
      <c r="B79" s="1510" t="s">
        <v>1742</v>
      </c>
      <c r="C79" s="1511" t="s">
        <v>1712</v>
      </c>
      <c r="D79" s="1334" t="s">
        <v>1566</v>
      </c>
      <c r="E79" s="1430">
        <v>0</v>
      </c>
      <c r="F79" s="1437">
        <v>0</v>
      </c>
      <c r="G79" s="1437">
        <v>0</v>
      </c>
      <c r="H79" s="1437">
        <f t="shared" si="3"/>
        <v>0</v>
      </c>
      <c r="I79" s="1437">
        <v>0</v>
      </c>
      <c r="J79" s="1437">
        <v>0</v>
      </c>
      <c r="K79" s="1438"/>
      <c r="L79" s="1438"/>
      <c r="M79" s="1437">
        <f t="shared" si="4"/>
        <v>0</v>
      </c>
      <c r="N79" s="1437">
        <f t="shared" si="5"/>
        <v>0</v>
      </c>
    </row>
    <row r="80" spans="1:14" ht="38.15" customHeight="1" outlineLevel="1">
      <c r="A80" s="1493">
        <v>0</v>
      </c>
      <c r="B80" s="1494" t="s">
        <v>1744</v>
      </c>
      <c r="C80" s="1495" t="s">
        <v>1712</v>
      </c>
      <c r="D80" s="1341" t="s">
        <v>1566</v>
      </c>
      <c r="E80" s="1509">
        <v>45.323799999999991</v>
      </c>
      <c r="F80" s="1437">
        <v>0</v>
      </c>
      <c r="G80" s="1437">
        <v>0</v>
      </c>
      <c r="H80" s="1437">
        <f t="shared" si="3"/>
        <v>0</v>
      </c>
      <c r="I80" s="1437">
        <v>0</v>
      </c>
      <c r="J80" s="1437">
        <v>0</v>
      </c>
      <c r="K80" s="1438"/>
      <c r="L80" s="1438"/>
      <c r="M80" s="1437">
        <f t="shared" si="4"/>
        <v>0</v>
      </c>
      <c r="N80" s="1437">
        <f t="shared" si="5"/>
        <v>0</v>
      </c>
    </row>
    <row r="81" spans="1:14" ht="33" customHeight="1" outlineLevel="1">
      <c r="A81" s="1499">
        <v>1</v>
      </c>
      <c r="B81" s="1512" t="s">
        <v>1746</v>
      </c>
      <c r="C81" s="1511" t="s">
        <v>1712</v>
      </c>
      <c r="D81" s="1334" t="s">
        <v>1566</v>
      </c>
      <c r="E81" s="1430">
        <v>0</v>
      </c>
      <c r="F81" s="1437">
        <v>4.6099999999999994</v>
      </c>
      <c r="G81" s="1437">
        <v>0</v>
      </c>
      <c r="H81" s="1437">
        <f t="shared" si="3"/>
        <v>4.6099999999999994</v>
      </c>
      <c r="I81" s="1437">
        <v>1.99288194</v>
      </c>
      <c r="J81" s="1437">
        <v>0</v>
      </c>
      <c r="K81" s="1438"/>
      <c r="L81" s="1438"/>
      <c r="M81" s="1437">
        <f t="shared" si="4"/>
        <v>0</v>
      </c>
      <c r="N81" s="1437">
        <f t="shared" si="5"/>
        <v>6.6028819399999996</v>
      </c>
    </row>
    <row r="82" spans="1:14" ht="29" outlineLevel="1">
      <c r="A82" s="1499">
        <v>2</v>
      </c>
      <c r="B82" s="1512" t="s">
        <v>1747</v>
      </c>
      <c r="C82" s="1511" t="s">
        <v>1712</v>
      </c>
      <c r="D82" s="1334" t="s">
        <v>1566</v>
      </c>
      <c r="E82" s="1430">
        <v>0</v>
      </c>
      <c r="F82" s="1437">
        <v>0.59000000000000008</v>
      </c>
      <c r="G82" s="1437">
        <v>0</v>
      </c>
      <c r="H82" s="1437">
        <f t="shared" si="3"/>
        <v>0.59000000000000008</v>
      </c>
      <c r="I82" s="1437">
        <v>0.17624126000000001</v>
      </c>
      <c r="J82" s="1437">
        <v>0</v>
      </c>
      <c r="K82" s="1438"/>
      <c r="L82" s="1438"/>
      <c r="M82" s="1437">
        <f t="shared" si="4"/>
        <v>0</v>
      </c>
      <c r="N82" s="1437">
        <f t="shared" si="5"/>
        <v>0.76624126000000015</v>
      </c>
    </row>
    <row r="83" spans="1:14" ht="37" customHeight="1" outlineLevel="1">
      <c r="A83" s="1499">
        <v>3</v>
      </c>
      <c r="B83" s="1512" t="s">
        <v>1748</v>
      </c>
      <c r="C83" s="1511" t="s">
        <v>1712</v>
      </c>
      <c r="D83" s="1334" t="s">
        <v>1566</v>
      </c>
      <c r="E83" s="1430">
        <v>0</v>
      </c>
      <c r="F83" s="1437">
        <v>10.09</v>
      </c>
      <c r="G83" s="1437">
        <v>0</v>
      </c>
      <c r="H83" s="1437">
        <f t="shared" si="3"/>
        <v>10.09</v>
      </c>
      <c r="I83" s="1437">
        <v>0.51516675999999995</v>
      </c>
      <c r="J83" s="1437">
        <v>0</v>
      </c>
      <c r="K83" s="1438"/>
      <c r="L83" s="1438"/>
      <c r="M83" s="1437">
        <f t="shared" si="4"/>
        <v>0</v>
      </c>
      <c r="N83" s="1437">
        <f t="shared" si="5"/>
        <v>10.605166759999999</v>
      </c>
    </row>
    <row r="84" spans="1:14" ht="29" outlineLevel="1">
      <c r="A84" s="1499">
        <v>4</v>
      </c>
      <c r="B84" s="1512" t="s">
        <v>1749</v>
      </c>
      <c r="C84" s="1511" t="s">
        <v>1712</v>
      </c>
      <c r="D84" s="1334" t="s">
        <v>1566</v>
      </c>
      <c r="E84" s="1430">
        <v>0</v>
      </c>
      <c r="F84" s="1437">
        <v>4.47</v>
      </c>
      <c r="G84" s="1437">
        <v>0</v>
      </c>
      <c r="H84" s="1437">
        <f t="shared" si="3"/>
        <v>4.47</v>
      </c>
      <c r="I84" s="1437">
        <v>1.6746274999999999</v>
      </c>
      <c r="J84" s="1437">
        <v>0</v>
      </c>
      <c r="K84" s="1438"/>
      <c r="L84" s="1438"/>
      <c r="M84" s="1437">
        <f t="shared" si="4"/>
        <v>0</v>
      </c>
      <c r="N84" s="1437">
        <f t="shared" si="5"/>
        <v>6.1446274999999995</v>
      </c>
    </row>
    <row r="85" spans="1:14" ht="42" customHeight="1" outlineLevel="1">
      <c r="A85" s="1499">
        <v>5</v>
      </c>
      <c r="B85" s="1512" t="s">
        <v>1750</v>
      </c>
      <c r="C85" s="1511" t="s">
        <v>1712</v>
      </c>
      <c r="D85" s="1334" t="s">
        <v>1566</v>
      </c>
      <c r="E85" s="1430">
        <v>0</v>
      </c>
      <c r="F85" s="1437">
        <v>1.72</v>
      </c>
      <c r="G85" s="1437">
        <v>0</v>
      </c>
      <c r="H85" s="1437">
        <f t="shared" si="3"/>
        <v>1.72</v>
      </c>
      <c r="I85" s="1437">
        <v>0.98966246000000002</v>
      </c>
      <c r="J85" s="1437">
        <v>0</v>
      </c>
      <c r="K85" s="1438"/>
      <c r="L85" s="1438"/>
      <c r="M85" s="1437">
        <f t="shared" si="4"/>
        <v>0</v>
      </c>
      <c r="N85" s="1437">
        <f t="shared" si="5"/>
        <v>2.7096624600000001</v>
      </c>
    </row>
    <row r="86" spans="1:14" ht="21" customHeight="1" outlineLevel="1">
      <c r="A86" s="1499">
        <v>6</v>
      </c>
      <c r="B86" s="1512" t="s">
        <v>1751</v>
      </c>
      <c r="C86" s="1511" t="s">
        <v>1712</v>
      </c>
      <c r="D86" s="1334" t="s">
        <v>1566</v>
      </c>
      <c r="E86" s="1430">
        <v>0</v>
      </c>
      <c r="F86" s="1437">
        <v>7.9099999999999993</v>
      </c>
      <c r="G86" s="1437">
        <v>0</v>
      </c>
      <c r="H86" s="1437">
        <f t="shared" si="3"/>
        <v>7.9099999999999993</v>
      </c>
      <c r="I86" s="1437">
        <v>1.50482922</v>
      </c>
      <c r="J86" s="1437">
        <v>0</v>
      </c>
      <c r="K86" s="1438"/>
      <c r="L86" s="1438"/>
      <c r="M86" s="1437">
        <f t="shared" si="4"/>
        <v>0</v>
      </c>
      <c r="N86" s="1437">
        <f t="shared" si="5"/>
        <v>9.4148292199999997</v>
      </c>
    </row>
    <row r="87" spans="1:14" ht="29" outlineLevel="1">
      <c r="A87" s="1499">
        <v>7</v>
      </c>
      <c r="B87" s="1512" t="s">
        <v>1752</v>
      </c>
      <c r="C87" s="1511" t="s">
        <v>1712</v>
      </c>
      <c r="D87" s="1334" t="s">
        <v>1566</v>
      </c>
      <c r="E87" s="1430">
        <v>0</v>
      </c>
      <c r="F87" s="1437">
        <v>1</v>
      </c>
      <c r="G87" s="1437">
        <v>0</v>
      </c>
      <c r="H87" s="1437">
        <f t="shared" si="3"/>
        <v>1</v>
      </c>
      <c r="I87" s="1437">
        <v>0.16268424000000001</v>
      </c>
      <c r="J87" s="1437">
        <v>0</v>
      </c>
      <c r="K87" s="1438"/>
      <c r="L87" s="1438"/>
      <c r="M87" s="1437">
        <f t="shared" si="4"/>
        <v>0</v>
      </c>
      <c r="N87" s="1437">
        <f t="shared" si="5"/>
        <v>1.1626842399999999</v>
      </c>
    </row>
    <row r="88" spans="1:14" ht="30" customHeight="1" outlineLevel="1">
      <c r="A88" s="1493">
        <v>0</v>
      </c>
      <c r="B88" s="1494" t="s">
        <v>1753</v>
      </c>
      <c r="C88" s="1495">
        <v>0</v>
      </c>
      <c r="D88" s="1341" t="s">
        <v>1566</v>
      </c>
      <c r="E88" s="1496">
        <v>0</v>
      </c>
      <c r="F88" s="1437">
        <v>0</v>
      </c>
      <c r="G88" s="1437">
        <v>0</v>
      </c>
      <c r="H88" s="1437">
        <f t="shared" si="3"/>
        <v>0</v>
      </c>
      <c r="I88" s="1437">
        <v>0</v>
      </c>
      <c r="J88" s="1437">
        <v>0</v>
      </c>
      <c r="K88" s="1438"/>
      <c r="L88" s="1438"/>
      <c r="M88" s="1437">
        <f t="shared" si="4"/>
        <v>0</v>
      </c>
      <c r="N88" s="1437">
        <f t="shared" si="5"/>
        <v>0</v>
      </c>
    </row>
    <row r="89" spans="1:14" ht="15.5" outlineLevel="1">
      <c r="A89" s="1491">
        <v>0</v>
      </c>
      <c r="B89" s="1377" t="s">
        <v>1754</v>
      </c>
      <c r="C89" s="1492" t="s">
        <v>1562</v>
      </c>
      <c r="D89" s="1334" t="s">
        <v>1566</v>
      </c>
      <c r="E89" s="1378">
        <v>0</v>
      </c>
      <c r="F89" s="1437">
        <v>0</v>
      </c>
      <c r="G89" s="1437">
        <v>0</v>
      </c>
      <c r="H89" s="1437">
        <f t="shared" si="3"/>
        <v>0</v>
      </c>
      <c r="I89" s="1437">
        <v>0</v>
      </c>
      <c r="J89" s="1437">
        <v>0</v>
      </c>
      <c r="K89" s="1438"/>
      <c r="L89" s="1438"/>
      <c r="M89" s="1437">
        <f t="shared" si="4"/>
        <v>0</v>
      </c>
      <c r="N89" s="1437">
        <f t="shared" si="5"/>
        <v>0</v>
      </c>
    </row>
    <row r="90" spans="1:14" ht="31" outlineLevel="1">
      <c r="A90" s="1491">
        <v>1</v>
      </c>
      <c r="B90" s="1513" t="s">
        <v>1756</v>
      </c>
      <c r="C90" s="1492" t="s">
        <v>1562</v>
      </c>
      <c r="D90" s="1514" t="s">
        <v>1566</v>
      </c>
      <c r="E90" s="1382">
        <v>0.5</v>
      </c>
      <c r="F90" s="1437">
        <v>0.49655460000000001</v>
      </c>
      <c r="G90" s="1437">
        <v>0.49655460000000001</v>
      </c>
      <c r="H90" s="1437">
        <f t="shared" si="3"/>
        <v>0</v>
      </c>
      <c r="I90" s="1437">
        <v>0</v>
      </c>
      <c r="J90" s="1437">
        <v>0</v>
      </c>
      <c r="K90" s="1438"/>
      <c r="L90" s="1438"/>
      <c r="M90" s="1437">
        <f t="shared" si="4"/>
        <v>0</v>
      </c>
      <c r="N90" s="1437">
        <f t="shared" si="5"/>
        <v>0</v>
      </c>
    </row>
    <row r="91" spans="1:14" ht="31" outlineLevel="1">
      <c r="A91" s="1491">
        <v>2</v>
      </c>
      <c r="B91" s="1513" t="s">
        <v>1759</v>
      </c>
      <c r="C91" s="1492" t="s">
        <v>1562</v>
      </c>
      <c r="D91" s="1334" t="s">
        <v>1566</v>
      </c>
      <c r="E91" s="1382">
        <v>1.23</v>
      </c>
      <c r="F91" s="1437">
        <v>0.29846889999999998</v>
      </c>
      <c r="G91" s="1437">
        <v>0.29846889999999998</v>
      </c>
      <c r="H91" s="1437">
        <f t="shared" si="3"/>
        <v>0</v>
      </c>
      <c r="I91" s="1437">
        <v>0</v>
      </c>
      <c r="J91" s="1437">
        <v>0</v>
      </c>
      <c r="K91" s="1438"/>
      <c r="L91" s="1438"/>
      <c r="M91" s="1437">
        <f t="shared" si="4"/>
        <v>0</v>
      </c>
      <c r="N91" s="1437">
        <f t="shared" si="5"/>
        <v>0</v>
      </c>
    </row>
    <row r="92" spans="1:14" ht="31" outlineLevel="1">
      <c r="A92" s="1491">
        <v>3</v>
      </c>
      <c r="B92" s="1513" t="s">
        <v>1763</v>
      </c>
      <c r="C92" s="1492" t="s">
        <v>1562</v>
      </c>
      <c r="D92" s="1514" t="s">
        <v>1566</v>
      </c>
      <c r="E92" s="1382">
        <v>0.39</v>
      </c>
      <c r="F92" s="1437">
        <v>0.36579919999999999</v>
      </c>
      <c r="G92" s="1437">
        <v>0.36579919999999999</v>
      </c>
      <c r="H92" s="1437">
        <f t="shared" si="3"/>
        <v>0</v>
      </c>
      <c r="I92" s="1437">
        <v>0</v>
      </c>
      <c r="J92" s="1437">
        <v>0</v>
      </c>
      <c r="K92" s="1438"/>
      <c r="L92" s="1438"/>
      <c r="M92" s="1437">
        <f t="shared" si="4"/>
        <v>0</v>
      </c>
      <c r="N92" s="1437">
        <f t="shared" si="5"/>
        <v>0</v>
      </c>
    </row>
    <row r="93" spans="1:14" ht="31" outlineLevel="1">
      <c r="A93" s="1491">
        <v>4</v>
      </c>
      <c r="B93" s="1513" t="s">
        <v>1766</v>
      </c>
      <c r="C93" s="1492" t="s">
        <v>1562</v>
      </c>
      <c r="D93" s="1334" t="s">
        <v>1566</v>
      </c>
      <c r="E93" s="1382">
        <v>1</v>
      </c>
      <c r="F93" s="1437">
        <v>0</v>
      </c>
      <c r="G93" s="1437">
        <v>0</v>
      </c>
      <c r="H93" s="1437">
        <f t="shared" si="3"/>
        <v>0</v>
      </c>
      <c r="I93" s="1437">
        <v>0</v>
      </c>
      <c r="J93" s="1437">
        <v>0</v>
      </c>
      <c r="K93" s="1438"/>
      <c r="L93" s="1438"/>
      <c r="M93" s="1437">
        <f t="shared" si="4"/>
        <v>0</v>
      </c>
      <c r="N93" s="1437">
        <f t="shared" si="5"/>
        <v>0</v>
      </c>
    </row>
    <row r="94" spans="1:14" ht="31" outlineLevel="1">
      <c r="A94" s="1491">
        <v>5</v>
      </c>
      <c r="B94" s="1513" t="s">
        <v>1768</v>
      </c>
      <c r="C94" s="1492" t="s">
        <v>1562</v>
      </c>
      <c r="D94" s="1334" t="s">
        <v>1566</v>
      </c>
      <c r="E94" s="1382">
        <v>0.93</v>
      </c>
      <c r="F94" s="1437">
        <v>0</v>
      </c>
      <c r="G94" s="1437">
        <v>0</v>
      </c>
      <c r="H94" s="1437">
        <f t="shared" si="3"/>
        <v>0</v>
      </c>
      <c r="I94" s="1437">
        <v>0</v>
      </c>
      <c r="J94" s="1437">
        <v>0</v>
      </c>
      <c r="K94" s="1438"/>
      <c r="L94" s="1438"/>
      <c r="M94" s="1437">
        <f t="shared" si="4"/>
        <v>0</v>
      </c>
      <c r="N94" s="1437">
        <f t="shared" si="5"/>
        <v>0</v>
      </c>
    </row>
    <row r="95" spans="1:14" ht="31" outlineLevel="1">
      <c r="A95" s="1491">
        <v>6</v>
      </c>
      <c r="B95" s="1513" t="s">
        <v>1769</v>
      </c>
      <c r="C95" s="1492" t="s">
        <v>1562</v>
      </c>
      <c r="D95" s="1334" t="s">
        <v>1566</v>
      </c>
      <c r="E95" s="1382">
        <v>0.34</v>
      </c>
      <c r="F95" s="1437">
        <v>0.347356836</v>
      </c>
      <c r="G95" s="1437">
        <v>0.347356836</v>
      </c>
      <c r="H95" s="1437">
        <f t="shared" si="3"/>
        <v>0</v>
      </c>
      <c r="I95" s="1437">
        <v>0</v>
      </c>
      <c r="J95" s="1437">
        <v>0</v>
      </c>
      <c r="K95" s="1438"/>
      <c r="L95" s="1438"/>
      <c r="M95" s="1437">
        <f t="shared" si="4"/>
        <v>0</v>
      </c>
      <c r="N95" s="1437">
        <f t="shared" si="5"/>
        <v>0</v>
      </c>
    </row>
    <row r="96" spans="1:14" ht="31" outlineLevel="1">
      <c r="A96" s="1491">
        <v>7</v>
      </c>
      <c r="B96" s="1515" t="s">
        <v>1771</v>
      </c>
      <c r="C96" s="1492" t="s">
        <v>1562</v>
      </c>
      <c r="D96" s="1334" t="s">
        <v>1566</v>
      </c>
      <c r="E96" s="1382">
        <v>1.65</v>
      </c>
      <c r="F96" s="1437">
        <v>0.39444410000000002</v>
      </c>
      <c r="G96" s="1437">
        <v>0.39444410000000002</v>
      </c>
      <c r="H96" s="1437">
        <f t="shared" si="3"/>
        <v>0</v>
      </c>
      <c r="I96" s="1437">
        <v>0</v>
      </c>
      <c r="J96" s="1437">
        <v>0</v>
      </c>
      <c r="K96" s="1438"/>
      <c r="L96" s="1438"/>
      <c r="M96" s="1437">
        <f t="shared" si="4"/>
        <v>0</v>
      </c>
      <c r="N96" s="1437">
        <f t="shared" si="5"/>
        <v>0</v>
      </c>
    </row>
    <row r="97" spans="1:14" ht="15.5" outlineLevel="1">
      <c r="A97" s="1491">
        <v>9</v>
      </c>
      <c r="B97" s="1377" t="s">
        <v>1774</v>
      </c>
      <c r="C97" s="1492" t="s">
        <v>1562</v>
      </c>
      <c r="D97" s="1334" t="s">
        <v>1566</v>
      </c>
      <c r="E97" s="1378">
        <v>1</v>
      </c>
      <c r="F97" s="1437">
        <v>0.99752063400000002</v>
      </c>
      <c r="G97" s="1437">
        <v>0.99752063400000002</v>
      </c>
      <c r="H97" s="1437">
        <f t="shared" si="3"/>
        <v>0</v>
      </c>
      <c r="I97" s="1437">
        <v>0</v>
      </c>
      <c r="J97" s="1437">
        <v>0</v>
      </c>
      <c r="K97" s="1438"/>
      <c r="L97" s="1438"/>
      <c r="M97" s="1437">
        <f t="shared" si="4"/>
        <v>0</v>
      </c>
      <c r="N97" s="1437">
        <f t="shared" si="5"/>
        <v>0</v>
      </c>
    </row>
    <row r="98" spans="1:14" ht="15.5" outlineLevel="1">
      <c r="A98" s="1491">
        <v>10</v>
      </c>
      <c r="B98" s="1377" t="s">
        <v>1777</v>
      </c>
      <c r="C98" s="1492" t="s">
        <v>1562</v>
      </c>
      <c r="D98" s="1334" t="s">
        <v>1566</v>
      </c>
      <c r="E98" s="1384">
        <v>0.75</v>
      </c>
      <c r="F98" s="1437">
        <v>0.74556261000000001</v>
      </c>
      <c r="G98" s="1437">
        <v>0.74556261000000001</v>
      </c>
      <c r="H98" s="1437">
        <f t="shared" si="3"/>
        <v>0</v>
      </c>
      <c r="I98" s="1437">
        <v>0</v>
      </c>
      <c r="J98" s="1437">
        <v>0</v>
      </c>
      <c r="K98" s="1438"/>
      <c r="L98" s="1438"/>
      <c r="M98" s="1437">
        <f t="shared" si="4"/>
        <v>0</v>
      </c>
      <c r="N98" s="1437">
        <f t="shared" si="5"/>
        <v>0</v>
      </c>
    </row>
    <row r="99" spans="1:14" ht="15.5" outlineLevel="1">
      <c r="A99" s="1516">
        <v>11</v>
      </c>
      <c r="B99" s="1385" t="s">
        <v>1779</v>
      </c>
      <c r="C99" s="1492" t="s">
        <v>1562</v>
      </c>
      <c r="D99" s="1514" t="s">
        <v>1566</v>
      </c>
      <c r="E99" s="1384">
        <v>0.5</v>
      </c>
      <c r="F99" s="1437">
        <v>0.45635233799999997</v>
      </c>
      <c r="G99" s="1437">
        <v>0.45635233799999997</v>
      </c>
      <c r="H99" s="1437">
        <f t="shared" si="3"/>
        <v>0</v>
      </c>
      <c r="I99" s="1437">
        <v>0</v>
      </c>
      <c r="J99" s="1437">
        <v>0</v>
      </c>
      <c r="K99" s="1438"/>
      <c r="L99" s="1438"/>
      <c r="M99" s="1437">
        <f t="shared" si="4"/>
        <v>0</v>
      </c>
      <c r="N99" s="1437">
        <f t="shared" si="5"/>
        <v>0</v>
      </c>
    </row>
    <row r="100" spans="1:14" ht="15.5" outlineLevel="1">
      <c r="A100" s="1491">
        <v>12</v>
      </c>
      <c r="B100" s="1386" t="s">
        <v>1782</v>
      </c>
      <c r="C100" s="1492" t="s">
        <v>1562</v>
      </c>
      <c r="D100" s="1334" t="s">
        <v>1566</v>
      </c>
      <c r="E100" s="1384">
        <v>0.2</v>
      </c>
      <c r="F100" s="1437">
        <v>0.18583111099999999</v>
      </c>
      <c r="G100" s="1437">
        <v>0.18583111099999999</v>
      </c>
      <c r="H100" s="1437">
        <f t="shared" si="3"/>
        <v>0</v>
      </c>
      <c r="I100" s="1437">
        <v>0</v>
      </c>
      <c r="J100" s="1437">
        <v>0</v>
      </c>
      <c r="K100" s="1438"/>
      <c r="L100" s="1438"/>
      <c r="M100" s="1437">
        <f t="shared" si="4"/>
        <v>0</v>
      </c>
      <c r="N100" s="1437">
        <f t="shared" si="5"/>
        <v>0</v>
      </c>
    </row>
    <row r="101" spans="1:14" ht="15.5" outlineLevel="1">
      <c r="A101" s="1491">
        <v>13</v>
      </c>
      <c r="B101" s="1385" t="s">
        <v>1785</v>
      </c>
      <c r="C101" s="1492" t="s">
        <v>1562</v>
      </c>
      <c r="D101" s="1334" t="s">
        <v>1566</v>
      </c>
      <c r="E101" s="1384">
        <v>0.5</v>
      </c>
      <c r="F101" s="1437">
        <v>0</v>
      </c>
      <c r="G101" s="1437">
        <v>0</v>
      </c>
      <c r="H101" s="1437">
        <f t="shared" si="3"/>
        <v>0</v>
      </c>
      <c r="I101" s="1437">
        <v>0</v>
      </c>
      <c r="J101" s="1437">
        <v>0</v>
      </c>
      <c r="K101" s="1438"/>
      <c r="L101" s="1438"/>
      <c r="M101" s="1437">
        <f t="shared" si="4"/>
        <v>0</v>
      </c>
      <c r="N101" s="1437">
        <f t="shared" si="5"/>
        <v>0</v>
      </c>
    </row>
    <row r="102" spans="1:14" ht="46.5" outlineLevel="1">
      <c r="A102" s="1491">
        <v>14</v>
      </c>
      <c r="B102" s="1386" t="s">
        <v>1788</v>
      </c>
      <c r="C102" s="1492" t="s">
        <v>1562</v>
      </c>
      <c r="D102" s="1334" t="s">
        <v>1566</v>
      </c>
      <c r="E102" s="1378">
        <v>0.7</v>
      </c>
      <c r="F102" s="1437">
        <v>0.67356391299999996</v>
      </c>
      <c r="G102" s="1437">
        <v>0.67356391299999996</v>
      </c>
      <c r="H102" s="1437">
        <f t="shared" si="3"/>
        <v>0</v>
      </c>
      <c r="I102" s="1437">
        <v>0</v>
      </c>
      <c r="J102" s="1437">
        <v>0</v>
      </c>
      <c r="K102" s="1438"/>
      <c r="L102" s="1438"/>
      <c r="M102" s="1437">
        <f t="shared" si="4"/>
        <v>0</v>
      </c>
      <c r="N102" s="1437">
        <f t="shared" si="5"/>
        <v>0</v>
      </c>
    </row>
    <row r="103" spans="1:14" ht="46.5" outlineLevel="1">
      <c r="A103" s="1517">
        <v>15</v>
      </c>
      <c r="B103" s="1518" t="s">
        <v>1790</v>
      </c>
      <c r="C103" s="1492" t="s">
        <v>1562</v>
      </c>
      <c r="D103" s="1334" t="s">
        <v>1566</v>
      </c>
      <c r="E103" s="1378">
        <v>3</v>
      </c>
      <c r="F103" s="1437">
        <v>1.0266339840000001</v>
      </c>
      <c r="G103" s="1437">
        <v>1.0266339840000001</v>
      </c>
      <c r="H103" s="1437">
        <f t="shared" si="3"/>
        <v>0</v>
      </c>
      <c r="I103" s="1437">
        <v>0</v>
      </c>
      <c r="J103" s="1437">
        <v>0</v>
      </c>
      <c r="K103" s="1438"/>
      <c r="L103" s="1438"/>
      <c r="M103" s="1437">
        <f t="shared" si="4"/>
        <v>0</v>
      </c>
      <c r="N103" s="1437">
        <f t="shared" si="5"/>
        <v>0</v>
      </c>
    </row>
    <row r="104" spans="1:14" ht="15.5" outlineLevel="1">
      <c r="A104" s="1519">
        <v>0</v>
      </c>
      <c r="B104" s="1520">
        <v>0</v>
      </c>
      <c r="C104" s="1492" t="s">
        <v>1562</v>
      </c>
      <c r="D104" s="1334" t="s">
        <v>1566</v>
      </c>
      <c r="E104" s="1378">
        <v>0</v>
      </c>
      <c r="F104" s="1437">
        <v>1.8371300820000001</v>
      </c>
      <c r="G104" s="1437">
        <v>1.8371300820000001</v>
      </c>
      <c r="H104" s="1437">
        <f t="shared" si="3"/>
        <v>0</v>
      </c>
      <c r="I104" s="1437">
        <v>0</v>
      </c>
      <c r="J104" s="1437">
        <v>0</v>
      </c>
      <c r="K104" s="1438"/>
      <c r="L104" s="1438"/>
      <c r="M104" s="1437">
        <f t="shared" si="4"/>
        <v>0</v>
      </c>
      <c r="N104" s="1437">
        <f t="shared" si="5"/>
        <v>0</v>
      </c>
    </row>
    <row r="105" spans="1:14" ht="15.5" outlineLevel="1">
      <c r="A105" s="1491">
        <v>16</v>
      </c>
      <c r="B105" s="1513" t="s">
        <v>1796</v>
      </c>
      <c r="C105" s="1492" t="s">
        <v>1562</v>
      </c>
      <c r="D105" s="1334" t="s">
        <v>1566</v>
      </c>
      <c r="E105" s="1521">
        <v>2.5</v>
      </c>
      <c r="F105" s="1437">
        <v>2.4383865259999999</v>
      </c>
      <c r="G105" s="1437">
        <v>2.4383865259999999</v>
      </c>
      <c r="H105" s="1437">
        <f t="shared" si="3"/>
        <v>0</v>
      </c>
      <c r="I105" s="1437">
        <v>0</v>
      </c>
      <c r="J105" s="1437">
        <v>0</v>
      </c>
      <c r="K105" s="1438"/>
      <c r="L105" s="1438"/>
      <c r="M105" s="1437">
        <f t="shared" si="4"/>
        <v>0</v>
      </c>
      <c r="N105" s="1437">
        <f t="shared" si="5"/>
        <v>0</v>
      </c>
    </row>
    <row r="106" spans="1:14" ht="15.5" outlineLevel="1">
      <c r="A106" s="1491">
        <v>17</v>
      </c>
      <c r="B106" s="1513" t="s">
        <v>1799</v>
      </c>
      <c r="C106" s="1492" t="s">
        <v>1562</v>
      </c>
      <c r="D106" s="1334" t="s">
        <v>1566</v>
      </c>
      <c r="E106" s="1521">
        <v>3.7</v>
      </c>
      <c r="F106" s="1437">
        <v>3.8434434319999999</v>
      </c>
      <c r="G106" s="1437">
        <v>3.8434434319999999</v>
      </c>
      <c r="H106" s="1437">
        <f t="shared" si="3"/>
        <v>0</v>
      </c>
      <c r="I106" s="1437">
        <v>0</v>
      </c>
      <c r="J106" s="1437">
        <v>0</v>
      </c>
      <c r="K106" s="1438"/>
      <c r="L106" s="1438"/>
      <c r="M106" s="1437">
        <f t="shared" si="4"/>
        <v>0</v>
      </c>
      <c r="N106" s="1437">
        <f t="shared" si="5"/>
        <v>0</v>
      </c>
    </row>
    <row r="107" spans="1:14" ht="15.5" outlineLevel="1">
      <c r="A107" s="1491">
        <v>18</v>
      </c>
      <c r="B107" s="1513" t="s">
        <v>1802</v>
      </c>
      <c r="C107" s="1492" t="s">
        <v>1562</v>
      </c>
      <c r="D107" s="1334" t="s">
        <v>1566</v>
      </c>
      <c r="E107" s="1521">
        <v>20</v>
      </c>
      <c r="F107" s="1437">
        <v>12.904708299999999</v>
      </c>
      <c r="G107" s="1437">
        <v>0</v>
      </c>
      <c r="H107" s="1437">
        <f t="shared" si="3"/>
        <v>12.904708299999999</v>
      </c>
      <c r="I107" s="1437">
        <v>5</v>
      </c>
      <c r="J107" s="1437">
        <v>0</v>
      </c>
      <c r="K107" s="1438"/>
      <c r="L107" s="1438"/>
      <c r="M107" s="1437">
        <f t="shared" si="4"/>
        <v>0</v>
      </c>
      <c r="N107" s="1437">
        <f t="shared" si="5"/>
        <v>17.904708299999999</v>
      </c>
    </row>
    <row r="108" spans="1:14" ht="15.5" outlineLevel="1">
      <c r="A108" s="1499">
        <v>0</v>
      </c>
      <c r="B108" s="1522" t="s">
        <v>414</v>
      </c>
      <c r="C108" s="1492">
        <v>0</v>
      </c>
      <c r="D108" s="1334" t="s">
        <v>1566</v>
      </c>
      <c r="E108" s="1521">
        <v>0</v>
      </c>
      <c r="F108" s="1437">
        <v>0</v>
      </c>
      <c r="G108" s="1437">
        <v>0</v>
      </c>
      <c r="H108" s="1437">
        <f t="shared" si="3"/>
        <v>0</v>
      </c>
      <c r="I108" s="1437">
        <v>0</v>
      </c>
      <c r="J108" s="1437">
        <v>0</v>
      </c>
      <c r="K108" s="1438"/>
      <c r="L108" s="1438"/>
      <c r="M108" s="1437">
        <f t="shared" si="4"/>
        <v>0</v>
      </c>
      <c r="N108" s="1437">
        <f t="shared" si="5"/>
        <v>0</v>
      </c>
    </row>
    <row r="109" spans="1:14" ht="15.5" outlineLevel="1">
      <c r="A109" s="1491">
        <v>19</v>
      </c>
      <c r="B109" s="1377" t="s">
        <v>1807</v>
      </c>
      <c r="C109" s="1492" t="s">
        <v>1562</v>
      </c>
      <c r="D109" s="1334" t="s">
        <v>1566</v>
      </c>
      <c r="E109" s="1378">
        <v>2</v>
      </c>
      <c r="F109" s="1437">
        <v>0</v>
      </c>
      <c r="G109" s="1437">
        <v>0</v>
      </c>
      <c r="H109" s="1437">
        <f t="shared" si="3"/>
        <v>0</v>
      </c>
      <c r="I109" s="1437">
        <v>0</v>
      </c>
      <c r="J109" s="1437">
        <v>0</v>
      </c>
      <c r="K109" s="1438"/>
      <c r="L109" s="1438"/>
      <c r="M109" s="1437">
        <f t="shared" si="4"/>
        <v>0</v>
      </c>
      <c r="N109" s="1437">
        <f t="shared" si="5"/>
        <v>0</v>
      </c>
    </row>
    <row r="110" spans="1:14" ht="31" outlineLevel="1">
      <c r="A110" s="1491" t="s">
        <v>1811</v>
      </c>
      <c r="B110" s="1523" t="s">
        <v>1812</v>
      </c>
      <c r="C110" s="1492" t="s">
        <v>1562</v>
      </c>
      <c r="D110" s="1514" t="s">
        <v>1566</v>
      </c>
      <c r="E110" s="1394">
        <v>1</v>
      </c>
      <c r="F110" s="1437">
        <v>0.144170512</v>
      </c>
      <c r="G110" s="1437">
        <v>0.144170512</v>
      </c>
      <c r="H110" s="1437">
        <f t="shared" si="3"/>
        <v>0</v>
      </c>
      <c r="I110" s="1437">
        <v>0</v>
      </c>
      <c r="J110" s="1437">
        <v>0</v>
      </c>
      <c r="K110" s="1438"/>
      <c r="L110" s="1438"/>
      <c r="M110" s="1437">
        <f t="shared" si="4"/>
        <v>0</v>
      </c>
      <c r="N110" s="1437">
        <f t="shared" si="5"/>
        <v>0</v>
      </c>
    </row>
    <row r="111" spans="1:14" ht="31" outlineLevel="1">
      <c r="A111" s="1491">
        <v>21</v>
      </c>
      <c r="B111" s="1515" t="s">
        <v>1815</v>
      </c>
      <c r="C111" s="1492" t="s">
        <v>1562</v>
      </c>
      <c r="D111" s="1334" t="s">
        <v>1566</v>
      </c>
      <c r="E111" s="1524">
        <v>2</v>
      </c>
      <c r="F111" s="1437">
        <v>2.0431699999999999</v>
      </c>
      <c r="G111" s="1437">
        <v>2.0431699999999999</v>
      </c>
      <c r="H111" s="1437">
        <f t="shared" si="3"/>
        <v>0</v>
      </c>
      <c r="I111" s="1437">
        <v>0</v>
      </c>
      <c r="J111" s="1437">
        <v>0</v>
      </c>
      <c r="K111" s="1438"/>
      <c r="L111" s="1438"/>
      <c r="M111" s="1437">
        <f t="shared" si="4"/>
        <v>0</v>
      </c>
      <c r="N111" s="1437">
        <f t="shared" si="5"/>
        <v>0</v>
      </c>
    </row>
    <row r="112" spans="1:14" ht="15.5" outlineLevel="1">
      <c r="A112" s="1491">
        <v>22</v>
      </c>
      <c r="B112" s="1377" t="s">
        <v>1818</v>
      </c>
      <c r="C112" s="1492" t="s">
        <v>1562</v>
      </c>
      <c r="D112" s="1334" t="s">
        <v>1566</v>
      </c>
      <c r="E112" s="1384">
        <v>1.5</v>
      </c>
      <c r="F112" s="1437">
        <v>0</v>
      </c>
      <c r="G112" s="1437">
        <v>0</v>
      </c>
      <c r="H112" s="1437">
        <f t="shared" si="3"/>
        <v>0</v>
      </c>
      <c r="I112" s="1437">
        <v>0</v>
      </c>
      <c r="J112" s="1437">
        <v>0</v>
      </c>
      <c r="K112" s="1438"/>
      <c r="L112" s="1438"/>
      <c r="M112" s="1437">
        <f t="shared" si="4"/>
        <v>0</v>
      </c>
      <c r="N112" s="1437">
        <f t="shared" si="5"/>
        <v>0</v>
      </c>
    </row>
    <row r="113" spans="1:16" ht="15.5" outlineLevel="1">
      <c r="A113" s="1491">
        <v>23</v>
      </c>
      <c r="B113" s="1377" t="s">
        <v>1820</v>
      </c>
      <c r="C113" s="1492" t="s">
        <v>1562</v>
      </c>
      <c r="D113" s="1334" t="s">
        <v>1566</v>
      </c>
      <c r="E113" s="1384">
        <v>2.5</v>
      </c>
      <c r="F113" s="1437">
        <v>0</v>
      </c>
      <c r="G113" s="1437">
        <v>0</v>
      </c>
      <c r="H113" s="1437">
        <f t="shared" si="3"/>
        <v>0</v>
      </c>
      <c r="I113" s="1437">
        <v>0</v>
      </c>
      <c r="J113" s="1437">
        <v>0</v>
      </c>
      <c r="K113" s="1438"/>
      <c r="L113" s="1438"/>
      <c r="M113" s="1437">
        <f t="shared" si="4"/>
        <v>0</v>
      </c>
      <c r="N113" s="1437">
        <f t="shared" si="5"/>
        <v>0</v>
      </c>
    </row>
    <row r="114" spans="1:16" outlineLevel="1">
      <c r="A114" s="1491">
        <v>24</v>
      </c>
      <c r="B114" s="1397" t="s">
        <v>1822</v>
      </c>
      <c r="C114" s="1492" t="s">
        <v>1562</v>
      </c>
      <c r="D114" s="1514" t="s">
        <v>1566</v>
      </c>
      <c r="E114" s="1398">
        <v>0.75</v>
      </c>
      <c r="F114" s="1437">
        <v>0</v>
      </c>
      <c r="G114" s="1437">
        <v>0</v>
      </c>
      <c r="H114" s="1437">
        <f t="shared" si="3"/>
        <v>0</v>
      </c>
      <c r="I114" s="1437">
        <v>0</v>
      </c>
      <c r="J114" s="1437">
        <v>0</v>
      </c>
      <c r="K114" s="1438"/>
      <c r="L114" s="1438"/>
      <c r="M114" s="1437">
        <f t="shared" si="4"/>
        <v>0</v>
      </c>
      <c r="N114" s="1437">
        <f t="shared" si="5"/>
        <v>0</v>
      </c>
    </row>
    <row r="115" spans="1:16" outlineLevel="1">
      <c r="A115" s="1491">
        <v>25</v>
      </c>
      <c r="B115" s="1399" t="s">
        <v>1823</v>
      </c>
      <c r="C115" s="1492" t="s">
        <v>1562</v>
      </c>
      <c r="D115" s="1334" t="s">
        <v>1566</v>
      </c>
      <c r="E115" s="1400">
        <v>0.5</v>
      </c>
      <c r="F115" s="1437">
        <v>0</v>
      </c>
      <c r="G115" s="1437">
        <v>0</v>
      </c>
      <c r="H115" s="1437">
        <f t="shared" si="3"/>
        <v>0</v>
      </c>
      <c r="I115" s="1437">
        <v>0</v>
      </c>
      <c r="J115" s="1437">
        <v>0</v>
      </c>
      <c r="K115" s="1438"/>
      <c r="L115" s="1438"/>
      <c r="M115" s="1437">
        <f t="shared" si="4"/>
        <v>0</v>
      </c>
      <c r="N115" s="1437">
        <f t="shared" si="5"/>
        <v>0</v>
      </c>
    </row>
    <row r="116" spans="1:16" outlineLevel="1">
      <c r="A116" s="1491">
        <v>26</v>
      </c>
      <c r="B116" s="1399" t="s">
        <v>1824</v>
      </c>
      <c r="C116" s="1492" t="s">
        <v>1562</v>
      </c>
      <c r="D116" s="1334" t="s">
        <v>1566</v>
      </c>
      <c r="E116" s="1400">
        <v>1.25</v>
      </c>
      <c r="F116" s="1437">
        <v>0</v>
      </c>
      <c r="G116" s="1437">
        <v>0</v>
      </c>
      <c r="H116" s="1437">
        <f t="shared" si="3"/>
        <v>0</v>
      </c>
      <c r="I116" s="1437">
        <v>0</v>
      </c>
      <c r="J116" s="1437">
        <v>0</v>
      </c>
      <c r="K116" s="1438"/>
      <c r="L116" s="1438"/>
      <c r="M116" s="1437">
        <f t="shared" si="4"/>
        <v>0</v>
      </c>
      <c r="N116" s="1437">
        <f t="shared" si="5"/>
        <v>0</v>
      </c>
    </row>
    <row r="117" spans="1:16" ht="15.5" outlineLevel="1">
      <c r="A117" s="1491">
        <v>27</v>
      </c>
      <c r="B117" s="1385" t="s">
        <v>1825</v>
      </c>
      <c r="C117" s="1492" t="s">
        <v>1562</v>
      </c>
      <c r="D117" s="1334" t="s">
        <v>1566</v>
      </c>
      <c r="E117" s="1378">
        <v>1</v>
      </c>
      <c r="F117" s="1437">
        <v>0.90702717499999985</v>
      </c>
      <c r="G117" s="1437">
        <v>0.90702717499999996</v>
      </c>
      <c r="H117" s="1437">
        <f t="shared" si="3"/>
        <v>0</v>
      </c>
      <c r="I117" s="1437">
        <v>0</v>
      </c>
      <c r="J117" s="1437">
        <v>0</v>
      </c>
      <c r="K117" s="1438"/>
      <c r="L117" s="1438"/>
      <c r="M117" s="1437">
        <f t="shared" si="4"/>
        <v>0</v>
      </c>
      <c r="N117" s="1437">
        <f t="shared" si="5"/>
        <v>0</v>
      </c>
    </row>
    <row r="118" spans="1:16" ht="15.5" outlineLevel="1">
      <c r="A118" s="1491">
        <v>28</v>
      </c>
      <c r="B118" s="1377" t="s">
        <v>1827</v>
      </c>
      <c r="C118" s="1492" t="s">
        <v>1562</v>
      </c>
      <c r="D118" s="1334" t="s">
        <v>1566</v>
      </c>
      <c r="E118" s="1401">
        <v>17</v>
      </c>
      <c r="F118" s="1437">
        <v>0</v>
      </c>
      <c r="G118" s="1437">
        <v>0</v>
      </c>
      <c r="H118" s="1437">
        <f t="shared" si="3"/>
        <v>0</v>
      </c>
      <c r="I118" s="1437">
        <v>0</v>
      </c>
      <c r="J118" s="1437">
        <v>0</v>
      </c>
      <c r="K118" s="1438"/>
      <c r="L118" s="1438"/>
      <c r="M118" s="1437">
        <f t="shared" si="4"/>
        <v>0</v>
      </c>
      <c r="N118" s="1437">
        <f t="shared" si="5"/>
        <v>0</v>
      </c>
    </row>
    <row r="119" spans="1:16" ht="15.5" outlineLevel="1">
      <c r="A119" s="1491">
        <v>29</v>
      </c>
      <c r="B119" s="1525" t="s">
        <v>1829</v>
      </c>
      <c r="C119" s="1492" t="s">
        <v>1562</v>
      </c>
      <c r="D119" s="1514" t="s">
        <v>1566</v>
      </c>
      <c r="E119" s="1498">
        <v>0.5</v>
      </c>
      <c r="F119" s="1437">
        <v>0</v>
      </c>
      <c r="G119" s="1437">
        <v>0</v>
      </c>
      <c r="H119" s="1437">
        <f t="shared" si="3"/>
        <v>0</v>
      </c>
      <c r="I119" s="1437">
        <v>0.40149499999999999</v>
      </c>
      <c r="J119" s="1437">
        <v>0.40149499999999999</v>
      </c>
      <c r="K119" s="1438"/>
      <c r="L119" s="1438"/>
      <c r="M119" s="1437">
        <f t="shared" si="4"/>
        <v>0.40149499999999999</v>
      </c>
      <c r="N119" s="1437">
        <f t="shared" si="5"/>
        <v>0</v>
      </c>
    </row>
    <row r="120" spans="1:16" outlineLevel="1">
      <c r="A120" s="1392">
        <v>0</v>
      </c>
      <c r="B120" s="1332" t="s">
        <v>1831</v>
      </c>
      <c r="C120" s="1338">
        <v>0</v>
      </c>
      <c r="D120" s="1334" t="s">
        <v>1566</v>
      </c>
      <c r="E120" s="1336">
        <v>0</v>
      </c>
      <c r="F120" s="1437">
        <v>0</v>
      </c>
      <c r="G120" s="1437">
        <v>0</v>
      </c>
      <c r="H120" s="1437">
        <f t="shared" si="3"/>
        <v>0</v>
      </c>
      <c r="I120" s="1437">
        <v>0</v>
      </c>
      <c r="J120" s="1437">
        <v>0</v>
      </c>
      <c r="K120" s="1438"/>
      <c r="L120" s="1438"/>
      <c r="M120" s="1437">
        <f t="shared" si="4"/>
        <v>0</v>
      </c>
      <c r="N120" s="1437">
        <f t="shared" si="5"/>
        <v>0</v>
      </c>
    </row>
    <row r="121" spans="1:16" outlineLevel="1">
      <c r="A121" s="1526">
        <v>22</v>
      </c>
      <c r="B121" s="1527" t="s">
        <v>1832</v>
      </c>
      <c r="C121" s="1526" t="s">
        <v>1833</v>
      </c>
      <c r="D121" s="1528">
        <v>44739</v>
      </c>
      <c r="E121" s="1405">
        <v>89.240000000000009</v>
      </c>
      <c r="F121" s="1437">
        <v>0</v>
      </c>
      <c r="G121" s="1437">
        <v>0</v>
      </c>
      <c r="H121" s="1437">
        <f t="shared" si="3"/>
        <v>0</v>
      </c>
      <c r="I121" s="1437">
        <v>0</v>
      </c>
      <c r="J121" s="1437">
        <v>0</v>
      </c>
      <c r="K121" s="1438"/>
      <c r="L121" s="1438"/>
      <c r="M121" s="1437">
        <f t="shared" si="4"/>
        <v>0</v>
      </c>
      <c r="N121" s="1437">
        <f t="shared" si="5"/>
        <v>0</v>
      </c>
      <c r="O121" s="1529">
        <f t="shared" ref="O121:O123" si="6">MAX(0,IF(M121=0,0,IF(G121+M121&lt;E121,M121,E121-G121)))</f>
        <v>0</v>
      </c>
      <c r="P121" s="1439">
        <f t="shared" ref="P121:P123" si="7">M121-O121</f>
        <v>0</v>
      </c>
    </row>
    <row r="122" spans="1:16" outlineLevel="1">
      <c r="A122" s="1499">
        <v>22.1</v>
      </c>
      <c r="B122" s="1530" t="s">
        <v>1832</v>
      </c>
      <c r="C122" s="1491" t="s">
        <v>1833</v>
      </c>
      <c r="D122" s="1531">
        <v>44739</v>
      </c>
      <c r="E122" s="1318">
        <v>85.2</v>
      </c>
      <c r="F122" s="1437">
        <v>0</v>
      </c>
      <c r="G122" s="1437">
        <v>0</v>
      </c>
      <c r="H122" s="1437">
        <f t="shared" si="3"/>
        <v>0</v>
      </c>
      <c r="I122" s="1437">
        <v>0</v>
      </c>
      <c r="J122" s="1437">
        <v>0</v>
      </c>
      <c r="K122" s="1438"/>
      <c r="L122" s="1438"/>
      <c r="M122" s="1437">
        <f t="shared" si="4"/>
        <v>0</v>
      </c>
      <c r="N122" s="1437">
        <f t="shared" si="5"/>
        <v>0</v>
      </c>
      <c r="O122" s="1529">
        <f t="shared" si="6"/>
        <v>0</v>
      </c>
      <c r="P122" s="1439">
        <f t="shared" si="7"/>
        <v>0</v>
      </c>
    </row>
    <row r="123" spans="1:16" outlineLevel="1">
      <c r="A123" s="1511">
        <v>0</v>
      </c>
      <c r="B123" s="1532" t="s">
        <v>414</v>
      </c>
      <c r="C123" s="1491" t="s">
        <v>1833</v>
      </c>
      <c r="D123" s="1531">
        <v>44739</v>
      </c>
      <c r="E123" s="1318">
        <v>4.04</v>
      </c>
      <c r="F123" s="1437">
        <v>0</v>
      </c>
      <c r="G123" s="1437">
        <v>0</v>
      </c>
      <c r="H123" s="1437">
        <f t="shared" si="3"/>
        <v>0</v>
      </c>
      <c r="I123" s="1437">
        <v>0</v>
      </c>
      <c r="J123" s="1437">
        <v>0</v>
      </c>
      <c r="K123" s="1438"/>
      <c r="L123" s="1438"/>
      <c r="M123" s="1437">
        <f t="shared" si="4"/>
        <v>0</v>
      </c>
      <c r="N123" s="1437">
        <f t="shared" si="5"/>
        <v>0</v>
      </c>
      <c r="O123" s="1529">
        <f t="shared" si="6"/>
        <v>0</v>
      </c>
      <c r="P123" s="1439">
        <f t="shared" si="7"/>
        <v>0</v>
      </c>
    </row>
    <row r="124" spans="1:16" ht="31" outlineLevel="1">
      <c r="A124" s="1533" t="s">
        <v>1835</v>
      </c>
      <c r="B124" s="1534" t="s">
        <v>1836</v>
      </c>
      <c r="C124" s="1526" t="s">
        <v>1837</v>
      </c>
      <c r="D124" s="1528">
        <v>44604</v>
      </c>
      <c r="E124" s="1405">
        <v>57</v>
      </c>
      <c r="F124" s="1437">
        <v>0</v>
      </c>
      <c r="G124" s="1437">
        <v>0</v>
      </c>
      <c r="H124" s="1437">
        <f t="shared" si="3"/>
        <v>0</v>
      </c>
      <c r="I124" s="1437">
        <v>0</v>
      </c>
      <c r="J124" s="1437">
        <v>0</v>
      </c>
      <c r="K124" s="1438"/>
      <c r="L124" s="1438"/>
      <c r="M124" s="1437">
        <f t="shared" si="4"/>
        <v>0</v>
      </c>
      <c r="N124" s="1437">
        <f t="shared" si="5"/>
        <v>0</v>
      </c>
    </row>
    <row r="125" spans="1:16" ht="46.5" outlineLevel="1">
      <c r="A125" s="1535" t="s">
        <v>1838</v>
      </c>
      <c r="B125" s="1536" t="s">
        <v>1836</v>
      </c>
      <c r="C125" s="1491" t="s">
        <v>1837</v>
      </c>
      <c r="D125" s="1531">
        <v>44604</v>
      </c>
      <c r="E125" s="1318">
        <v>54.24</v>
      </c>
      <c r="F125" s="1437">
        <v>0</v>
      </c>
      <c r="G125" s="1437">
        <v>0</v>
      </c>
      <c r="H125" s="1437">
        <f t="shared" si="3"/>
        <v>0</v>
      </c>
      <c r="I125" s="1437">
        <v>0</v>
      </c>
      <c r="J125" s="1437">
        <v>0</v>
      </c>
      <c r="K125" s="1438"/>
      <c r="L125" s="1438"/>
      <c r="M125" s="1437">
        <f t="shared" si="4"/>
        <v>0</v>
      </c>
      <c r="N125" s="1437">
        <f t="shared" si="5"/>
        <v>0</v>
      </c>
    </row>
    <row r="126" spans="1:16" ht="15.5" outlineLevel="1">
      <c r="A126" s="1537">
        <v>0</v>
      </c>
      <c r="B126" s="1536" t="s">
        <v>414</v>
      </c>
      <c r="C126" s="1491" t="s">
        <v>1837</v>
      </c>
      <c r="D126" s="1531">
        <v>44604</v>
      </c>
      <c r="E126" s="1318">
        <v>2.76</v>
      </c>
      <c r="F126" s="1437">
        <v>0</v>
      </c>
      <c r="G126" s="1437">
        <v>0</v>
      </c>
      <c r="H126" s="1437">
        <f t="shared" si="3"/>
        <v>0</v>
      </c>
      <c r="I126" s="1437">
        <v>0</v>
      </c>
      <c r="J126" s="1437">
        <v>0</v>
      </c>
      <c r="K126" s="1438"/>
      <c r="L126" s="1438"/>
      <c r="M126" s="1437">
        <f t="shared" si="4"/>
        <v>0</v>
      </c>
      <c r="N126" s="1437">
        <f t="shared" si="5"/>
        <v>0</v>
      </c>
    </row>
    <row r="127" spans="1:16" ht="31" outlineLevel="1">
      <c r="A127" s="1533" t="s">
        <v>1839</v>
      </c>
      <c r="B127" s="1534" t="s">
        <v>1840</v>
      </c>
      <c r="C127" s="1526" t="s">
        <v>1841</v>
      </c>
      <c r="D127" s="1528">
        <v>45232</v>
      </c>
      <c r="E127" s="1405">
        <v>69.308999999999997</v>
      </c>
      <c r="F127" s="1437">
        <v>0</v>
      </c>
      <c r="G127" s="1437">
        <v>0</v>
      </c>
      <c r="H127" s="1437">
        <f t="shared" si="3"/>
        <v>0</v>
      </c>
      <c r="I127" s="1437">
        <v>0</v>
      </c>
      <c r="J127" s="1437">
        <v>0</v>
      </c>
      <c r="K127" s="1438"/>
      <c r="L127" s="1438"/>
      <c r="M127" s="1437">
        <f t="shared" si="4"/>
        <v>0</v>
      </c>
      <c r="N127" s="1437">
        <f t="shared" si="5"/>
        <v>0</v>
      </c>
    </row>
    <row r="128" spans="1:16" ht="46.5" outlineLevel="1">
      <c r="A128" s="1535" t="s">
        <v>1842</v>
      </c>
      <c r="B128" s="1536" t="s">
        <v>1840</v>
      </c>
      <c r="C128" s="1491" t="s">
        <v>1841</v>
      </c>
      <c r="D128" s="1531">
        <v>45232</v>
      </c>
      <c r="E128" s="1318">
        <v>66.009</v>
      </c>
      <c r="F128" s="1437">
        <v>0</v>
      </c>
      <c r="G128" s="1437">
        <v>0</v>
      </c>
      <c r="H128" s="1437">
        <f t="shared" si="3"/>
        <v>0</v>
      </c>
      <c r="I128" s="1437">
        <v>0</v>
      </c>
      <c r="J128" s="1437">
        <v>0</v>
      </c>
      <c r="K128" s="1438"/>
      <c r="L128" s="1438"/>
      <c r="M128" s="1437">
        <f t="shared" si="4"/>
        <v>0</v>
      </c>
      <c r="N128" s="1437">
        <f t="shared" si="5"/>
        <v>0</v>
      </c>
    </row>
    <row r="129" spans="1:14" ht="15.5" outlineLevel="1">
      <c r="A129" s="1537">
        <v>0</v>
      </c>
      <c r="B129" s="1536" t="s">
        <v>414</v>
      </c>
      <c r="C129" s="1491" t="s">
        <v>1841</v>
      </c>
      <c r="D129" s="1531">
        <v>45232</v>
      </c>
      <c r="E129" s="1318">
        <v>3.3</v>
      </c>
      <c r="F129" s="1437">
        <v>0</v>
      </c>
      <c r="G129" s="1437">
        <v>0</v>
      </c>
      <c r="H129" s="1437">
        <f t="shared" si="3"/>
        <v>0</v>
      </c>
      <c r="I129" s="1437">
        <v>0</v>
      </c>
      <c r="J129" s="1437">
        <v>0</v>
      </c>
      <c r="K129" s="1438"/>
      <c r="L129" s="1438"/>
      <c r="M129" s="1437">
        <f t="shared" si="4"/>
        <v>0</v>
      </c>
      <c r="N129" s="1437">
        <f t="shared" si="5"/>
        <v>0</v>
      </c>
    </row>
    <row r="130" spans="1:14" outlineLevel="1">
      <c r="A130" s="1505">
        <v>0</v>
      </c>
      <c r="B130" s="1332" t="s">
        <v>1843</v>
      </c>
      <c r="C130" s="1491">
        <v>0</v>
      </c>
      <c r="D130" s="1531" t="s">
        <v>1566</v>
      </c>
      <c r="E130" s="1318">
        <v>0</v>
      </c>
      <c r="F130" s="1437">
        <v>0</v>
      </c>
      <c r="G130" s="1437">
        <v>0</v>
      </c>
      <c r="H130" s="1437">
        <f t="shared" si="3"/>
        <v>0</v>
      </c>
      <c r="I130" s="1437">
        <v>0</v>
      </c>
      <c r="J130" s="1437">
        <v>0</v>
      </c>
      <c r="K130" s="1438"/>
      <c r="L130" s="1438"/>
      <c r="M130" s="1437">
        <f t="shared" si="4"/>
        <v>0</v>
      </c>
      <c r="N130" s="1437">
        <f t="shared" si="5"/>
        <v>0</v>
      </c>
    </row>
    <row r="131" spans="1:14" ht="46.5" outlineLevel="1">
      <c r="A131" s="1533">
        <v>1</v>
      </c>
      <c r="B131" s="1534" t="s">
        <v>1844</v>
      </c>
      <c r="C131" s="1526" t="s">
        <v>1845</v>
      </c>
      <c r="D131" s="1528" t="s">
        <v>1566</v>
      </c>
      <c r="E131" s="1405">
        <v>0</v>
      </c>
      <c r="F131" s="1437">
        <v>0</v>
      </c>
      <c r="G131" s="1437">
        <v>0</v>
      </c>
      <c r="H131" s="1437">
        <f t="shared" si="3"/>
        <v>0</v>
      </c>
      <c r="I131" s="1437">
        <v>0</v>
      </c>
      <c r="J131" s="1437">
        <v>0</v>
      </c>
      <c r="K131" s="1438"/>
      <c r="L131" s="1438"/>
      <c r="M131" s="1437">
        <f t="shared" si="4"/>
        <v>0</v>
      </c>
      <c r="N131" s="1437">
        <f t="shared" si="5"/>
        <v>0</v>
      </c>
    </row>
    <row r="132" spans="1:14" ht="29" outlineLevel="1">
      <c r="A132" s="1491">
        <v>1.1000000000000001</v>
      </c>
      <c r="B132" s="1530" t="s">
        <v>1847</v>
      </c>
      <c r="C132" s="1491" t="s">
        <v>1845</v>
      </c>
      <c r="D132" s="1531" t="s">
        <v>1566</v>
      </c>
      <c r="E132" s="1318">
        <v>0</v>
      </c>
      <c r="F132" s="1437">
        <v>0</v>
      </c>
      <c r="G132" s="1437">
        <v>0</v>
      </c>
      <c r="H132" s="1437">
        <f t="shared" si="3"/>
        <v>0</v>
      </c>
      <c r="I132" s="1437">
        <v>0</v>
      </c>
      <c r="J132" s="1437">
        <v>0</v>
      </c>
      <c r="K132" s="1438"/>
      <c r="L132" s="1438"/>
      <c r="M132" s="1437">
        <f t="shared" si="4"/>
        <v>0</v>
      </c>
      <c r="N132" s="1437">
        <f t="shared" si="5"/>
        <v>0</v>
      </c>
    </row>
    <row r="133" spans="1:14" ht="29" outlineLevel="1">
      <c r="A133" s="1491">
        <v>1.2</v>
      </c>
      <c r="B133" s="1530" t="s">
        <v>1849</v>
      </c>
      <c r="C133" s="1491" t="s">
        <v>1845</v>
      </c>
      <c r="D133" s="1531" t="s">
        <v>1566</v>
      </c>
      <c r="E133" s="1318">
        <v>0</v>
      </c>
      <c r="F133" s="1437">
        <v>0</v>
      </c>
      <c r="G133" s="1437">
        <v>0</v>
      </c>
      <c r="H133" s="1437">
        <f t="shared" si="3"/>
        <v>0</v>
      </c>
      <c r="I133" s="1437">
        <v>0</v>
      </c>
      <c r="J133" s="1437">
        <v>0</v>
      </c>
      <c r="K133" s="1438"/>
      <c r="L133" s="1438"/>
      <c r="M133" s="1437">
        <f t="shared" si="4"/>
        <v>0</v>
      </c>
      <c r="N133" s="1437">
        <f t="shared" si="5"/>
        <v>0</v>
      </c>
    </row>
    <row r="134" spans="1:14" ht="29" outlineLevel="1">
      <c r="A134" s="1491">
        <v>1.3</v>
      </c>
      <c r="B134" s="1530" t="s">
        <v>1851</v>
      </c>
      <c r="C134" s="1491" t="s">
        <v>1845</v>
      </c>
      <c r="D134" s="1531" t="s">
        <v>1566</v>
      </c>
      <c r="E134" s="1318">
        <v>0</v>
      </c>
      <c r="F134" s="1437">
        <v>0</v>
      </c>
      <c r="G134" s="1437">
        <v>0</v>
      </c>
      <c r="H134" s="1437">
        <f t="shared" si="3"/>
        <v>0</v>
      </c>
      <c r="I134" s="1437">
        <v>0</v>
      </c>
      <c r="J134" s="1437">
        <v>0</v>
      </c>
      <c r="K134" s="1438"/>
      <c r="L134" s="1438"/>
      <c r="M134" s="1437">
        <f t="shared" si="4"/>
        <v>0</v>
      </c>
      <c r="N134" s="1437">
        <f t="shared" si="5"/>
        <v>0</v>
      </c>
    </row>
    <row r="135" spans="1:14" ht="29" outlineLevel="1">
      <c r="A135" s="1491">
        <v>1.4</v>
      </c>
      <c r="B135" s="1530" t="s">
        <v>1853</v>
      </c>
      <c r="C135" s="1491" t="s">
        <v>1845</v>
      </c>
      <c r="D135" s="1531" t="s">
        <v>1566</v>
      </c>
      <c r="E135" s="1318">
        <v>0</v>
      </c>
      <c r="F135" s="1437">
        <v>0</v>
      </c>
      <c r="G135" s="1437">
        <v>0</v>
      </c>
      <c r="H135" s="1437">
        <f t="shared" si="3"/>
        <v>0</v>
      </c>
      <c r="I135" s="1437">
        <v>0</v>
      </c>
      <c r="J135" s="1437">
        <v>0</v>
      </c>
      <c r="K135" s="1438"/>
      <c r="L135" s="1438"/>
      <c r="M135" s="1437">
        <f t="shared" si="4"/>
        <v>0</v>
      </c>
      <c r="N135" s="1437">
        <f t="shared" si="5"/>
        <v>0</v>
      </c>
    </row>
    <row r="136" spans="1:14" ht="29" outlineLevel="1">
      <c r="A136" s="1491">
        <v>1.5</v>
      </c>
      <c r="B136" s="1530" t="s">
        <v>1855</v>
      </c>
      <c r="C136" s="1491" t="s">
        <v>1845</v>
      </c>
      <c r="D136" s="1531" t="s">
        <v>1566</v>
      </c>
      <c r="E136" s="1318">
        <v>0</v>
      </c>
      <c r="F136" s="1437">
        <v>0</v>
      </c>
      <c r="G136" s="1437">
        <v>0</v>
      </c>
      <c r="H136" s="1437">
        <f t="shared" si="3"/>
        <v>0</v>
      </c>
      <c r="I136" s="1437">
        <v>0</v>
      </c>
      <c r="J136" s="1437">
        <v>0</v>
      </c>
      <c r="K136" s="1438"/>
      <c r="L136" s="1438"/>
      <c r="M136" s="1437">
        <f t="shared" si="4"/>
        <v>0</v>
      </c>
      <c r="N136" s="1437">
        <f t="shared" si="5"/>
        <v>0</v>
      </c>
    </row>
    <row r="137" spans="1:14" ht="29" outlineLevel="1">
      <c r="A137" s="1491">
        <v>1.6</v>
      </c>
      <c r="B137" s="1530" t="s">
        <v>1857</v>
      </c>
      <c r="C137" s="1491" t="s">
        <v>1845</v>
      </c>
      <c r="D137" s="1531" t="s">
        <v>1566</v>
      </c>
      <c r="E137" s="1318">
        <v>0</v>
      </c>
      <c r="F137" s="1437">
        <v>0</v>
      </c>
      <c r="G137" s="1437">
        <v>0</v>
      </c>
      <c r="H137" s="1437">
        <f t="shared" ref="H137:H200" si="8">F137-G137</f>
        <v>0</v>
      </c>
      <c r="I137" s="1437">
        <v>0</v>
      </c>
      <c r="J137" s="1437">
        <v>0</v>
      </c>
      <c r="K137" s="1438"/>
      <c r="L137" s="1438"/>
      <c r="M137" s="1437">
        <f t="shared" ref="M137:M200" si="9">SUM(J137:L137)</f>
        <v>0</v>
      </c>
      <c r="N137" s="1437">
        <f t="shared" ref="N137:N200" si="10">H137+I137-M137</f>
        <v>0</v>
      </c>
    </row>
    <row r="138" spans="1:14" ht="29" outlineLevel="1">
      <c r="A138" s="1491">
        <v>1.7</v>
      </c>
      <c r="B138" s="1530" t="s">
        <v>1858</v>
      </c>
      <c r="C138" s="1491" t="s">
        <v>1845</v>
      </c>
      <c r="D138" s="1531" t="s">
        <v>1566</v>
      </c>
      <c r="E138" s="1318">
        <v>0</v>
      </c>
      <c r="F138" s="1437">
        <v>0</v>
      </c>
      <c r="G138" s="1437">
        <v>0</v>
      </c>
      <c r="H138" s="1437">
        <f t="shared" si="8"/>
        <v>0</v>
      </c>
      <c r="I138" s="1437">
        <v>0</v>
      </c>
      <c r="J138" s="1437">
        <v>0</v>
      </c>
      <c r="K138" s="1438"/>
      <c r="L138" s="1438"/>
      <c r="M138" s="1437">
        <f t="shared" si="9"/>
        <v>0</v>
      </c>
      <c r="N138" s="1437">
        <f t="shared" si="10"/>
        <v>0</v>
      </c>
    </row>
    <row r="139" spans="1:14" outlineLevel="1">
      <c r="A139" s="1491">
        <v>1.8</v>
      </c>
      <c r="B139" s="1530" t="s">
        <v>1860</v>
      </c>
      <c r="C139" s="1491" t="s">
        <v>1845</v>
      </c>
      <c r="D139" s="1531" t="s">
        <v>1566</v>
      </c>
      <c r="E139" s="1318">
        <v>0</v>
      </c>
      <c r="F139" s="1437">
        <v>0</v>
      </c>
      <c r="G139" s="1437">
        <v>0</v>
      </c>
      <c r="H139" s="1437">
        <f t="shared" si="8"/>
        <v>0</v>
      </c>
      <c r="I139" s="1437">
        <v>0</v>
      </c>
      <c r="J139" s="1437">
        <v>0</v>
      </c>
      <c r="K139" s="1438"/>
      <c r="L139" s="1438"/>
      <c r="M139" s="1437">
        <f t="shared" si="9"/>
        <v>0</v>
      </c>
      <c r="N139" s="1437">
        <f t="shared" si="10"/>
        <v>0</v>
      </c>
    </row>
    <row r="140" spans="1:14" ht="21" outlineLevel="1">
      <c r="A140" s="1538">
        <v>0</v>
      </c>
      <c r="B140" s="1410" t="s">
        <v>1843</v>
      </c>
      <c r="C140" s="1491">
        <v>0</v>
      </c>
      <c r="D140" s="1531" t="s">
        <v>1566</v>
      </c>
      <c r="E140" s="1318">
        <v>0</v>
      </c>
      <c r="F140" s="1437">
        <v>0</v>
      </c>
      <c r="G140" s="1437">
        <v>0</v>
      </c>
      <c r="H140" s="1437">
        <f t="shared" si="8"/>
        <v>0</v>
      </c>
      <c r="I140" s="1437">
        <v>0</v>
      </c>
      <c r="J140" s="1437">
        <v>0</v>
      </c>
      <c r="K140" s="1438"/>
      <c r="L140" s="1438"/>
      <c r="M140" s="1437">
        <f t="shared" si="9"/>
        <v>0</v>
      </c>
      <c r="N140" s="1437">
        <f t="shared" si="10"/>
        <v>0</v>
      </c>
    </row>
    <row r="141" spans="1:14" ht="77.5" outlineLevel="1">
      <c r="A141" s="1533">
        <v>2</v>
      </c>
      <c r="B141" s="1534" t="s">
        <v>1862</v>
      </c>
      <c r="C141" s="1491" t="s">
        <v>1845</v>
      </c>
      <c r="D141" s="1531" t="s">
        <v>1566</v>
      </c>
      <c r="E141" s="1318">
        <v>0</v>
      </c>
      <c r="F141" s="1437">
        <v>0</v>
      </c>
      <c r="G141" s="1437">
        <v>0</v>
      </c>
      <c r="H141" s="1437">
        <f t="shared" si="8"/>
        <v>0</v>
      </c>
      <c r="I141" s="1437">
        <v>0</v>
      </c>
      <c r="J141" s="1437">
        <v>0</v>
      </c>
      <c r="K141" s="1438"/>
      <c r="L141" s="1438"/>
      <c r="M141" s="1437">
        <f t="shared" si="9"/>
        <v>0</v>
      </c>
      <c r="N141" s="1437">
        <f t="shared" si="10"/>
        <v>0</v>
      </c>
    </row>
    <row r="142" spans="1:14" ht="29" outlineLevel="1">
      <c r="A142" s="1491">
        <v>2.1</v>
      </c>
      <c r="B142" s="1530" t="s">
        <v>1864</v>
      </c>
      <c r="C142" s="1491" t="s">
        <v>1845</v>
      </c>
      <c r="D142" s="1531" t="s">
        <v>1566</v>
      </c>
      <c r="E142" s="1318">
        <v>0</v>
      </c>
      <c r="F142" s="1437">
        <v>0</v>
      </c>
      <c r="G142" s="1437">
        <v>0</v>
      </c>
      <c r="H142" s="1437">
        <f t="shared" si="8"/>
        <v>0</v>
      </c>
      <c r="I142" s="1437">
        <v>0</v>
      </c>
      <c r="J142" s="1437">
        <v>0</v>
      </c>
      <c r="K142" s="1438"/>
      <c r="L142" s="1438"/>
      <c r="M142" s="1437">
        <f t="shared" si="9"/>
        <v>0</v>
      </c>
      <c r="N142" s="1437">
        <f t="shared" si="10"/>
        <v>0</v>
      </c>
    </row>
    <row r="143" spans="1:14" ht="29" outlineLevel="1">
      <c r="A143" s="1491">
        <v>2.2000000000000002</v>
      </c>
      <c r="B143" s="1530" t="s">
        <v>1866</v>
      </c>
      <c r="C143" s="1491" t="s">
        <v>1845</v>
      </c>
      <c r="D143" s="1531" t="s">
        <v>1566</v>
      </c>
      <c r="E143" s="1318">
        <v>0</v>
      </c>
      <c r="F143" s="1437">
        <v>0</v>
      </c>
      <c r="G143" s="1437">
        <v>0</v>
      </c>
      <c r="H143" s="1437">
        <f t="shared" si="8"/>
        <v>0</v>
      </c>
      <c r="I143" s="1437">
        <v>0</v>
      </c>
      <c r="J143" s="1437">
        <v>0</v>
      </c>
      <c r="K143" s="1438"/>
      <c r="L143" s="1438"/>
      <c r="M143" s="1437">
        <f t="shared" si="9"/>
        <v>0</v>
      </c>
      <c r="N143" s="1437">
        <f t="shared" si="10"/>
        <v>0</v>
      </c>
    </row>
    <row r="144" spans="1:14" ht="29" outlineLevel="1">
      <c r="A144" s="1491">
        <v>2.2999999999999998</v>
      </c>
      <c r="B144" s="1530" t="s">
        <v>1868</v>
      </c>
      <c r="C144" s="1491" t="s">
        <v>1845</v>
      </c>
      <c r="D144" s="1531" t="s">
        <v>1566</v>
      </c>
      <c r="E144" s="1318">
        <v>0</v>
      </c>
      <c r="F144" s="1437">
        <v>0</v>
      </c>
      <c r="G144" s="1437">
        <v>0</v>
      </c>
      <c r="H144" s="1437">
        <f t="shared" si="8"/>
        <v>0</v>
      </c>
      <c r="I144" s="1437">
        <v>0</v>
      </c>
      <c r="J144" s="1437">
        <v>0</v>
      </c>
      <c r="K144" s="1438"/>
      <c r="L144" s="1438"/>
      <c r="M144" s="1437">
        <f t="shared" si="9"/>
        <v>0</v>
      </c>
      <c r="N144" s="1437">
        <f t="shared" si="10"/>
        <v>0</v>
      </c>
    </row>
    <row r="145" spans="1:14" ht="46.5" outlineLevel="1">
      <c r="A145" s="1533">
        <v>3</v>
      </c>
      <c r="B145" s="1534" t="s">
        <v>1870</v>
      </c>
      <c r="C145" s="1491" t="s">
        <v>1845</v>
      </c>
      <c r="D145" s="1531" t="s">
        <v>1566</v>
      </c>
      <c r="E145" s="1318">
        <v>0</v>
      </c>
      <c r="F145" s="1437">
        <v>0</v>
      </c>
      <c r="G145" s="1437">
        <v>0</v>
      </c>
      <c r="H145" s="1437">
        <f t="shared" si="8"/>
        <v>0</v>
      </c>
      <c r="I145" s="1437">
        <v>0</v>
      </c>
      <c r="J145" s="1437">
        <v>0</v>
      </c>
      <c r="K145" s="1438"/>
      <c r="L145" s="1438"/>
      <c r="M145" s="1437">
        <f t="shared" si="9"/>
        <v>0</v>
      </c>
      <c r="N145" s="1437">
        <f t="shared" si="10"/>
        <v>0</v>
      </c>
    </row>
    <row r="146" spans="1:14" ht="29" outlineLevel="1">
      <c r="A146" s="1491">
        <v>3.1</v>
      </c>
      <c r="B146" s="1530" t="s">
        <v>1871</v>
      </c>
      <c r="C146" s="1491" t="s">
        <v>1845</v>
      </c>
      <c r="D146" s="1531" t="s">
        <v>1566</v>
      </c>
      <c r="E146" s="1318">
        <v>0</v>
      </c>
      <c r="F146" s="1437">
        <v>0</v>
      </c>
      <c r="G146" s="1437">
        <v>0</v>
      </c>
      <c r="H146" s="1437">
        <f t="shared" si="8"/>
        <v>0</v>
      </c>
      <c r="I146" s="1437">
        <v>0</v>
      </c>
      <c r="J146" s="1437">
        <v>0</v>
      </c>
      <c r="K146" s="1438"/>
      <c r="L146" s="1438"/>
      <c r="M146" s="1437">
        <f t="shared" si="9"/>
        <v>0</v>
      </c>
      <c r="N146" s="1437">
        <f t="shared" si="10"/>
        <v>0</v>
      </c>
    </row>
    <row r="147" spans="1:14" ht="29" outlineLevel="1">
      <c r="A147" s="1491">
        <v>3.2</v>
      </c>
      <c r="B147" s="1530" t="s">
        <v>1873</v>
      </c>
      <c r="C147" s="1491" t="s">
        <v>1845</v>
      </c>
      <c r="D147" s="1531" t="s">
        <v>1566</v>
      </c>
      <c r="E147" s="1318">
        <v>0</v>
      </c>
      <c r="F147" s="1437">
        <v>0</v>
      </c>
      <c r="G147" s="1437">
        <v>0</v>
      </c>
      <c r="H147" s="1437">
        <f t="shared" si="8"/>
        <v>0</v>
      </c>
      <c r="I147" s="1437">
        <v>0</v>
      </c>
      <c r="J147" s="1437">
        <v>0</v>
      </c>
      <c r="K147" s="1438"/>
      <c r="L147" s="1438"/>
      <c r="M147" s="1437">
        <f t="shared" si="9"/>
        <v>0</v>
      </c>
      <c r="N147" s="1437">
        <f t="shared" si="10"/>
        <v>0</v>
      </c>
    </row>
    <row r="148" spans="1:14" ht="31" outlineLevel="1">
      <c r="A148" s="1533">
        <v>4</v>
      </c>
      <c r="B148" s="1534" t="s">
        <v>1875</v>
      </c>
      <c r="C148" s="1491" t="s">
        <v>1845</v>
      </c>
      <c r="D148" s="1531" t="s">
        <v>1566</v>
      </c>
      <c r="E148" s="1318">
        <v>0</v>
      </c>
      <c r="F148" s="1437">
        <v>0</v>
      </c>
      <c r="G148" s="1437">
        <v>0</v>
      </c>
      <c r="H148" s="1437">
        <f t="shared" si="8"/>
        <v>0</v>
      </c>
      <c r="I148" s="1437">
        <v>0</v>
      </c>
      <c r="J148" s="1437">
        <v>0</v>
      </c>
      <c r="K148" s="1438"/>
      <c r="L148" s="1438"/>
      <c r="M148" s="1437">
        <f t="shared" si="9"/>
        <v>0</v>
      </c>
      <c r="N148" s="1437">
        <f t="shared" si="10"/>
        <v>0</v>
      </c>
    </row>
    <row r="149" spans="1:14" outlineLevel="1">
      <c r="A149" s="1491">
        <v>4.0999999999999996</v>
      </c>
      <c r="B149" s="1530" t="s">
        <v>1876</v>
      </c>
      <c r="C149" s="1491" t="s">
        <v>1845</v>
      </c>
      <c r="D149" s="1531" t="s">
        <v>1566</v>
      </c>
      <c r="E149" s="1318">
        <v>0</v>
      </c>
      <c r="F149" s="1437">
        <v>0</v>
      </c>
      <c r="G149" s="1437">
        <v>0</v>
      </c>
      <c r="H149" s="1437">
        <f t="shared" si="8"/>
        <v>0</v>
      </c>
      <c r="I149" s="1437">
        <v>0</v>
      </c>
      <c r="J149" s="1437">
        <v>0</v>
      </c>
      <c r="K149" s="1438"/>
      <c r="L149" s="1438"/>
      <c r="M149" s="1437">
        <f t="shared" si="9"/>
        <v>0</v>
      </c>
      <c r="N149" s="1437">
        <f t="shared" si="10"/>
        <v>0</v>
      </c>
    </row>
    <row r="150" spans="1:14" ht="31" outlineLevel="1">
      <c r="A150" s="1533">
        <v>5</v>
      </c>
      <c r="B150" s="1534" t="s">
        <v>1878</v>
      </c>
      <c r="C150" s="1491" t="s">
        <v>1845</v>
      </c>
      <c r="D150" s="1531" t="s">
        <v>1566</v>
      </c>
      <c r="E150" s="1318">
        <v>0</v>
      </c>
      <c r="F150" s="1437">
        <v>0</v>
      </c>
      <c r="G150" s="1437">
        <v>0</v>
      </c>
      <c r="H150" s="1437">
        <f t="shared" si="8"/>
        <v>0</v>
      </c>
      <c r="I150" s="1437">
        <v>0</v>
      </c>
      <c r="J150" s="1437">
        <v>0</v>
      </c>
      <c r="K150" s="1438"/>
      <c r="L150" s="1438"/>
      <c r="M150" s="1437">
        <f t="shared" si="9"/>
        <v>0</v>
      </c>
      <c r="N150" s="1437">
        <f t="shared" si="10"/>
        <v>0</v>
      </c>
    </row>
    <row r="151" spans="1:14" ht="58" outlineLevel="1">
      <c r="A151" s="1491">
        <v>5.0999999999999996</v>
      </c>
      <c r="B151" s="1530" t="s">
        <v>1879</v>
      </c>
      <c r="C151" s="1491" t="s">
        <v>1845</v>
      </c>
      <c r="D151" s="1531" t="s">
        <v>1566</v>
      </c>
      <c r="E151" s="1318">
        <v>0</v>
      </c>
      <c r="F151" s="1437">
        <v>0</v>
      </c>
      <c r="G151" s="1437">
        <v>0</v>
      </c>
      <c r="H151" s="1437">
        <f t="shared" si="8"/>
        <v>0</v>
      </c>
      <c r="I151" s="1437">
        <v>0</v>
      </c>
      <c r="J151" s="1437">
        <v>0</v>
      </c>
      <c r="K151" s="1438"/>
      <c r="L151" s="1438"/>
      <c r="M151" s="1437">
        <f t="shared" si="9"/>
        <v>0</v>
      </c>
      <c r="N151" s="1437">
        <f t="shared" si="10"/>
        <v>0</v>
      </c>
    </row>
    <row r="152" spans="1:14" ht="31" outlineLevel="1">
      <c r="A152" s="1533">
        <v>6</v>
      </c>
      <c r="B152" s="1534" t="s">
        <v>1881</v>
      </c>
      <c r="C152" s="1491" t="s">
        <v>1845</v>
      </c>
      <c r="D152" s="1531" t="s">
        <v>1566</v>
      </c>
      <c r="E152" s="1318">
        <v>0</v>
      </c>
      <c r="F152" s="1437">
        <v>0</v>
      </c>
      <c r="G152" s="1437">
        <v>0</v>
      </c>
      <c r="H152" s="1437">
        <f t="shared" si="8"/>
        <v>0</v>
      </c>
      <c r="I152" s="1437">
        <v>0</v>
      </c>
      <c r="J152" s="1437">
        <v>0</v>
      </c>
      <c r="K152" s="1438"/>
      <c r="L152" s="1438"/>
      <c r="M152" s="1437">
        <f t="shared" si="9"/>
        <v>0</v>
      </c>
      <c r="N152" s="1437">
        <f t="shared" si="10"/>
        <v>0</v>
      </c>
    </row>
    <row r="153" spans="1:14" ht="29" outlineLevel="1">
      <c r="A153" s="1491">
        <v>6.1</v>
      </c>
      <c r="B153" s="1530" t="s">
        <v>1881</v>
      </c>
      <c r="C153" s="1491" t="s">
        <v>1845</v>
      </c>
      <c r="D153" s="1531" t="s">
        <v>1566</v>
      </c>
      <c r="E153" s="1318">
        <v>0</v>
      </c>
      <c r="F153" s="1437">
        <v>0</v>
      </c>
      <c r="G153" s="1437">
        <v>0</v>
      </c>
      <c r="H153" s="1437">
        <f t="shared" si="8"/>
        <v>0</v>
      </c>
      <c r="I153" s="1437">
        <v>0</v>
      </c>
      <c r="J153" s="1437">
        <v>0</v>
      </c>
      <c r="K153" s="1438"/>
      <c r="L153" s="1438"/>
      <c r="M153" s="1437">
        <f t="shared" si="9"/>
        <v>0</v>
      </c>
      <c r="N153" s="1437">
        <f t="shared" si="10"/>
        <v>0</v>
      </c>
    </row>
    <row r="154" spans="1:14" ht="62" outlineLevel="1">
      <c r="A154" s="1533">
        <v>7</v>
      </c>
      <c r="B154" s="1534" t="s">
        <v>1883</v>
      </c>
      <c r="C154" s="1491" t="s">
        <v>1845</v>
      </c>
      <c r="D154" s="1531" t="s">
        <v>1566</v>
      </c>
      <c r="E154" s="1318">
        <v>0</v>
      </c>
      <c r="F154" s="1437">
        <v>0</v>
      </c>
      <c r="G154" s="1437">
        <v>0</v>
      </c>
      <c r="H154" s="1437">
        <f t="shared" si="8"/>
        <v>0</v>
      </c>
      <c r="I154" s="1437">
        <v>0</v>
      </c>
      <c r="J154" s="1437">
        <v>0</v>
      </c>
      <c r="K154" s="1438"/>
      <c r="L154" s="1438"/>
      <c r="M154" s="1437">
        <f t="shared" si="9"/>
        <v>0</v>
      </c>
      <c r="N154" s="1437">
        <f t="shared" si="10"/>
        <v>0</v>
      </c>
    </row>
    <row r="155" spans="1:14" ht="29" outlineLevel="1">
      <c r="A155" s="1491">
        <v>7.1</v>
      </c>
      <c r="B155" s="1530" t="s">
        <v>1884</v>
      </c>
      <c r="C155" s="1491" t="s">
        <v>1845</v>
      </c>
      <c r="D155" s="1531" t="s">
        <v>1566</v>
      </c>
      <c r="E155" s="1318">
        <v>0</v>
      </c>
      <c r="F155" s="1437">
        <v>0</v>
      </c>
      <c r="G155" s="1437">
        <v>0</v>
      </c>
      <c r="H155" s="1437">
        <f t="shared" si="8"/>
        <v>0</v>
      </c>
      <c r="I155" s="1437">
        <v>0</v>
      </c>
      <c r="J155" s="1437">
        <v>0</v>
      </c>
      <c r="K155" s="1438"/>
      <c r="L155" s="1438"/>
      <c r="M155" s="1437">
        <f t="shared" si="9"/>
        <v>0</v>
      </c>
      <c r="N155" s="1437">
        <f t="shared" si="10"/>
        <v>0</v>
      </c>
    </row>
    <row r="156" spans="1:14" ht="29" outlineLevel="1">
      <c r="A156" s="1491">
        <v>7.2</v>
      </c>
      <c r="B156" s="1530" t="s">
        <v>1886</v>
      </c>
      <c r="C156" s="1491" t="s">
        <v>1845</v>
      </c>
      <c r="D156" s="1531" t="s">
        <v>1566</v>
      </c>
      <c r="E156" s="1318">
        <v>0</v>
      </c>
      <c r="F156" s="1437">
        <v>0</v>
      </c>
      <c r="G156" s="1437">
        <v>0</v>
      </c>
      <c r="H156" s="1437">
        <f t="shared" si="8"/>
        <v>0</v>
      </c>
      <c r="I156" s="1437">
        <v>0</v>
      </c>
      <c r="J156" s="1437">
        <v>0</v>
      </c>
      <c r="K156" s="1438"/>
      <c r="L156" s="1438"/>
      <c r="M156" s="1437">
        <f t="shared" si="9"/>
        <v>0</v>
      </c>
      <c r="N156" s="1437">
        <f t="shared" si="10"/>
        <v>0</v>
      </c>
    </row>
    <row r="157" spans="1:14" ht="31" outlineLevel="1">
      <c r="A157" s="1533">
        <v>8</v>
      </c>
      <c r="B157" s="1534" t="s">
        <v>1888</v>
      </c>
      <c r="C157" s="1491" t="s">
        <v>1845</v>
      </c>
      <c r="D157" s="1531" t="s">
        <v>1566</v>
      </c>
      <c r="E157" s="1318">
        <v>0</v>
      </c>
      <c r="F157" s="1437">
        <v>0</v>
      </c>
      <c r="G157" s="1437">
        <v>0</v>
      </c>
      <c r="H157" s="1437">
        <f t="shared" si="8"/>
        <v>0</v>
      </c>
      <c r="I157" s="1437">
        <v>0</v>
      </c>
      <c r="J157" s="1437">
        <v>0</v>
      </c>
      <c r="K157" s="1438"/>
      <c r="L157" s="1438"/>
      <c r="M157" s="1437">
        <f t="shared" si="9"/>
        <v>0</v>
      </c>
      <c r="N157" s="1437">
        <f t="shared" si="10"/>
        <v>0</v>
      </c>
    </row>
    <row r="158" spans="1:14" ht="29" outlineLevel="1">
      <c r="A158" s="1491">
        <v>8.1</v>
      </c>
      <c r="B158" s="1530" t="s">
        <v>1888</v>
      </c>
      <c r="C158" s="1491" t="s">
        <v>1845</v>
      </c>
      <c r="D158" s="1531" t="s">
        <v>1566</v>
      </c>
      <c r="E158" s="1318">
        <v>0</v>
      </c>
      <c r="F158" s="1437">
        <v>0</v>
      </c>
      <c r="G158" s="1437">
        <v>0</v>
      </c>
      <c r="H158" s="1437">
        <f t="shared" si="8"/>
        <v>0</v>
      </c>
      <c r="I158" s="1437">
        <v>0</v>
      </c>
      <c r="J158" s="1437">
        <v>0</v>
      </c>
      <c r="K158" s="1438"/>
      <c r="L158" s="1438"/>
      <c r="M158" s="1437">
        <f t="shared" si="9"/>
        <v>0</v>
      </c>
      <c r="N158" s="1437">
        <f t="shared" si="10"/>
        <v>0</v>
      </c>
    </row>
    <row r="159" spans="1:14" ht="46.5" outlineLevel="1">
      <c r="A159" s="1533">
        <v>9</v>
      </c>
      <c r="B159" s="1534" t="s">
        <v>1890</v>
      </c>
      <c r="C159" s="1491" t="s">
        <v>1845</v>
      </c>
      <c r="D159" s="1531" t="s">
        <v>1566</v>
      </c>
      <c r="E159" s="1318">
        <v>0</v>
      </c>
      <c r="F159" s="1437">
        <v>0</v>
      </c>
      <c r="G159" s="1437">
        <v>0</v>
      </c>
      <c r="H159" s="1437">
        <f t="shared" si="8"/>
        <v>0</v>
      </c>
      <c r="I159" s="1437">
        <v>0</v>
      </c>
      <c r="J159" s="1437">
        <v>0</v>
      </c>
      <c r="K159" s="1438"/>
      <c r="L159" s="1438"/>
      <c r="M159" s="1437">
        <f t="shared" si="9"/>
        <v>0</v>
      </c>
      <c r="N159" s="1437">
        <f t="shared" si="10"/>
        <v>0</v>
      </c>
    </row>
    <row r="160" spans="1:14" ht="29" outlineLevel="1">
      <c r="A160" s="1491">
        <v>9.1</v>
      </c>
      <c r="B160" s="1530" t="s">
        <v>1891</v>
      </c>
      <c r="C160" s="1491" t="s">
        <v>1845</v>
      </c>
      <c r="D160" s="1531" t="s">
        <v>1566</v>
      </c>
      <c r="E160" s="1318">
        <v>0</v>
      </c>
      <c r="F160" s="1437">
        <v>0</v>
      </c>
      <c r="G160" s="1437">
        <v>0</v>
      </c>
      <c r="H160" s="1437">
        <f t="shared" si="8"/>
        <v>0</v>
      </c>
      <c r="I160" s="1437">
        <v>0</v>
      </c>
      <c r="J160" s="1437">
        <v>0</v>
      </c>
      <c r="K160" s="1438"/>
      <c r="L160" s="1438"/>
      <c r="M160" s="1437">
        <f t="shared" si="9"/>
        <v>0</v>
      </c>
      <c r="N160" s="1437">
        <f t="shared" si="10"/>
        <v>0</v>
      </c>
    </row>
    <row r="161" spans="1:14" ht="29" outlineLevel="1">
      <c r="A161" s="1491">
        <v>9.1999999999999993</v>
      </c>
      <c r="B161" s="1530" t="s">
        <v>1893</v>
      </c>
      <c r="C161" s="1491" t="s">
        <v>1845</v>
      </c>
      <c r="D161" s="1531" t="s">
        <v>1566</v>
      </c>
      <c r="E161" s="1318">
        <v>0</v>
      </c>
      <c r="F161" s="1437">
        <v>0</v>
      </c>
      <c r="G161" s="1437">
        <v>0</v>
      </c>
      <c r="H161" s="1437">
        <f t="shared" si="8"/>
        <v>0</v>
      </c>
      <c r="I161" s="1437">
        <v>0</v>
      </c>
      <c r="J161" s="1437">
        <v>0</v>
      </c>
      <c r="K161" s="1438"/>
      <c r="L161" s="1438"/>
      <c r="M161" s="1437">
        <f t="shared" si="9"/>
        <v>0</v>
      </c>
      <c r="N161" s="1437">
        <f t="shared" si="10"/>
        <v>0</v>
      </c>
    </row>
    <row r="162" spans="1:14" ht="43.5" outlineLevel="1">
      <c r="A162" s="1491">
        <v>9.3000000000000007</v>
      </c>
      <c r="B162" s="1530" t="s">
        <v>1895</v>
      </c>
      <c r="C162" s="1491" t="s">
        <v>1845</v>
      </c>
      <c r="D162" s="1531" t="s">
        <v>1566</v>
      </c>
      <c r="E162" s="1318">
        <v>0</v>
      </c>
      <c r="F162" s="1437">
        <v>0</v>
      </c>
      <c r="G162" s="1437">
        <v>0</v>
      </c>
      <c r="H162" s="1437">
        <f t="shared" si="8"/>
        <v>0</v>
      </c>
      <c r="I162" s="1437">
        <v>0</v>
      </c>
      <c r="J162" s="1437">
        <v>0</v>
      </c>
      <c r="K162" s="1438"/>
      <c r="L162" s="1438"/>
      <c r="M162" s="1437">
        <f t="shared" si="9"/>
        <v>0</v>
      </c>
      <c r="N162" s="1437">
        <f t="shared" si="10"/>
        <v>0</v>
      </c>
    </row>
    <row r="163" spans="1:14" ht="46.5" outlineLevel="1">
      <c r="A163" s="1533">
        <v>10</v>
      </c>
      <c r="B163" s="1534" t="s">
        <v>1897</v>
      </c>
      <c r="C163" s="1491" t="s">
        <v>1845</v>
      </c>
      <c r="D163" s="1531" t="s">
        <v>1566</v>
      </c>
      <c r="E163" s="1318">
        <v>0</v>
      </c>
      <c r="F163" s="1437">
        <v>0</v>
      </c>
      <c r="G163" s="1437">
        <v>0</v>
      </c>
      <c r="H163" s="1437">
        <f t="shared" si="8"/>
        <v>0</v>
      </c>
      <c r="I163" s="1437">
        <v>0</v>
      </c>
      <c r="J163" s="1437">
        <v>0</v>
      </c>
      <c r="K163" s="1438"/>
      <c r="L163" s="1438"/>
      <c r="M163" s="1437">
        <f t="shared" si="9"/>
        <v>0</v>
      </c>
      <c r="N163" s="1437">
        <f t="shared" si="10"/>
        <v>0</v>
      </c>
    </row>
    <row r="164" spans="1:14" ht="43.5" outlineLevel="1">
      <c r="A164" s="1491">
        <v>10.1</v>
      </c>
      <c r="B164" s="1530" t="s">
        <v>1897</v>
      </c>
      <c r="C164" s="1491" t="s">
        <v>1845</v>
      </c>
      <c r="D164" s="1531" t="s">
        <v>1566</v>
      </c>
      <c r="E164" s="1318">
        <v>0</v>
      </c>
      <c r="F164" s="1437">
        <v>0</v>
      </c>
      <c r="G164" s="1437">
        <v>0</v>
      </c>
      <c r="H164" s="1437">
        <f t="shared" si="8"/>
        <v>0</v>
      </c>
      <c r="I164" s="1437">
        <v>0</v>
      </c>
      <c r="J164" s="1437">
        <v>0</v>
      </c>
      <c r="K164" s="1438"/>
      <c r="L164" s="1438"/>
      <c r="M164" s="1437">
        <f t="shared" si="9"/>
        <v>0</v>
      </c>
      <c r="N164" s="1437">
        <f t="shared" si="10"/>
        <v>0</v>
      </c>
    </row>
    <row r="165" spans="1:14" ht="31" outlineLevel="1">
      <c r="A165" s="1533">
        <v>11</v>
      </c>
      <c r="B165" s="1534" t="s">
        <v>1899</v>
      </c>
      <c r="C165" s="1491" t="s">
        <v>1845</v>
      </c>
      <c r="D165" s="1531" t="s">
        <v>1566</v>
      </c>
      <c r="E165" s="1318">
        <v>0</v>
      </c>
      <c r="F165" s="1437">
        <v>0</v>
      </c>
      <c r="G165" s="1437">
        <v>0</v>
      </c>
      <c r="H165" s="1437">
        <f t="shared" si="8"/>
        <v>0</v>
      </c>
      <c r="I165" s="1437">
        <v>0</v>
      </c>
      <c r="J165" s="1437">
        <v>0</v>
      </c>
      <c r="K165" s="1438"/>
      <c r="L165" s="1438"/>
      <c r="M165" s="1437">
        <f t="shared" si="9"/>
        <v>0</v>
      </c>
      <c r="N165" s="1437">
        <f t="shared" si="10"/>
        <v>0</v>
      </c>
    </row>
    <row r="166" spans="1:14" ht="29" outlineLevel="1">
      <c r="A166" s="1491">
        <v>11.1</v>
      </c>
      <c r="B166" s="1530" t="s">
        <v>1899</v>
      </c>
      <c r="C166" s="1491" t="s">
        <v>1845</v>
      </c>
      <c r="D166" s="1531" t="s">
        <v>1566</v>
      </c>
      <c r="E166" s="1318">
        <v>0</v>
      </c>
      <c r="F166" s="1437">
        <v>0</v>
      </c>
      <c r="G166" s="1437">
        <v>0</v>
      </c>
      <c r="H166" s="1437">
        <f t="shared" si="8"/>
        <v>0</v>
      </c>
      <c r="I166" s="1437">
        <v>0</v>
      </c>
      <c r="J166" s="1437">
        <v>0</v>
      </c>
      <c r="K166" s="1438"/>
      <c r="L166" s="1438"/>
      <c r="M166" s="1437">
        <f t="shared" si="9"/>
        <v>0</v>
      </c>
      <c r="N166" s="1437">
        <f t="shared" si="10"/>
        <v>0</v>
      </c>
    </row>
    <row r="167" spans="1:14" ht="62" outlineLevel="1">
      <c r="A167" s="1533">
        <v>12</v>
      </c>
      <c r="B167" s="1534" t="s">
        <v>1901</v>
      </c>
      <c r="C167" s="1491" t="s">
        <v>1845</v>
      </c>
      <c r="D167" s="1531" t="s">
        <v>1566</v>
      </c>
      <c r="E167" s="1318">
        <v>0</v>
      </c>
      <c r="F167" s="1437">
        <v>0</v>
      </c>
      <c r="G167" s="1437">
        <v>0</v>
      </c>
      <c r="H167" s="1437">
        <f t="shared" si="8"/>
        <v>0</v>
      </c>
      <c r="I167" s="1437">
        <v>0</v>
      </c>
      <c r="J167" s="1437">
        <v>0</v>
      </c>
      <c r="K167" s="1438"/>
      <c r="L167" s="1438"/>
      <c r="M167" s="1437">
        <f t="shared" si="9"/>
        <v>0</v>
      </c>
      <c r="N167" s="1437">
        <f t="shared" si="10"/>
        <v>0</v>
      </c>
    </row>
    <row r="168" spans="1:14" ht="43.5" outlineLevel="1">
      <c r="A168" s="1491">
        <v>12.1</v>
      </c>
      <c r="B168" s="1530" t="s">
        <v>1902</v>
      </c>
      <c r="C168" s="1491" t="s">
        <v>1845</v>
      </c>
      <c r="D168" s="1531" t="s">
        <v>1566</v>
      </c>
      <c r="E168" s="1318">
        <v>0</v>
      </c>
      <c r="F168" s="1437">
        <v>0</v>
      </c>
      <c r="G168" s="1437">
        <v>0</v>
      </c>
      <c r="H168" s="1437">
        <f t="shared" si="8"/>
        <v>0</v>
      </c>
      <c r="I168" s="1437">
        <v>0</v>
      </c>
      <c r="J168" s="1437">
        <v>0</v>
      </c>
      <c r="K168" s="1438"/>
      <c r="L168" s="1438"/>
      <c r="M168" s="1437">
        <f t="shared" si="9"/>
        <v>0</v>
      </c>
      <c r="N168" s="1437">
        <f t="shared" si="10"/>
        <v>0</v>
      </c>
    </row>
    <row r="169" spans="1:14" outlineLevel="1">
      <c r="A169" s="1491">
        <v>12.2</v>
      </c>
      <c r="B169" s="1530" t="s">
        <v>1903</v>
      </c>
      <c r="C169" s="1491" t="s">
        <v>1845</v>
      </c>
      <c r="D169" s="1531" t="s">
        <v>1566</v>
      </c>
      <c r="E169" s="1318">
        <v>0</v>
      </c>
      <c r="F169" s="1437">
        <v>0</v>
      </c>
      <c r="G169" s="1437">
        <v>0</v>
      </c>
      <c r="H169" s="1437">
        <f t="shared" si="8"/>
        <v>0</v>
      </c>
      <c r="I169" s="1437">
        <v>0</v>
      </c>
      <c r="J169" s="1437">
        <v>0</v>
      </c>
      <c r="K169" s="1438"/>
      <c r="L169" s="1438"/>
      <c r="M169" s="1437">
        <f t="shared" si="9"/>
        <v>0</v>
      </c>
      <c r="N169" s="1437">
        <f t="shared" si="10"/>
        <v>0</v>
      </c>
    </row>
    <row r="170" spans="1:14" ht="15.5" outlineLevel="1">
      <c r="A170" s="1533">
        <v>13</v>
      </c>
      <c r="B170" s="1534" t="s">
        <v>1905</v>
      </c>
      <c r="C170" s="1491" t="s">
        <v>1845</v>
      </c>
      <c r="D170" s="1531" t="s">
        <v>1566</v>
      </c>
      <c r="E170" s="1318">
        <v>0</v>
      </c>
      <c r="F170" s="1437">
        <v>0</v>
      </c>
      <c r="G170" s="1437">
        <v>0</v>
      </c>
      <c r="H170" s="1437">
        <f t="shared" si="8"/>
        <v>0</v>
      </c>
      <c r="I170" s="1437">
        <v>0</v>
      </c>
      <c r="J170" s="1437">
        <v>0</v>
      </c>
      <c r="K170" s="1438"/>
      <c r="L170" s="1438"/>
      <c r="M170" s="1437">
        <f t="shared" si="9"/>
        <v>0</v>
      </c>
      <c r="N170" s="1437">
        <f t="shared" si="10"/>
        <v>0</v>
      </c>
    </row>
    <row r="171" spans="1:14" outlineLevel="1">
      <c r="A171" s="1491">
        <v>13.1</v>
      </c>
      <c r="B171" s="1530" t="s">
        <v>1906</v>
      </c>
      <c r="C171" s="1491" t="s">
        <v>1845</v>
      </c>
      <c r="D171" s="1531" t="s">
        <v>1566</v>
      </c>
      <c r="E171" s="1318">
        <v>0</v>
      </c>
      <c r="F171" s="1437">
        <v>0</v>
      </c>
      <c r="G171" s="1437">
        <v>0</v>
      </c>
      <c r="H171" s="1437">
        <f t="shared" si="8"/>
        <v>0</v>
      </c>
      <c r="I171" s="1437">
        <v>0</v>
      </c>
      <c r="J171" s="1437">
        <v>0</v>
      </c>
      <c r="K171" s="1438"/>
      <c r="L171" s="1438"/>
      <c r="M171" s="1437">
        <f t="shared" si="9"/>
        <v>0</v>
      </c>
      <c r="N171" s="1437">
        <f t="shared" si="10"/>
        <v>0</v>
      </c>
    </row>
    <row r="172" spans="1:14" ht="29" outlineLevel="1">
      <c r="A172" s="1491">
        <v>13.2</v>
      </c>
      <c r="B172" s="1530" t="s">
        <v>1908</v>
      </c>
      <c r="C172" s="1491" t="s">
        <v>1845</v>
      </c>
      <c r="D172" s="1531" t="s">
        <v>1566</v>
      </c>
      <c r="E172" s="1318">
        <v>0</v>
      </c>
      <c r="F172" s="1437">
        <v>0</v>
      </c>
      <c r="G172" s="1437">
        <v>0</v>
      </c>
      <c r="H172" s="1437">
        <f t="shared" si="8"/>
        <v>0</v>
      </c>
      <c r="I172" s="1437">
        <v>0</v>
      </c>
      <c r="J172" s="1437">
        <v>0</v>
      </c>
      <c r="K172" s="1438"/>
      <c r="L172" s="1438"/>
      <c r="M172" s="1437">
        <f t="shared" si="9"/>
        <v>0</v>
      </c>
      <c r="N172" s="1437">
        <f t="shared" si="10"/>
        <v>0</v>
      </c>
    </row>
    <row r="173" spans="1:14" outlineLevel="1">
      <c r="A173" s="1491">
        <v>13.3</v>
      </c>
      <c r="B173" s="1530" t="s">
        <v>1910</v>
      </c>
      <c r="C173" s="1491" t="s">
        <v>1845</v>
      </c>
      <c r="D173" s="1531" t="s">
        <v>1566</v>
      </c>
      <c r="E173" s="1318">
        <v>0</v>
      </c>
      <c r="F173" s="1437">
        <v>0</v>
      </c>
      <c r="G173" s="1437">
        <v>0</v>
      </c>
      <c r="H173" s="1437">
        <f t="shared" si="8"/>
        <v>0</v>
      </c>
      <c r="I173" s="1437">
        <v>0</v>
      </c>
      <c r="J173" s="1437">
        <v>0</v>
      </c>
      <c r="K173" s="1438"/>
      <c r="L173" s="1438"/>
      <c r="M173" s="1437">
        <f t="shared" si="9"/>
        <v>0</v>
      </c>
      <c r="N173" s="1437">
        <f t="shared" si="10"/>
        <v>0</v>
      </c>
    </row>
    <row r="174" spans="1:14" outlineLevel="1">
      <c r="A174" s="1491">
        <v>13.4</v>
      </c>
      <c r="B174" s="1530" t="s">
        <v>1912</v>
      </c>
      <c r="C174" s="1491" t="s">
        <v>1845</v>
      </c>
      <c r="D174" s="1531" t="s">
        <v>1566</v>
      </c>
      <c r="E174" s="1318">
        <v>0</v>
      </c>
      <c r="F174" s="1437">
        <v>0</v>
      </c>
      <c r="G174" s="1437">
        <v>0</v>
      </c>
      <c r="H174" s="1437">
        <f t="shared" si="8"/>
        <v>0</v>
      </c>
      <c r="I174" s="1437">
        <v>0</v>
      </c>
      <c r="J174" s="1437">
        <v>0</v>
      </c>
      <c r="K174" s="1438"/>
      <c r="L174" s="1438"/>
      <c r="M174" s="1437">
        <f t="shared" si="9"/>
        <v>0</v>
      </c>
      <c r="N174" s="1437">
        <f t="shared" si="10"/>
        <v>0</v>
      </c>
    </row>
    <row r="175" spans="1:14" outlineLevel="1">
      <c r="A175" s="1491">
        <v>13.5</v>
      </c>
      <c r="B175" s="1530" t="s">
        <v>1914</v>
      </c>
      <c r="C175" s="1491" t="s">
        <v>1845</v>
      </c>
      <c r="D175" s="1531" t="s">
        <v>1566</v>
      </c>
      <c r="E175" s="1318">
        <v>0</v>
      </c>
      <c r="F175" s="1437">
        <v>0</v>
      </c>
      <c r="G175" s="1437">
        <v>0</v>
      </c>
      <c r="H175" s="1437">
        <f t="shared" si="8"/>
        <v>0</v>
      </c>
      <c r="I175" s="1437">
        <v>0</v>
      </c>
      <c r="J175" s="1437">
        <v>0</v>
      </c>
      <c r="K175" s="1438"/>
      <c r="L175" s="1438"/>
      <c r="M175" s="1437">
        <f t="shared" si="9"/>
        <v>0</v>
      </c>
      <c r="N175" s="1437">
        <f t="shared" si="10"/>
        <v>0</v>
      </c>
    </row>
    <row r="176" spans="1:14" ht="29" outlineLevel="1">
      <c r="A176" s="1491">
        <v>13.6</v>
      </c>
      <c r="B176" s="1530" t="s">
        <v>1916</v>
      </c>
      <c r="C176" s="1491" t="s">
        <v>1845</v>
      </c>
      <c r="D176" s="1531" t="s">
        <v>1566</v>
      </c>
      <c r="E176" s="1318">
        <v>0</v>
      </c>
      <c r="F176" s="1437">
        <v>0</v>
      </c>
      <c r="G176" s="1437">
        <v>0</v>
      </c>
      <c r="H176" s="1437">
        <f t="shared" si="8"/>
        <v>0</v>
      </c>
      <c r="I176" s="1437">
        <v>0</v>
      </c>
      <c r="J176" s="1437">
        <v>0</v>
      </c>
      <c r="K176" s="1438"/>
      <c r="L176" s="1438"/>
      <c r="M176" s="1437">
        <f t="shared" si="9"/>
        <v>0</v>
      </c>
      <c r="N176" s="1437">
        <f t="shared" si="10"/>
        <v>0</v>
      </c>
    </row>
    <row r="177" spans="1:14" ht="46.5" outlineLevel="1">
      <c r="A177" s="1533">
        <v>14</v>
      </c>
      <c r="B177" s="1534" t="s">
        <v>1918</v>
      </c>
      <c r="C177" s="1491" t="s">
        <v>1845</v>
      </c>
      <c r="D177" s="1531" t="s">
        <v>1566</v>
      </c>
      <c r="E177" s="1318">
        <v>0</v>
      </c>
      <c r="F177" s="1437">
        <v>0</v>
      </c>
      <c r="G177" s="1437">
        <v>0</v>
      </c>
      <c r="H177" s="1437">
        <f t="shared" si="8"/>
        <v>0</v>
      </c>
      <c r="I177" s="1437">
        <v>0</v>
      </c>
      <c r="J177" s="1437">
        <v>0</v>
      </c>
      <c r="K177" s="1438"/>
      <c r="L177" s="1438"/>
      <c r="M177" s="1437">
        <f t="shared" si="9"/>
        <v>0</v>
      </c>
      <c r="N177" s="1437">
        <f t="shared" si="10"/>
        <v>0</v>
      </c>
    </row>
    <row r="178" spans="1:14" ht="43.5" outlineLevel="1">
      <c r="A178" s="1491">
        <v>14.1</v>
      </c>
      <c r="B178" s="1530" t="s">
        <v>1919</v>
      </c>
      <c r="C178" s="1491" t="s">
        <v>1845</v>
      </c>
      <c r="D178" s="1531" t="s">
        <v>1566</v>
      </c>
      <c r="E178" s="1318">
        <v>0</v>
      </c>
      <c r="F178" s="1437">
        <v>0</v>
      </c>
      <c r="G178" s="1437">
        <v>0</v>
      </c>
      <c r="H178" s="1437">
        <f t="shared" si="8"/>
        <v>0</v>
      </c>
      <c r="I178" s="1437">
        <v>0</v>
      </c>
      <c r="J178" s="1437">
        <v>0</v>
      </c>
      <c r="K178" s="1438"/>
      <c r="L178" s="1438"/>
      <c r="M178" s="1437">
        <f t="shared" si="9"/>
        <v>0</v>
      </c>
      <c r="N178" s="1437">
        <f t="shared" si="10"/>
        <v>0</v>
      </c>
    </row>
    <row r="179" spans="1:14" outlineLevel="1">
      <c r="A179" s="1491">
        <v>14.2</v>
      </c>
      <c r="B179" s="1530" t="s">
        <v>1920</v>
      </c>
      <c r="C179" s="1491" t="s">
        <v>1845</v>
      </c>
      <c r="D179" s="1531" t="s">
        <v>1566</v>
      </c>
      <c r="E179" s="1318">
        <v>0</v>
      </c>
      <c r="F179" s="1437">
        <v>0</v>
      </c>
      <c r="G179" s="1437">
        <v>0</v>
      </c>
      <c r="H179" s="1437">
        <f t="shared" si="8"/>
        <v>0</v>
      </c>
      <c r="I179" s="1437">
        <v>0</v>
      </c>
      <c r="J179" s="1437">
        <v>0</v>
      </c>
      <c r="K179" s="1438"/>
      <c r="L179" s="1438"/>
      <c r="M179" s="1437">
        <f t="shared" si="9"/>
        <v>0</v>
      </c>
      <c r="N179" s="1437">
        <f t="shared" si="10"/>
        <v>0</v>
      </c>
    </row>
    <row r="180" spans="1:14" outlineLevel="1">
      <c r="A180" s="1491">
        <v>14.3</v>
      </c>
      <c r="B180" s="1530" t="s">
        <v>1922</v>
      </c>
      <c r="C180" s="1491" t="s">
        <v>1845</v>
      </c>
      <c r="D180" s="1531" t="s">
        <v>1566</v>
      </c>
      <c r="E180" s="1318">
        <v>0</v>
      </c>
      <c r="F180" s="1437">
        <v>0</v>
      </c>
      <c r="G180" s="1437">
        <v>0</v>
      </c>
      <c r="H180" s="1437">
        <f t="shared" si="8"/>
        <v>0</v>
      </c>
      <c r="I180" s="1437">
        <v>0</v>
      </c>
      <c r="J180" s="1437">
        <v>0</v>
      </c>
      <c r="K180" s="1438"/>
      <c r="L180" s="1438"/>
      <c r="M180" s="1437">
        <f t="shared" si="9"/>
        <v>0</v>
      </c>
      <c r="N180" s="1437">
        <f t="shared" si="10"/>
        <v>0</v>
      </c>
    </row>
    <row r="181" spans="1:14" ht="29" outlineLevel="1">
      <c r="A181" s="1491">
        <v>14.4</v>
      </c>
      <c r="B181" s="1530" t="s">
        <v>1924</v>
      </c>
      <c r="C181" s="1491" t="s">
        <v>1845</v>
      </c>
      <c r="D181" s="1531" t="s">
        <v>1566</v>
      </c>
      <c r="E181" s="1318">
        <v>0</v>
      </c>
      <c r="F181" s="1437">
        <v>0</v>
      </c>
      <c r="G181" s="1437">
        <v>0</v>
      </c>
      <c r="H181" s="1437">
        <f t="shared" si="8"/>
        <v>0</v>
      </c>
      <c r="I181" s="1437">
        <v>0</v>
      </c>
      <c r="J181" s="1437">
        <v>0</v>
      </c>
      <c r="K181" s="1438"/>
      <c r="L181" s="1438"/>
      <c r="M181" s="1437">
        <f t="shared" si="9"/>
        <v>0</v>
      </c>
      <c r="N181" s="1437">
        <f t="shared" si="10"/>
        <v>0</v>
      </c>
    </row>
    <row r="182" spans="1:14" outlineLevel="1">
      <c r="A182" s="1491">
        <v>14.5</v>
      </c>
      <c r="B182" s="1530" t="s">
        <v>1926</v>
      </c>
      <c r="C182" s="1491" t="s">
        <v>1845</v>
      </c>
      <c r="D182" s="1531" t="s">
        <v>1566</v>
      </c>
      <c r="E182" s="1318">
        <v>0</v>
      </c>
      <c r="F182" s="1437">
        <v>0</v>
      </c>
      <c r="G182" s="1437">
        <v>0</v>
      </c>
      <c r="H182" s="1437">
        <f t="shared" si="8"/>
        <v>0</v>
      </c>
      <c r="I182" s="1437">
        <v>0</v>
      </c>
      <c r="J182" s="1437">
        <v>0</v>
      </c>
      <c r="K182" s="1438"/>
      <c r="L182" s="1438"/>
      <c r="M182" s="1437">
        <f t="shared" si="9"/>
        <v>0</v>
      </c>
      <c r="N182" s="1437">
        <f t="shared" si="10"/>
        <v>0</v>
      </c>
    </row>
    <row r="183" spans="1:14" outlineLevel="1">
      <c r="A183" s="1491">
        <v>14.6</v>
      </c>
      <c r="B183" s="1530" t="s">
        <v>1928</v>
      </c>
      <c r="C183" s="1491" t="s">
        <v>1845</v>
      </c>
      <c r="D183" s="1531" t="s">
        <v>1566</v>
      </c>
      <c r="E183" s="1318">
        <v>0</v>
      </c>
      <c r="F183" s="1437">
        <v>0</v>
      </c>
      <c r="G183" s="1437">
        <v>0</v>
      </c>
      <c r="H183" s="1437">
        <f t="shared" si="8"/>
        <v>0</v>
      </c>
      <c r="I183" s="1437">
        <v>0</v>
      </c>
      <c r="J183" s="1437">
        <v>0</v>
      </c>
      <c r="K183" s="1438"/>
      <c r="L183" s="1438"/>
      <c r="M183" s="1437">
        <f t="shared" si="9"/>
        <v>0</v>
      </c>
      <c r="N183" s="1437">
        <f t="shared" si="10"/>
        <v>0</v>
      </c>
    </row>
    <row r="184" spans="1:14" outlineLevel="1">
      <c r="A184" s="1491">
        <v>14.7</v>
      </c>
      <c r="B184" s="1530" t="s">
        <v>1930</v>
      </c>
      <c r="C184" s="1491" t="s">
        <v>1845</v>
      </c>
      <c r="D184" s="1531" t="s">
        <v>1566</v>
      </c>
      <c r="E184" s="1318">
        <v>0</v>
      </c>
      <c r="F184" s="1437">
        <v>0</v>
      </c>
      <c r="G184" s="1437">
        <v>0</v>
      </c>
      <c r="H184" s="1437">
        <f t="shared" si="8"/>
        <v>0</v>
      </c>
      <c r="I184" s="1437">
        <v>0</v>
      </c>
      <c r="J184" s="1437">
        <v>0</v>
      </c>
      <c r="K184" s="1438"/>
      <c r="L184" s="1438"/>
      <c r="M184" s="1437">
        <f t="shared" si="9"/>
        <v>0</v>
      </c>
      <c r="N184" s="1437">
        <f t="shared" si="10"/>
        <v>0</v>
      </c>
    </row>
    <row r="185" spans="1:14" ht="29" outlineLevel="1">
      <c r="A185" s="1491">
        <v>14.8</v>
      </c>
      <c r="B185" s="1530" t="s">
        <v>1932</v>
      </c>
      <c r="C185" s="1491" t="s">
        <v>1845</v>
      </c>
      <c r="D185" s="1531" t="s">
        <v>1566</v>
      </c>
      <c r="E185" s="1318">
        <v>0</v>
      </c>
      <c r="F185" s="1437">
        <v>0</v>
      </c>
      <c r="G185" s="1437">
        <v>0</v>
      </c>
      <c r="H185" s="1437">
        <f t="shared" si="8"/>
        <v>0</v>
      </c>
      <c r="I185" s="1437">
        <v>0</v>
      </c>
      <c r="J185" s="1437">
        <v>0</v>
      </c>
      <c r="K185" s="1438"/>
      <c r="L185" s="1438"/>
      <c r="M185" s="1437">
        <f t="shared" si="9"/>
        <v>0</v>
      </c>
      <c r="N185" s="1437">
        <f t="shared" si="10"/>
        <v>0</v>
      </c>
    </row>
    <row r="186" spans="1:14" outlineLevel="1">
      <c r="A186" s="1491">
        <v>14.9</v>
      </c>
      <c r="B186" s="1530" t="s">
        <v>1933</v>
      </c>
      <c r="C186" s="1491" t="s">
        <v>1845</v>
      </c>
      <c r="D186" s="1531" t="s">
        <v>1566</v>
      </c>
      <c r="E186" s="1318">
        <v>0</v>
      </c>
      <c r="F186" s="1437">
        <v>0</v>
      </c>
      <c r="G186" s="1437">
        <v>0</v>
      </c>
      <c r="H186" s="1437">
        <f t="shared" si="8"/>
        <v>0</v>
      </c>
      <c r="I186" s="1437">
        <v>0</v>
      </c>
      <c r="J186" s="1437">
        <v>0</v>
      </c>
      <c r="K186" s="1438"/>
      <c r="L186" s="1438"/>
      <c r="M186" s="1437">
        <f t="shared" si="9"/>
        <v>0</v>
      </c>
      <c r="N186" s="1437">
        <f t="shared" si="10"/>
        <v>0</v>
      </c>
    </row>
    <row r="187" spans="1:14" ht="31" outlineLevel="1">
      <c r="A187" s="1533">
        <v>15</v>
      </c>
      <c r="B187" s="1534" t="s">
        <v>1935</v>
      </c>
      <c r="C187" s="1491" t="s">
        <v>1845</v>
      </c>
      <c r="D187" s="1531" t="s">
        <v>1566</v>
      </c>
      <c r="E187" s="1318">
        <v>0</v>
      </c>
      <c r="F187" s="1437">
        <v>0</v>
      </c>
      <c r="G187" s="1437">
        <v>0</v>
      </c>
      <c r="H187" s="1437">
        <f t="shared" si="8"/>
        <v>0</v>
      </c>
      <c r="I187" s="1437">
        <v>0</v>
      </c>
      <c r="J187" s="1437">
        <v>0</v>
      </c>
      <c r="K187" s="1438"/>
      <c r="L187" s="1438"/>
      <c r="M187" s="1437">
        <f t="shared" si="9"/>
        <v>0</v>
      </c>
      <c r="N187" s="1437">
        <f t="shared" si="10"/>
        <v>0</v>
      </c>
    </row>
    <row r="188" spans="1:14" outlineLevel="1">
      <c r="A188" s="1491">
        <v>15.1</v>
      </c>
      <c r="B188" s="1530" t="s">
        <v>1937</v>
      </c>
      <c r="C188" s="1491" t="s">
        <v>1845</v>
      </c>
      <c r="D188" s="1531" t="s">
        <v>1566</v>
      </c>
      <c r="E188" s="1318">
        <v>0</v>
      </c>
      <c r="F188" s="1437">
        <v>0</v>
      </c>
      <c r="G188" s="1437">
        <v>0</v>
      </c>
      <c r="H188" s="1437">
        <f t="shared" si="8"/>
        <v>0</v>
      </c>
      <c r="I188" s="1437">
        <v>0</v>
      </c>
      <c r="J188" s="1437">
        <v>0</v>
      </c>
      <c r="K188" s="1438"/>
      <c r="L188" s="1438"/>
      <c r="M188" s="1437">
        <f t="shared" si="9"/>
        <v>0</v>
      </c>
      <c r="N188" s="1437">
        <f t="shared" si="10"/>
        <v>0</v>
      </c>
    </row>
    <row r="189" spans="1:14" ht="29" outlineLevel="1">
      <c r="A189" s="1491">
        <v>15.2</v>
      </c>
      <c r="B189" s="1530" t="s">
        <v>1938</v>
      </c>
      <c r="C189" s="1491" t="s">
        <v>1845</v>
      </c>
      <c r="D189" s="1531" t="s">
        <v>1566</v>
      </c>
      <c r="E189" s="1318">
        <v>0</v>
      </c>
      <c r="F189" s="1437">
        <v>0</v>
      </c>
      <c r="G189" s="1437">
        <v>0</v>
      </c>
      <c r="H189" s="1437">
        <f t="shared" si="8"/>
        <v>0</v>
      </c>
      <c r="I189" s="1437">
        <v>0</v>
      </c>
      <c r="J189" s="1437">
        <v>0</v>
      </c>
      <c r="K189" s="1438"/>
      <c r="L189" s="1438"/>
      <c r="M189" s="1437">
        <f t="shared" si="9"/>
        <v>0</v>
      </c>
      <c r="N189" s="1437">
        <f t="shared" si="10"/>
        <v>0</v>
      </c>
    </row>
    <row r="190" spans="1:14" outlineLevel="1">
      <c r="A190" s="1491">
        <v>15.3</v>
      </c>
      <c r="B190" s="1530" t="s">
        <v>1928</v>
      </c>
      <c r="C190" s="1491" t="s">
        <v>1845</v>
      </c>
      <c r="D190" s="1531" t="s">
        <v>1566</v>
      </c>
      <c r="E190" s="1318">
        <v>0</v>
      </c>
      <c r="F190" s="1437">
        <v>0</v>
      </c>
      <c r="G190" s="1437">
        <v>0</v>
      </c>
      <c r="H190" s="1437">
        <f t="shared" si="8"/>
        <v>0</v>
      </c>
      <c r="I190" s="1437">
        <v>0</v>
      </c>
      <c r="J190" s="1437">
        <v>0</v>
      </c>
      <c r="K190" s="1438"/>
      <c r="L190" s="1438"/>
      <c r="M190" s="1437">
        <f t="shared" si="9"/>
        <v>0</v>
      </c>
      <c r="N190" s="1437">
        <f t="shared" si="10"/>
        <v>0</v>
      </c>
    </row>
    <row r="191" spans="1:14" outlineLevel="1">
      <c r="A191" s="1491">
        <v>15.4</v>
      </c>
      <c r="B191" s="1530" t="s">
        <v>1940</v>
      </c>
      <c r="C191" s="1491" t="s">
        <v>1845</v>
      </c>
      <c r="D191" s="1531" t="s">
        <v>1566</v>
      </c>
      <c r="E191" s="1318">
        <v>0</v>
      </c>
      <c r="F191" s="1437">
        <v>0</v>
      </c>
      <c r="G191" s="1437">
        <v>0</v>
      </c>
      <c r="H191" s="1437">
        <f t="shared" si="8"/>
        <v>0</v>
      </c>
      <c r="I191" s="1437">
        <v>0</v>
      </c>
      <c r="J191" s="1437">
        <v>0</v>
      </c>
      <c r="K191" s="1438"/>
      <c r="L191" s="1438"/>
      <c r="M191" s="1437">
        <f t="shared" si="9"/>
        <v>0</v>
      </c>
      <c r="N191" s="1437">
        <f t="shared" si="10"/>
        <v>0</v>
      </c>
    </row>
    <row r="192" spans="1:14" outlineLevel="1">
      <c r="A192" s="1491">
        <v>15.5</v>
      </c>
      <c r="B192" s="1530" t="s">
        <v>1941</v>
      </c>
      <c r="C192" s="1491" t="s">
        <v>1845</v>
      </c>
      <c r="D192" s="1531" t="s">
        <v>1566</v>
      </c>
      <c r="E192" s="1318">
        <v>0</v>
      </c>
      <c r="F192" s="1437">
        <v>0</v>
      </c>
      <c r="G192" s="1437">
        <v>0</v>
      </c>
      <c r="H192" s="1437">
        <f t="shared" si="8"/>
        <v>0</v>
      </c>
      <c r="I192" s="1437">
        <v>0</v>
      </c>
      <c r="J192" s="1437">
        <v>0</v>
      </c>
      <c r="K192" s="1438"/>
      <c r="L192" s="1438"/>
      <c r="M192" s="1437">
        <f t="shared" si="9"/>
        <v>0</v>
      </c>
      <c r="N192" s="1437">
        <f t="shared" si="10"/>
        <v>0</v>
      </c>
    </row>
    <row r="193" spans="1:14" outlineLevel="1">
      <c r="A193" s="1491">
        <v>15.6</v>
      </c>
      <c r="B193" s="1530" t="s">
        <v>1943</v>
      </c>
      <c r="C193" s="1491" t="s">
        <v>1845</v>
      </c>
      <c r="D193" s="1531" t="s">
        <v>1566</v>
      </c>
      <c r="E193" s="1318">
        <v>0</v>
      </c>
      <c r="F193" s="1437">
        <v>0</v>
      </c>
      <c r="G193" s="1437">
        <v>0</v>
      </c>
      <c r="H193" s="1437">
        <f t="shared" si="8"/>
        <v>0</v>
      </c>
      <c r="I193" s="1437">
        <v>0</v>
      </c>
      <c r="J193" s="1437">
        <v>0</v>
      </c>
      <c r="K193" s="1438"/>
      <c r="L193" s="1438"/>
      <c r="M193" s="1437">
        <f t="shared" si="9"/>
        <v>0</v>
      </c>
      <c r="N193" s="1437">
        <f t="shared" si="10"/>
        <v>0</v>
      </c>
    </row>
    <row r="194" spans="1:14" ht="15.5" outlineLevel="1">
      <c r="A194" s="1533">
        <v>16</v>
      </c>
      <c r="B194" s="1534" t="s">
        <v>1944</v>
      </c>
      <c r="C194" s="1491" t="s">
        <v>1845</v>
      </c>
      <c r="D194" s="1531" t="s">
        <v>1566</v>
      </c>
      <c r="E194" s="1318">
        <v>0</v>
      </c>
      <c r="F194" s="1437">
        <v>0</v>
      </c>
      <c r="G194" s="1437">
        <v>0</v>
      </c>
      <c r="H194" s="1437">
        <f t="shared" si="8"/>
        <v>0</v>
      </c>
      <c r="I194" s="1437">
        <v>0</v>
      </c>
      <c r="J194" s="1437">
        <v>0</v>
      </c>
      <c r="K194" s="1438"/>
      <c r="L194" s="1438"/>
      <c r="M194" s="1437">
        <f t="shared" si="9"/>
        <v>0</v>
      </c>
      <c r="N194" s="1437">
        <f t="shared" si="10"/>
        <v>0</v>
      </c>
    </row>
    <row r="195" spans="1:14" outlineLevel="1">
      <c r="A195" s="1491">
        <v>16.100000000000001</v>
      </c>
      <c r="B195" s="1530" t="s">
        <v>1945</v>
      </c>
      <c r="C195" s="1491" t="s">
        <v>1845</v>
      </c>
      <c r="D195" s="1531" t="s">
        <v>1566</v>
      </c>
      <c r="E195" s="1318">
        <v>0</v>
      </c>
      <c r="F195" s="1437">
        <v>0</v>
      </c>
      <c r="G195" s="1437">
        <v>0</v>
      </c>
      <c r="H195" s="1437">
        <f t="shared" si="8"/>
        <v>0</v>
      </c>
      <c r="I195" s="1437">
        <v>0</v>
      </c>
      <c r="J195" s="1437">
        <v>0</v>
      </c>
      <c r="K195" s="1438"/>
      <c r="L195" s="1438"/>
      <c r="M195" s="1437">
        <f t="shared" si="9"/>
        <v>0</v>
      </c>
      <c r="N195" s="1437">
        <f t="shared" si="10"/>
        <v>0</v>
      </c>
    </row>
    <row r="196" spans="1:14" outlineLevel="1">
      <c r="A196" s="1491">
        <v>16.2</v>
      </c>
      <c r="B196" s="1530" t="s">
        <v>1946</v>
      </c>
      <c r="C196" s="1491" t="s">
        <v>1845</v>
      </c>
      <c r="D196" s="1531" t="s">
        <v>1566</v>
      </c>
      <c r="E196" s="1318">
        <v>0</v>
      </c>
      <c r="F196" s="1437">
        <v>0</v>
      </c>
      <c r="G196" s="1437">
        <v>0</v>
      </c>
      <c r="H196" s="1437">
        <f t="shared" si="8"/>
        <v>0</v>
      </c>
      <c r="I196" s="1437">
        <v>0</v>
      </c>
      <c r="J196" s="1437">
        <v>0</v>
      </c>
      <c r="K196" s="1438"/>
      <c r="L196" s="1438"/>
      <c r="M196" s="1437">
        <f t="shared" si="9"/>
        <v>0</v>
      </c>
      <c r="N196" s="1437">
        <f t="shared" si="10"/>
        <v>0</v>
      </c>
    </row>
    <row r="197" spans="1:14" outlineLevel="1">
      <c r="A197" s="1491">
        <v>16.3</v>
      </c>
      <c r="B197" s="1530" t="s">
        <v>1948</v>
      </c>
      <c r="C197" s="1491" t="s">
        <v>1845</v>
      </c>
      <c r="D197" s="1531" t="s">
        <v>1566</v>
      </c>
      <c r="E197" s="1318">
        <v>0</v>
      </c>
      <c r="F197" s="1437">
        <v>0</v>
      </c>
      <c r="G197" s="1437">
        <v>0</v>
      </c>
      <c r="H197" s="1437">
        <f t="shared" si="8"/>
        <v>0</v>
      </c>
      <c r="I197" s="1437">
        <v>0</v>
      </c>
      <c r="J197" s="1437">
        <v>0</v>
      </c>
      <c r="K197" s="1438"/>
      <c r="L197" s="1438"/>
      <c r="M197" s="1437">
        <f t="shared" si="9"/>
        <v>0</v>
      </c>
      <c r="N197" s="1437">
        <f t="shared" si="10"/>
        <v>0</v>
      </c>
    </row>
    <row r="198" spans="1:14" outlineLevel="1">
      <c r="A198" s="1491">
        <v>16.399999999999999</v>
      </c>
      <c r="B198" s="1530" t="s">
        <v>1949</v>
      </c>
      <c r="C198" s="1491" t="s">
        <v>1845</v>
      </c>
      <c r="D198" s="1531" t="s">
        <v>1566</v>
      </c>
      <c r="E198" s="1318">
        <v>0</v>
      </c>
      <c r="F198" s="1437">
        <v>0</v>
      </c>
      <c r="G198" s="1437">
        <v>0</v>
      </c>
      <c r="H198" s="1437">
        <f t="shared" si="8"/>
        <v>0</v>
      </c>
      <c r="I198" s="1437">
        <v>0</v>
      </c>
      <c r="J198" s="1437">
        <v>0</v>
      </c>
      <c r="K198" s="1438"/>
      <c r="L198" s="1438"/>
      <c r="M198" s="1437">
        <f t="shared" si="9"/>
        <v>0</v>
      </c>
      <c r="N198" s="1437">
        <f t="shared" si="10"/>
        <v>0</v>
      </c>
    </row>
    <row r="199" spans="1:14" ht="29" outlineLevel="1">
      <c r="A199" s="1491">
        <v>16.5</v>
      </c>
      <c r="B199" s="1530" t="s">
        <v>1950</v>
      </c>
      <c r="C199" s="1491" t="s">
        <v>1845</v>
      </c>
      <c r="D199" s="1531" t="s">
        <v>1566</v>
      </c>
      <c r="E199" s="1318">
        <v>0</v>
      </c>
      <c r="F199" s="1437">
        <v>0</v>
      </c>
      <c r="G199" s="1437">
        <v>0</v>
      </c>
      <c r="H199" s="1437">
        <f t="shared" si="8"/>
        <v>0</v>
      </c>
      <c r="I199" s="1437">
        <v>0</v>
      </c>
      <c r="J199" s="1437">
        <v>0</v>
      </c>
      <c r="K199" s="1438"/>
      <c r="L199" s="1438"/>
      <c r="M199" s="1437">
        <f t="shared" si="9"/>
        <v>0</v>
      </c>
      <c r="N199" s="1437">
        <f t="shared" si="10"/>
        <v>0</v>
      </c>
    </row>
    <row r="200" spans="1:14" outlineLevel="1">
      <c r="A200" s="1491">
        <v>16.600000000000001</v>
      </c>
      <c r="B200" s="1530" t="s">
        <v>1951</v>
      </c>
      <c r="C200" s="1491" t="s">
        <v>1845</v>
      </c>
      <c r="D200" s="1531" t="s">
        <v>1566</v>
      </c>
      <c r="E200" s="1318">
        <v>0</v>
      </c>
      <c r="F200" s="1437">
        <v>0</v>
      </c>
      <c r="G200" s="1437">
        <v>0</v>
      </c>
      <c r="H200" s="1437">
        <f t="shared" si="8"/>
        <v>0</v>
      </c>
      <c r="I200" s="1437">
        <v>0</v>
      </c>
      <c r="J200" s="1437">
        <v>0</v>
      </c>
      <c r="K200" s="1438"/>
      <c r="L200" s="1438"/>
      <c r="M200" s="1437">
        <f t="shared" si="9"/>
        <v>0</v>
      </c>
      <c r="N200" s="1437">
        <f t="shared" si="10"/>
        <v>0</v>
      </c>
    </row>
    <row r="201" spans="1:14" ht="31" outlineLevel="1">
      <c r="A201" s="1533">
        <v>17</v>
      </c>
      <c r="B201" s="1534" t="s">
        <v>1952</v>
      </c>
      <c r="C201" s="1491" t="s">
        <v>1845</v>
      </c>
      <c r="D201" s="1531" t="s">
        <v>1566</v>
      </c>
      <c r="E201" s="1318">
        <v>0</v>
      </c>
      <c r="F201" s="1437">
        <v>0</v>
      </c>
      <c r="G201" s="1437">
        <v>0</v>
      </c>
      <c r="H201" s="1437">
        <f t="shared" ref="H201:H265" si="11">F201-G201</f>
        <v>0</v>
      </c>
      <c r="I201" s="1437">
        <v>0</v>
      </c>
      <c r="J201" s="1437">
        <v>0</v>
      </c>
      <c r="K201" s="1438"/>
      <c r="L201" s="1438"/>
      <c r="M201" s="1437">
        <f t="shared" ref="M201:M265" si="12">SUM(J201:L201)</f>
        <v>0</v>
      </c>
      <c r="N201" s="1437">
        <f t="shared" ref="N201:N265" si="13">H201+I201-M201</f>
        <v>0</v>
      </c>
    </row>
    <row r="202" spans="1:14" ht="29" outlineLevel="1">
      <c r="A202" s="1491">
        <v>17.100000000000001</v>
      </c>
      <c r="B202" s="1530" t="s">
        <v>1953</v>
      </c>
      <c r="C202" s="1491" t="s">
        <v>1845</v>
      </c>
      <c r="D202" s="1531" t="s">
        <v>1566</v>
      </c>
      <c r="E202" s="1318">
        <v>0</v>
      </c>
      <c r="F202" s="1437">
        <v>0</v>
      </c>
      <c r="G202" s="1437">
        <v>0</v>
      </c>
      <c r="H202" s="1437">
        <f t="shared" si="11"/>
        <v>0</v>
      </c>
      <c r="I202" s="1437">
        <v>0</v>
      </c>
      <c r="J202" s="1437">
        <v>0</v>
      </c>
      <c r="K202" s="1438"/>
      <c r="L202" s="1438"/>
      <c r="M202" s="1437">
        <f t="shared" si="12"/>
        <v>0</v>
      </c>
      <c r="N202" s="1437">
        <f t="shared" si="13"/>
        <v>0</v>
      </c>
    </row>
    <row r="203" spans="1:14" ht="31" outlineLevel="1">
      <c r="A203" s="1533">
        <v>18</v>
      </c>
      <c r="B203" s="1534" t="s">
        <v>1954</v>
      </c>
      <c r="C203" s="1491" t="s">
        <v>1845</v>
      </c>
      <c r="D203" s="1531" t="s">
        <v>1566</v>
      </c>
      <c r="E203" s="1318">
        <v>0</v>
      </c>
      <c r="F203" s="1437">
        <v>0</v>
      </c>
      <c r="G203" s="1437">
        <v>0</v>
      </c>
      <c r="H203" s="1437">
        <f t="shared" si="11"/>
        <v>0</v>
      </c>
      <c r="I203" s="1437">
        <v>0</v>
      </c>
      <c r="J203" s="1437">
        <v>0</v>
      </c>
      <c r="K203" s="1438"/>
      <c r="L203" s="1438"/>
      <c r="M203" s="1437">
        <f t="shared" si="12"/>
        <v>0</v>
      </c>
      <c r="N203" s="1437">
        <f t="shared" si="13"/>
        <v>0</v>
      </c>
    </row>
    <row r="204" spans="1:14" ht="29" outlineLevel="1">
      <c r="A204" s="1491">
        <v>18.100000000000001</v>
      </c>
      <c r="B204" s="1530" t="s">
        <v>1955</v>
      </c>
      <c r="C204" s="1491" t="s">
        <v>1845</v>
      </c>
      <c r="D204" s="1531" t="s">
        <v>1566</v>
      </c>
      <c r="E204" s="1318">
        <v>0</v>
      </c>
      <c r="F204" s="1437">
        <v>0</v>
      </c>
      <c r="G204" s="1437">
        <v>0</v>
      </c>
      <c r="H204" s="1437">
        <f t="shared" si="11"/>
        <v>0</v>
      </c>
      <c r="I204" s="1437">
        <v>0</v>
      </c>
      <c r="J204" s="1437">
        <v>0</v>
      </c>
      <c r="K204" s="1438"/>
      <c r="L204" s="1438"/>
      <c r="M204" s="1437">
        <f t="shared" si="12"/>
        <v>0</v>
      </c>
      <c r="N204" s="1437">
        <f t="shared" si="13"/>
        <v>0</v>
      </c>
    </row>
    <row r="205" spans="1:14" ht="29" outlineLevel="1">
      <c r="A205" s="1491">
        <v>18.2</v>
      </c>
      <c r="B205" s="1530" t="s">
        <v>1956</v>
      </c>
      <c r="C205" s="1491" t="s">
        <v>1845</v>
      </c>
      <c r="D205" s="1531" t="s">
        <v>1566</v>
      </c>
      <c r="E205" s="1318">
        <v>0</v>
      </c>
      <c r="F205" s="1437">
        <v>0</v>
      </c>
      <c r="G205" s="1437">
        <v>0</v>
      </c>
      <c r="H205" s="1437">
        <f t="shared" si="11"/>
        <v>0</v>
      </c>
      <c r="I205" s="1437">
        <v>0</v>
      </c>
      <c r="J205" s="1437">
        <v>0</v>
      </c>
      <c r="K205" s="1438"/>
      <c r="L205" s="1438"/>
      <c r="M205" s="1437">
        <f t="shared" si="12"/>
        <v>0</v>
      </c>
      <c r="N205" s="1437">
        <f t="shared" si="13"/>
        <v>0</v>
      </c>
    </row>
    <row r="206" spans="1:14" ht="58" outlineLevel="1">
      <c r="A206" s="1491">
        <v>18.3</v>
      </c>
      <c r="B206" s="1530" t="s">
        <v>1957</v>
      </c>
      <c r="C206" s="1491" t="s">
        <v>1845</v>
      </c>
      <c r="D206" s="1531" t="s">
        <v>1566</v>
      </c>
      <c r="E206" s="1318">
        <v>0</v>
      </c>
      <c r="F206" s="1437">
        <v>0</v>
      </c>
      <c r="G206" s="1437">
        <v>0</v>
      </c>
      <c r="H206" s="1437">
        <f t="shared" si="11"/>
        <v>0</v>
      </c>
      <c r="I206" s="1437">
        <v>0</v>
      </c>
      <c r="J206" s="1437">
        <v>0</v>
      </c>
      <c r="K206" s="1438"/>
      <c r="L206" s="1438"/>
      <c r="M206" s="1437">
        <f t="shared" si="12"/>
        <v>0</v>
      </c>
      <c r="N206" s="1437">
        <f t="shared" si="13"/>
        <v>0</v>
      </c>
    </row>
    <row r="207" spans="1:14" ht="58" outlineLevel="1">
      <c r="A207" s="1491">
        <v>18.399999999999999</v>
      </c>
      <c r="B207" s="1530" t="s">
        <v>1958</v>
      </c>
      <c r="C207" s="1491" t="s">
        <v>1845</v>
      </c>
      <c r="D207" s="1531" t="s">
        <v>1566</v>
      </c>
      <c r="E207" s="1318">
        <v>0</v>
      </c>
      <c r="F207" s="1437">
        <v>0</v>
      </c>
      <c r="G207" s="1437">
        <v>0</v>
      </c>
      <c r="H207" s="1437">
        <f t="shared" si="11"/>
        <v>0</v>
      </c>
      <c r="I207" s="1437">
        <v>0</v>
      </c>
      <c r="J207" s="1437">
        <v>0</v>
      </c>
      <c r="K207" s="1438"/>
      <c r="L207" s="1438"/>
      <c r="M207" s="1437">
        <f t="shared" si="12"/>
        <v>0</v>
      </c>
      <c r="N207" s="1437">
        <f t="shared" si="13"/>
        <v>0</v>
      </c>
    </row>
    <row r="208" spans="1:14" ht="29" outlineLevel="1">
      <c r="A208" s="1491">
        <v>18.5</v>
      </c>
      <c r="B208" s="1530" t="s">
        <v>1959</v>
      </c>
      <c r="C208" s="1491" t="s">
        <v>1845</v>
      </c>
      <c r="D208" s="1531" t="s">
        <v>1566</v>
      </c>
      <c r="E208" s="1318">
        <v>0</v>
      </c>
      <c r="F208" s="1437">
        <v>0</v>
      </c>
      <c r="G208" s="1437">
        <v>0</v>
      </c>
      <c r="H208" s="1437">
        <f t="shared" si="11"/>
        <v>0</v>
      </c>
      <c r="I208" s="1437">
        <v>0</v>
      </c>
      <c r="J208" s="1437">
        <v>0</v>
      </c>
      <c r="K208" s="1438"/>
      <c r="L208" s="1438"/>
      <c r="M208" s="1437">
        <f t="shared" si="12"/>
        <v>0</v>
      </c>
      <c r="N208" s="1437">
        <f t="shared" si="13"/>
        <v>0</v>
      </c>
    </row>
    <row r="209" spans="1:14" ht="29" outlineLevel="1">
      <c r="A209" s="1491">
        <v>18.600000000000001</v>
      </c>
      <c r="B209" s="1530" t="s">
        <v>1959</v>
      </c>
      <c r="C209" s="1491" t="s">
        <v>1845</v>
      </c>
      <c r="D209" s="1531" t="s">
        <v>1566</v>
      </c>
      <c r="E209" s="1318">
        <v>0</v>
      </c>
      <c r="F209" s="1437">
        <v>0</v>
      </c>
      <c r="G209" s="1437">
        <v>0</v>
      </c>
      <c r="H209" s="1437">
        <f t="shared" si="11"/>
        <v>0</v>
      </c>
      <c r="I209" s="1437">
        <v>0</v>
      </c>
      <c r="J209" s="1437">
        <v>0</v>
      </c>
      <c r="K209" s="1438"/>
      <c r="L209" s="1438"/>
      <c r="M209" s="1437">
        <f t="shared" si="12"/>
        <v>0</v>
      </c>
      <c r="N209" s="1437">
        <f t="shared" si="13"/>
        <v>0</v>
      </c>
    </row>
    <row r="210" spans="1:14" ht="29" outlineLevel="1">
      <c r="A210" s="1491">
        <v>18.7</v>
      </c>
      <c r="B210" s="1530" t="s">
        <v>1960</v>
      </c>
      <c r="C210" s="1491" t="s">
        <v>1845</v>
      </c>
      <c r="D210" s="1531" t="s">
        <v>1566</v>
      </c>
      <c r="E210" s="1318">
        <v>0</v>
      </c>
      <c r="F210" s="1437">
        <v>0</v>
      </c>
      <c r="G210" s="1437">
        <v>0</v>
      </c>
      <c r="H210" s="1437">
        <f t="shared" si="11"/>
        <v>0</v>
      </c>
      <c r="I210" s="1437">
        <v>0</v>
      </c>
      <c r="J210" s="1437">
        <v>0</v>
      </c>
      <c r="K210" s="1438"/>
      <c r="L210" s="1438"/>
      <c r="M210" s="1437">
        <f t="shared" si="12"/>
        <v>0</v>
      </c>
      <c r="N210" s="1437">
        <f t="shared" si="13"/>
        <v>0</v>
      </c>
    </row>
    <row r="211" spans="1:14" ht="29" outlineLevel="1">
      <c r="A211" s="1491">
        <v>18.8</v>
      </c>
      <c r="B211" s="1530" t="s">
        <v>1961</v>
      </c>
      <c r="C211" s="1491" t="s">
        <v>1845</v>
      </c>
      <c r="D211" s="1531" t="s">
        <v>1566</v>
      </c>
      <c r="E211" s="1318">
        <v>0</v>
      </c>
      <c r="F211" s="1437">
        <v>0</v>
      </c>
      <c r="G211" s="1437">
        <v>0</v>
      </c>
      <c r="H211" s="1437">
        <f t="shared" si="11"/>
        <v>0</v>
      </c>
      <c r="I211" s="1437">
        <v>0</v>
      </c>
      <c r="J211" s="1437">
        <v>0</v>
      </c>
      <c r="K211" s="1438"/>
      <c r="L211" s="1438"/>
      <c r="M211" s="1437">
        <f t="shared" si="12"/>
        <v>0</v>
      </c>
      <c r="N211" s="1437">
        <f t="shared" si="13"/>
        <v>0</v>
      </c>
    </row>
    <row r="212" spans="1:14" ht="29" outlineLevel="1">
      <c r="A212" s="1491">
        <v>18.899999999999999</v>
      </c>
      <c r="B212" s="1530" t="s">
        <v>1962</v>
      </c>
      <c r="C212" s="1491" t="s">
        <v>1845</v>
      </c>
      <c r="D212" s="1531" t="s">
        <v>1566</v>
      </c>
      <c r="E212" s="1318">
        <v>0</v>
      </c>
      <c r="F212" s="1437">
        <v>0</v>
      </c>
      <c r="G212" s="1437">
        <v>0</v>
      </c>
      <c r="H212" s="1437">
        <f t="shared" si="11"/>
        <v>0</v>
      </c>
      <c r="I212" s="1437">
        <v>0</v>
      </c>
      <c r="J212" s="1437">
        <v>0</v>
      </c>
      <c r="K212" s="1438"/>
      <c r="L212" s="1438"/>
      <c r="M212" s="1437">
        <f t="shared" si="12"/>
        <v>0</v>
      </c>
      <c r="N212" s="1437">
        <f t="shared" si="13"/>
        <v>0</v>
      </c>
    </row>
    <row r="213" spans="1:14" ht="43.5" outlineLevel="1">
      <c r="A213" s="1491">
        <v>18.100000000000001</v>
      </c>
      <c r="B213" s="1530" t="s">
        <v>1963</v>
      </c>
      <c r="C213" s="1491" t="s">
        <v>1845</v>
      </c>
      <c r="D213" s="1531" t="s">
        <v>1566</v>
      </c>
      <c r="E213" s="1318">
        <v>0</v>
      </c>
      <c r="F213" s="1437">
        <v>0</v>
      </c>
      <c r="G213" s="1437">
        <v>0</v>
      </c>
      <c r="H213" s="1437">
        <f t="shared" si="11"/>
        <v>0</v>
      </c>
      <c r="I213" s="1437">
        <v>0</v>
      </c>
      <c r="J213" s="1437">
        <v>0</v>
      </c>
      <c r="K213" s="1438"/>
      <c r="L213" s="1438"/>
      <c r="M213" s="1437">
        <f t="shared" si="12"/>
        <v>0</v>
      </c>
      <c r="N213" s="1437">
        <f t="shared" si="13"/>
        <v>0</v>
      </c>
    </row>
    <row r="214" spans="1:14" ht="31" outlineLevel="1">
      <c r="A214" s="1533">
        <v>19</v>
      </c>
      <c r="B214" s="1534" t="s">
        <v>1954</v>
      </c>
      <c r="C214" s="1491" t="s">
        <v>1845</v>
      </c>
      <c r="D214" s="1531" t="s">
        <v>1566</v>
      </c>
      <c r="E214" s="1318">
        <v>0</v>
      </c>
      <c r="F214" s="1437">
        <v>0</v>
      </c>
      <c r="G214" s="1437">
        <v>0</v>
      </c>
      <c r="H214" s="1437">
        <f t="shared" si="11"/>
        <v>0</v>
      </c>
      <c r="I214" s="1437">
        <v>0</v>
      </c>
      <c r="J214" s="1437">
        <v>0</v>
      </c>
      <c r="K214" s="1438"/>
      <c r="L214" s="1438"/>
      <c r="M214" s="1437">
        <f t="shared" si="12"/>
        <v>0</v>
      </c>
      <c r="N214" s="1437">
        <f t="shared" si="13"/>
        <v>0</v>
      </c>
    </row>
    <row r="215" spans="1:14" ht="29" outlineLevel="1">
      <c r="A215" s="1491">
        <v>19.100000000000001</v>
      </c>
      <c r="B215" s="1530" t="s">
        <v>1964</v>
      </c>
      <c r="C215" s="1491" t="s">
        <v>1845</v>
      </c>
      <c r="D215" s="1531" t="s">
        <v>1566</v>
      </c>
      <c r="E215" s="1318">
        <v>0</v>
      </c>
      <c r="F215" s="1437">
        <v>0</v>
      </c>
      <c r="G215" s="1437">
        <v>0</v>
      </c>
      <c r="H215" s="1437">
        <f t="shared" si="11"/>
        <v>0</v>
      </c>
      <c r="I215" s="1437">
        <v>0</v>
      </c>
      <c r="J215" s="1437">
        <v>0</v>
      </c>
      <c r="K215" s="1438"/>
      <c r="L215" s="1438"/>
      <c r="M215" s="1437">
        <f t="shared" si="12"/>
        <v>0</v>
      </c>
      <c r="N215" s="1437">
        <f t="shared" si="13"/>
        <v>0</v>
      </c>
    </row>
    <row r="216" spans="1:14" ht="29" outlineLevel="1">
      <c r="A216" s="1491">
        <v>19.2</v>
      </c>
      <c r="B216" s="1530" t="s">
        <v>1965</v>
      </c>
      <c r="C216" s="1491" t="s">
        <v>1845</v>
      </c>
      <c r="D216" s="1531" t="s">
        <v>1566</v>
      </c>
      <c r="E216" s="1318">
        <v>0</v>
      </c>
      <c r="F216" s="1437">
        <v>0</v>
      </c>
      <c r="G216" s="1437">
        <v>0</v>
      </c>
      <c r="H216" s="1437">
        <f t="shared" si="11"/>
        <v>0</v>
      </c>
      <c r="I216" s="1437">
        <v>0</v>
      </c>
      <c r="J216" s="1437">
        <v>0</v>
      </c>
      <c r="K216" s="1438"/>
      <c r="L216" s="1438"/>
      <c r="M216" s="1437">
        <f t="shared" si="12"/>
        <v>0</v>
      </c>
      <c r="N216" s="1437">
        <f t="shared" si="13"/>
        <v>0</v>
      </c>
    </row>
    <row r="217" spans="1:14" outlineLevel="1">
      <c r="A217" s="1491">
        <v>19.3</v>
      </c>
      <c r="B217" s="1530" t="s">
        <v>1966</v>
      </c>
      <c r="C217" s="1491" t="s">
        <v>1845</v>
      </c>
      <c r="D217" s="1531" t="s">
        <v>1566</v>
      </c>
      <c r="E217" s="1318">
        <v>0</v>
      </c>
      <c r="F217" s="1437">
        <v>0</v>
      </c>
      <c r="G217" s="1437">
        <v>0</v>
      </c>
      <c r="H217" s="1437">
        <f t="shared" si="11"/>
        <v>0</v>
      </c>
      <c r="I217" s="1437">
        <v>0</v>
      </c>
      <c r="J217" s="1437">
        <v>0</v>
      </c>
      <c r="K217" s="1438"/>
      <c r="L217" s="1438"/>
      <c r="M217" s="1437">
        <f t="shared" si="12"/>
        <v>0</v>
      </c>
      <c r="N217" s="1437">
        <f t="shared" si="13"/>
        <v>0</v>
      </c>
    </row>
    <row r="218" spans="1:14" ht="43.5" outlineLevel="1">
      <c r="A218" s="1491">
        <v>19.399999999999999</v>
      </c>
      <c r="B218" s="1530" t="s">
        <v>1967</v>
      </c>
      <c r="C218" s="1491" t="s">
        <v>1845</v>
      </c>
      <c r="D218" s="1531" t="s">
        <v>1566</v>
      </c>
      <c r="E218" s="1318">
        <v>0</v>
      </c>
      <c r="F218" s="1437">
        <v>0</v>
      </c>
      <c r="G218" s="1437">
        <v>0</v>
      </c>
      <c r="H218" s="1437">
        <f t="shared" si="11"/>
        <v>0</v>
      </c>
      <c r="I218" s="1437">
        <v>0</v>
      </c>
      <c r="J218" s="1437">
        <v>0</v>
      </c>
      <c r="K218" s="1438"/>
      <c r="L218" s="1438"/>
      <c r="M218" s="1437">
        <f t="shared" si="12"/>
        <v>0</v>
      </c>
      <c r="N218" s="1437">
        <f t="shared" si="13"/>
        <v>0</v>
      </c>
    </row>
    <row r="219" spans="1:14" ht="43.5" outlineLevel="1">
      <c r="A219" s="1491">
        <v>19.5</v>
      </c>
      <c r="B219" s="1530" t="s">
        <v>1968</v>
      </c>
      <c r="C219" s="1491" t="s">
        <v>1845</v>
      </c>
      <c r="D219" s="1531" t="s">
        <v>1566</v>
      </c>
      <c r="E219" s="1318">
        <v>0</v>
      </c>
      <c r="F219" s="1437">
        <v>0</v>
      </c>
      <c r="G219" s="1437">
        <v>0</v>
      </c>
      <c r="H219" s="1437">
        <f t="shared" si="11"/>
        <v>0</v>
      </c>
      <c r="I219" s="1437">
        <v>0</v>
      </c>
      <c r="J219" s="1437">
        <v>0</v>
      </c>
      <c r="K219" s="1438"/>
      <c r="L219" s="1438"/>
      <c r="M219" s="1437">
        <f t="shared" si="12"/>
        <v>0</v>
      </c>
      <c r="N219" s="1437">
        <f t="shared" si="13"/>
        <v>0</v>
      </c>
    </row>
    <row r="220" spans="1:14" ht="43.5" outlineLevel="1">
      <c r="A220" s="1491">
        <v>19.600000000000001</v>
      </c>
      <c r="B220" s="1530" t="s">
        <v>1969</v>
      </c>
      <c r="C220" s="1491" t="s">
        <v>1845</v>
      </c>
      <c r="D220" s="1531" t="s">
        <v>1566</v>
      </c>
      <c r="E220" s="1318">
        <v>0</v>
      </c>
      <c r="F220" s="1437">
        <v>0</v>
      </c>
      <c r="G220" s="1437">
        <v>0</v>
      </c>
      <c r="H220" s="1437">
        <f t="shared" si="11"/>
        <v>0</v>
      </c>
      <c r="I220" s="1437">
        <v>0</v>
      </c>
      <c r="J220" s="1437">
        <v>0</v>
      </c>
      <c r="K220" s="1438"/>
      <c r="L220" s="1438"/>
      <c r="M220" s="1437">
        <f t="shared" si="12"/>
        <v>0</v>
      </c>
      <c r="N220" s="1437">
        <f t="shared" si="13"/>
        <v>0</v>
      </c>
    </row>
    <row r="221" spans="1:14" ht="31" outlineLevel="1">
      <c r="A221" s="1533">
        <v>20</v>
      </c>
      <c r="B221" s="1534" t="s">
        <v>1954</v>
      </c>
      <c r="C221" s="1491" t="s">
        <v>1845</v>
      </c>
      <c r="D221" s="1531" t="s">
        <v>1566</v>
      </c>
      <c r="E221" s="1318">
        <v>0</v>
      </c>
      <c r="F221" s="1437">
        <v>0</v>
      </c>
      <c r="G221" s="1437">
        <v>0</v>
      </c>
      <c r="H221" s="1437">
        <f t="shared" si="11"/>
        <v>0</v>
      </c>
      <c r="I221" s="1437">
        <v>0</v>
      </c>
      <c r="J221" s="1437">
        <v>0</v>
      </c>
      <c r="K221" s="1438"/>
      <c r="L221" s="1438"/>
      <c r="M221" s="1437">
        <f t="shared" si="12"/>
        <v>0</v>
      </c>
      <c r="N221" s="1437">
        <f t="shared" si="13"/>
        <v>0</v>
      </c>
    </row>
    <row r="222" spans="1:14" ht="29" outlineLevel="1">
      <c r="A222" s="1491">
        <v>20.100000000000001</v>
      </c>
      <c r="B222" s="1530" t="s">
        <v>1970</v>
      </c>
      <c r="C222" s="1491" t="s">
        <v>1845</v>
      </c>
      <c r="D222" s="1531" t="s">
        <v>1566</v>
      </c>
      <c r="E222" s="1318">
        <v>0</v>
      </c>
      <c r="F222" s="1437">
        <v>0</v>
      </c>
      <c r="G222" s="1437">
        <v>0</v>
      </c>
      <c r="H222" s="1437">
        <f t="shared" si="11"/>
        <v>0</v>
      </c>
      <c r="I222" s="1437">
        <v>0</v>
      </c>
      <c r="J222" s="1437">
        <v>0</v>
      </c>
      <c r="K222" s="1438"/>
      <c r="L222" s="1438"/>
      <c r="M222" s="1437">
        <f t="shared" si="12"/>
        <v>0</v>
      </c>
      <c r="N222" s="1437">
        <f t="shared" si="13"/>
        <v>0</v>
      </c>
    </row>
    <row r="223" spans="1:14" ht="43.5" outlineLevel="1">
      <c r="A223" s="1491">
        <v>20.2</v>
      </c>
      <c r="B223" s="1530" t="s">
        <v>1971</v>
      </c>
      <c r="C223" s="1491" t="s">
        <v>1845</v>
      </c>
      <c r="D223" s="1531" t="s">
        <v>1566</v>
      </c>
      <c r="E223" s="1318">
        <v>0</v>
      </c>
      <c r="F223" s="1437">
        <v>0</v>
      </c>
      <c r="G223" s="1437">
        <v>0</v>
      </c>
      <c r="H223" s="1437">
        <f t="shared" si="11"/>
        <v>0</v>
      </c>
      <c r="I223" s="1437">
        <v>0</v>
      </c>
      <c r="J223" s="1437">
        <v>0</v>
      </c>
      <c r="K223" s="1438"/>
      <c r="L223" s="1438"/>
      <c r="M223" s="1437">
        <f t="shared" si="12"/>
        <v>0</v>
      </c>
      <c r="N223" s="1437">
        <f t="shared" si="13"/>
        <v>0</v>
      </c>
    </row>
    <row r="224" spans="1:14" ht="15.5" outlineLevel="1">
      <c r="A224" s="1533">
        <v>21</v>
      </c>
      <c r="B224" s="1534" t="s">
        <v>1972</v>
      </c>
      <c r="C224" s="1491" t="s">
        <v>1845</v>
      </c>
      <c r="D224" s="1531" t="s">
        <v>1566</v>
      </c>
      <c r="E224" s="1318">
        <v>0</v>
      </c>
      <c r="F224" s="1437">
        <v>0</v>
      </c>
      <c r="G224" s="1437">
        <v>0</v>
      </c>
      <c r="H224" s="1437">
        <f t="shared" si="11"/>
        <v>0</v>
      </c>
      <c r="I224" s="1437">
        <v>0</v>
      </c>
      <c r="J224" s="1437">
        <v>0</v>
      </c>
      <c r="K224" s="1438"/>
      <c r="L224" s="1438"/>
      <c r="M224" s="1437">
        <f t="shared" si="12"/>
        <v>0</v>
      </c>
      <c r="N224" s="1437">
        <f t="shared" si="13"/>
        <v>0</v>
      </c>
    </row>
    <row r="225" spans="1:14" outlineLevel="1">
      <c r="A225" s="1491">
        <v>21.1</v>
      </c>
      <c r="B225" s="1530" t="s">
        <v>1973</v>
      </c>
      <c r="C225" s="1491" t="s">
        <v>1845</v>
      </c>
      <c r="D225" s="1531" t="s">
        <v>1566</v>
      </c>
      <c r="E225" s="1318">
        <v>0</v>
      </c>
      <c r="F225" s="1437">
        <v>0</v>
      </c>
      <c r="G225" s="1437">
        <v>0</v>
      </c>
      <c r="H225" s="1437">
        <f t="shared" si="11"/>
        <v>0</v>
      </c>
      <c r="I225" s="1437">
        <v>0</v>
      </c>
      <c r="J225" s="1437">
        <v>0</v>
      </c>
      <c r="K225" s="1438"/>
      <c r="L225" s="1438"/>
      <c r="M225" s="1437">
        <f t="shared" si="12"/>
        <v>0</v>
      </c>
      <c r="N225" s="1437">
        <f t="shared" si="13"/>
        <v>0</v>
      </c>
    </row>
    <row r="226" spans="1:14" ht="29" outlineLevel="1">
      <c r="A226" s="1491">
        <v>21.2</v>
      </c>
      <c r="B226" s="1530" t="s">
        <v>1974</v>
      </c>
      <c r="C226" s="1491" t="s">
        <v>1845</v>
      </c>
      <c r="D226" s="1531" t="s">
        <v>1566</v>
      </c>
      <c r="E226" s="1318">
        <v>0</v>
      </c>
      <c r="F226" s="1437">
        <v>0</v>
      </c>
      <c r="G226" s="1437">
        <v>0</v>
      </c>
      <c r="H226" s="1437">
        <f t="shared" si="11"/>
        <v>0</v>
      </c>
      <c r="I226" s="1437">
        <v>0</v>
      </c>
      <c r="J226" s="1437">
        <v>0</v>
      </c>
      <c r="K226" s="1438"/>
      <c r="L226" s="1438"/>
      <c r="M226" s="1437">
        <f t="shared" si="12"/>
        <v>0</v>
      </c>
      <c r="N226" s="1437">
        <f t="shared" si="13"/>
        <v>0</v>
      </c>
    </row>
    <row r="227" spans="1:14" outlineLevel="1">
      <c r="A227" s="1491">
        <v>21.3</v>
      </c>
      <c r="B227" s="1530" t="s">
        <v>1975</v>
      </c>
      <c r="C227" s="1491" t="s">
        <v>1845</v>
      </c>
      <c r="D227" s="1531" t="s">
        <v>1566</v>
      </c>
      <c r="E227" s="1318">
        <v>0</v>
      </c>
      <c r="F227" s="1437">
        <v>0</v>
      </c>
      <c r="G227" s="1437">
        <v>0</v>
      </c>
      <c r="H227" s="1437">
        <f t="shared" si="11"/>
        <v>0</v>
      </c>
      <c r="I227" s="1437">
        <v>0</v>
      </c>
      <c r="J227" s="1437">
        <v>0</v>
      </c>
      <c r="K227" s="1438"/>
      <c r="L227" s="1438"/>
      <c r="M227" s="1437">
        <f t="shared" si="12"/>
        <v>0</v>
      </c>
      <c r="N227" s="1437">
        <f t="shared" si="13"/>
        <v>0</v>
      </c>
    </row>
    <row r="228" spans="1:14" outlineLevel="1">
      <c r="A228" s="1491">
        <v>21.4</v>
      </c>
      <c r="B228" s="1530" t="s">
        <v>1976</v>
      </c>
      <c r="C228" s="1491" t="s">
        <v>1845</v>
      </c>
      <c r="D228" s="1531" t="s">
        <v>1566</v>
      </c>
      <c r="E228" s="1318">
        <v>0</v>
      </c>
      <c r="F228" s="1437">
        <v>0</v>
      </c>
      <c r="G228" s="1437">
        <v>0</v>
      </c>
      <c r="H228" s="1437">
        <f t="shared" si="11"/>
        <v>0</v>
      </c>
      <c r="I228" s="1437">
        <v>0</v>
      </c>
      <c r="J228" s="1437">
        <v>0</v>
      </c>
      <c r="K228" s="1438"/>
      <c r="L228" s="1438"/>
      <c r="M228" s="1437">
        <f t="shared" si="12"/>
        <v>0</v>
      </c>
      <c r="N228" s="1437">
        <f t="shared" si="13"/>
        <v>0</v>
      </c>
    </row>
    <row r="229" spans="1:14" ht="15.5" outlineLevel="1">
      <c r="A229" s="1533">
        <v>22</v>
      </c>
      <c r="B229" s="1534" t="s">
        <v>1977</v>
      </c>
      <c r="C229" s="1491">
        <v>0</v>
      </c>
      <c r="D229" s="1531" t="s">
        <v>1566</v>
      </c>
      <c r="E229" s="1318">
        <v>0</v>
      </c>
      <c r="F229" s="1437">
        <v>0</v>
      </c>
      <c r="G229" s="1437">
        <v>0</v>
      </c>
      <c r="H229" s="1437">
        <f t="shared" si="11"/>
        <v>0</v>
      </c>
      <c r="I229" s="1437">
        <v>0</v>
      </c>
      <c r="J229" s="1437">
        <v>0</v>
      </c>
      <c r="K229" s="1438"/>
      <c r="L229" s="1438"/>
      <c r="M229" s="1437">
        <f t="shared" si="12"/>
        <v>0</v>
      </c>
      <c r="N229" s="1437">
        <f t="shared" si="13"/>
        <v>0</v>
      </c>
    </row>
    <row r="230" spans="1:14" outlineLevel="1">
      <c r="A230" s="1491">
        <v>22.1</v>
      </c>
      <c r="B230" s="1530" t="s">
        <v>1977</v>
      </c>
      <c r="C230" s="1491">
        <v>0</v>
      </c>
      <c r="D230" s="1531" t="s">
        <v>1566</v>
      </c>
      <c r="E230" s="1318">
        <v>0</v>
      </c>
      <c r="F230" s="1437">
        <v>0</v>
      </c>
      <c r="G230" s="1437">
        <v>0</v>
      </c>
      <c r="H230" s="1437">
        <f t="shared" si="11"/>
        <v>0</v>
      </c>
      <c r="I230" s="1437">
        <v>0</v>
      </c>
      <c r="J230" s="1437">
        <v>0</v>
      </c>
      <c r="K230" s="1438"/>
      <c r="L230" s="1438"/>
      <c r="M230" s="1437">
        <f t="shared" si="12"/>
        <v>0</v>
      </c>
      <c r="N230" s="1437">
        <f t="shared" si="13"/>
        <v>0</v>
      </c>
    </row>
    <row r="231" spans="1:14" outlineLevel="1">
      <c r="A231" s="1420">
        <v>0</v>
      </c>
      <c r="B231" s="1421" t="s">
        <v>1979</v>
      </c>
      <c r="C231" s="1491">
        <v>0</v>
      </c>
      <c r="D231" s="1531" t="s">
        <v>1566</v>
      </c>
      <c r="E231" s="1318">
        <v>0</v>
      </c>
      <c r="F231" s="1437">
        <v>0</v>
      </c>
      <c r="G231" s="1437">
        <v>0</v>
      </c>
      <c r="H231" s="1437">
        <f t="shared" si="11"/>
        <v>0</v>
      </c>
      <c r="I231" s="1437">
        <v>0</v>
      </c>
      <c r="J231" s="1437">
        <v>0</v>
      </c>
      <c r="K231" s="1438"/>
      <c r="L231" s="1438"/>
      <c r="M231" s="1437">
        <f t="shared" si="12"/>
        <v>0</v>
      </c>
      <c r="N231" s="1437">
        <f t="shared" si="13"/>
        <v>0</v>
      </c>
    </row>
    <row r="232" spans="1:14" ht="15.5" outlineLevel="1">
      <c r="A232" s="1533">
        <v>0</v>
      </c>
      <c r="B232" s="1534">
        <v>0</v>
      </c>
      <c r="C232" s="1491">
        <v>0</v>
      </c>
      <c r="D232" s="1531" t="s">
        <v>1566</v>
      </c>
      <c r="E232" s="1318">
        <v>0</v>
      </c>
      <c r="F232" s="1437">
        <v>0</v>
      </c>
      <c r="G232" s="1437">
        <v>0</v>
      </c>
      <c r="H232" s="1437">
        <f t="shared" si="11"/>
        <v>0</v>
      </c>
      <c r="I232" s="1437">
        <v>0</v>
      </c>
      <c r="J232" s="1437">
        <v>0</v>
      </c>
      <c r="K232" s="1438"/>
      <c r="L232" s="1438"/>
      <c r="M232" s="1437">
        <f t="shared" si="12"/>
        <v>0</v>
      </c>
      <c r="N232" s="1437">
        <f t="shared" si="13"/>
        <v>0</v>
      </c>
    </row>
    <row r="233" spans="1:14" ht="15.5" outlineLevel="1">
      <c r="A233" s="1493">
        <v>0</v>
      </c>
      <c r="B233" s="1494" t="s">
        <v>1980</v>
      </c>
      <c r="C233" s="1491">
        <v>0</v>
      </c>
      <c r="D233" s="1531" t="s">
        <v>1566</v>
      </c>
      <c r="E233" s="1318">
        <v>0</v>
      </c>
      <c r="F233" s="1437">
        <v>0</v>
      </c>
      <c r="G233" s="1437">
        <v>0</v>
      </c>
      <c r="H233" s="1437">
        <f t="shared" si="11"/>
        <v>0</v>
      </c>
      <c r="I233" s="1437">
        <v>0.34312365099999997</v>
      </c>
      <c r="J233" s="1437">
        <v>0.40371165099999995</v>
      </c>
      <c r="K233" s="1438"/>
      <c r="L233" s="1438"/>
      <c r="M233" s="1437">
        <f t="shared" si="12"/>
        <v>0.40371165099999995</v>
      </c>
      <c r="N233" s="1437">
        <f t="shared" si="13"/>
        <v>-6.0587999999999975E-2</v>
      </c>
    </row>
    <row r="234" spans="1:14" outlineLevel="1">
      <c r="A234" s="1499">
        <v>0</v>
      </c>
      <c r="B234" s="1539">
        <v>0</v>
      </c>
      <c r="C234" s="1491">
        <v>0</v>
      </c>
      <c r="D234" s="1531" t="s">
        <v>1566</v>
      </c>
      <c r="E234" s="1318">
        <v>0</v>
      </c>
      <c r="F234" s="1437">
        <v>0</v>
      </c>
      <c r="G234" s="1437">
        <v>0</v>
      </c>
      <c r="H234" s="1437">
        <f t="shared" si="11"/>
        <v>0</v>
      </c>
      <c r="I234" s="1437">
        <v>0</v>
      </c>
      <c r="J234" s="1437">
        <v>0</v>
      </c>
      <c r="K234" s="1438"/>
      <c r="L234" s="1438"/>
      <c r="M234" s="1437">
        <f t="shared" si="12"/>
        <v>0</v>
      </c>
      <c r="N234" s="1437">
        <f t="shared" si="13"/>
        <v>0</v>
      </c>
    </row>
    <row r="235" spans="1:14" ht="15.5" outlineLevel="1">
      <c r="A235" s="1493">
        <v>0</v>
      </c>
      <c r="B235" s="1494" t="s">
        <v>1981</v>
      </c>
      <c r="C235" s="1491">
        <v>0</v>
      </c>
      <c r="D235" s="1531" t="s">
        <v>1566</v>
      </c>
      <c r="E235" s="1318">
        <v>0</v>
      </c>
      <c r="F235" s="1437">
        <v>0</v>
      </c>
      <c r="G235" s="1437">
        <v>0</v>
      </c>
      <c r="H235" s="1437">
        <f t="shared" si="11"/>
        <v>0</v>
      </c>
      <c r="I235" s="1437">
        <v>0</v>
      </c>
      <c r="J235" s="1437">
        <v>0</v>
      </c>
      <c r="K235" s="1438"/>
      <c r="L235" s="1438"/>
      <c r="M235" s="1437">
        <f t="shared" si="12"/>
        <v>0</v>
      </c>
      <c r="N235" s="1437">
        <f t="shared" si="13"/>
        <v>0</v>
      </c>
    </row>
    <row r="236" spans="1:14" outlineLevel="1">
      <c r="A236" s="1499">
        <v>1</v>
      </c>
      <c r="B236" s="1539" t="s">
        <v>1983</v>
      </c>
      <c r="C236" s="1491" t="s">
        <v>934</v>
      </c>
      <c r="D236" s="1531" t="s">
        <v>1566</v>
      </c>
      <c r="E236" s="1318">
        <v>0</v>
      </c>
      <c r="F236" s="1437">
        <v>3.1293089999999998E-3</v>
      </c>
      <c r="G236" s="1437">
        <v>0</v>
      </c>
      <c r="H236" s="1437">
        <f t="shared" si="11"/>
        <v>3.1293089999999998E-3</v>
      </c>
      <c r="I236" s="1437">
        <v>0</v>
      </c>
      <c r="J236" s="1437">
        <v>0</v>
      </c>
      <c r="K236" s="1438"/>
      <c r="L236" s="1438"/>
      <c r="M236" s="1437">
        <f t="shared" si="12"/>
        <v>0</v>
      </c>
      <c r="N236" s="1437">
        <f t="shared" si="13"/>
        <v>3.1293089999999998E-3</v>
      </c>
    </row>
    <row r="237" spans="1:14" outlineLevel="1">
      <c r="A237" s="1499">
        <v>2</v>
      </c>
      <c r="B237" s="1539" t="s">
        <v>1986</v>
      </c>
      <c r="C237" s="1491" t="s">
        <v>934</v>
      </c>
      <c r="D237" s="1531" t="s">
        <v>1566</v>
      </c>
      <c r="E237" s="1318">
        <v>0</v>
      </c>
      <c r="F237" s="1437">
        <v>1.0037712000000001E-2</v>
      </c>
      <c r="G237" s="1437">
        <v>0</v>
      </c>
      <c r="H237" s="1437">
        <f t="shared" si="11"/>
        <v>1.0037712000000001E-2</v>
      </c>
      <c r="I237" s="1437">
        <v>0</v>
      </c>
      <c r="J237" s="1437">
        <v>0</v>
      </c>
      <c r="K237" s="1438"/>
      <c r="L237" s="1438"/>
      <c r="M237" s="1437">
        <f t="shared" si="12"/>
        <v>0</v>
      </c>
      <c r="N237" s="1437">
        <f t="shared" si="13"/>
        <v>1.0037712000000001E-2</v>
      </c>
    </row>
    <row r="238" spans="1:14" ht="29" outlineLevel="1">
      <c r="A238" s="1499">
        <v>3</v>
      </c>
      <c r="B238" s="1539" t="s">
        <v>1987</v>
      </c>
      <c r="C238" s="1491" t="s">
        <v>934</v>
      </c>
      <c r="D238" s="1531" t="s">
        <v>1566</v>
      </c>
      <c r="E238" s="1318">
        <v>0</v>
      </c>
      <c r="F238" s="1437">
        <v>4.578426E-3</v>
      </c>
      <c r="G238" s="1437">
        <v>0</v>
      </c>
      <c r="H238" s="1437">
        <f t="shared" si="11"/>
        <v>4.578426E-3</v>
      </c>
      <c r="I238" s="1437">
        <v>0</v>
      </c>
      <c r="J238" s="1437">
        <v>0</v>
      </c>
      <c r="K238" s="1438"/>
      <c r="L238" s="1438"/>
      <c r="M238" s="1437">
        <f t="shared" si="12"/>
        <v>0</v>
      </c>
      <c r="N238" s="1437">
        <f t="shared" si="13"/>
        <v>4.578426E-3</v>
      </c>
    </row>
    <row r="239" spans="1:14" ht="29" outlineLevel="1">
      <c r="A239" s="1499">
        <v>4</v>
      </c>
      <c r="B239" s="1539" t="s">
        <v>1988</v>
      </c>
      <c r="C239" s="1491" t="s">
        <v>934</v>
      </c>
      <c r="D239" s="1531" t="s">
        <v>1566</v>
      </c>
      <c r="E239" s="1318">
        <v>0</v>
      </c>
      <c r="F239" s="1437">
        <v>1.397639E-3</v>
      </c>
      <c r="G239" s="1437">
        <v>0</v>
      </c>
      <c r="H239" s="1437">
        <f t="shared" si="11"/>
        <v>1.397639E-3</v>
      </c>
      <c r="I239" s="1437">
        <v>0</v>
      </c>
      <c r="J239" s="1437">
        <v>0</v>
      </c>
      <c r="K239" s="1438"/>
      <c r="L239" s="1438"/>
      <c r="M239" s="1437">
        <f t="shared" si="12"/>
        <v>0</v>
      </c>
      <c r="N239" s="1437">
        <f t="shared" si="13"/>
        <v>1.397639E-3</v>
      </c>
    </row>
    <row r="240" spans="1:14" outlineLevel="1">
      <c r="A240" s="1499">
        <v>5</v>
      </c>
      <c r="B240" s="1539" t="s">
        <v>1989</v>
      </c>
      <c r="C240" s="1491" t="s">
        <v>934</v>
      </c>
      <c r="D240" s="1531" t="s">
        <v>1566</v>
      </c>
      <c r="E240" s="1318">
        <v>0</v>
      </c>
      <c r="F240" s="1437">
        <v>1.14825E-4</v>
      </c>
      <c r="G240" s="1437">
        <v>0</v>
      </c>
      <c r="H240" s="1437">
        <f t="shared" si="11"/>
        <v>1.14825E-4</v>
      </c>
      <c r="I240" s="1437">
        <v>0</v>
      </c>
      <c r="J240" s="1437">
        <v>0</v>
      </c>
      <c r="K240" s="1438"/>
      <c r="L240" s="1438"/>
      <c r="M240" s="1437">
        <f t="shared" si="12"/>
        <v>0</v>
      </c>
      <c r="N240" s="1437">
        <f t="shared" si="13"/>
        <v>1.14825E-4</v>
      </c>
    </row>
    <row r="241" spans="1:14" ht="29" outlineLevel="1">
      <c r="A241" s="1499">
        <v>6</v>
      </c>
      <c r="B241" s="1539" t="s">
        <v>1990</v>
      </c>
      <c r="C241" s="1491" t="s">
        <v>934</v>
      </c>
      <c r="D241" s="1531" t="s">
        <v>1566</v>
      </c>
      <c r="E241" s="1318">
        <v>0</v>
      </c>
      <c r="F241" s="1437">
        <v>1.05983E-4</v>
      </c>
      <c r="G241" s="1437">
        <v>0</v>
      </c>
      <c r="H241" s="1437">
        <f t="shared" si="11"/>
        <v>1.05983E-4</v>
      </c>
      <c r="I241" s="1437">
        <v>0</v>
      </c>
      <c r="J241" s="1437">
        <v>0</v>
      </c>
      <c r="K241" s="1438"/>
      <c r="L241" s="1438"/>
      <c r="M241" s="1437">
        <f t="shared" si="12"/>
        <v>0</v>
      </c>
      <c r="N241" s="1437">
        <f t="shared" si="13"/>
        <v>1.05983E-4</v>
      </c>
    </row>
    <row r="242" spans="1:14" ht="29" outlineLevel="1">
      <c r="A242" s="1499">
        <v>7</v>
      </c>
      <c r="B242" s="1539" t="s">
        <v>1991</v>
      </c>
      <c r="C242" s="1491" t="s">
        <v>934</v>
      </c>
      <c r="D242" s="1531" t="s">
        <v>1566</v>
      </c>
      <c r="E242" s="1318">
        <v>0</v>
      </c>
      <c r="F242" s="1437">
        <v>6.9018599999999997E-4</v>
      </c>
      <c r="G242" s="1437">
        <v>0</v>
      </c>
      <c r="H242" s="1437">
        <f t="shared" si="11"/>
        <v>6.9018599999999997E-4</v>
      </c>
      <c r="I242" s="1437">
        <v>0</v>
      </c>
      <c r="J242" s="1437">
        <v>0</v>
      </c>
      <c r="K242" s="1438"/>
      <c r="L242" s="1438"/>
      <c r="M242" s="1437">
        <f t="shared" si="12"/>
        <v>0</v>
      </c>
      <c r="N242" s="1437">
        <f t="shared" si="13"/>
        <v>6.9018599999999997E-4</v>
      </c>
    </row>
    <row r="243" spans="1:14" ht="31" customHeight="1" outlineLevel="1">
      <c r="A243" s="1499">
        <v>8</v>
      </c>
      <c r="B243" s="1539" t="s">
        <v>1992</v>
      </c>
      <c r="C243" s="1491" t="s">
        <v>934</v>
      </c>
      <c r="D243" s="1531" t="s">
        <v>1566</v>
      </c>
      <c r="E243" s="1318">
        <v>0</v>
      </c>
      <c r="F243" s="1437">
        <v>5.51437E-4</v>
      </c>
      <c r="G243" s="1437">
        <v>0</v>
      </c>
      <c r="H243" s="1437">
        <f t="shared" si="11"/>
        <v>5.51437E-4</v>
      </c>
      <c r="I243" s="1437">
        <v>0</v>
      </c>
      <c r="J243" s="1437">
        <v>0</v>
      </c>
      <c r="K243" s="1438"/>
      <c r="L243" s="1438"/>
      <c r="M243" s="1437">
        <f t="shared" si="12"/>
        <v>0</v>
      </c>
      <c r="N243" s="1437">
        <f t="shared" si="13"/>
        <v>5.51437E-4</v>
      </c>
    </row>
    <row r="244" spans="1:14" outlineLevel="1">
      <c r="A244" s="1499">
        <v>9</v>
      </c>
      <c r="B244" s="1539" t="s">
        <v>1993</v>
      </c>
      <c r="C244" s="1491" t="s">
        <v>934</v>
      </c>
      <c r="D244" s="1531" t="s">
        <v>1566</v>
      </c>
      <c r="E244" s="1318">
        <v>0</v>
      </c>
      <c r="F244" s="1437">
        <v>7.2491400000000001E-4</v>
      </c>
      <c r="G244" s="1437">
        <v>0</v>
      </c>
      <c r="H244" s="1437">
        <f t="shared" si="11"/>
        <v>7.2491400000000001E-4</v>
      </c>
      <c r="I244" s="1437">
        <v>0</v>
      </c>
      <c r="J244" s="1437">
        <v>0</v>
      </c>
      <c r="K244" s="1438"/>
      <c r="L244" s="1438"/>
      <c r="M244" s="1437">
        <f t="shared" si="12"/>
        <v>0</v>
      </c>
      <c r="N244" s="1437">
        <f t="shared" si="13"/>
        <v>7.2491400000000001E-4</v>
      </c>
    </row>
    <row r="245" spans="1:14" outlineLevel="1">
      <c r="A245" s="1499">
        <v>10</v>
      </c>
      <c r="B245" s="1539" t="s">
        <v>1994</v>
      </c>
      <c r="C245" s="1491" t="s">
        <v>934</v>
      </c>
      <c r="D245" s="1531" t="s">
        <v>1566</v>
      </c>
      <c r="E245" s="1318">
        <v>0</v>
      </c>
      <c r="F245" s="1437">
        <v>6.1109999999999996E-6</v>
      </c>
      <c r="G245" s="1437">
        <v>0</v>
      </c>
      <c r="H245" s="1437">
        <f t="shared" si="11"/>
        <v>6.1109999999999996E-6</v>
      </c>
      <c r="I245" s="1437">
        <v>0</v>
      </c>
      <c r="J245" s="1437">
        <v>0</v>
      </c>
      <c r="K245" s="1438"/>
      <c r="L245" s="1438"/>
      <c r="M245" s="1437">
        <f t="shared" si="12"/>
        <v>0</v>
      </c>
      <c r="N245" s="1437">
        <f t="shared" si="13"/>
        <v>6.1109999999999996E-6</v>
      </c>
    </row>
    <row r="246" spans="1:14" outlineLevel="1">
      <c r="A246" s="1499">
        <v>11</v>
      </c>
      <c r="B246" s="1539" t="s">
        <v>1995</v>
      </c>
      <c r="C246" s="1491" t="s">
        <v>934</v>
      </c>
      <c r="D246" s="1531" t="s">
        <v>1566</v>
      </c>
      <c r="E246" s="1318">
        <v>0</v>
      </c>
      <c r="F246" s="1437">
        <v>3.595E-5</v>
      </c>
      <c r="G246" s="1437">
        <v>0</v>
      </c>
      <c r="H246" s="1437">
        <f t="shared" si="11"/>
        <v>3.595E-5</v>
      </c>
      <c r="I246" s="1437">
        <v>0</v>
      </c>
      <c r="J246" s="1437">
        <v>0</v>
      </c>
      <c r="K246" s="1438"/>
      <c r="L246" s="1438"/>
      <c r="M246" s="1437">
        <f t="shared" si="12"/>
        <v>0</v>
      </c>
      <c r="N246" s="1437">
        <f t="shared" si="13"/>
        <v>3.595E-5</v>
      </c>
    </row>
    <row r="247" spans="1:14" ht="29" outlineLevel="1">
      <c r="A247" s="1499">
        <v>12</v>
      </c>
      <c r="B247" s="1539" t="s">
        <v>1996</v>
      </c>
      <c r="C247" s="1491" t="s">
        <v>934</v>
      </c>
      <c r="D247" s="1531" t="s">
        <v>1566</v>
      </c>
      <c r="E247" s="1318">
        <v>0</v>
      </c>
      <c r="F247" s="1437">
        <v>1.7243E-4</v>
      </c>
      <c r="G247" s="1437">
        <v>0</v>
      </c>
      <c r="H247" s="1437">
        <f t="shared" si="11"/>
        <v>1.7243E-4</v>
      </c>
      <c r="I247" s="1437">
        <v>0</v>
      </c>
      <c r="J247" s="1437">
        <v>0</v>
      </c>
      <c r="K247" s="1438"/>
      <c r="L247" s="1438"/>
      <c r="M247" s="1437">
        <f t="shared" si="12"/>
        <v>0</v>
      </c>
      <c r="N247" s="1437">
        <f t="shared" si="13"/>
        <v>1.7243E-4</v>
      </c>
    </row>
    <row r="248" spans="1:14" outlineLevel="1">
      <c r="A248" s="1499">
        <v>13</v>
      </c>
      <c r="B248" s="1539" t="s">
        <v>1998</v>
      </c>
      <c r="C248" s="1491" t="s">
        <v>934</v>
      </c>
      <c r="D248" s="1531" t="s">
        <v>1566</v>
      </c>
      <c r="E248" s="1318">
        <v>0</v>
      </c>
      <c r="F248" s="1437">
        <v>0.15765880700000001</v>
      </c>
      <c r="G248" s="1437">
        <v>0</v>
      </c>
      <c r="H248" s="1437">
        <f t="shared" si="11"/>
        <v>0.15765880700000001</v>
      </c>
      <c r="I248" s="1437">
        <v>0</v>
      </c>
      <c r="J248" s="1437">
        <v>0</v>
      </c>
      <c r="K248" s="1438"/>
      <c r="L248" s="1438"/>
      <c r="M248" s="1437">
        <f t="shared" si="12"/>
        <v>0</v>
      </c>
      <c r="N248" s="1437">
        <f t="shared" si="13"/>
        <v>0.15765880700000001</v>
      </c>
    </row>
    <row r="249" spans="1:14" outlineLevel="1">
      <c r="A249" s="1499">
        <v>14</v>
      </c>
      <c r="B249" s="1539" t="s">
        <v>1999</v>
      </c>
      <c r="C249" s="1491" t="s">
        <v>934</v>
      </c>
      <c r="D249" s="1531" t="s">
        <v>1566</v>
      </c>
      <c r="E249" s="1318">
        <v>0</v>
      </c>
      <c r="F249" s="1437">
        <v>4.1879999999999999E-5</v>
      </c>
      <c r="G249" s="1437">
        <v>0</v>
      </c>
      <c r="H249" s="1437">
        <f t="shared" si="11"/>
        <v>4.1879999999999999E-5</v>
      </c>
      <c r="I249" s="1437">
        <v>0</v>
      </c>
      <c r="J249" s="1437">
        <v>0</v>
      </c>
      <c r="K249" s="1438"/>
      <c r="L249" s="1438"/>
      <c r="M249" s="1437">
        <f t="shared" si="12"/>
        <v>0</v>
      </c>
      <c r="N249" s="1437">
        <f t="shared" si="13"/>
        <v>4.1879999999999999E-5</v>
      </c>
    </row>
    <row r="250" spans="1:14" outlineLevel="1">
      <c r="A250" s="1499">
        <v>15</v>
      </c>
      <c r="B250" s="1539" t="s">
        <v>2000</v>
      </c>
      <c r="C250" s="1491" t="s">
        <v>934</v>
      </c>
      <c r="D250" s="1531" t="s">
        <v>1566</v>
      </c>
      <c r="E250" s="1318">
        <v>0</v>
      </c>
      <c r="F250" s="1437">
        <v>5.6437999999999997E-5</v>
      </c>
      <c r="G250" s="1437">
        <v>0</v>
      </c>
      <c r="H250" s="1437">
        <f t="shared" si="11"/>
        <v>5.6437999999999997E-5</v>
      </c>
      <c r="I250" s="1437">
        <v>0</v>
      </c>
      <c r="J250" s="1437">
        <v>0</v>
      </c>
      <c r="K250" s="1438"/>
      <c r="L250" s="1438"/>
      <c r="M250" s="1437">
        <f t="shared" si="12"/>
        <v>0</v>
      </c>
      <c r="N250" s="1437">
        <f t="shared" si="13"/>
        <v>5.6437999999999997E-5</v>
      </c>
    </row>
    <row r="251" spans="1:14" outlineLevel="1">
      <c r="A251" s="1499">
        <v>16</v>
      </c>
      <c r="B251" s="1539" t="s">
        <v>2001</v>
      </c>
      <c r="C251" s="1491" t="s">
        <v>934</v>
      </c>
      <c r="D251" s="1531" t="s">
        <v>1566</v>
      </c>
      <c r="E251" s="1318">
        <v>0</v>
      </c>
      <c r="F251" s="1437">
        <v>1.224798E-3</v>
      </c>
      <c r="G251" s="1437">
        <v>0</v>
      </c>
      <c r="H251" s="1437">
        <f t="shared" si="11"/>
        <v>1.224798E-3</v>
      </c>
      <c r="I251" s="1437">
        <v>0</v>
      </c>
      <c r="J251" s="1437">
        <v>0</v>
      </c>
      <c r="K251" s="1438"/>
      <c r="L251" s="1438"/>
      <c r="M251" s="1437">
        <f t="shared" si="12"/>
        <v>0</v>
      </c>
      <c r="N251" s="1437">
        <f t="shared" si="13"/>
        <v>1.224798E-3</v>
      </c>
    </row>
    <row r="252" spans="1:14" outlineLevel="1">
      <c r="A252" s="1499">
        <v>17</v>
      </c>
      <c r="B252" s="1539" t="s">
        <v>2002</v>
      </c>
      <c r="C252" s="1491" t="s">
        <v>934</v>
      </c>
      <c r="D252" s="1531" t="s">
        <v>1566</v>
      </c>
      <c r="E252" s="1318">
        <v>0</v>
      </c>
      <c r="F252" s="1437">
        <v>1.1651750000000001E-3</v>
      </c>
      <c r="G252" s="1437">
        <v>0</v>
      </c>
      <c r="H252" s="1437">
        <f t="shared" si="11"/>
        <v>1.1651750000000001E-3</v>
      </c>
      <c r="I252" s="1437">
        <v>0</v>
      </c>
      <c r="J252" s="1437">
        <v>0</v>
      </c>
      <c r="K252" s="1438"/>
      <c r="L252" s="1438"/>
      <c r="M252" s="1437">
        <f t="shared" si="12"/>
        <v>0</v>
      </c>
      <c r="N252" s="1437">
        <f t="shared" si="13"/>
        <v>1.1651750000000001E-3</v>
      </c>
    </row>
    <row r="253" spans="1:14" ht="29" outlineLevel="1">
      <c r="A253" s="1499">
        <v>18</v>
      </c>
      <c r="B253" s="1539" t="s">
        <v>2003</v>
      </c>
      <c r="C253" s="1491" t="s">
        <v>934</v>
      </c>
      <c r="D253" s="1531" t="s">
        <v>1566</v>
      </c>
      <c r="E253" s="1318">
        <v>0</v>
      </c>
      <c r="F253" s="1437">
        <v>1.9514200000000001E-4</v>
      </c>
      <c r="G253" s="1437">
        <v>0</v>
      </c>
      <c r="H253" s="1437">
        <f t="shared" si="11"/>
        <v>1.9514200000000001E-4</v>
      </c>
      <c r="I253" s="1437">
        <v>0</v>
      </c>
      <c r="J253" s="1437">
        <v>0</v>
      </c>
      <c r="K253" s="1438"/>
      <c r="L253" s="1438"/>
      <c r="M253" s="1437">
        <f t="shared" si="12"/>
        <v>0</v>
      </c>
      <c r="N253" s="1437">
        <f t="shared" si="13"/>
        <v>1.9514200000000001E-4</v>
      </c>
    </row>
    <row r="254" spans="1:14" outlineLevel="1">
      <c r="A254" s="1499">
        <v>19</v>
      </c>
      <c r="B254" s="1539" t="s">
        <v>2004</v>
      </c>
      <c r="C254" s="1491" t="s">
        <v>934</v>
      </c>
      <c r="D254" s="1531" t="s">
        <v>1566</v>
      </c>
      <c r="E254" s="1318">
        <v>0</v>
      </c>
      <c r="F254" s="1437">
        <v>5.2946099999999995E-4</v>
      </c>
      <c r="G254" s="1437">
        <v>0</v>
      </c>
      <c r="H254" s="1437">
        <f t="shared" si="11"/>
        <v>5.2946099999999995E-4</v>
      </c>
      <c r="I254" s="1437">
        <v>0</v>
      </c>
      <c r="J254" s="1437">
        <v>0</v>
      </c>
      <c r="K254" s="1438"/>
      <c r="L254" s="1438"/>
      <c r="M254" s="1437">
        <f t="shared" si="12"/>
        <v>0</v>
      </c>
      <c r="N254" s="1437">
        <f t="shared" si="13"/>
        <v>5.2946099999999995E-4</v>
      </c>
    </row>
    <row r="255" spans="1:14" outlineLevel="1">
      <c r="A255" s="1499">
        <v>20</v>
      </c>
      <c r="B255" s="1539" t="s">
        <v>2005</v>
      </c>
      <c r="C255" s="1491" t="s">
        <v>934</v>
      </c>
      <c r="D255" s="1531" t="s">
        <v>1566</v>
      </c>
      <c r="E255" s="1318">
        <v>0</v>
      </c>
      <c r="F255" s="1437">
        <v>1.79662E-4</v>
      </c>
      <c r="G255" s="1437">
        <v>0</v>
      </c>
      <c r="H255" s="1437">
        <f t="shared" si="11"/>
        <v>1.79662E-4</v>
      </c>
      <c r="I255" s="1437">
        <v>0</v>
      </c>
      <c r="J255" s="1437">
        <v>0</v>
      </c>
      <c r="K255" s="1438"/>
      <c r="L255" s="1438"/>
      <c r="M255" s="1437">
        <f t="shared" si="12"/>
        <v>0</v>
      </c>
      <c r="N255" s="1437">
        <f t="shared" si="13"/>
        <v>1.79662E-4</v>
      </c>
    </row>
    <row r="256" spans="1:14" outlineLevel="1">
      <c r="A256" s="1499">
        <v>21</v>
      </c>
      <c r="B256" s="1539" t="s">
        <v>2006</v>
      </c>
      <c r="C256" s="1491" t="s">
        <v>934</v>
      </c>
      <c r="D256" s="1531" t="s">
        <v>1566</v>
      </c>
      <c r="E256" s="1318">
        <v>0</v>
      </c>
      <c r="F256" s="1437">
        <v>0.37627639299999999</v>
      </c>
      <c r="G256" s="1437">
        <v>0</v>
      </c>
      <c r="H256" s="1437">
        <f t="shared" si="11"/>
        <v>0.37627639299999999</v>
      </c>
      <c r="I256" s="1437">
        <v>0</v>
      </c>
      <c r="J256" s="1437">
        <v>0</v>
      </c>
      <c r="K256" s="1438"/>
      <c r="L256" s="1438"/>
      <c r="M256" s="1437">
        <f t="shared" si="12"/>
        <v>0</v>
      </c>
      <c r="N256" s="1437">
        <f t="shared" si="13"/>
        <v>0.37627639299999999</v>
      </c>
    </row>
    <row r="257" spans="1:14" outlineLevel="1">
      <c r="A257" s="1499">
        <v>22</v>
      </c>
      <c r="B257" s="1539" t="s">
        <v>2007</v>
      </c>
      <c r="C257" s="1491" t="s">
        <v>934</v>
      </c>
      <c r="D257" s="1531" t="s">
        <v>1566</v>
      </c>
      <c r="E257" s="1318">
        <v>0</v>
      </c>
      <c r="F257" s="1437">
        <v>0.13615478800000003</v>
      </c>
      <c r="G257" s="1437">
        <v>0</v>
      </c>
      <c r="H257" s="1437">
        <f t="shared" si="11"/>
        <v>0.13615478800000003</v>
      </c>
      <c r="I257" s="1437">
        <v>0</v>
      </c>
      <c r="J257" s="1437">
        <v>0</v>
      </c>
      <c r="K257" s="1438"/>
      <c r="L257" s="1438"/>
      <c r="M257" s="1437">
        <f t="shared" si="12"/>
        <v>0</v>
      </c>
      <c r="N257" s="1437">
        <f t="shared" si="13"/>
        <v>0.13615478800000003</v>
      </c>
    </row>
    <row r="258" spans="1:14" outlineLevel="1">
      <c r="A258" s="1499">
        <v>23</v>
      </c>
      <c r="B258" s="1539" t="s">
        <v>2008</v>
      </c>
      <c r="C258" s="1491" t="s">
        <v>934</v>
      </c>
      <c r="D258" s="1531" t="s">
        <v>1566</v>
      </c>
      <c r="E258" s="1318">
        <v>0</v>
      </c>
      <c r="F258" s="1437">
        <v>9.1029900000000005E-4</v>
      </c>
      <c r="G258" s="1437">
        <v>0</v>
      </c>
      <c r="H258" s="1437">
        <f t="shared" si="11"/>
        <v>9.1029900000000005E-4</v>
      </c>
      <c r="I258" s="1437">
        <v>0</v>
      </c>
      <c r="J258" s="1437">
        <v>0</v>
      </c>
      <c r="K258" s="1438"/>
      <c r="L258" s="1438"/>
      <c r="M258" s="1437">
        <f t="shared" si="12"/>
        <v>0</v>
      </c>
      <c r="N258" s="1437">
        <f t="shared" si="13"/>
        <v>9.1029900000000005E-4</v>
      </c>
    </row>
    <row r="259" spans="1:14" outlineLevel="1">
      <c r="A259" s="1499">
        <v>24</v>
      </c>
      <c r="B259" s="1539" t="s">
        <v>2009</v>
      </c>
      <c r="C259" s="1491" t="s">
        <v>934</v>
      </c>
      <c r="D259" s="1531" t="s">
        <v>1566</v>
      </c>
      <c r="E259" s="1318">
        <v>0</v>
      </c>
      <c r="F259" s="1437">
        <v>4.1823400000000002E-4</v>
      </c>
      <c r="G259" s="1437">
        <v>0</v>
      </c>
      <c r="H259" s="1437">
        <f t="shared" si="11"/>
        <v>4.1823400000000002E-4</v>
      </c>
      <c r="I259" s="1437">
        <v>0</v>
      </c>
      <c r="J259" s="1437">
        <v>0</v>
      </c>
      <c r="K259" s="1438"/>
      <c r="L259" s="1438"/>
      <c r="M259" s="1437">
        <f t="shared" si="12"/>
        <v>0</v>
      </c>
      <c r="N259" s="1437">
        <f t="shared" si="13"/>
        <v>4.1823400000000002E-4</v>
      </c>
    </row>
    <row r="260" spans="1:14" outlineLevel="1">
      <c r="A260" s="1499">
        <v>25</v>
      </c>
      <c r="B260" s="1539" t="s">
        <v>2010</v>
      </c>
      <c r="C260" s="1491" t="s">
        <v>934</v>
      </c>
      <c r="D260" s="1531" t="s">
        <v>1566</v>
      </c>
      <c r="E260" s="1318">
        <v>0</v>
      </c>
      <c r="F260" s="1437">
        <v>5.31695E-4</v>
      </c>
      <c r="G260" s="1437">
        <v>0</v>
      </c>
      <c r="H260" s="1437">
        <f t="shared" si="11"/>
        <v>5.31695E-4</v>
      </c>
      <c r="I260" s="1437">
        <v>0</v>
      </c>
      <c r="J260" s="1437">
        <v>0</v>
      </c>
      <c r="K260" s="1438"/>
      <c r="L260" s="1438"/>
      <c r="M260" s="1437">
        <f t="shared" si="12"/>
        <v>0</v>
      </c>
      <c r="N260" s="1437">
        <f t="shared" si="13"/>
        <v>5.31695E-4</v>
      </c>
    </row>
    <row r="261" spans="1:14" ht="29" outlineLevel="1">
      <c r="A261" s="1499">
        <v>26</v>
      </c>
      <c r="B261" s="1539" t="s">
        <v>2011</v>
      </c>
      <c r="C261" s="1491" t="s">
        <v>934</v>
      </c>
      <c r="D261" s="1531" t="s">
        <v>1566</v>
      </c>
      <c r="E261" s="1318">
        <v>0</v>
      </c>
      <c r="F261" s="1437">
        <v>6.1116199999999999E-3</v>
      </c>
      <c r="G261" s="1437">
        <v>0</v>
      </c>
      <c r="H261" s="1437">
        <f t="shared" si="11"/>
        <v>6.1116199999999999E-3</v>
      </c>
      <c r="I261" s="1437">
        <v>0</v>
      </c>
      <c r="J261" s="1437">
        <v>0</v>
      </c>
      <c r="K261" s="1438"/>
      <c r="L261" s="1438"/>
      <c r="M261" s="1437">
        <f t="shared" si="12"/>
        <v>0</v>
      </c>
      <c r="N261" s="1437">
        <f t="shared" si="13"/>
        <v>6.1116199999999999E-3</v>
      </c>
    </row>
    <row r="262" spans="1:14" outlineLevel="1">
      <c r="A262" s="1499">
        <v>27</v>
      </c>
      <c r="B262" s="1539" t="s">
        <v>2012</v>
      </c>
      <c r="C262" s="1491" t="s">
        <v>934</v>
      </c>
      <c r="D262" s="1531" t="s">
        <v>1566</v>
      </c>
      <c r="E262" s="1318">
        <v>0</v>
      </c>
      <c r="F262" s="1437">
        <v>1.11659E-4</v>
      </c>
      <c r="G262" s="1437">
        <v>0</v>
      </c>
      <c r="H262" s="1437">
        <f t="shared" si="11"/>
        <v>1.11659E-4</v>
      </c>
      <c r="I262" s="1437">
        <v>0</v>
      </c>
      <c r="J262" s="1437">
        <v>0</v>
      </c>
      <c r="K262" s="1438"/>
      <c r="L262" s="1438"/>
      <c r="M262" s="1437">
        <f t="shared" si="12"/>
        <v>0</v>
      </c>
      <c r="N262" s="1437">
        <f t="shared" si="13"/>
        <v>1.11659E-4</v>
      </c>
    </row>
    <row r="263" spans="1:14" outlineLevel="1">
      <c r="A263" s="1499">
        <v>28</v>
      </c>
      <c r="B263" s="1539" t="s">
        <v>2013</v>
      </c>
      <c r="C263" s="1491" t="s">
        <v>934</v>
      </c>
      <c r="D263" s="1531" t="s">
        <v>1566</v>
      </c>
      <c r="E263" s="1318">
        <v>0</v>
      </c>
      <c r="F263" s="1437">
        <v>1.11659E-4</v>
      </c>
      <c r="G263" s="1437">
        <v>0</v>
      </c>
      <c r="H263" s="1437">
        <f t="shared" si="11"/>
        <v>1.11659E-4</v>
      </c>
      <c r="I263" s="1437">
        <v>0</v>
      </c>
      <c r="J263" s="1437">
        <v>0</v>
      </c>
      <c r="K263" s="1438"/>
      <c r="L263" s="1438"/>
      <c r="M263" s="1437">
        <f t="shared" si="12"/>
        <v>0</v>
      </c>
      <c r="N263" s="1437">
        <f t="shared" si="13"/>
        <v>1.11659E-4</v>
      </c>
    </row>
    <row r="264" spans="1:14" outlineLevel="1">
      <c r="A264" s="1499">
        <v>29</v>
      </c>
      <c r="B264" s="1539" t="s">
        <v>2014</v>
      </c>
      <c r="C264" s="1491" t="s">
        <v>934</v>
      </c>
      <c r="D264" s="1531" t="s">
        <v>1566</v>
      </c>
      <c r="E264" s="1318">
        <v>0</v>
      </c>
      <c r="F264" s="1437">
        <v>2.23317E-4</v>
      </c>
      <c r="G264" s="1437">
        <v>0</v>
      </c>
      <c r="H264" s="1437">
        <f t="shared" si="11"/>
        <v>2.23317E-4</v>
      </c>
      <c r="I264" s="1437">
        <v>0</v>
      </c>
      <c r="J264" s="1437">
        <v>0</v>
      </c>
      <c r="K264" s="1438"/>
      <c r="L264" s="1438"/>
      <c r="M264" s="1437">
        <f t="shared" si="12"/>
        <v>0</v>
      </c>
      <c r="N264" s="1437">
        <f t="shared" si="13"/>
        <v>2.23317E-4</v>
      </c>
    </row>
    <row r="265" spans="1:14" outlineLevel="1">
      <c r="A265" s="1499">
        <v>30</v>
      </c>
      <c r="B265" s="1539" t="s">
        <v>2015</v>
      </c>
      <c r="C265" s="1491" t="s">
        <v>934</v>
      </c>
      <c r="D265" s="1531" t="s">
        <v>1566</v>
      </c>
      <c r="E265" s="1318">
        <v>0</v>
      </c>
      <c r="F265" s="1437">
        <v>1.98259E-4</v>
      </c>
      <c r="G265" s="1437">
        <v>0</v>
      </c>
      <c r="H265" s="1437">
        <f t="shared" si="11"/>
        <v>1.98259E-4</v>
      </c>
      <c r="I265" s="1437">
        <v>0</v>
      </c>
      <c r="J265" s="1437">
        <v>0</v>
      </c>
      <c r="K265" s="1438"/>
      <c r="L265" s="1438"/>
      <c r="M265" s="1437">
        <f t="shared" si="12"/>
        <v>0</v>
      </c>
      <c r="N265" s="1437">
        <f t="shared" si="13"/>
        <v>1.98259E-4</v>
      </c>
    </row>
    <row r="266" spans="1:14" ht="29" outlineLevel="1">
      <c r="A266" s="1499">
        <v>31</v>
      </c>
      <c r="B266" s="1539" t="s">
        <v>2016</v>
      </c>
      <c r="C266" s="1491" t="s">
        <v>934</v>
      </c>
      <c r="D266" s="1531" t="s">
        <v>1566</v>
      </c>
      <c r="E266" s="1318">
        <v>0</v>
      </c>
      <c r="F266" s="1437">
        <v>1.392536E-3</v>
      </c>
      <c r="G266" s="1437">
        <v>0</v>
      </c>
      <c r="H266" s="1437">
        <f t="shared" ref="H266:H329" si="14">F266-G266</f>
        <v>1.392536E-3</v>
      </c>
      <c r="I266" s="1437">
        <v>0</v>
      </c>
      <c r="J266" s="1437">
        <v>0</v>
      </c>
      <c r="K266" s="1438"/>
      <c r="L266" s="1438"/>
      <c r="M266" s="1437">
        <f t="shared" ref="M266:M329" si="15">SUM(J266:L266)</f>
        <v>0</v>
      </c>
      <c r="N266" s="1437">
        <f t="shared" ref="N266:N329" si="16">H266+I266-M266</f>
        <v>1.392536E-3</v>
      </c>
    </row>
    <row r="267" spans="1:14" outlineLevel="1">
      <c r="A267" s="1499">
        <v>32</v>
      </c>
      <c r="B267" s="1539" t="s">
        <v>2017</v>
      </c>
      <c r="C267" s="1491" t="s">
        <v>934</v>
      </c>
      <c r="D267" s="1531" t="s">
        <v>1566</v>
      </c>
      <c r="E267" s="1318">
        <v>0</v>
      </c>
      <c r="F267" s="1437">
        <v>7.0722000000000005E-4</v>
      </c>
      <c r="G267" s="1437">
        <v>0</v>
      </c>
      <c r="H267" s="1437">
        <f t="shared" si="14"/>
        <v>7.0722000000000005E-4</v>
      </c>
      <c r="I267" s="1437">
        <v>0</v>
      </c>
      <c r="J267" s="1437">
        <v>0</v>
      </c>
      <c r="K267" s="1438"/>
      <c r="L267" s="1438"/>
      <c r="M267" s="1437">
        <f t="shared" si="15"/>
        <v>0</v>
      </c>
      <c r="N267" s="1437">
        <f t="shared" si="16"/>
        <v>7.0722000000000005E-4</v>
      </c>
    </row>
    <row r="268" spans="1:14" outlineLevel="1">
      <c r="A268" s="1499">
        <v>33</v>
      </c>
      <c r="B268" s="1539" t="s">
        <v>2018</v>
      </c>
      <c r="C268" s="1491" t="s">
        <v>934</v>
      </c>
      <c r="D268" s="1531" t="s">
        <v>1566</v>
      </c>
      <c r="E268" s="1318">
        <v>0</v>
      </c>
      <c r="F268" s="1437">
        <v>4.2763499999999999E-4</v>
      </c>
      <c r="G268" s="1437">
        <v>0</v>
      </c>
      <c r="H268" s="1437">
        <f t="shared" si="14"/>
        <v>4.2763499999999999E-4</v>
      </c>
      <c r="I268" s="1437">
        <v>0</v>
      </c>
      <c r="J268" s="1437">
        <v>0</v>
      </c>
      <c r="K268" s="1438"/>
      <c r="L268" s="1438"/>
      <c r="M268" s="1437">
        <f t="shared" si="15"/>
        <v>0</v>
      </c>
      <c r="N268" s="1437">
        <f t="shared" si="16"/>
        <v>4.2763499999999999E-4</v>
      </c>
    </row>
    <row r="269" spans="1:14" outlineLevel="1">
      <c r="A269" s="1499">
        <v>34</v>
      </c>
      <c r="B269" s="1539" t="s">
        <v>2019</v>
      </c>
      <c r="C269" s="1491" t="s">
        <v>934</v>
      </c>
      <c r="D269" s="1531" t="s">
        <v>1566</v>
      </c>
      <c r="E269" s="1318">
        <v>0</v>
      </c>
      <c r="F269" s="1437">
        <v>4.612672E-3</v>
      </c>
      <c r="G269" s="1437">
        <v>0</v>
      </c>
      <c r="H269" s="1437">
        <f t="shared" si="14"/>
        <v>4.612672E-3</v>
      </c>
      <c r="I269" s="1437">
        <v>0</v>
      </c>
      <c r="J269" s="1437">
        <v>0</v>
      </c>
      <c r="K269" s="1438"/>
      <c r="L269" s="1438"/>
      <c r="M269" s="1437">
        <f t="shared" si="15"/>
        <v>0</v>
      </c>
      <c r="N269" s="1437">
        <f t="shared" si="16"/>
        <v>4.612672E-3</v>
      </c>
    </row>
    <row r="270" spans="1:14" ht="29" outlineLevel="1">
      <c r="A270" s="1499">
        <v>35</v>
      </c>
      <c r="B270" s="1539" t="s">
        <v>2020</v>
      </c>
      <c r="C270" s="1491" t="s">
        <v>934</v>
      </c>
      <c r="D270" s="1531" t="s">
        <v>1566</v>
      </c>
      <c r="E270" s="1318">
        <v>0</v>
      </c>
      <c r="F270" s="1437">
        <v>6.3898000000000004E-5</v>
      </c>
      <c r="G270" s="1437">
        <v>0</v>
      </c>
      <c r="H270" s="1437">
        <f t="shared" si="14"/>
        <v>6.3898000000000004E-5</v>
      </c>
      <c r="I270" s="1437">
        <v>0</v>
      </c>
      <c r="J270" s="1437">
        <v>0</v>
      </c>
      <c r="K270" s="1438"/>
      <c r="L270" s="1438"/>
      <c r="M270" s="1437">
        <f t="shared" si="15"/>
        <v>0</v>
      </c>
      <c r="N270" s="1437">
        <f t="shared" si="16"/>
        <v>6.3898000000000004E-5</v>
      </c>
    </row>
    <row r="271" spans="1:14" outlineLevel="1">
      <c r="A271" s="1499">
        <v>36</v>
      </c>
      <c r="B271" s="1539" t="s">
        <v>2021</v>
      </c>
      <c r="C271" s="1491" t="s">
        <v>934</v>
      </c>
      <c r="D271" s="1531" t="s">
        <v>1566</v>
      </c>
      <c r="E271" s="1318">
        <v>0</v>
      </c>
      <c r="F271" s="1437">
        <v>9.4041100000000005E-4</v>
      </c>
      <c r="G271" s="1437">
        <v>0</v>
      </c>
      <c r="H271" s="1437">
        <f t="shared" si="14"/>
        <v>9.4041100000000005E-4</v>
      </c>
      <c r="I271" s="1437">
        <v>0</v>
      </c>
      <c r="J271" s="1437">
        <v>0</v>
      </c>
      <c r="K271" s="1438"/>
      <c r="L271" s="1438"/>
      <c r="M271" s="1437">
        <f t="shared" si="15"/>
        <v>0</v>
      </c>
      <c r="N271" s="1437">
        <f t="shared" si="16"/>
        <v>9.4041100000000005E-4</v>
      </c>
    </row>
    <row r="272" spans="1:14" outlineLevel="1">
      <c r="A272" s="1499">
        <v>37</v>
      </c>
      <c r="B272" s="1539" t="s">
        <v>2022</v>
      </c>
      <c r="C272" s="1491" t="s">
        <v>934</v>
      </c>
      <c r="D272" s="1531" t="s">
        <v>1566</v>
      </c>
      <c r="E272" s="1318">
        <v>0</v>
      </c>
      <c r="F272" s="1437">
        <v>7.4704199999999995E-4</v>
      </c>
      <c r="G272" s="1437">
        <v>0</v>
      </c>
      <c r="H272" s="1437">
        <f t="shared" si="14"/>
        <v>7.4704199999999995E-4</v>
      </c>
      <c r="I272" s="1437">
        <v>0</v>
      </c>
      <c r="J272" s="1437">
        <v>0</v>
      </c>
      <c r="K272" s="1438"/>
      <c r="L272" s="1438"/>
      <c r="M272" s="1437">
        <f t="shared" si="15"/>
        <v>0</v>
      </c>
      <c r="N272" s="1437">
        <f t="shared" si="16"/>
        <v>7.4704199999999995E-4</v>
      </c>
    </row>
    <row r="273" spans="1:14" outlineLevel="1">
      <c r="A273" s="1499">
        <v>38</v>
      </c>
      <c r="B273" s="1539" t="s">
        <v>2023</v>
      </c>
      <c r="C273" s="1491" t="s">
        <v>934</v>
      </c>
      <c r="D273" s="1531" t="s">
        <v>1566</v>
      </c>
      <c r="E273" s="1318">
        <v>0</v>
      </c>
      <c r="F273" s="1437">
        <v>2.8485300000000001E-4</v>
      </c>
      <c r="G273" s="1437">
        <v>0</v>
      </c>
      <c r="H273" s="1437">
        <f t="shared" si="14"/>
        <v>2.8485300000000001E-4</v>
      </c>
      <c r="I273" s="1437">
        <v>0</v>
      </c>
      <c r="J273" s="1437">
        <v>0</v>
      </c>
      <c r="K273" s="1438"/>
      <c r="L273" s="1438"/>
      <c r="M273" s="1437">
        <f t="shared" si="15"/>
        <v>0</v>
      </c>
      <c r="N273" s="1437">
        <f t="shared" si="16"/>
        <v>2.8485300000000001E-4</v>
      </c>
    </row>
    <row r="274" spans="1:14" outlineLevel="1">
      <c r="A274" s="1499">
        <v>39</v>
      </c>
      <c r="B274" s="1539" t="s">
        <v>2024</v>
      </c>
      <c r="C274" s="1491" t="s">
        <v>934</v>
      </c>
      <c r="D274" s="1531" t="s">
        <v>1566</v>
      </c>
      <c r="E274" s="1318">
        <v>0</v>
      </c>
      <c r="F274" s="1437">
        <v>1.5851400000000001E-4</v>
      </c>
      <c r="G274" s="1437">
        <v>0</v>
      </c>
      <c r="H274" s="1437">
        <f t="shared" si="14"/>
        <v>1.5851400000000001E-4</v>
      </c>
      <c r="I274" s="1437">
        <v>0</v>
      </c>
      <c r="J274" s="1437">
        <v>0</v>
      </c>
      <c r="K274" s="1438"/>
      <c r="L274" s="1438"/>
      <c r="M274" s="1437">
        <f t="shared" si="15"/>
        <v>0</v>
      </c>
      <c r="N274" s="1437">
        <f t="shared" si="16"/>
        <v>1.5851400000000001E-4</v>
      </c>
    </row>
    <row r="275" spans="1:14" ht="29" outlineLevel="1">
      <c r="A275" s="1499">
        <v>40</v>
      </c>
      <c r="B275" s="1539" t="s">
        <v>2025</v>
      </c>
      <c r="C275" s="1491" t="s">
        <v>934</v>
      </c>
      <c r="D275" s="1531" t="s">
        <v>1566</v>
      </c>
      <c r="E275" s="1318">
        <v>0</v>
      </c>
      <c r="F275" s="1437">
        <v>5.5407899999999996E-4</v>
      </c>
      <c r="G275" s="1437">
        <v>0</v>
      </c>
      <c r="H275" s="1437">
        <f t="shared" si="14"/>
        <v>5.5407899999999996E-4</v>
      </c>
      <c r="I275" s="1437">
        <v>0</v>
      </c>
      <c r="J275" s="1437">
        <v>0</v>
      </c>
      <c r="K275" s="1438"/>
      <c r="L275" s="1438"/>
      <c r="M275" s="1437">
        <f t="shared" si="15"/>
        <v>0</v>
      </c>
      <c r="N275" s="1437">
        <f t="shared" si="16"/>
        <v>5.5407899999999996E-4</v>
      </c>
    </row>
    <row r="276" spans="1:14" outlineLevel="1">
      <c r="A276" s="1499">
        <v>41</v>
      </c>
      <c r="B276" s="1539" t="s">
        <v>2026</v>
      </c>
      <c r="C276" s="1491" t="s">
        <v>934</v>
      </c>
      <c r="D276" s="1531" t="s">
        <v>1566</v>
      </c>
      <c r="E276" s="1318">
        <v>0</v>
      </c>
      <c r="F276" s="1437">
        <v>2.6945000000000002E-4</v>
      </c>
      <c r="G276" s="1437">
        <v>0</v>
      </c>
      <c r="H276" s="1437">
        <f t="shared" si="14"/>
        <v>2.6945000000000002E-4</v>
      </c>
      <c r="I276" s="1437">
        <v>0</v>
      </c>
      <c r="J276" s="1437">
        <v>0</v>
      </c>
      <c r="K276" s="1438"/>
      <c r="L276" s="1438"/>
      <c r="M276" s="1437">
        <f t="shared" si="15"/>
        <v>0</v>
      </c>
      <c r="N276" s="1437">
        <f t="shared" si="16"/>
        <v>2.6945000000000002E-4</v>
      </c>
    </row>
    <row r="277" spans="1:14" outlineLevel="1">
      <c r="A277" s="1499">
        <v>42</v>
      </c>
      <c r="B277" s="1539" t="s">
        <v>2027</v>
      </c>
      <c r="C277" s="1491" t="s">
        <v>934</v>
      </c>
      <c r="D277" s="1531" t="s">
        <v>1566</v>
      </c>
      <c r="E277" s="1318">
        <v>0</v>
      </c>
      <c r="F277" s="1437">
        <v>1.64229E-4</v>
      </c>
      <c r="G277" s="1437">
        <v>0</v>
      </c>
      <c r="H277" s="1437">
        <f t="shared" si="14"/>
        <v>1.64229E-4</v>
      </c>
      <c r="I277" s="1437">
        <v>0</v>
      </c>
      <c r="J277" s="1437">
        <v>0</v>
      </c>
      <c r="K277" s="1438"/>
      <c r="L277" s="1438"/>
      <c r="M277" s="1437">
        <f t="shared" si="15"/>
        <v>0</v>
      </c>
      <c r="N277" s="1437">
        <f t="shared" si="16"/>
        <v>1.64229E-4</v>
      </c>
    </row>
    <row r="278" spans="1:14" outlineLevel="1">
      <c r="A278" s="1499">
        <v>43</v>
      </c>
      <c r="B278" s="1539" t="s">
        <v>2028</v>
      </c>
      <c r="C278" s="1491" t="s">
        <v>934</v>
      </c>
      <c r="D278" s="1531" t="s">
        <v>1566</v>
      </c>
      <c r="E278" s="1318">
        <v>0</v>
      </c>
      <c r="F278" s="1437">
        <v>1.7302000000000001E-5</v>
      </c>
      <c r="G278" s="1437">
        <v>0</v>
      </c>
      <c r="H278" s="1437">
        <f t="shared" si="14"/>
        <v>1.7302000000000001E-5</v>
      </c>
      <c r="I278" s="1437">
        <v>0</v>
      </c>
      <c r="J278" s="1437">
        <v>0</v>
      </c>
      <c r="K278" s="1438"/>
      <c r="L278" s="1438"/>
      <c r="M278" s="1437">
        <f t="shared" si="15"/>
        <v>0</v>
      </c>
      <c r="N278" s="1437">
        <f t="shared" si="16"/>
        <v>1.7302000000000001E-5</v>
      </c>
    </row>
    <row r="279" spans="1:14" outlineLevel="1">
      <c r="A279" s="1499">
        <v>44</v>
      </c>
      <c r="B279" s="1539" t="s">
        <v>2029</v>
      </c>
      <c r="C279" s="1491" t="s">
        <v>934</v>
      </c>
      <c r="D279" s="1531" t="s">
        <v>1566</v>
      </c>
      <c r="E279" s="1318">
        <v>0</v>
      </c>
      <c r="F279" s="1437">
        <v>8.551E-6</v>
      </c>
      <c r="G279" s="1437">
        <v>0</v>
      </c>
      <c r="H279" s="1437">
        <f t="shared" si="14"/>
        <v>8.551E-6</v>
      </c>
      <c r="I279" s="1437">
        <v>0</v>
      </c>
      <c r="J279" s="1437">
        <v>0</v>
      </c>
      <c r="K279" s="1438"/>
      <c r="L279" s="1438"/>
      <c r="M279" s="1437">
        <f t="shared" si="15"/>
        <v>0</v>
      </c>
      <c r="N279" s="1437">
        <f t="shared" si="16"/>
        <v>8.551E-6</v>
      </c>
    </row>
    <row r="280" spans="1:14" outlineLevel="1">
      <c r="A280" s="1499">
        <v>45</v>
      </c>
      <c r="B280" s="1539" t="s">
        <v>2030</v>
      </c>
      <c r="C280" s="1491" t="s">
        <v>934</v>
      </c>
      <c r="D280" s="1531" t="s">
        <v>1566</v>
      </c>
      <c r="E280" s="1318">
        <v>0</v>
      </c>
      <c r="F280" s="1437">
        <v>1.6923E-5</v>
      </c>
      <c r="G280" s="1437">
        <v>0</v>
      </c>
      <c r="H280" s="1437">
        <f t="shared" si="14"/>
        <v>1.6923E-5</v>
      </c>
      <c r="I280" s="1437">
        <v>0</v>
      </c>
      <c r="J280" s="1437">
        <v>0</v>
      </c>
      <c r="K280" s="1438"/>
      <c r="L280" s="1438"/>
      <c r="M280" s="1437">
        <f t="shared" si="15"/>
        <v>0</v>
      </c>
      <c r="N280" s="1437">
        <f t="shared" si="16"/>
        <v>1.6923E-5</v>
      </c>
    </row>
    <row r="281" spans="1:14" outlineLevel="1">
      <c r="A281" s="1499">
        <v>46</v>
      </c>
      <c r="B281" s="1539" t="s">
        <v>2031</v>
      </c>
      <c r="C281" s="1491" t="s">
        <v>934</v>
      </c>
      <c r="D281" s="1531" t="s">
        <v>1566</v>
      </c>
      <c r="E281" s="1318">
        <v>0</v>
      </c>
      <c r="F281" s="1437">
        <v>5.8934000000000002E-5</v>
      </c>
      <c r="G281" s="1437">
        <v>0</v>
      </c>
      <c r="H281" s="1437">
        <f t="shared" si="14"/>
        <v>5.8934000000000002E-5</v>
      </c>
      <c r="I281" s="1437">
        <v>0</v>
      </c>
      <c r="J281" s="1437">
        <v>0</v>
      </c>
      <c r="K281" s="1438"/>
      <c r="L281" s="1438"/>
      <c r="M281" s="1437">
        <f t="shared" si="15"/>
        <v>0</v>
      </c>
      <c r="N281" s="1437">
        <f t="shared" si="16"/>
        <v>5.8934000000000002E-5</v>
      </c>
    </row>
    <row r="282" spans="1:14" outlineLevel="1">
      <c r="A282" s="1499">
        <v>47</v>
      </c>
      <c r="B282" s="1539" t="s">
        <v>2032</v>
      </c>
      <c r="C282" s="1491" t="s">
        <v>934</v>
      </c>
      <c r="D282" s="1531" t="s">
        <v>1566</v>
      </c>
      <c r="E282" s="1318">
        <v>0</v>
      </c>
      <c r="F282" s="1437">
        <v>1.4947300000000001E-4</v>
      </c>
      <c r="G282" s="1437">
        <v>0</v>
      </c>
      <c r="H282" s="1437">
        <f t="shared" si="14"/>
        <v>1.4947300000000001E-4</v>
      </c>
      <c r="I282" s="1437">
        <v>0</v>
      </c>
      <c r="J282" s="1437">
        <v>0</v>
      </c>
      <c r="K282" s="1438"/>
      <c r="L282" s="1438"/>
      <c r="M282" s="1437">
        <f t="shared" si="15"/>
        <v>0</v>
      </c>
      <c r="N282" s="1437">
        <f t="shared" si="16"/>
        <v>1.4947300000000001E-4</v>
      </c>
    </row>
    <row r="283" spans="1:14" outlineLevel="1">
      <c r="A283" s="1499">
        <v>48</v>
      </c>
      <c r="B283" s="1539" t="s">
        <v>2033</v>
      </c>
      <c r="C283" s="1491" t="s">
        <v>934</v>
      </c>
      <c r="D283" s="1531" t="s">
        <v>1566</v>
      </c>
      <c r="E283" s="1318">
        <v>0</v>
      </c>
      <c r="F283" s="1437">
        <v>4.5158999999999999E-5</v>
      </c>
      <c r="G283" s="1437">
        <v>0</v>
      </c>
      <c r="H283" s="1437">
        <f t="shared" si="14"/>
        <v>4.5158999999999999E-5</v>
      </c>
      <c r="I283" s="1437">
        <v>0</v>
      </c>
      <c r="J283" s="1437">
        <v>0</v>
      </c>
      <c r="K283" s="1438"/>
      <c r="L283" s="1438"/>
      <c r="M283" s="1437">
        <f t="shared" si="15"/>
        <v>0</v>
      </c>
      <c r="N283" s="1437">
        <f t="shared" si="16"/>
        <v>4.5158999999999999E-5</v>
      </c>
    </row>
    <row r="284" spans="1:14" outlineLevel="1">
      <c r="A284" s="1499">
        <v>49</v>
      </c>
      <c r="B284" s="1539" t="s">
        <v>2034</v>
      </c>
      <c r="C284" s="1491" t="s">
        <v>934</v>
      </c>
      <c r="D284" s="1531" t="s">
        <v>1566</v>
      </c>
      <c r="E284" s="1318">
        <v>0</v>
      </c>
      <c r="F284" s="1437">
        <v>3.4220000000000001E-5</v>
      </c>
      <c r="G284" s="1437">
        <v>0</v>
      </c>
      <c r="H284" s="1437">
        <f t="shared" si="14"/>
        <v>3.4220000000000001E-5</v>
      </c>
      <c r="I284" s="1437">
        <v>0</v>
      </c>
      <c r="J284" s="1437">
        <v>0</v>
      </c>
      <c r="K284" s="1438"/>
      <c r="L284" s="1438"/>
      <c r="M284" s="1437">
        <f t="shared" si="15"/>
        <v>0</v>
      </c>
      <c r="N284" s="1437">
        <f t="shared" si="16"/>
        <v>3.4220000000000001E-5</v>
      </c>
    </row>
    <row r="285" spans="1:14" outlineLevel="1">
      <c r="A285" s="1499">
        <v>50</v>
      </c>
      <c r="B285" s="1539" t="s">
        <v>2035</v>
      </c>
      <c r="C285" s="1491" t="s">
        <v>934</v>
      </c>
      <c r="D285" s="1531" t="s">
        <v>1566</v>
      </c>
      <c r="E285" s="1318">
        <v>0</v>
      </c>
      <c r="F285" s="1437">
        <v>4.409E-5</v>
      </c>
      <c r="G285" s="1437">
        <v>0</v>
      </c>
      <c r="H285" s="1437">
        <f t="shared" si="14"/>
        <v>4.409E-5</v>
      </c>
      <c r="I285" s="1437">
        <v>0</v>
      </c>
      <c r="J285" s="1437">
        <v>0</v>
      </c>
      <c r="K285" s="1438"/>
      <c r="L285" s="1438"/>
      <c r="M285" s="1437">
        <f t="shared" si="15"/>
        <v>0</v>
      </c>
      <c r="N285" s="1437">
        <f t="shared" si="16"/>
        <v>4.409E-5</v>
      </c>
    </row>
    <row r="286" spans="1:14" outlineLevel="1">
      <c r="A286" s="1499">
        <v>51</v>
      </c>
      <c r="B286" s="1539" t="s">
        <v>2036</v>
      </c>
      <c r="C286" s="1491" t="s">
        <v>934</v>
      </c>
      <c r="D286" s="1531" t="s">
        <v>1566</v>
      </c>
      <c r="E286" s="1318">
        <v>0</v>
      </c>
      <c r="F286" s="1437">
        <v>8.5750000000000001E-6</v>
      </c>
      <c r="G286" s="1437">
        <v>0</v>
      </c>
      <c r="H286" s="1437">
        <f t="shared" si="14"/>
        <v>8.5750000000000001E-6</v>
      </c>
      <c r="I286" s="1437">
        <v>0</v>
      </c>
      <c r="J286" s="1437">
        <v>0</v>
      </c>
      <c r="K286" s="1438"/>
      <c r="L286" s="1438"/>
      <c r="M286" s="1437">
        <f t="shared" si="15"/>
        <v>0</v>
      </c>
      <c r="N286" s="1437">
        <f t="shared" si="16"/>
        <v>8.5750000000000001E-6</v>
      </c>
    </row>
    <row r="287" spans="1:14" ht="29" outlineLevel="1">
      <c r="A287" s="1499">
        <v>52</v>
      </c>
      <c r="B287" s="1539" t="s">
        <v>2037</v>
      </c>
      <c r="C287" s="1491" t="s">
        <v>934</v>
      </c>
      <c r="D287" s="1531" t="s">
        <v>1566</v>
      </c>
      <c r="E287" s="1318">
        <v>0</v>
      </c>
      <c r="F287" s="1437">
        <v>1.38462E-4</v>
      </c>
      <c r="G287" s="1437">
        <v>0</v>
      </c>
      <c r="H287" s="1437">
        <f t="shared" si="14"/>
        <v>1.38462E-4</v>
      </c>
      <c r="I287" s="1437">
        <v>0</v>
      </c>
      <c r="J287" s="1437">
        <v>0</v>
      </c>
      <c r="K287" s="1438"/>
      <c r="L287" s="1438"/>
      <c r="M287" s="1437">
        <f t="shared" si="15"/>
        <v>0</v>
      </c>
      <c r="N287" s="1437">
        <f t="shared" si="16"/>
        <v>1.38462E-4</v>
      </c>
    </row>
    <row r="288" spans="1:14" outlineLevel="1">
      <c r="A288" s="1499">
        <v>53</v>
      </c>
      <c r="B288" s="1539" t="s">
        <v>2038</v>
      </c>
      <c r="C288" s="1491" t="s">
        <v>934</v>
      </c>
      <c r="D288" s="1531" t="s">
        <v>1566</v>
      </c>
      <c r="E288" s="1318">
        <v>0</v>
      </c>
      <c r="F288" s="1437">
        <v>3.5627999999999998E-5</v>
      </c>
      <c r="G288" s="1437">
        <v>0</v>
      </c>
      <c r="H288" s="1437">
        <f t="shared" si="14"/>
        <v>3.5627999999999998E-5</v>
      </c>
      <c r="I288" s="1437">
        <v>0</v>
      </c>
      <c r="J288" s="1437">
        <v>0</v>
      </c>
      <c r="K288" s="1438"/>
      <c r="L288" s="1438"/>
      <c r="M288" s="1437">
        <f t="shared" si="15"/>
        <v>0</v>
      </c>
      <c r="N288" s="1437">
        <f t="shared" si="16"/>
        <v>3.5627999999999998E-5</v>
      </c>
    </row>
    <row r="289" spans="1:14" ht="29" outlineLevel="1">
      <c r="A289" s="1499">
        <v>54</v>
      </c>
      <c r="B289" s="1539" t="s">
        <v>2039</v>
      </c>
      <c r="C289" s="1491" t="s">
        <v>934</v>
      </c>
      <c r="D289" s="1531" t="s">
        <v>1566</v>
      </c>
      <c r="E289" s="1318">
        <v>0</v>
      </c>
      <c r="F289" s="1437">
        <v>1.7813999999999999E-5</v>
      </c>
      <c r="G289" s="1437">
        <v>0</v>
      </c>
      <c r="H289" s="1437">
        <f t="shared" si="14"/>
        <v>1.7813999999999999E-5</v>
      </c>
      <c r="I289" s="1437">
        <v>0</v>
      </c>
      <c r="J289" s="1437">
        <v>0</v>
      </c>
      <c r="K289" s="1438"/>
      <c r="L289" s="1438"/>
      <c r="M289" s="1437">
        <f t="shared" si="15"/>
        <v>0</v>
      </c>
      <c r="N289" s="1437">
        <f t="shared" si="16"/>
        <v>1.7813999999999999E-5</v>
      </c>
    </row>
    <row r="290" spans="1:14" outlineLevel="1">
      <c r="A290" s="1499">
        <v>55</v>
      </c>
      <c r="B290" s="1539" t="s">
        <v>2040</v>
      </c>
      <c r="C290" s="1491" t="s">
        <v>934</v>
      </c>
      <c r="D290" s="1531" t="s">
        <v>1566</v>
      </c>
      <c r="E290" s="1318">
        <v>0</v>
      </c>
      <c r="F290" s="1437">
        <v>6.5769099999999996E-4</v>
      </c>
      <c r="G290" s="1437">
        <v>0</v>
      </c>
      <c r="H290" s="1437">
        <f t="shared" si="14"/>
        <v>6.5769099999999996E-4</v>
      </c>
      <c r="I290" s="1437">
        <v>0</v>
      </c>
      <c r="J290" s="1437">
        <v>0</v>
      </c>
      <c r="K290" s="1438"/>
      <c r="L290" s="1438"/>
      <c r="M290" s="1437">
        <f t="shared" si="15"/>
        <v>0</v>
      </c>
      <c r="N290" s="1437">
        <f t="shared" si="16"/>
        <v>6.5769099999999996E-4</v>
      </c>
    </row>
    <row r="291" spans="1:14" outlineLevel="1">
      <c r="A291" s="1499">
        <v>56</v>
      </c>
      <c r="B291" s="1539" t="s">
        <v>2041</v>
      </c>
      <c r="C291" s="1491" t="s">
        <v>934</v>
      </c>
      <c r="D291" s="1531" t="s">
        <v>1566</v>
      </c>
      <c r="E291" s="1318">
        <v>0</v>
      </c>
      <c r="F291" s="1437">
        <v>1.9338999999999999E-5</v>
      </c>
      <c r="G291" s="1437">
        <v>0</v>
      </c>
      <c r="H291" s="1437">
        <f t="shared" si="14"/>
        <v>1.9338999999999999E-5</v>
      </c>
      <c r="I291" s="1437">
        <v>0</v>
      </c>
      <c r="J291" s="1437">
        <v>0</v>
      </c>
      <c r="K291" s="1438"/>
      <c r="L291" s="1438"/>
      <c r="M291" s="1437">
        <f t="shared" si="15"/>
        <v>0</v>
      </c>
      <c r="N291" s="1437">
        <f t="shared" si="16"/>
        <v>1.9338999999999999E-5</v>
      </c>
    </row>
    <row r="292" spans="1:14" outlineLevel="1">
      <c r="A292" s="1499">
        <v>57</v>
      </c>
      <c r="B292" s="1539" t="s">
        <v>2042</v>
      </c>
      <c r="C292" s="1491" t="s">
        <v>934</v>
      </c>
      <c r="D292" s="1531" t="s">
        <v>1566</v>
      </c>
      <c r="E292" s="1318">
        <v>0</v>
      </c>
      <c r="F292" s="1437">
        <v>1.4134799999999999E-4</v>
      </c>
      <c r="G292" s="1437">
        <v>0</v>
      </c>
      <c r="H292" s="1437">
        <f t="shared" si="14"/>
        <v>1.4134799999999999E-4</v>
      </c>
      <c r="I292" s="1437">
        <v>0</v>
      </c>
      <c r="J292" s="1437">
        <v>0</v>
      </c>
      <c r="K292" s="1438"/>
      <c r="L292" s="1438"/>
      <c r="M292" s="1437">
        <f t="shared" si="15"/>
        <v>0</v>
      </c>
      <c r="N292" s="1437">
        <f t="shared" si="16"/>
        <v>1.4134799999999999E-4</v>
      </c>
    </row>
    <row r="293" spans="1:14" outlineLevel="1">
      <c r="A293" s="1499">
        <v>58</v>
      </c>
      <c r="B293" s="1539" t="s">
        <v>2043</v>
      </c>
      <c r="C293" s="1491" t="s">
        <v>934</v>
      </c>
      <c r="D293" s="1531" t="s">
        <v>1566</v>
      </c>
      <c r="E293" s="1318">
        <v>0</v>
      </c>
      <c r="F293" s="1437">
        <v>6.5490000000000007E-2</v>
      </c>
      <c r="G293" s="1437">
        <v>0</v>
      </c>
      <c r="H293" s="1437">
        <f t="shared" si="14"/>
        <v>6.5490000000000007E-2</v>
      </c>
      <c r="I293" s="1437">
        <v>0</v>
      </c>
      <c r="J293" s="1437">
        <v>0</v>
      </c>
      <c r="K293" s="1438"/>
      <c r="L293" s="1438"/>
      <c r="M293" s="1437">
        <f t="shared" si="15"/>
        <v>0</v>
      </c>
      <c r="N293" s="1437">
        <f t="shared" si="16"/>
        <v>6.5490000000000007E-2</v>
      </c>
    </row>
    <row r="294" spans="1:14" outlineLevel="1">
      <c r="A294" s="1499">
        <v>59</v>
      </c>
      <c r="B294" s="1539" t="s">
        <v>2045</v>
      </c>
      <c r="C294" s="1491" t="s">
        <v>934</v>
      </c>
      <c r="D294" s="1531" t="s">
        <v>1566</v>
      </c>
      <c r="E294" s="1318">
        <v>0</v>
      </c>
      <c r="F294" s="1437">
        <v>7.4618999999999996E-3</v>
      </c>
      <c r="G294" s="1437">
        <v>0</v>
      </c>
      <c r="H294" s="1437">
        <f t="shared" si="14"/>
        <v>7.4618999999999996E-3</v>
      </c>
      <c r="I294" s="1437">
        <v>0</v>
      </c>
      <c r="J294" s="1437">
        <v>0</v>
      </c>
      <c r="K294" s="1438"/>
      <c r="L294" s="1438"/>
      <c r="M294" s="1437">
        <f t="shared" si="15"/>
        <v>0</v>
      </c>
      <c r="N294" s="1437">
        <f t="shared" si="16"/>
        <v>7.4618999999999996E-3</v>
      </c>
    </row>
    <row r="295" spans="1:14" outlineLevel="1">
      <c r="A295" s="1499">
        <v>60</v>
      </c>
      <c r="B295" s="1539" t="s">
        <v>2047</v>
      </c>
      <c r="C295" s="1491" t="s">
        <v>934</v>
      </c>
      <c r="D295" s="1531" t="s">
        <v>1566</v>
      </c>
      <c r="E295" s="1318">
        <v>0</v>
      </c>
      <c r="F295" s="1437">
        <v>4.6610299000000001E-2</v>
      </c>
      <c r="G295" s="1437">
        <v>0</v>
      </c>
      <c r="H295" s="1437">
        <f t="shared" si="14"/>
        <v>4.6610299000000001E-2</v>
      </c>
      <c r="I295" s="1437">
        <v>0</v>
      </c>
      <c r="J295" s="1437">
        <v>0</v>
      </c>
      <c r="K295" s="1438"/>
      <c r="L295" s="1438"/>
      <c r="M295" s="1437">
        <f t="shared" si="15"/>
        <v>0</v>
      </c>
      <c r="N295" s="1437">
        <f t="shared" si="16"/>
        <v>4.6610299000000001E-2</v>
      </c>
    </row>
    <row r="296" spans="1:14" ht="29" outlineLevel="1">
      <c r="A296" s="1499">
        <v>61</v>
      </c>
      <c r="B296" s="1539" t="s">
        <v>2049</v>
      </c>
      <c r="C296" s="1491" t="s">
        <v>934</v>
      </c>
      <c r="D296" s="1531" t="s">
        <v>1566</v>
      </c>
      <c r="E296" s="1318">
        <v>0</v>
      </c>
      <c r="F296" s="1437">
        <v>0.21887515400000002</v>
      </c>
      <c r="G296" s="1437">
        <v>0</v>
      </c>
      <c r="H296" s="1437">
        <f t="shared" si="14"/>
        <v>0.21887515400000002</v>
      </c>
      <c r="I296" s="1437">
        <v>0</v>
      </c>
      <c r="J296" s="1437">
        <v>0</v>
      </c>
      <c r="K296" s="1438"/>
      <c r="L296" s="1438"/>
      <c r="M296" s="1437">
        <f t="shared" si="15"/>
        <v>0</v>
      </c>
      <c r="N296" s="1437">
        <f t="shared" si="16"/>
        <v>0.21887515400000002</v>
      </c>
    </row>
    <row r="297" spans="1:14" ht="29" outlineLevel="1">
      <c r="A297" s="1499">
        <v>62</v>
      </c>
      <c r="B297" s="1539" t="s">
        <v>2051</v>
      </c>
      <c r="C297" s="1491" t="s">
        <v>934</v>
      </c>
      <c r="D297" s="1531" t="s">
        <v>1566</v>
      </c>
      <c r="E297" s="1318">
        <v>0</v>
      </c>
      <c r="F297" s="1437">
        <v>8.3684199999999997E-4</v>
      </c>
      <c r="G297" s="1437">
        <v>0</v>
      </c>
      <c r="H297" s="1437">
        <f t="shared" si="14"/>
        <v>8.3684199999999997E-4</v>
      </c>
      <c r="I297" s="1437">
        <v>0</v>
      </c>
      <c r="J297" s="1437">
        <v>0</v>
      </c>
      <c r="K297" s="1438"/>
      <c r="L297" s="1438"/>
      <c r="M297" s="1437">
        <f t="shared" si="15"/>
        <v>0</v>
      </c>
      <c r="N297" s="1437">
        <f t="shared" si="16"/>
        <v>8.3684199999999997E-4</v>
      </c>
    </row>
    <row r="298" spans="1:14" ht="29" outlineLevel="1">
      <c r="A298" s="1499">
        <v>63</v>
      </c>
      <c r="B298" s="1539" t="s">
        <v>2053</v>
      </c>
      <c r="C298" s="1491" t="s">
        <v>934</v>
      </c>
      <c r="D298" s="1531" t="s">
        <v>1566</v>
      </c>
      <c r="E298" s="1318">
        <v>0</v>
      </c>
      <c r="F298" s="1437">
        <v>4.8560299999999999E-3</v>
      </c>
      <c r="G298" s="1437">
        <v>0</v>
      </c>
      <c r="H298" s="1437">
        <f t="shared" si="14"/>
        <v>4.8560299999999999E-3</v>
      </c>
      <c r="I298" s="1437">
        <v>0</v>
      </c>
      <c r="J298" s="1437">
        <v>0</v>
      </c>
      <c r="K298" s="1438"/>
      <c r="L298" s="1438"/>
      <c r="M298" s="1437">
        <f t="shared" si="15"/>
        <v>0</v>
      </c>
      <c r="N298" s="1437">
        <f t="shared" si="16"/>
        <v>4.8560299999999999E-3</v>
      </c>
    </row>
    <row r="299" spans="1:14" ht="29" outlineLevel="1">
      <c r="A299" s="1499">
        <v>64</v>
      </c>
      <c r="B299" s="1539" t="s">
        <v>2054</v>
      </c>
      <c r="C299" s="1491" t="s">
        <v>934</v>
      </c>
      <c r="D299" s="1531" t="s">
        <v>1566</v>
      </c>
      <c r="E299" s="1318">
        <v>0</v>
      </c>
      <c r="F299" s="1437">
        <v>1.6841648000000001E-2</v>
      </c>
      <c r="G299" s="1437">
        <v>0</v>
      </c>
      <c r="H299" s="1437">
        <f t="shared" si="14"/>
        <v>1.6841648000000001E-2</v>
      </c>
      <c r="I299" s="1437">
        <v>0</v>
      </c>
      <c r="J299" s="1437">
        <v>0</v>
      </c>
      <c r="K299" s="1438"/>
      <c r="L299" s="1438"/>
      <c r="M299" s="1437">
        <f t="shared" si="15"/>
        <v>0</v>
      </c>
      <c r="N299" s="1437">
        <f t="shared" si="16"/>
        <v>1.6841648000000001E-2</v>
      </c>
    </row>
    <row r="300" spans="1:14" outlineLevel="1">
      <c r="A300" s="1499">
        <v>65</v>
      </c>
      <c r="B300" s="1539" t="s">
        <v>2055</v>
      </c>
      <c r="C300" s="1491" t="s">
        <v>934</v>
      </c>
      <c r="D300" s="1531" t="s">
        <v>1566</v>
      </c>
      <c r="E300" s="1318">
        <v>0</v>
      </c>
      <c r="F300" s="1437">
        <v>1.8479445000000001E-2</v>
      </c>
      <c r="G300" s="1437">
        <v>0</v>
      </c>
      <c r="H300" s="1437">
        <f t="shared" si="14"/>
        <v>1.8479445000000001E-2</v>
      </c>
      <c r="I300" s="1437">
        <v>0</v>
      </c>
      <c r="J300" s="1437">
        <v>0</v>
      </c>
      <c r="K300" s="1438"/>
      <c r="L300" s="1438"/>
      <c r="M300" s="1437">
        <f t="shared" si="15"/>
        <v>0</v>
      </c>
      <c r="N300" s="1437">
        <f t="shared" si="16"/>
        <v>1.8479445000000001E-2</v>
      </c>
    </row>
    <row r="301" spans="1:14" ht="29" outlineLevel="1">
      <c r="A301" s="1499">
        <v>66</v>
      </c>
      <c r="B301" s="1539" t="s">
        <v>2056</v>
      </c>
      <c r="C301" s="1491" t="s">
        <v>934</v>
      </c>
      <c r="D301" s="1531" t="s">
        <v>1566</v>
      </c>
      <c r="E301" s="1318">
        <v>0</v>
      </c>
      <c r="F301" s="1437">
        <v>1.7255999999999999E-5</v>
      </c>
      <c r="G301" s="1437">
        <v>0</v>
      </c>
      <c r="H301" s="1437">
        <f t="shared" si="14"/>
        <v>1.7255999999999999E-5</v>
      </c>
      <c r="I301" s="1437">
        <v>0</v>
      </c>
      <c r="J301" s="1437">
        <v>0</v>
      </c>
      <c r="K301" s="1438"/>
      <c r="L301" s="1438"/>
      <c r="M301" s="1437">
        <f t="shared" si="15"/>
        <v>0</v>
      </c>
      <c r="N301" s="1437">
        <f t="shared" si="16"/>
        <v>1.7255999999999999E-5</v>
      </c>
    </row>
    <row r="302" spans="1:14" outlineLevel="1">
      <c r="A302" s="1499">
        <v>67</v>
      </c>
      <c r="B302" s="1539" t="s">
        <v>2058</v>
      </c>
      <c r="C302" s="1491" t="s">
        <v>934</v>
      </c>
      <c r="D302" s="1531" t="s">
        <v>1566</v>
      </c>
      <c r="E302" s="1318">
        <v>0</v>
      </c>
      <c r="F302" s="1437">
        <v>1.344619E-3</v>
      </c>
      <c r="G302" s="1437">
        <v>0</v>
      </c>
      <c r="H302" s="1437">
        <f t="shared" si="14"/>
        <v>1.344619E-3</v>
      </c>
      <c r="I302" s="1437">
        <v>0</v>
      </c>
      <c r="J302" s="1437">
        <v>0</v>
      </c>
      <c r="K302" s="1438"/>
      <c r="L302" s="1438"/>
      <c r="M302" s="1437">
        <f t="shared" si="15"/>
        <v>0</v>
      </c>
      <c r="N302" s="1437">
        <f t="shared" si="16"/>
        <v>1.344619E-3</v>
      </c>
    </row>
    <row r="303" spans="1:14" outlineLevel="1">
      <c r="A303" s="1499">
        <v>68</v>
      </c>
      <c r="B303" s="1539" t="s">
        <v>2059</v>
      </c>
      <c r="C303" s="1491" t="s">
        <v>934</v>
      </c>
      <c r="D303" s="1531" t="s">
        <v>1566</v>
      </c>
      <c r="E303" s="1318">
        <v>0</v>
      </c>
      <c r="F303" s="1437">
        <v>2.1652109999999998E-3</v>
      </c>
      <c r="G303" s="1437">
        <v>0</v>
      </c>
      <c r="H303" s="1437">
        <f t="shared" si="14"/>
        <v>2.1652109999999998E-3</v>
      </c>
      <c r="I303" s="1437">
        <v>0</v>
      </c>
      <c r="J303" s="1437">
        <v>0</v>
      </c>
      <c r="K303" s="1438"/>
      <c r="L303" s="1438"/>
      <c r="M303" s="1437">
        <f t="shared" si="15"/>
        <v>0</v>
      </c>
      <c r="N303" s="1437">
        <f t="shared" si="16"/>
        <v>2.1652109999999998E-3</v>
      </c>
    </row>
    <row r="304" spans="1:14" ht="29" outlineLevel="1">
      <c r="A304" s="1499">
        <v>69</v>
      </c>
      <c r="B304" s="1539" t="s">
        <v>2060</v>
      </c>
      <c r="C304" s="1491" t="s">
        <v>934</v>
      </c>
      <c r="D304" s="1531" t="s">
        <v>1566</v>
      </c>
      <c r="E304" s="1318">
        <v>0</v>
      </c>
      <c r="F304" s="1437">
        <v>7.0969070000000004E-3</v>
      </c>
      <c r="G304" s="1437">
        <v>0</v>
      </c>
      <c r="H304" s="1437">
        <f t="shared" si="14"/>
        <v>7.0969070000000004E-3</v>
      </c>
      <c r="I304" s="1437">
        <v>0</v>
      </c>
      <c r="J304" s="1437">
        <v>0</v>
      </c>
      <c r="K304" s="1438"/>
      <c r="L304" s="1438"/>
      <c r="M304" s="1437">
        <f t="shared" si="15"/>
        <v>0</v>
      </c>
      <c r="N304" s="1437">
        <f t="shared" si="16"/>
        <v>7.0969070000000004E-3</v>
      </c>
    </row>
    <row r="305" spans="1:14" outlineLevel="1">
      <c r="A305" s="1499">
        <v>70</v>
      </c>
      <c r="B305" s="1539" t="s">
        <v>2061</v>
      </c>
      <c r="C305" s="1491" t="s">
        <v>934</v>
      </c>
      <c r="D305" s="1531" t="s">
        <v>1566</v>
      </c>
      <c r="E305" s="1318">
        <v>0</v>
      </c>
      <c r="F305" s="1437">
        <v>1.2125858999999999E-2</v>
      </c>
      <c r="G305" s="1437">
        <v>0</v>
      </c>
      <c r="H305" s="1437">
        <f t="shared" si="14"/>
        <v>1.2125858999999999E-2</v>
      </c>
      <c r="I305" s="1437">
        <v>0</v>
      </c>
      <c r="J305" s="1437">
        <v>0</v>
      </c>
      <c r="K305" s="1438"/>
      <c r="L305" s="1438"/>
      <c r="M305" s="1437">
        <f t="shared" si="15"/>
        <v>0</v>
      </c>
      <c r="N305" s="1437">
        <f t="shared" si="16"/>
        <v>1.2125858999999999E-2</v>
      </c>
    </row>
    <row r="306" spans="1:14" outlineLevel="1">
      <c r="A306" s="1499">
        <v>71</v>
      </c>
      <c r="B306" s="1539" t="s">
        <v>2062</v>
      </c>
      <c r="C306" s="1491" t="s">
        <v>934</v>
      </c>
      <c r="D306" s="1531" t="s">
        <v>1566</v>
      </c>
      <c r="E306" s="1318">
        <v>0</v>
      </c>
      <c r="F306" s="1437">
        <v>4.0530039999999998E-3</v>
      </c>
      <c r="G306" s="1437">
        <v>0</v>
      </c>
      <c r="H306" s="1437">
        <f t="shared" si="14"/>
        <v>4.0530039999999998E-3</v>
      </c>
      <c r="I306" s="1437">
        <v>0</v>
      </c>
      <c r="J306" s="1437">
        <v>0</v>
      </c>
      <c r="K306" s="1438"/>
      <c r="L306" s="1438"/>
      <c r="M306" s="1437">
        <f t="shared" si="15"/>
        <v>0</v>
      </c>
      <c r="N306" s="1437">
        <f t="shared" si="16"/>
        <v>4.0530039999999998E-3</v>
      </c>
    </row>
    <row r="307" spans="1:14" outlineLevel="1">
      <c r="A307" s="1499">
        <v>72</v>
      </c>
      <c r="B307" s="1539" t="s">
        <v>2063</v>
      </c>
      <c r="C307" s="1491" t="s">
        <v>934</v>
      </c>
      <c r="D307" s="1531" t="s">
        <v>1566</v>
      </c>
      <c r="E307" s="1318">
        <v>0</v>
      </c>
      <c r="F307" s="1437">
        <v>9.5127619999999993E-3</v>
      </c>
      <c r="G307" s="1437">
        <v>0</v>
      </c>
      <c r="H307" s="1437">
        <f t="shared" si="14"/>
        <v>9.5127619999999993E-3</v>
      </c>
      <c r="I307" s="1437">
        <v>0</v>
      </c>
      <c r="J307" s="1437">
        <v>0</v>
      </c>
      <c r="K307" s="1438"/>
      <c r="L307" s="1438"/>
      <c r="M307" s="1437">
        <f t="shared" si="15"/>
        <v>0</v>
      </c>
      <c r="N307" s="1437">
        <f t="shared" si="16"/>
        <v>9.5127619999999993E-3</v>
      </c>
    </row>
    <row r="308" spans="1:14" ht="29" outlineLevel="1">
      <c r="A308" s="1499">
        <v>73</v>
      </c>
      <c r="B308" s="1539" t="s">
        <v>2064</v>
      </c>
      <c r="C308" s="1491" t="s">
        <v>934</v>
      </c>
      <c r="D308" s="1531" t="s">
        <v>1566</v>
      </c>
      <c r="E308" s="1318">
        <v>0</v>
      </c>
      <c r="F308" s="1437">
        <v>4.1004594999999998E-2</v>
      </c>
      <c r="G308" s="1437">
        <v>0</v>
      </c>
      <c r="H308" s="1437">
        <f t="shared" si="14"/>
        <v>4.1004594999999998E-2</v>
      </c>
      <c r="I308" s="1437">
        <v>0</v>
      </c>
      <c r="J308" s="1437">
        <v>0</v>
      </c>
      <c r="K308" s="1438"/>
      <c r="L308" s="1438"/>
      <c r="M308" s="1437">
        <f t="shared" si="15"/>
        <v>0</v>
      </c>
      <c r="N308" s="1437">
        <f t="shared" si="16"/>
        <v>4.1004594999999998E-2</v>
      </c>
    </row>
    <row r="309" spans="1:14" ht="29" outlineLevel="1">
      <c r="A309" s="1499">
        <v>74</v>
      </c>
      <c r="B309" s="1539" t="s">
        <v>2065</v>
      </c>
      <c r="C309" s="1491" t="s">
        <v>934</v>
      </c>
      <c r="D309" s="1531" t="s">
        <v>1566</v>
      </c>
      <c r="E309" s="1318">
        <v>0</v>
      </c>
      <c r="F309" s="1437">
        <v>8.3837327000000003E-2</v>
      </c>
      <c r="G309" s="1437">
        <v>0</v>
      </c>
      <c r="H309" s="1437">
        <f t="shared" si="14"/>
        <v>8.3837327000000003E-2</v>
      </c>
      <c r="I309" s="1437">
        <v>0</v>
      </c>
      <c r="J309" s="1437">
        <v>0</v>
      </c>
      <c r="K309" s="1438"/>
      <c r="L309" s="1438"/>
      <c r="M309" s="1437">
        <f t="shared" si="15"/>
        <v>0</v>
      </c>
      <c r="N309" s="1437">
        <f t="shared" si="16"/>
        <v>8.3837327000000003E-2</v>
      </c>
    </row>
    <row r="310" spans="1:14" outlineLevel="1">
      <c r="A310" s="1499">
        <v>75</v>
      </c>
      <c r="B310" s="1539" t="s">
        <v>2066</v>
      </c>
      <c r="C310" s="1491" t="s">
        <v>934</v>
      </c>
      <c r="D310" s="1531" t="s">
        <v>1566</v>
      </c>
      <c r="E310" s="1318">
        <v>0</v>
      </c>
      <c r="F310" s="1437">
        <v>1.022551E-3</v>
      </c>
      <c r="G310" s="1437">
        <v>0</v>
      </c>
      <c r="H310" s="1437">
        <f t="shared" si="14"/>
        <v>1.022551E-3</v>
      </c>
      <c r="I310" s="1437">
        <v>0</v>
      </c>
      <c r="J310" s="1437">
        <v>0</v>
      </c>
      <c r="K310" s="1438"/>
      <c r="L310" s="1438"/>
      <c r="M310" s="1437">
        <f t="shared" si="15"/>
        <v>0</v>
      </c>
      <c r="N310" s="1437">
        <f t="shared" si="16"/>
        <v>1.022551E-3</v>
      </c>
    </row>
    <row r="311" spans="1:14" outlineLevel="1">
      <c r="A311" s="1499">
        <v>76</v>
      </c>
      <c r="B311" s="1539" t="s">
        <v>2067</v>
      </c>
      <c r="C311" s="1491" t="s">
        <v>934</v>
      </c>
      <c r="D311" s="1531" t="s">
        <v>1566</v>
      </c>
      <c r="E311" s="1318">
        <v>0</v>
      </c>
      <c r="F311" s="1437">
        <v>1.3280755999999999E-2</v>
      </c>
      <c r="G311" s="1437">
        <v>0</v>
      </c>
      <c r="H311" s="1437">
        <f t="shared" si="14"/>
        <v>1.3280755999999999E-2</v>
      </c>
      <c r="I311" s="1437">
        <v>0</v>
      </c>
      <c r="J311" s="1437">
        <v>0</v>
      </c>
      <c r="K311" s="1438"/>
      <c r="L311" s="1438"/>
      <c r="M311" s="1437">
        <f t="shared" si="15"/>
        <v>0</v>
      </c>
      <c r="N311" s="1437">
        <f t="shared" si="16"/>
        <v>1.3280755999999999E-2</v>
      </c>
    </row>
    <row r="312" spans="1:14" ht="29" outlineLevel="1">
      <c r="A312" s="1499">
        <v>77</v>
      </c>
      <c r="B312" s="1539" t="s">
        <v>2068</v>
      </c>
      <c r="C312" s="1491" t="s">
        <v>934</v>
      </c>
      <c r="D312" s="1531" t="s">
        <v>1566</v>
      </c>
      <c r="E312" s="1318">
        <v>0</v>
      </c>
      <c r="F312" s="1437">
        <v>5.1243500999999997E-2</v>
      </c>
      <c r="G312" s="1437">
        <v>0</v>
      </c>
      <c r="H312" s="1437">
        <f t="shared" si="14"/>
        <v>5.1243500999999997E-2</v>
      </c>
      <c r="I312" s="1437">
        <v>0</v>
      </c>
      <c r="J312" s="1437">
        <v>0</v>
      </c>
      <c r="K312" s="1438"/>
      <c r="L312" s="1438"/>
      <c r="M312" s="1437">
        <f t="shared" si="15"/>
        <v>0</v>
      </c>
      <c r="N312" s="1437">
        <f t="shared" si="16"/>
        <v>5.1243500999999997E-2</v>
      </c>
    </row>
    <row r="313" spans="1:14" outlineLevel="1">
      <c r="A313" s="1499">
        <v>78</v>
      </c>
      <c r="B313" s="1539" t="s">
        <v>2069</v>
      </c>
      <c r="C313" s="1491" t="s">
        <v>934</v>
      </c>
      <c r="D313" s="1531" t="s">
        <v>1566</v>
      </c>
      <c r="E313" s="1318">
        <v>0</v>
      </c>
      <c r="F313" s="1437">
        <v>6.8170000000000004E-4</v>
      </c>
      <c r="G313" s="1437">
        <v>0</v>
      </c>
      <c r="H313" s="1437">
        <f t="shared" si="14"/>
        <v>6.8170000000000004E-4</v>
      </c>
      <c r="I313" s="1437">
        <v>0</v>
      </c>
      <c r="J313" s="1437">
        <v>0</v>
      </c>
      <c r="K313" s="1438"/>
      <c r="L313" s="1438"/>
      <c r="M313" s="1437">
        <f t="shared" si="15"/>
        <v>0</v>
      </c>
      <c r="N313" s="1437">
        <f t="shared" si="16"/>
        <v>6.8170000000000004E-4</v>
      </c>
    </row>
    <row r="314" spans="1:14" outlineLevel="1">
      <c r="A314" s="1499">
        <v>79</v>
      </c>
      <c r="B314" s="1539" t="s">
        <v>2070</v>
      </c>
      <c r="C314" s="1491" t="s">
        <v>934</v>
      </c>
      <c r="D314" s="1531" t="s">
        <v>1566</v>
      </c>
      <c r="E314" s="1318">
        <v>0</v>
      </c>
      <c r="F314" s="1437">
        <v>1.7042509999999999E-3</v>
      </c>
      <c r="G314" s="1437">
        <v>0</v>
      </c>
      <c r="H314" s="1437">
        <f t="shared" si="14"/>
        <v>1.7042509999999999E-3</v>
      </c>
      <c r="I314" s="1437">
        <v>0</v>
      </c>
      <c r="J314" s="1437">
        <v>0</v>
      </c>
      <c r="K314" s="1438"/>
      <c r="L314" s="1438"/>
      <c r="M314" s="1437">
        <f t="shared" si="15"/>
        <v>0</v>
      </c>
      <c r="N314" s="1437">
        <f t="shared" si="16"/>
        <v>1.7042509999999999E-3</v>
      </c>
    </row>
    <row r="315" spans="1:14" ht="29" outlineLevel="1">
      <c r="A315" s="1499">
        <v>80</v>
      </c>
      <c r="B315" s="1539" t="s">
        <v>2071</v>
      </c>
      <c r="C315" s="1491" t="s">
        <v>934</v>
      </c>
      <c r="D315" s="1531" t="s">
        <v>1566</v>
      </c>
      <c r="E315" s="1318">
        <v>0</v>
      </c>
      <c r="F315" s="1437">
        <v>9.7934579999999997E-3</v>
      </c>
      <c r="G315" s="1437">
        <v>0</v>
      </c>
      <c r="H315" s="1437">
        <f t="shared" si="14"/>
        <v>9.7934579999999997E-3</v>
      </c>
      <c r="I315" s="1437">
        <v>0</v>
      </c>
      <c r="J315" s="1437">
        <v>0</v>
      </c>
      <c r="K315" s="1438"/>
      <c r="L315" s="1438"/>
      <c r="M315" s="1437">
        <f t="shared" si="15"/>
        <v>0</v>
      </c>
      <c r="N315" s="1437">
        <f t="shared" si="16"/>
        <v>9.7934579999999997E-3</v>
      </c>
    </row>
    <row r="316" spans="1:14" ht="29" outlineLevel="1">
      <c r="A316" s="1499">
        <v>81</v>
      </c>
      <c r="B316" s="1539" t="s">
        <v>2072</v>
      </c>
      <c r="C316" s="1491" t="s">
        <v>934</v>
      </c>
      <c r="D316" s="1531" t="s">
        <v>1566</v>
      </c>
      <c r="E316" s="1318">
        <v>0</v>
      </c>
      <c r="F316" s="1437">
        <v>3.0595908000000002E-2</v>
      </c>
      <c r="G316" s="1437">
        <v>0</v>
      </c>
      <c r="H316" s="1437">
        <f t="shared" si="14"/>
        <v>3.0595908000000002E-2</v>
      </c>
      <c r="I316" s="1437">
        <v>0</v>
      </c>
      <c r="J316" s="1437">
        <v>0</v>
      </c>
      <c r="K316" s="1438"/>
      <c r="L316" s="1438"/>
      <c r="M316" s="1437">
        <f t="shared" si="15"/>
        <v>0</v>
      </c>
      <c r="N316" s="1437">
        <f t="shared" si="16"/>
        <v>3.0595908000000002E-2</v>
      </c>
    </row>
    <row r="317" spans="1:14" outlineLevel="1">
      <c r="A317" s="1499">
        <v>82</v>
      </c>
      <c r="B317" s="1539" t="s">
        <v>2043</v>
      </c>
      <c r="C317" s="1491" t="s">
        <v>934</v>
      </c>
      <c r="D317" s="1531" t="s">
        <v>1566</v>
      </c>
      <c r="E317" s="1318">
        <v>0</v>
      </c>
      <c r="F317" s="1437">
        <v>0.17807421000000001</v>
      </c>
      <c r="G317" s="1437">
        <v>0</v>
      </c>
      <c r="H317" s="1437">
        <f t="shared" si="14"/>
        <v>0.17807421000000001</v>
      </c>
      <c r="I317" s="1437">
        <v>0</v>
      </c>
      <c r="J317" s="1437">
        <v>0</v>
      </c>
      <c r="K317" s="1438"/>
      <c r="L317" s="1438"/>
      <c r="M317" s="1437">
        <f t="shared" si="15"/>
        <v>0</v>
      </c>
      <c r="N317" s="1437">
        <f t="shared" si="16"/>
        <v>0.17807421000000001</v>
      </c>
    </row>
    <row r="318" spans="1:14" ht="29" outlineLevel="1">
      <c r="A318" s="1499">
        <v>83</v>
      </c>
      <c r="B318" s="1539" t="s">
        <v>2073</v>
      </c>
      <c r="C318" s="1491" t="s">
        <v>934</v>
      </c>
      <c r="D318" s="1531" t="s">
        <v>1566</v>
      </c>
      <c r="E318" s="1318">
        <v>0</v>
      </c>
      <c r="F318" s="1437">
        <v>2.0848189999999999E-3</v>
      </c>
      <c r="G318" s="1437">
        <v>0</v>
      </c>
      <c r="H318" s="1437">
        <f t="shared" si="14"/>
        <v>2.0848189999999999E-3</v>
      </c>
      <c r="I318" s="1437">
        <v>0</v>
      </c>
      <c r="J318" s="1437">
        <v>0</v>
      </c>
      <c r="K318" s="1438"/>
      <c r="L318" s="1438"/>
      <c r="M318" s="1437">
        <f t="shared" si="15"/>
        <v>0</v>
      </c>
      <c r="N318" s="1437">
        <f t="shared" si="16"/>
        <v>2.0848189999999999E-3</v>
      </c>
    </row>
    <row r="319" spans="1:14" ht="29" outlineLevel="1">
      <c r="A319" s="1499">
        <v>84</v>
      </c>
      <c r="B319" s="1539" t="s">
        <v>2074</v>
      </c>
      <c r="C319" s="1491" t="s">
        <v>934</v>
      </c>
      <c r="D319" s="1531" t="s">
        <v>1566</v>
      </c>
      <c r="E319" s="1318">
        <v>0</v>
      </c>
      <c r="F319" s="1437">
        <v>2.0745099999999999E-4</v>
      </c>
      <c r="G319" s="1437">
        <v>0</v>
      </c>
      <c r="H319" s="1437">
        <f t="shared" si="14"/>
        <v>2.0745099999999999E-4</v>
      </c>
      <c r="I319" s="1437">
        <v>0</v>
      </c>
      <c r="J319" s="1437">
        <v>0</v>
      </c>
      <c r="K319" s="1438"/>
      <c r="L319" s="1438"/>
      <c r="M319" s="1437">
        <f t="shared" si="15"/>
        <v>0</v>
      </c>
      <c r="N319" s="1437">
        <f t="shared" si="16"/>
        <v>2.0745099999999999E-4</v>
      </c>
    </row>
    <row r="320" spans="1:14" ht="29" outlineLevel="1">
      <c r="A320" s="1499">
        <v>85</v>
      </c>
      <c r="B320" s="1539" t="s">
        <v>2075</v>
      </c>
      <c r="C320" s="1491" t="s">
        <v>934</v>
      </c>
      <c r="D320" s="1531" t="s">
        <v>1566</v>
      </c>
      <c r="E320" s="1318">
        <v>0</v>
      </c>
      <c r="F320" s="1437">
        <v>8.4673999999999996E-5</v>
      </c>
      <c r="G320" s="1437">
        <v>0</v>
      </c>
      <c r="H320" s="1437">
        <f t="shared" si="14"/>
        <v>8.4673999999999996E-5</v>
      </c>
      <c r="I320" s="1437">
        <v>0</v>
      </c>
      <c r="J320" s="1437">
        <v>0</v>
      </c>
      <c r="K320" s="1438"/>
      <c r="L320" s="1438"/>
      <c r="M320" s="1437">
        <f t="shared" si="15"/>
        <v>0</v>
      </c>
      <c r="N320" s="1437">
        <f t="shared" si="16"/>
        <v>8.4673999999999996E-5</v>
      </c>
    </row>
    <row r="321" spans="1:14" ht="29" outlineLevel="1">
      <c r="A321" s="1499">
        <v>86</v>
      </c>
      <c r="B321" s="1539" t="s">
        <v>2076</v>
      </c>
      <c r="C321" s="1491" t="s">
        <v>934</v>
      </c>
      <c r="D321" s="1531" t="s">
        <v>1566</v>
      </c>
      <c r="E321" s="1318">
        <v>0</v>
      </c>
      <c r="F321" s="1437">
        <v>1.3440609999999999E-3</v>
      </c>
      <c r="G321" s="1437">
        <v>0</v>
      </c>
      <c r="H321" s="1437">
        <f t="shared" si="14"/>
        <v>1.3440609999999999E-3</v>
      </c>
      <c r="I321" s="1437">
        <v>0</v>
      </c>
      <c r="J321" s="1437">
        <v>0</v>
      </c>
      <c r="K321" s="1438"/>
      <c r="L321" s="1438"/>
      <c r="M321" s="1437">
        <f t="shared" si="15"/>
        <v>0</v>
      </c>
      <c r="N321" s="1437">
        <f t="shared" si="16"/>
        <v>1.3440609999999999E-3</v>
      </c>
    </row>
    <row r="322" spans="1:14" outlineLevel="1">
      <c r="A322" s="1499">
        <v>87</v>
      </c>
      <c r="B322" s="1539" t="s">
        <v>2077</v>
      </c>
      <c r="C322" s="1491" t="s">
        <v>934</v>
      </c>
      <c r="D322" s="1531" t="s">
        <v>1566</v>
      </c>
      <c r="E322" s="1318">
        <v>0</v>
      </c>
      <c r="F322" s="1437">
        <v>1.540935E-2</v>
      </c>
      <c r="G322" s="1437">
        <v>0</v>
      </c>
      <c r="H322" s="1437">
        <f t="shared" si="14"/>
        <v>1.540935E-2</v>
      </c>
      <c r="I322" s="1437">
        <v>0</v>
      </c>
      <c r="J322" s="1437">
        <v>0</v>
      </c>
      <c r="K322" s="1438"/>
      <c r="L322" s="1438"/>
      <c r="M322" s="1437">
        <f t="shared" si="15"/>
        <v>0</v>
      </c>
      <c r="N322" s="1437">
        <f t="shared" si="16"/>
        <v>1.540935E-2</v>
      </c>
    </row>
    <row r="323" spans="1:14" outlineLevel="1">
      <c r="A323" s="1499">
        <v>88</v>
      </c>
      <c r="B323" s="1539" t="s">
        <v>2078</v>
      </c>
      <c r="C323" s="1491" t="s">
        <v>934</v>
      </c>
      <c r="D323" s="1531" t="s">
        <v>1566</v>
      </c>
      <c r="E323" s="1318">
        <v>0</v>
      </c>
      <c r="F323" s="1437">
        <v>5.4613100000000005E-4</v>
      </c>
      <c r="G323" s="1437">
        <v>0</v>
      </c>
      <c r="H323" s="1437">
        <f t="shared" si="14"/>
        <v>5.4613100000000005E-4</v>
      </c>
      <c r="I323" s="1437">
        <v>0</v>
      </c>
      <c r="J323" s="1437">
        <v>0</v>
      </c>
      <c r="K323" s="1438"/>
      <c r="L323" s="1438"/>
      <c r="M323" s="1437">
        <f t="shared" si="15"/>
        <v>0</v>
      </c>
      <c r="N323" s="1437">
        <f t="shared" si="16"/>
        <v>5.4613100000000005E-4</v>
      </c>
    </row>
    <row r="324" spans="1:14" outlineLevel="1">
      <c r="A324" s="1499">
        <v>89</v>
      </c>
      <c r="B324" s="1539" t="s">
        <v>2079</v>
      </c>
      <c r="C324" s="1491" t="s">
        <v>934</v>
      </c>
      <c r="D324" s="1531" t="s">
        <v>1566</v>
      </c>
      <c r="E324" s="1318">
        <v>0</v>
      </c>
      <c r="F324" s="1437">
        <v>2.8149E-3</v>
      </c>
      <c r="G324" s="1437">
        <v>0</v>
      </c>
      <c r="H324" s="1437">
        <f t="shared" si="14"/>
        <v>2.8149E-3</v>
      </c>
      <c r="I324" s="1437">
        <v>0</v>
      </c>
      <c r="J324" s="1437">
        <v>0</v>
      </c>
      <c r="K324" s="1438"/>
      <c r="L324" s="1438"/>
      <c r="M324" s="1437">
        <f t="shared" si="15"/>
        <v>0</v>
      </c>
      <c r="N324" s="1437">
        <f t="shared" si="16"/>
        <v>2.8149E-3</v>
      </c>
    </row>
    <row r="325" spans="1:14" ht="29" outlineLevel="1">
      <c r="A325" s="1499">
        <v>90</v>
      </c>
      <c r="B325" s="1539" t="s">
        <v>2080</v>
      </c>
      <c r="C325" s="1491" t="s">
        <v>934</v>
      </c>
      <c r="D325" s="1531" t="s">
        <v>1566</v>
      </c>
      <c r="E325" s="1318">
        <v>0</v>
      </c>
      <c r="F325" s="1437">
        <v>1.170412E-3</v>
      </c>
      <c r="G325" s="1437">
        <v>0</v>
      </c>
      <c r="H325" s="1437">
        <f t="shared" si="14"/>
        <v>1.170412E-3</v>
      </c>
      <c r="I325" s="1437">
        <v>0</v>
      </c>
      <c r="J325" s="1437">
        <v>0</v>
      </c>
      <c r="K325" s="1438"/>
      <c r="L325" s="1438"/>
      <c r="M325" s="1437">
        <f t="shared" si="15"/>
        <v>0</v>
      </c>
      <c r="N325" s="1437">
        <f t="shared" si="16"/>
        <v>1.170412E-3</v>
      </c>
    </row>
    <row r="326" spans="1:14" outlineLevel="1">
      <c r="A326" s="1499">
        <v>91</v>
      </c>
      <c r="B326" s="1539" t="s">
        <v>2081</v>
      </c>
      <c r="C326" s="1491" t="s">
        <v>934</v>
      </c>
      <c r="D326" s="1531" t="s">
        <v>1566</v>
      </c>
      <c r="E326" s="1318">
        <v>0</v>
      </c>
      <c r="F326" s="1437">
        <v>2.0637770000000001E-3</v>
      </c>
      <c r="G326" s="1437">
        <v>0</v>
      </c>
      <c r="H326" s="1437">
        <f t="shared" si="14"/>
        <v>2.0637770000000001E-3</v>
      </c>
      <c r="I326" s="1437">
        <v>0</v>
      </c>
      <c r="J326" s="1437">
        <v>0</v>
      </c>
      <c r="K326" s="1438"/>
      <c r="L326" s="1438"/>
      <c r="M326" s="1437">
        <f t="shared" si="15"/>
        <v>0</v>
      </c>
      <c r="N326" s="1437">
        <f t="shared" si="16"/>
        <v>2.0637770000000001E-3</v>
      </c>
    </row>
    <row r="327" spans="1:14" outlineLevel="1">
      <c r="A327" s="1499">
        <v>92</v>
      </c>
      <c r="B327" s="1539" t="s">
        <v>2082</v>
      </c>
      <c r="C327" s="1491" t="s">
        <v>934</v>
      </c>
      <c r="D327" s="1531" t="s">
        <v>1566</v>
      </c>
      <c r="E327" s="1318">
        <v>0</v>
      </c>
      <c r="F327" s="1437">
        <v>8.2014210000000004E-3</v>
      </c>
      <c r="G327" s="1437">
        <v>0</v>
      </c>
      <c r="H327" s="1437">
        <f t="shared" si="14"/>
        <v>8.2014210000000004E-3</v>
      </c>
      <c r="I327" s="1437">
        <v>0</v>
      </c>
      <c r="J327" s="1437">
        <v>0</v>
      </c>
      <c r="K327" s="1438"/>
      <c r="L327" s="1438"/>
      <c r="M327" s="1437">
        <f t="shared" si="15"/>
        <v>0</v>
      </c>
      <c r="N327" s="1437">
        <f t="shared" si="16"/>
        <v>8.2014210000000004E-3</v>
      </c>
    </row>
    <row r="328" spans="1:14" outlineLevel="1">
      <c r="A328" s="1499">
        <v>93</v>
      </c>
      <c r="B328" s="1539" t="s">
        <v>2083</v>
      </c>
      <c r="C328" s="1491" t="s">
        <v>934</v>
      </c>
      <c r="D328" s="1531" t="s">
        <v>1566</v>
      </c>
      <c r="E328" s="1318">
        <v>0</v>
      </c>
      <c r="F328" s="1437">
        <v>7.783575E-3</v>
      </c>
      <c r="G328" s="1437">
        <v>0</v>
      </c>
      <c r="H328" s="1437">
        <f t="shared" si="14"/>
        <v>7.783575E-3</v>
      </c>
      <c r="I328" s="1437">
        <v>0</v>
      </c>
      <c r="J328" s="1437">
        <v>0</v>
      </c>
      <c r="K328" s="1438"/>
      <c r="L328" s="1438"/>
      <c r="M328" s="1437">
        <f t="shared" si="15"/>
        <v>0</v>
      </c>
      <c r="N328" s="1437">
        <f t="shared" si="16"/>
        <v>7.783575E-3</v>
      </c>
    </row>
    <row r="329" spans="1:14" outlineLevel="1">
      <c r="A329" s="1499">
        <v>94</v>
      </c>
      <c r="B329" s="1539" t="s">
        <v>2084</v>
      </c>
      <c r="C329" s="1491" t="s">
        <v>934</v>
      </c>
      <c r="D329" s="1531" t="s">
        <v>1566</v>
      </c>
      <c r="E329" s="1318">
        <v>0</v>
      </c>
      <c r="F329" s="1437">
        <v>3.4267400000000001E-4</v>
      </c>
      <c r="G329" s="1437">
        <v>0</v>
      </c>
      <c r="H329" s="1437">
        <f t="shared" si="14"/>
        <v>3.4267400000000001E-4</v>
      </c>
      <c r="I329" s="1437">
        <v>0</v>
      </c>
      <c r="J329" s="1437">
        <v>0</v>
      </c>
      <c r="K329" s="1438"/>
      <c r="L329" s="1438"/>
      <c r="M329" s="1437">
        <f t="shared" si="15"/>
        <v>0</v>
      </c>
      <c r="N329" s="1437">
        <f t="shared" si="16"/>
        <v>3.4267400000000001E-4</v>
      </c>
    </row>
    <row r="330" spans="1:14" outlineLevel="1">
      <c r="A330" s="1499">
        <v>95</v>
      </c>
      <c r="B330" s="1539" t="s">
        <v>2085</v>
      </c>
      <c r="C330" s="1491" t="s">
        <v>934</v>
      </c>
      <c r="D330" s="1531" t="s">
        <v>1566</v>
      </c>
      <c r="E330" s="1318">
        <v>0</v>
      </c>
      <c r="F330" s="1437">
        <v>1.92531E-3</v>
      </c>
      <c r="G330" s="1437">
        <v>0</v>
      </c>
      <c r="H330" s="1437">
        <f t="shared" ref="H330:H393" si="17">F330-G330</f>
        <v>1.92531E-3</v>
      </c>
      <c r="I330" s="1437">
        <v>0</v>
      </c>
      <c r="J330" s="1437">
        <v>0</v>
      </c>
      <c r="K330" s="1438"/>
      <c r="L330" s="1438"/>
      <c r="M330" s="1437">
        <f t="shared" ref="M330:M393" si="18">SUM(J330:L330)</f>
        <v>0</v>
      </c>
      <c r="N330" s="1437">
        <f t="shared" ref="N330:N393" si="19">H330+I330-M330</f>
        <v>1.92531E-3</v>
      </c>
    </row>
    <row r="331" spans="1:14" outlineLevel="1">
      <c r="A331" s="1499">
        <v>96</v>
      </c>
      <c r="B331" s="1539" t="s">
        <v>2086</v>
      </c>
      <c r="C331" s="1491" t="s">
        <v>934</v>
      </c>
      <c r="D331" s="1531" t="s">
        <v>1566</v>
      </c>
      <c r="E331" s="1318">
        <v>0</v>
      </c>
      <c r="F331" s="1437">
        <v>5.1465199999999999E-4</v>
      </c>
      <c r="G331" s="1437">
        <v>0</v>
      </c>
      <c r="H331" s="1437">
        <f t="shared" si="17"/>
        <v>5.1465199999999999E-4</v>
      </c>
      <c r="I331" s="1437">
        <v>0</v>
      </c>
      <c r="J331" s="1437">
        <v>0</v>
      </c>
      <c r="K331" s="1438"/>
      <c r="L331" s="1438"/>
      <c r="M331" s="1437">
        <f t="shared" si="18"/>
        <v>0</v>
      </c>
      <c r="N331" s="1437">
        <f t="shared" si="19"/>
        <v>5.1465199999999999E-4</v>
      </c>
    </row>
    <row r="332" spans="1:14" outlineLevel="1">
      <c r="A332" s="1499">
        <v>97</v>
      </c>
      <c r="B332" s="1539" t="s">
        <v>2087</v>
      </c>
      <c r="C332" s="1491" t="s">
        <v>934</v>
      </c>
      <c r="D332" s="1531" t="s">
        <v>1566</v>
      </c>
      <c r="E332" s="1318">
        <v>0</v>
      </c>
      <c r="F332" s="1437">
        <v>8.9956000000000004E-5</v>
      </c>
      <c r="G332" s="1437">
        <v>0</v>
      </c>
      <c r="H332" s="1437">
        <f t="shared" si="17"/>
        <v>8.9956000000000004E-5</v>
      </c>
      <c r="I332" s="1437">
        <v>0</v>
      </c>
      <c r="J332" s="1437">
        <v>0</v>
      </c>
      <c r="K332" s="1438"/>
      <c r="L332" s="1438"/>
      <c r="M332" s="1437">
        <f t="shared" si="18"/>
        <v>0</v>
      </c>
      <c r="N332" s="1437">
        <f t="shared" si="19"/>
        <v>8.9956000000000004E-5</v>
      </c>
    </row>
    <row r="333" spans="1:14" outlineLevel="1">
      <c r="A333" s="1499">
        <v>98</v>
      </c>
      <c r="B333" s="1539" t="s">
        <v>2088</v>
      </c>
      <c r="C333" s="1491" t="s">
        <v>934</v>
      </c>
      <c r="D333" s="1531" t="s">
        <v>1566</v>
      </c>
      <c r="E333" s="1318">
        <v>0</v>
      </c>
      <c r="F333" s="1437">
        <v>5.1465199999999999E-4</v>
      </c>
      <c r="G333" s="1437">
        <v>0</v>
      </c>
      <c r="H333" s="1437">
        <f t="shared" si="17"/>
        <v>5.1465199999999999E-4</v>
      </c>
      <c r="I333" s="1437">
        <v>0</v>
      </c>
      <c r="J333" s="1437">
        <v>0</v>
      </c>
      <c r="K333" s="1438"/>
      <c r="L333" s="1438"/>
      <c r="M333" s="1437">
        <f t="shared" si="18"/>
        <v>0</v>
      </c>
      <c r="N333" s="1437">
        <f t="shared" si="19"/>
        <v>5.1465199999999999E-4</v>
      </c>
    </row>
    <row r="334" spans="1:14" outlineLevel="1">
      <c r="A334" s="1499">
        <v>99</v>
      </c>
      <c r="B334" s="1539" t="s">
        <v>2089</v>
      </c>
      <c r="C334" s="1491" t="s">
        <v>934</v>
      </c>
      <c r="D334" s="1531" t="s">
        <v>1566</v>
      </c>
      <c r="E334" s="1318">
        <v>0</v>
      </c>
      <c r="F334" s="1437">
        <v>2.28734E-4</v>
      </c>
      <c r="G334" s="1437">
        <v>0</v>
      </c>
      <c r="H334" s="1437">
        <f t="shared" si="17"/>
        <v>2.28734E-4</v>
      </c>
      <c r="I334" s="1437">
        <v>0</v>
      </c>
      <c r="J334" s="1437">
        <v>0</v>
      </c>
      <c r="K334" s="1438"/>
      <c r="L334" s="1438"/>
      <c r="M334" s="1437">
        <f t="shared" si="18"/>
        <v>0</v>
      </c>
      <c r="N334" s="1437">
        <f t="shared" si="19"/>
        <v>2.28734E-4</v>
      </c>
    </row>
    <row r="335" spans="1:14" outlineLevel="1">
      <c r="A335" s="1499">
        <v>100</v>
      </c>
      <c r="B335" s="1539" t="s">
        <v>2090</v>
      </c>
      <c r="C335" s="1491" t="s">
        <v>934</v>
      </c>
      <c r="D335" s="1531" t="s">
        <v>1566</v>
      </c>
      <c r="E335" s="1318">
        <v>0</v>
      </c>
      <c r="F335" s="1437">
        <v>2.28734E-4</v>
      </c>
      <c r="G335" s="1437">
        <v>0</v>
      </c>
      <c r="H335" s="1437">
        <f t="shared" si="17"/>
        <v>2.28734E-4</v>
      </c>
      <c r="I335" s="1437">
        <v>0</v>
      </c>
      <c r="J335" s="1437">
        <v>0</v>
      </c>
      <c r="K335" s="1438"/>
      <c r="L335" s="1438"/>
      <c r="M335" s="1437">
        <f t="shared" si="18"/>
        <v>0</v>
      </c>
      <c r="N335" s="1437">
        <f t="shared" si="19"/>
        <v>2.28734E-4</v>
      </c>
    </row>
    <row r="336" spans="1:14" outlineLevel="1">
      <c r="A336" s="1499">
        <v>101</v>
      </c>
      <c r="B336" s="1539" t="s">
        <v>2091</v>
      </c>
      <c r="C336" s="1491" t="s">
        <v>934</v>
      </c>
      <c r="D336" s="1531" t="s">
        <v>1566</v>
      </c>
      <c r="E336" s="1318">
        <v>0</v>
      </c>
      <c r="F336" s="1437">
        <v>2.28734E-4</v>
      </c>
      <c r="G336" s="1437">
        <v>0</v>
      </c>
      <c r="H336" s="1437">
        <f t="shared" si="17"/>
        <v>2.28734E-4</v>
      </c>
      <c r="I336" s="1437">
        <v>0</v>
      </c>
      <c r="J336" s="1437">
        <v>0</v>
      </c>
      <c r="K336" s="1438"/>
      <c r="L336" s="1438"/>
      <c r="M336" s="1437">
        <f t="shared" si="18"/>
        <v>0</v>
      </c>
      <c r="N336" s="1437">
        <f t="shared" si="19"/>
        <v>2.28734E-4</v>
      </c>
    </row>
    <row r="337" spans="1:14" outlineLevel="1">
      <c r="A337" s="1499">
        <v>102</v>
      </c>
      <c r="B337" s="1539" t="s">
        <v>2092</v>
      </c>
      <c r="C337" s="1491" t="s">
        <v>934</v>
      </c>
      <c r="D337" s="1531" t="s">
        <v>1566</v>
      </c>
      <c r="E337" s="1318">
        <v>0</v>
      </c>
      <c r="F337" s="1437">
        <v>2.28734E-4</v>
      </c>
      <c r="G337" s="1437">
        <v>0</v>
      </c>
      <c r="H337" s="1437">
        <f t="shared" si="17"/>
        <v>2.28734E-4</v>
      </c>
      <c r="I337" s="1437">
        <v>0</v>
      </c>
      <c r="J337" s="1437">
        <v>0</v>
      </c>
      <c r="K337" s="1438"/>
      <c r="L337" s="1438"/>
      <c r="M337" s="1437">
        <f t="shared" si="18"/>
        <v>0</v>
      </c>
      <c r="N337" s="1437">
        <f t="shared" si="19"/>
        <v>2.28734E-4</v>
      </c>
    </row>
    <row r="338" spans="1:14" outlineLevel="1">
      <c r="A338" s="1499">
        <v>103</v>
      </c>
      <c r="B338" s="1539" t="s">
        <v>2093</v>
      </c>
      <c r="C338" s="1491" t="s">
        <v>934</v>
      </c>
      <c r="D338" s="1531" t="s">
        <v>1566</v>
      </c>
      <c r="E338" s="1318">
        <v>0</v>
      </c>
      <c r="F338" s="1437">
        <v>5.7182999999999998E-5</v>
      </c>
      <c r="G338" s="1437">
        <v>0</v>
      </c>
      <c r="H338" s="1437">
        <f t="shared" si="17"/>
        <v>5.7182999999999998E-5</v>
      </c>
      <c r="I338" s="1437">
        <v>0</v>
      </c>
      <c r="J338" s="1437">
        <v>0</v>
      </c>
      <c r="K338" s="1438"/>
      <c r="L338" s="1438"/>
      <c r="M338" s="1437">
        <f t="shared" si="18"/>
        <v>0</v>
      </c>
      <c r="N338" s="1437">
        <f t="shared" si="19"/>
        <v>5.7182999999999998E-5</v>
      </c>
    </row>
    <row r="339" spans="1:14" outlineLevel="1">
      <c r="A339" s="1499">
        <v>104</v>
      </c>
      <c r="B339" s="1539" t="s">
        <v>2094</v>
      </c>
      <c r="C339" s="1491" t="s">
        <v>934</v>
      </c>
      <c r="D339" s="1531" t="s">
        <v>1566</v>
      </c>
      <c r="E339" s="1318">
        <v>0</v>
      </c>
      <c r="F339" s="1437">
        <v>5.7182999999999998E-5</v>
      </c>
      <c r="G339" s="1437">
        <v>0</v>
      </c>
      <c r="H339" s="1437">
        <f t="shared" si="17"/>
        <v>5.7182999999999998E-5</v>
      </c>
      <c r="I339" s="1437">
        <v>0</v>
      </c>
      <c r="J339" s="1437">
        <v>0</v>
      </c>
      <c r="K339" s="1438"/>
      <c r="L339" s="1438"/>
      <c r="M339" s="1437">
        <f t="shared" si="18"/>
        <v>0</v>
      </c>
      <c r="N339" s="1437">
        <f t="shared" si="19"/>
        <v>5.7182999999999998E-5</v>
      </c>
    </row>
    <row r="340" spans="1:14" outlineLevel="1">
      <c r="A340" s="1499">
        <v>105</v>
      </c>
      <c r="B340" s="1539" t="s">
        <v>2095</v>
      </c>
      <c r="C340" s="1491" t="s">
        <v>934</v>
      </c>
      <c r="D340" s="1531" t="s">
        <v>1566</v>
      </c>
      <c r="E340" s="1318">
        <v>0</v>
      </c>
      <c r="F340" s="1437">
        <v>4.4292073000000001E-2</v>
      </c>
      <c r="G340" s="1437">
        <v>0</v>
      </c>
      <c r="H340" s="1437">
        <f t="shared" si="17"/>
        <v>4.4292073000000001E-2</v>
      </c>
      <c r="I340" s="1437">
        <v>0</v>
      </c>
      <c r="J340" s="1437">
        <v>0</v>
      </c>
      <c r="K340" s="1438"/>
      <c r="L340" s="1438"/>
      <c r="M340" s="1437">
        <f t="shared" si="18"/>
        <v>0</v>
      </c>
      <c r="N340" s="1437">
        <f t="shared" si="19"/>
        <v>4.4292073000000001E-2</v>
      </c>
    </row>
    <row r="341" spans="1:14" outlineLevel="1">
      <c r="A341" s="1499">
        <v>106</v>
      </c>
      <c r="B341" s="1539" t="s">
        <v>2096</v>
      </c>
      <c r="C341" s="1491" t="s">
        <v>934</v>
      </c>
      <c r="D341" s="1531" t="s">
        <v>1566</v>
      </c>
      <c r="E341" s="1318">
        <v>0</v>
      </c>
      <c r="F341" s="1437">
        <v>1.1973800000000001E-3</v>
      </c>
      <c r="G341" s="1437">
        <v>0</v>
      </c>
      <c r="H341" s="1437">
        <f t="shared" si="17"/>
        <v>1.1973800000000001E-3</v>
      </c>
      <c r="I341" s="1437">
        <v>0</v>
      </c>
      <c r="J341" s="1437">
        <v>0</v>
      </c>
      <c r="K341" s="1438"/>
      <c r="L341" s="1438"/>
      <c r="M341" s="1437">
        <f t="shared" si="18"/>
        <v>0</v>
      </c>
      <c r="N341" s="1437">
        <f t="shared" si="19"/>
        <v>1.1973800000000001E-3</v>
      </c>
    </row>
    <row r="342" spans="1:14" outlineLevel="1">
      <c r="A342" s="1499">
        <v>107</v>
      </c>
      <c r="B342" s="1539" t="s">
        <v>2097</v>
      </c>
      <c r="C342" s="1491" t="s">
        <v>934</v>
      </c>
      <c r="D342" s="1531" t="s">
        <v>1566</v>
      </c>
      <c r="E342" s="1318">
        <v>0</v>
      </c>
      <c r="F342" s="1437">
        <v>3.7894E-5</v>
      </c>
      <c r="G342" s="1437">
        <v>0</v>
      </c>
      <c r="H342" s="1437">
        <f t="shared" si="17"/>
        <v>3.7894E-5</v>
      </c>
      <c r="I342" s="1437">
        <v>0</v>
      </c>
      <c r="J342" s="1437">
        <v>0</v>
      </c>
      <c r="K342" s="1438"/>
      <c r="L342" s="1438"/>
      <c r="M342" s="1437">
        <f t="shared" si="18"/>
        <v>0</v>
      </c>
      <c r="N342" s="1437">
        <f t="shared" si="19"/>
        <v>3.7894E-5</v>
      </c>
    </row>
    <row r="343" spans="1:14" outlineLevel="1">
      <c r="A343" s="1499">
        <v>108</v>
      </c>
      <c r="B343" s="1539" t="s">
        <v>2098</v>
      </c>
      <c r="C343" s="1491" t="s">
        <v>934</v>
      </c>
      <c r="D343" s="1531" t="s">
        <v>1566</v>
      </c>
      <c r="E343" s="1318">
        <v>0</v>
      </c>
      <c r="F343" s="1437">
        <v>5.7850250000000001E-3</v>
      </c>
      <c r="G343" s="1437">
        <v>0</v>
      </c>
      <c r="H343" s="1437">
        <f t="shared" si="17"/>
        <v>5.7850250000000001E-3</v>
      </c>
      <c r="I343" s="1437">
        <v>0</v>
      </c>
      <c r="J343" s="1437">
        <v>0</v>
      </c>
      <c r="K343" s="1438"/>
      <c r="L343" s="1438"/>
      <c r="M343" s="1437">
        <f t="shared" si="18"/>
        <v>0</v>
      </c>
      <c r="N343" s="1437">
        <f t="shared" si="19"/>
        <v>5.7850250000000001E-3</v>
      </c>
    </row>
    <row r="344" spans="1:14" outlineLevel="1">
      <c r="A344" s="1499">
        <v>109</v>
      </c>
      <c r="B344" s="1539" t="s">
        <v>2099</v>
      </c>
      <c r="C344" s="1491" t="s">
        <v>934</v>
      </c>
      <c r="D344" s="1531" t="s">
        <v>1566</v>
      </c>
      <c r="E344" s="1318">
        <v>0</v>
      </c>
      <c r="F344" s="1437">
        <v>2.5003999999999998E-4</v>
      </c>
      <c r="G344" s="1437">
        <v>0</v>
      </c>
      <c r="H344" s="1437">
        <f t="shared" si="17"/>
        <v>2.5003999999999998E-4</v>
      </c>
      <c r="I344" s="1437">
        <v>0</v>
      </c>
      <c r="J344" s="1437">
        <v>0</v>
      </c>
      <c r="K344" s="1438"/>
      <c r="L344" s="1438"/>
      <c r="M344" s="1437">
        <f t="shared" si="18"/>
        <v>0</v>
      </c>
      <c r="N344" s="1437">
        <f t="shared" si="19"/>
        <v>2.5003999999999998E-4</v>
      </c>
    </row>
    <row r="345" spans="1:14" outlineLevel="1">
      <c r="A345" s="1499">
        <v>110</v>
      </c>
      <c r="B345" s="1539" t="s">
        <v>2100</v>
      </c>
      <c r="C345" s="1491" t="s">
        <v>934</v>
      </c>
      <c r="D345" s="1531" t="s">
        <v>1566</v>
      </c>
      <c r="E345" s="1318">
        <v>0</v>
      </c>
      <c r="F345" s="1437">
        <v>5.5794089999999996E-3</v>
      </c>
      <c r="G345" s="1437">
        <v>0</v>
      </c>
      <c r="H345" s="1437">
        <f t="shared" si="17"/>
        <v>5.5794089999999996E-3</v>
      </c>
      <c r="I345" s="1437">
        <v>0</v>
      </c>
      <c r="J345" s="1437">
        <v>0</v>
      </c>
      <c r="K345" s="1438"/>
      <c r="L345" s="1438"/>
      <c r="M345" s="1437">
        <f t="shared" si="18"/>
        <v>0</v>
      </c>
      <c r="N345" s="1437">
        <f t="shared" si="19"/>
        <v>5.5794089999999996E-3</v>
      </c>
    </row>
    <row r="346" spans="1:14" outlineLevel="1">
      <c r="A346" s="1499">
        <v>111</v>
      </c>
      <c r="B346" s="1539" t="s">
        <v>2101</v>
      </c>
      <c r="C346" s="1491" t="s">
        <v>934</v>
      </c>
      <c r="D346" s="1531" t="s">
        <v>1566</v>
      </c>
      <c r="E346" s="1318">
        <v>0</v>
      </c>
      <c r="F346" s="1437">
        <v>0.14835727600000001</v>
      </c>
      <c r="G346" s="1437">
        <v>0</v>
      </c>
      <c r="H346" s="1437">
        <f t="shared" si="17"/>
        <v>0.14835727600000001</v>
      </c>
      <c r="I346" s="1437">
        <v>0</v>
      </c>
      <c r="J346" s="1437">
        <v>0</v>
      </c>
      <c r="K346" s="1438"/>
      <c r="L346" s="1438"/>
      <c r="M346" s="1437">
        <f t="shared" si="18"/>
        <v>0</v>
      </c>
      <c r="N346" s="1437">
        <f t="shared" si="19"/>
        <v>0.14835727600000001</v>
      </c>
    </row>
    <row r="347" spans="1:14" outlineLevel="1">
      <c r="A347" s="1499">
        <v>112</v>
      </c>
      <c r="B347" s="1539" t="s">
        <v>2102</v>
      </c>
      <c r="C347" s="1491" t="s">
        <v>934</v>
      </c>
      <c r="D347" s="1531" t="s">
        <v>1566</v>
      </c>
      <c r="E347" s="1318">
        <v>0</v>
      </c>
      <c r="F347" s="1437">
        <v>2.4904469999999998E-3</v>
      </c>
      <c r="G347" s="1437">
        <v>0</v>
      </c>
      <c r="H347" s="1437">
        <f t="shared" si="17"/>
        <v>2.4904469999999998E-3</v>
      </c>
      <c r="I347" s="1437">
        <v>0</v>
      </c>
      <c r="J347" s="1437">
        <v>0</v>
      </c>
      <c r="K347" s="1438"/>
      <c r="L347" s="1438"/>
      <c r="M347" s="1437">
        <f t="shared" si="18"/>
        <v>0</v>
      </c>
      <c r="N347" s="1437">
        <f t="shared" si="19"/>
        <v>2.4904469999999998E-3</v>
      </c>
    </row>
    <row r="348" spans="1:14" outlineLevel="1">
      <c r="A348" s="1499">
        <v>113</v>
      </c>
      <c r="B348" s="1539" t="s">
        <v>2103</v>
      </c>
      <c r="C348" s="1491" t="s">
        <v>934</v>
      </c>
      <c r="D348" s="1531" t="s">
        <v>1566</v>
      </c>
      <c r="E348" s="1318">
        <v>0</v>
      </c>
      <c r="F348" s="1437">
        <v>4.1155000000000002E-5</v>
      </c>
      <c r="G348" s="1437">
        <v>0</v>
      </c>
      <c r="H348" s="1437">
        <f t="shared" si="17"/>
        <v>4.1155000000000002E-5</v>
      </c>
      <c r="I348" s="1437">
        <v>0</v>
      </c>
      <c r="J348" s="1437">
        <v>0</v>
      </c>
      <c r="K348" s="1438"/>
      <c r="L348" s="1438"/>
      <c r="M348" s="1437">
        <f t="shared" si="18"/>
        <v>0</v>
      </c>
      <c r="N348" s="1437">
        <f t="shared" si="19"/>
        <v>4.1155000000000002E-5</v>
      </c>
    </row>
    <row r="349" spans="1:14" outlineLevel="1">
      <c r="A349" s="1499">
        <v>114</v>
      </c>
      <c r="B349" s="1539" t="s">
        <v>2104</v>
      </c>
      <c r="C349" s="1491" t="s">
        <v>934</v>
      </c>
      <c r="D349" s="1531" t="s">
        <v>1566</v>
      </c>
      <c r="E349" s="1318">
        <v>0</v>
      </c>
      <c r="F349" s="1437">
        <v>2.7569600000000002E-4</v>
      </c>
      <c r="G349" s="1437">
        <v>0</v>
      </c>
      <c r="H349" s="1437">
        <f t="shared" si="17"/>
        <v>2.7569600000000002E-4</v>
      </c>
      <c r="I349" s="1437">
        <v>0</v>
      </c>
      <c r="J349" s="1437">
        <v>0</v>
      </c>
      <c r="K349" s="1438"/>
      <c r="L349" s="1438"/>
      <c r="M349" s="1437">
        <f t="shared" si="18"/>
        <v>0</v>
      </c>
      <c r="N349" s="1437">
        <f t="shared" si="19"/>
        <v>2.7569600000000002E-4</v>
      </c>
    </row>
    <row r="350" spans="1:14" outlineLevel="1">
      <c r="A350" s="1499">
        <v>115</v>
      </c>
      <c r="B350" s="1539" t="s">
        <v>2105</v>
      </c>
      <c r="C350" s="1491" t="s">
        <v>934</v>
      </c>
      <c r="D350" s="1531" t="s">
        <v>1566</v>
      </c>
      <c r="E350" s="1318">
        <v>0</v>
      </c>
      <c r="F350" s="1437">
        <v>7.1787910000000003E-3</v>
      </c>
      <c r="G350" s="1437">
        <v>0</v>
      </c>
      <c r="H350" s="1437">
        <f t="shared" si="17"/>
        <v>7.1787910000000003E-3</v>
      </c>
      <c r="I350" s="1437">
        <v>0</v>
      </c>
      <c r="J350" s="1437">
        <v>0</v>
      </c>
      <c r="K350" s="1438"/>
      <c r="L350" s="1438"/>
      <c r="M350" s="1437">
        <f t="shared" si="18"/>
        <v>0</v>
      </c>
      <c r="N350" s="1437">
        <f t="shared" si="19"/>
        <v>7.1787910000000003E-3</v>
      </c>
    </row>
    <row r="351" spans="1:14" outlineLevel="1">
      <c r="A351" s="1499">
        <v>116</v>
      </c>
      <c r="B351" s="1539" t="s">
        <v>2106</v>
      </c>
      <c r="C351" s="1491" t="s">
        <v>934</v>
      </c>
      <c r="D351" s="1531" t="s">
        <v>1566</v>
      </c>
      <c r="E351" s="1318">
        <v>0</v>
      </c>
      <c r="F351" s="1437">
        <v>4.0925400000000004E-3</v>
      </c>
      <c r="G351" s="1437">
        <v>0</v>
      </c>
      <c r="H351" s="1437">
        <f t="shared" si="17"/>
        <v>4.0925400000000004E-3</v>
      </c>
      <c r="I351" s="1437">
        <v>0</v>
      </c>
      <c r="J351" s="1437">
        <v>0</v>
      </c>
      <c r="K351" s="1438"/>
      <c r="L351" s="1438"/>
      <c r="M351" s="1437">
        <f t="shared" si="18"/>
        <v>0</v>
      </c>
      <c r="N351" s="1437">
        <f t="shared" si="19"/>
        <v>4.0925400000000004E-3</v>
      </c>
    </row>
    <row r="352" spans="1:14" outlineLevel="1">
      <c r="A352" s="1499">
        <v>117</v>
      </c>
      <c r="B352" s="1539" t="s">
        <v>2107</v>
      </c>
      <c r="C352" s="1491" t="s">
        <v>934</v>
      </c>
      <c r="D352" s="1531" t="s">
        <v>1566</v>
      </c>
      <c r="E352" s="1318">
        <v>0</v>
      </c>
      <c r="F352" s="1437">
        <v>1.2655415999999999E-2</v>
      </c>
      <c r="G352" s="1437">
        <v>0</v>
      </c>
      <c r="H352" s="1437">
        <f t="shared" si="17"/>
        <v>1.2655415999999999E-2</v>
      </c>
      <c r="I352" s="1437">
        <v>0</v>
      </c>
      <c r="J352" s="1437">
        <v>0</v>
      </c>
      <c r="K352" s="1438"/>
      <c r="L352" s="1438"/>
      <c r="M352" s="1437">
        <f t="shared" si="18"/>
        <v>0</v>
      </c>
      <c r="N352" s="1437">
        <f t="shared" si="19"/>
        <v>1.2655415999999999E-2</v>
      </c>
    </row>
    <row r="353" spans="1:14" outlineLevel="1">
      <c r="A353" s="1499">
        <v>118</v>
      </c>
      <c r="B353" s="1539" t="s">
        <v>2108</v>
      </c>
      <c r="C353" s="1491" t="s">
        <v>934</v>
      </c>
      <c r="D353" s="1531" t="s">
        <v>1566</v>
      </c>
      <c r="E353" s="1318">
        <v>0</v>
      </c>
      <c r="F353" s="1437">
        <v>2.45393E-4</v>
      </c>
      <c r="G353" s="1437">
        <v>0</v>
      </c>
      <c r="H353" s="1437">
        <f t="shared" si="17"/>
        <v>2.45393E-4</v>
      </c>
      <c r="I353" s="1437">
        <v>0</v>
      </c>
      <c r="J353" s="1437">
        <v>0</v>
      </c>
      <c r="K353" s="1438"/>
      <c r="L353" s="1438"/>
      <c r="M353" s="1437">
        <f t="shared" si="18"/>
        <v>0</v>
      </c>
      <c r="N353" s="1437">
        <f t="shared" si="19"/>
        <v>2.45393E-4</v>
      </c>
    </row>
    <row r="354" spans="1:14" outlineLevel="1">
      <c r="A354" s="1499">
        <v>119</v>
      </c>
      <c r="B354" s="1539" t="s">
        <v>2109</v>
      </c>
      <c r="C354" s="1491" t="s">
        <v>934</v>
      </c>
      <c r="D354" s="1531" t="s">
        <v>1566</v>
      </c>
      <c r="E354" s="1318">
        <v>0</v>
      </c>
      <c r="F354" s="1437">
        <v>2.5188164999999998E-2</v>
      </c>
      <c r="G354" s="1437">
        <v>0</v>
      </c>
      <c r="H354" s="1437">
        <f t="shared" si="17"/>
        <v>2.5188164999999998E-2</v>
      </c>
      <c r="I354" s="1437">
        <v>0</v>
      </c>
      <c r="J354" s="1437">
        <v>0</v>
      </c>
      <c r="K354" s="1438"/>
      <c r="L354" s="1438"/>
      <c r="M354" s="1437">
        <f t="shared" si="18"/>
        <v>0</v>
      </c>
      <c r="N354" s="1437">
        <f t="shared" si="19"/>
        <v>2.5188164999999998E-2</v>
      </c>
    </row>
    <row r="355" spans="1:14" outlineLevel="1">
      <c r="A355" s="1499">
        <v>120</v>
      </c>
      <c r="B355" s="1539" t="s">
        <v>2110</v>
      </c>
      <c r="C355" s="1491" t="s">
        <v>934</v>
      </c>
      <c r="D355" s="1531" t="s">
        <v>1566</v>
      </c>
      <c r="E355" s="1318">
        <v>0</v>
      </c>
      <c r="F355" s="1437">
        <v>4.0770299999999998E-4</v>
      </c>
      <c r="G355" s="1437">
        <v>0</v>
      </c>
      <c r="H355" s="1437">
        <f t="shared" si="17"/>
        <v>4.0770299999999998E-4</v>
      </c>
      <c r="I355" s="1437">
        <v>0</v>
      </c>
      <c r="J355" s="1437">
        <v>0</v>
      </c>
      <c r="K355" s="1438"/>
      <c r="L355" s="1438"/>
      <c r="M355" s="1437">
        <f t="shared" si="18"/>
        <v>0</v>
      </c>
      <c r="N355" s="1437">
        <f t="shared" si="19"/>
        <v>4.0770299999999998E-4</v>
      </c>
    </row>
    <row r="356" spans="1:14" outlineLevel="1">
      <c r="A356" s="1499">
        <v>121</v>
      </c>
      <c r="B356" s="1539" t="s">
        <v>2111</v>
      </c>
      <c r="C356" s="1491" t="s">
        <v>934</v>
      </c>
      <c r="D356" s="1531" t="s">
        <v>1566</v>
      </c>
      <c r="E356" s="1318">
        <v>0</v>
      </c>
      <c r="F356" s="1437">
        <v>3.8246069999999998E-3</v>
      </c>
      <c r="G356" s="1437">
        <v>0</v>
      </c>
      <c r="H356" s="1437">
        <f t="shared" si="17"/>
        <v>3.8246069999999998E-3</v>
      </c>
      <c r="I356" s="1437">
        <v>0</v>
      </c>
      <c r="J356" s="1437">
        <v>0</v>
      </c>
      <c r="K356" s="1438"/>
      <c r="L356" s="1438"/>
      <c r="M356" s="1437">
        <f t="shared" si="18"/>
        <v>0</v>
      </c>
      <c r="N356" s="1437">
        <f t="shared" si="19"/>
        <v>3.8246069999999998E-3</v>
      </c>
    </row>
    <row r="357" spans="1:14" outlineLevel="1">
      <c r="A357" s="1499">
        <v>122</v>
      </c>
      <c r="B357" s="1539" t="s">
        <v>2112</v>
      </c>
      <c r="C357" s="1491" t="s">
        <v>934</v>
      </c>
      <c r="D357" s="1531" t="s">
        <v>1566</v>
      </c>
      <c r="E357" s="1318">
        <v>0</v>
      </c>
      <c r="F357" s="1437">
        <v>8.7066999999999998E-5</v>
      </c>
      <c r="G357" s="1437">
        <v>0</v>
      </c>
      <c r="H357" s="1437">
        <f t="shared" si="17"/>
        <v>8.7066999999999998E-5</v>
      </c>
      <c r="I357" s="1437">
        <v>0</v>
      </c>
      <c r="J357" s="1437">
        <v>0</v>
      </c>
      <c r="K357" s="1438"/>
      <c r="L357" s="1438"/>
      <c r="M357" s="1437">
        <f t="shared" si="18"/>
        <v>0</v>
      </c>
      <c r="N357" s="1437">
        <f t="shared" si="19"/>
        <v>8.7066999999999998E-5</v>
      </c>
    </row>
    <row r="358" spans="1:14" outlineLevel="1">
      <c r="A358" s="1499">
        <v>123</v>
      </c>
      <c r="B358" s="1539" t="s">
        <v>2113</v>
      </c>
      <c r="C358" s="1491" t="s">
        <v>934</v>
      </c>
      <c r="D358" s="1531" t="s">
        <v>1566</v>
      </c>
      <c r="E358" s="1318">
        <v>0</v>
      </c>
      <c r="F358" s="1437">
        <v>8.2310499999999997E-4</v>
      </c>
      <c r="G358" s="1437">
        <v>0</v>
      </c>
      <c r="H358" s="1437">
        <f t="shared" si="17"/>
        <v>8.2310499999999997E-4</v>
      </c>
      <c r="I358" s="1437">
        <v>0</v>
      </c>
      <c r="J358" s="1437">
        <v>0</v>
      </c>
      <c r="K358" s="1438"/>
      <c r="L358" s="1438"/>
      <c r="M358" s="1437">
        <f t="shared" si="18"/>
        <v>0</v>
      </c>
      <c r="N358" s="1437">
        <f t="shared" si="19"/>
        <v>8.2310499999999997E-4</v>
      </c>
    </row>
    <row r="359" spans="1:14" outlineLevel="1">
      <c r="A359" s="1499">
        <v>124</v>
      </c>
      <c r="B359" s="1539" t="s">
        <v>2114</v>
      </c>
      <c r="C359" s="1491" t="s">
        <v>934</v>
      </c>
      <c r="D359" s="1531" t="s">
        <v>1566</v>
      </c>
      <c r="E359" s="1318">
        <v>0</v>
      </c>
      <c r="F359" s="1437">
        <v>9.9409977999999996E-2</v>
      </c>
      <c r="G359" s="1437">
        <v>0</v>
      </c>
      <c r="H359" s="1437">
        <f t="shared" si="17"/>
        <v>9.9409977999999996E-2</v>
      </c>
      <c r="I359" s="1437">
        <v>0</v>
      </c>
      <c r="J359" s="1437">
        <v>0</v>
      </c>
      <c r="K359" s="1438"/>
      <c r="L359" s="1438"/>
      <c r="M359" s="1437">
        <f t="shared" si="18"/>
        <v>0</v>
      </c>
      <c r="N359" s="1437">
        <f t="shared" si="19"/>
        <v>9.9409977999999996E-2</v>
      </c>
    </row>
    <row r="360" spans="1:14" outlineLevel="1">
      <c r="A360" s="1499">
        <v>125</v>
      </c>
      <c r="B360" s="1539" t="s">
        <v>2115</v>
      </c>
      <c r="C360" s="1491" t="s">
        <v>934</v>
      </c>
      <c r="D360" s="1531" t="s">
        <v>1566</v>
      </c>
      <c r="E360" s="1318">
        <v>0</v>
      </c>
      <c r="F360" s="1437">
        <v>1.561633E-3</v>
      </c>
      <c r="G360" s="1437">
        <v>0</v>
      </c>
      <c r="H360" s="1437">
        <f t="shared" si="17"/>
        <v>1.561633E-3</v>
      </c>
      <c r="I360" s="1437">
        <v>0</v>
      </c>
      <c r="J360" s="1437">
        <v>0</v>
      </c>
      <c r="K360" s="1438"/>
      <c r="L360" s="1438"/>
      <c r="M360" s="1437">
        <f t="shared" si="18"/>
        <v>0</v>
      </c>
      <c r="N360" s="1437">
        <f t="shared" si="19"/>
        <v>1.561633E-3</v>
      </c>
    </row>
    <row r="361" spans="1:14" outlineLevel="1">
      <c r="A361" s="1499">
        <v>126</v>
      </c>
      <c r="B361" s="1539" t="s">
        <v>2116</v>
      </c>
      <c r="C361" s="1491" t="s">
        <v>934</v>
      </c>
      <c r="D361" s="1531" t="s">
        <v>1566</v>
      </c>
      <c r="E361" s="1318">
        <v>0</v>
      </c>
      <c r="F361" s="1437">
        <v>5.0294800000000002E-3</v>
      </c>
      <c r="G361" s="1437">
        <v>0</v>
      </c>
      <c r="H361" s="1437">
        <f t="shared" si="17"/>
        <v>5.0294800000000002E-3</v>
      </c>
      <c r="I361" s="1437">
        <v>0</v>
      </c>
      <c r="J361" s="1437">
        <v>0</v>
      </c>
      <c r="K361" s="1438"/>
      <c r="L361" s="1438"/>
      <c r="M361" s="1437">
        <f t="shared" si="18"/>
        <v>0</v>
      </c>
      <c r="N361" s="1437">
        <f t="shared" si="19"/>
        <v>5.0294800000000002E-3</v>
      </c>
    </row>
    <row r="362" spans="1:14" outlineLevel="1">
      <c r="A362" s="1499">
        <v>127</v>
      </c>
      <c r="B362" s="1539" t="s">
        <v>2117</v>
      </c>
      <c r="C362" s="1491" t="s">
        <v>934</v>
      </c>
      <c r="D362" s="1531" t="s">
        <v>1566</v>
      </c>
      <c r="E362" s="1318">
        <v>0</v>
      </c>
      <c r="F362" s="1437">
        <v>1.5600531000000001E-2</v>
      </c>
      <c r="G362" s="1437">
        <v>0</v>
      </c>
      <c r="H362" s="1437">
        <f t="shared" si="17"/>
        <v>1.5600531000000001E-2</v>
      </c>
      <c r="I362" s="1437">
        <v>0</v>
      </c>
      <c r="J362" s="1437">
        <v>0</v>
      </c>
      <c r="K362" s="1438"/>
      <c r="L362" s="1438"/>
      <c r="M362" s="1437">
        <f t="shared" si="18"/>
        <v>0</v>
      </c>
      <c r="N362" s="1437">
        <f t="shared" si="19"/>
        <v>1.5600531000000001E-2</v>
      </c>
    </row>
    <row r="363" spans="1:14" outlineLevel="1">
      <c r="A363" s="1499">
        <v>128</v>
      </c>
      <c r="B363" s="1539" t="s">
        <v>2118</v>
      </c>
      <c r="C363" s="1491" t="s">
        <v>934</v>
      </c>
      <c r="D363" s="1531" t="s">
        <v>1566</v>
      </c>
      <c r="E363" s="1318">
        <v>0</v>
      </c>
      <c r="F363" s="1437">
        <v>6.2588310000000003E-3</v>
      </c>
      <c r="G363" s="1437">
        <v>0</v>
      </c>
      <c r="H363" s="1437">
        <f t="shared" si="17"/>
        <v>6.2588310000000003E-3</v>
      </c>
      <c r="I363" s="1437">
        <v>0</v>
      </c>
      <c r="J363" s="1437">
        <v>0</v>
      </c>
      <c r="K363" s="1438"/>
      <c r="L363" s="1438"/>
      <c r="M363" s="1437">
        <f t="shared" si="18"/>
        <v>0</v>
      </c>
      <c r="N363" s="1437">
        <f t="shared" si="19"/>
        <v>6.2588310000000003E-3</v>
      </c>
    </row>
    <row r="364" spans="1:14" outlineLevel="1">
      <c r="A364" s="1499">
        <v>129</v>
      </c>
      <c r="B364" s="1539" t="s">
        <v>2119</v>
      </c>
      <c r="C364" s="1491" t="s">
        <v>934</v>
      </c>
      <c r="D364" s="1531" t="s">
        <v>1566</v>
      </c>
      <c r="E364" s="1318">
        <v>0</v>
      </c>
      <c r="F364" s="1437">
        <v>2.353651E-3</v>
      </c>
      <c r="G364" s="1437">
        <v>0</v>
      </c>
      <c r="H364" s="1437">
        <f t="shared" si="17"/>
        <v>2.353651E-3</v>
      </c>
      <c r="I364" s="1437">
        <v>0</v>
      </c>
      <c r="J364" s="1437">
        <v>0</v>
      </c>
      <c r="K364" s="1438"/>
      <c r="L364" s="1438"/>
      <c r="M364" s="1437">
        <f t="shared" si="18"/>
        <v>0</v>
      </c>
      <c r="N364" s="1437">
        <f t="shared" si="19"/>
        <v>2.353651E-3</v>
      </c>
    </row>
    <row r="365" spans="1:14" outlineLevel="1">
      <c r="A365" s="1499">
        <v>130</v>
      </c>
      <c r="B365" s="1539" t="s">
        <v>2120</v>
      </c>
      <c r="C365" s="1491" t="s">
        <v>934</v>
      </c>
      <c r="D365" s="1531" t="s">
        <v>1566</v>
      </c>
      <c r="E365" s="1318">
        <v>0</v>
      </c>
      <c r="F365" s="1437">
        <v>1.5672209999999999E-3</v>
      </c>
      <c r="G365" s="1437">
        <v>0</v>
      </c>
      <c r="H365" s="1437">
        <f t="shared" si="17"/>
        <v>1.5672209999999999E-3</v>
      </c>
      <c r="I365" s="1437">
        <v>0</v>
      </c>
      <c r="J365" s="1437">
        <v>0</v>
      </c>
      <c r="K365" s="1438"/>
      <c r="L365" s="1438"/>
      <c r="M365" s="1437">
        <f t="shared" si="18"/>
        <v>0</v>
      </c>
      <c r="N365" s="1437">
        <f t="shared" si="19"/>
        <v>1.5672209999999999E-3</v>
      </c>
    </row>
    <row r="366" spans="1:14" outlineLevel="1">
      <c r="A366" s="1499">
        <v>131</v>
      </c>
      <c r="B366" s="1539" t="s">
        <v>2121</v>
      </c>
      <c r="C366" s="1491" t="s">
        <v>934</v>
      </c>
      <c r="D366" s="1531" t="s">
        <v>1566</v>
      </c>
      <c r="E366" s="1318">
        <v>0</v>
      </c>
      <c r="F366" s="1437">
        <v>1.635811E-3</v>
      </c>
      <c r="G366" s="1437">
        <v>0</v>
      </c>
      <c r="H366" s="1437">
        <f t="shared" si="17"/>
        <v>1.635811E-3</v>
      </c>
      <c r="I366" s="1437">
        <v>0</v>
      </c>
      <c r="J366" s="1437">
        <v>0</v>
      </c>
      <c r="K366" s="1438"/>
      <c r="L366" s="1438"/>
      <c r="M366" s="1437">
        <f t="shared" si="18"/>
        <v>0</v>
      </c>
      <c r="N366" s="1437">
        <f t="shared" si="19"/>
        <v>1.635811E-3</v>
      </c>
    </row>
    <row r="367" spans="1:14" outlineLevel="1">
      <c r="A367" s="1499">
        <v>132</v>
      </c>
      <c r="B367" s="1539" t="s">
        <v>2122</v>
      </c>
      <c r="C367" s="1491" t="s">
        <v>934</v>
      </c>
      <c r="D367" s="1531" t="s">
        <v>1566</v>
      </c>
      <c r="E367" s="1318">
        <v>0</v>
      </c>
      <c r="F367" s="1437">
        <v>8.4731499999999996E-4</v>
      </c>
      <c r="G367" s="1437">
        <v>0</v>
      </c>
      <c r="H367" s="1437">
        <f t="shared" si="17"/>
        <v>8.4731499999999996E-4</v>
      </c>
      <c r="I367" s="1437">
        <v>0</v>
      </c>
      <c r="J367" s="1437">
        <v>0</v>
      </c>
      <c r="K367" s="1438"/>
      <c r="L367" s="1438"/>
      <c r="M367" s="1437">
        <f t="shared" si="18"/>
        <v>0</v>
      </c>
      <c r="N367" s="1437">
        <f t="shared" si="19"/>
        <v>8.4731499999999996E-4</v>
      </c>
    </row>
    <row r="368" spans="1:14" outlineLevel="1">
      <c r="A368" s="1499">
        <v>133</v>
      </c>
      <c r="B368" s="1539" t="s">
        <v>2123</v>
      </c>
      <c r="C368" s="1491" t="s">
        <v>934</v>
      </c>
      <c r="D368" s="1531" t="s">
        <v>1566</v>
      </c>
      <c r="E368" s="1318">
        <v>0</v>
      </c>
      <c r="F368" s="1437">
        <v>1.1647579999999999E-3</v>
      </c>
      <c r="G368" s="1437">
        <v>0</v>
      </c>
      <c r="H368" s="1437">
        <f t="shared" si="17"/>
        <v>1.1647579999999999E-3</v>
      </c>
      <c r="I368" s="1437">
        <v>0</v>
      </c>
      <c r="J368" s="1437">
        <v>0</v>
      </c>
      <c r="K368" s="1438"/>
      <c r="L368" s="1438"/>
      <c r="M368" s="1437">
        <f t="shared" si="18"/>
        <v>0</v>
      </c>
      <c r="N368" s="1437">
        <f t="shared" si="19"/>
        <v>1.1647579999999999E-3</v>
      </c>
    </row>
    <row r="369" spans="1:14" outlineLevel="1">
      <c r="A369" s="1499">
        <v>134</v>
      </c>
      <c r="B369" s="1539" t="s">
        <v>2124</v>
      </c>
      <c r="C369" s="1491" t="s">
        <v>934</v>
      </c>
      <c r="D369" s="1531" t="s">
        <v>1566</v>
      </c>
      <c r="E369" s="1318">
        <v>0</v>
      </c>
      <c r="F369" s="1437">
        <v>1.90058E-3</v>
      </c>
      <c r="G369" s="1437">
        <v>0</v>
      </c>
      <c r="H369" s="1437">
        <f t="shared" si="17"/>
        <v>1.90058E-3</v>
      </c>
      <c r="I369" s="1437">
        <v>0</v>
      </c>
      <c r="J369" s="1437">
        <v>0</v>
      </c>
      <c r="K369" s="1438"/>
      <c r="L369" s="1438"/>
      <c r="M369" s="1437">
        <f t="shared" si="18"/>
        <v>0</v>
      </c>
      <c r="N369" s="1437">
        <f t="shared" si="19"/>
        <v>1.90058E-3</v>
      </c>
    </row>
    <row r="370" spans="1:14" outlineLevel="1">
      <c r="A370" s="1499">
        <v>135</v>
      </c>
      <c r="B370" s="1539" t="s">
        <v>2125</v>
      </c>
      <c r="C370" s="1491" t="s">
        <v>934</v>
      </c>
      <c r="D370" s="1531" t="s">
        <v>1566</v>
      </c>
      <c r="E370" s="1318">
        <v>0</v>
      </c>
      <c r="F370" s="1437">
        <v>2.6575694E-2</v>
      </c>
      <c r="G370" s="1437">
        <v>0</v>
      </c>
      <c r="H370" s="1437">
        <f t="shared" si="17"/>
        <v>2.6575694E-2</v>
      </c>
      <c r="I370" s="1437">
        <v>0</v>
      </c>
      <c r="J370" s="1437">
        <v>0</v>
      </c>
      <c r="K370" s="1438"/>
      <c r="L370" s="1438"/>
      <c r="M370" s="1437">
        <f t="shared" si="18"/>
        <v>0</v>
      </c>
      <c r="N370" s="1437">
        <f t="shared" si="19"/>
        <v>2.6575694E-2</v>
      </c>
    </row>
    <row r="371" spans="1:14" outlineLevel="1">
      <c r="A371" s="1499">
        <v>136</v>
      </c>
      <c r="B371" s="1539" t="s">
        <v>2126</v>
      </c>
      <c r="C371" s="1491" t="s">
        <v>934</v>
      </c>
      <c r="D371" s="1531" t="s">
        <v>1566</v>
      </c>
      <c r="E371" s="1318">
        <v>0</v>
      </c>
      <c r="F371" s="1437">
        <v>0.138637134</v>
      </c>
      <c r="G371" s="1437">
        <v>0</v>
      </c>
      <c r="H371" s="1437">
        <f t="shared" si="17"/>
        <v>0.138637134</v>
      </c>
      <c r="I371" s="1437">
        <v>0</v>
      </c>
      <c r="J371" s="1437">
        <v>0</v>
      </c>
      <c r="K371" s="1438"/>
      <c r="L371" s="1438"/>
      <c r="M371" s="1437">
        <f t="shared" si="18"/>
        <v>0</v>
      </c>
      <c r="N371" s="1437">
        <f t="shared" si="19"/>
        <v>0.138637134</v>
      </c>
    </row>
    <row r="372" spans="1:14" outlineLevel="1">
      <c r="A372" s="1499">
        <v>137</v>
      </c>
      <c r="B372" s="1539" t="s">
        <v>2127</v>
      </c>
      <c r="C372" s="1491" t="s">
        <v>934</v>
      </c>
      <c r="D372" s="1531" t="s">
        <v>1566</v>
      </c>
      <c r="E372" s="1318">
        <v>0</v>
      </c>
      <c r="F372" s="1437">
        <v>1.2702985999999999E-2</v>
      </c>
      <c r="G372" s="1437">
        <v>0</v>
      </c>
      <c r="H372" s="1437">
        <f t="shared" si="17"/>
        <v>1.2702985999999999E-2</v>
      </c>
      <c r="I372" s="1437">
        <v>0</v>
      </c>
      <c r="J372" s="1437">
        <v>0</v>
      </c>
      <c r="K372" s="1438"/>
      <c r="L372" s="1438"/>
      <c r="M372" s="1437">
        <f t="shared" si="18"/>
        <v>0</v>
      </c>
      <c r="N372" s="1437">
        <f t="shared" si="19"/>
        <v>1.2702985999999999E-2</v>
      </c>
    </row>
    <row r="373" spans="1:14" outlineLevel="1">
      <c r="A373" s="1499">
        <v>138</v>
      </c>
      <c r="B373" s="1539" t="s">
        <v>2128</v>
      </c>
      <c r="C373" s="1491" t="s">
        <v>934</v>
      </c>
      <c r="D373" s="1531" t="s">
        <v>1566</v>
      </c>
      <c r="E373" s="1318">
        <v>0</v>
      </c>
      <c r="F373" s="1437">
        <v>3.2544958999999998E-2</v>
      </c>
      <c r="G373" s="1437">
        <v>0</v>
      </c>
      <c r="H373" s="1437">
        <f t="shared" si="17"/>
        <v>3.2544958999999998E-2</v>
      </c>
      <c r="I373" s="1437">
        <v>0</v>
      </c>
      <c r="J373" s="1437">
        <v>0</v>
      </c>
      <c r="K373" s="1438"/>
      <c r="L373" s="1438"/>
      <c r="M373" s="1437">
        <f t="shared" si="18"/>
        <v>0</v>
      </c>
      <c r="N373" s="1437">
        <f t="shared" si="19"/>
        <v>3.2544958999999998E-2</v>
      </c>
    </row>
    <row r="374" spans="1:14" outlineLevel="1">
      <c r="A374" s="1499">
        <v>139</v>
      </c>
      <c r="B374" s="1539" t="s">
        <v>2129</v>
      </c>
      <c r="C374" s="1491" t="s">
        <v>934</v>
      </c>
      <c r="D374" s="1531" t="s">
        <v>1566</v>
      </c>
      <c r="E374" s="1318">
        <v>0</v>
      </c>
      <c r="F374" s="1437">
        <v>2.9272968E-2</v>
      </c>
      <c r="G374" s="1437">
        <v>0</v>
      </c>
      <c r="H374" s="1437">
        <f t="shared" si="17"/>
        <v>2.9272968E-2</v>
      </c>
      <c r="I374" s="1437">
        <v>0</v>
      </c>
      <c r="J374" s="1437">
        <v>0</v>
      </c>
      <c r="K374" s="1438"/>
      <c r="L374" s="1438"/>
      <c r="M374" s="1437">
        <f t="shared" si="18"/>
        <v>0</v>
      </c>
      <c r="N374" s="1437">
        <f t="shared" si="19"/>
        <v>2.9272968E-2</v>
      </c>
    </row>
    <row r="375" spans="1:14" outlineLevel="1">
      <c r="A375" s="1499">
        <v>140</v>
      </c>
      <c r="B375" s="1539" t="s">
        <v>2130</v>
      </c>
      <c r="C375" s="1491" t="s">
        <v>934</v>
      </c>
      <c r="D375" s="1531" t="s">
        <v>1566</v>
      </c>
      <c r="E375" s="1318">
        <v>0</v>
      </c>
      <c r="F375" s="1437">
        <v>2.7579689999999999E-3</v>
      </c>
      <c r="G375" s="1437">
        <v>0</v>
      </c>
      <c r="H375" s="1437">
        <f t="shared" si="17"/>
        <v>2.7579689999999999E-3</v>
      </c>
      <c r="I375" s="1437">
        <v>0</v>
      </c>
      <c r="J375" s="1437">
        <v>0</v>
      </c>
      <c r="K375" s="1438"/>
      <c r="L375" s="1438"/>
      <c r="M375" s="1437">
        <f t="shared" si="18"/>
        <v>0</v>
      </c>
      <c r="N375" s="1437">
        <f t="shared" si="19"/>
        <v>2.7579689999999999E-3</v>
      </c>
    </row>
    <row r="376" spans="1:14" outlineLevel="1">
      <c r="A376" s="1499">
        <v>141</v>
      </c>
      <c r="B376" s="1539" t="s">
        <v>2131</v>
      </c>
      <c r="C376" s="1491" t="s">
        <v>934</v>
      </c>
      <c r="D376" s="1531" t="s">
        <v>1566</v>
      </c>
      <c r="E376" s="1318">
        <v>0</v>
      </c>
      <c r="F376" s="1437">
        <v>1.049073E-3</v>
      </c>
      <c r="G376" s="1437">
        <v>0</v>
      </c>
      <c r="H376" s="1437">
        <f t="shared" si="17"/>
        <v>1.049073E-3</v>
      </c>
      <c r="I376" s="1437">
        <v>0</v>
      </c>
      <c r="J376" s="1437">
        <v>0</v>
      </c>
      <c r="K376" s="1438"/>
      <c r="L376" s="1438"/>
      <c r="M376" s="1437">
        <f t="shared" si="18"/>
        <v>0</v>
      </c>
      <c r="N376" s="1437">
        <f t="shared" si="19"/>
        <v>1.049073E-3</v>
      </c>
    </row>
    <row r="377" spans="1:14" outlineLevel="1">
      <c r="A377" s="1499">
        <v>142</v>
      </c>
      <c r="B377" s="1539" t="s">
        <v>2132</v>
      </c>
      <c r="C377" s="1491" t="s">
        <v>934</v>
      </c>
      <c r="D377" s="1531" t="s">
        <v>1566</v>
      </c>
      <c r="E377" s="1318">
        <v>0</v>
      </c>
      <c r="F377" s="1437">
        <v>5.6178390000000003E-3</v>
      </c>
      <c r="G377" s="1437">
        <v>0</v>
      </c>
      <c r="H377" s="1437">
        <f t="shared" si="17"/>
        <v>5.6178390000000003E-3</v>
      </c>
      <c r="I377" s="1437">
        <v>0</v>
      </c>
      <c r="J377" s="1437">
        <v>0</v>
      </c>
      <c r="K377" s="1438"/>
      <c r="L377" s="1438"/>
      <c r="M377" s="1437">
        <f t="shared" si="18"/>
        <v>0</v>
      </c>
      <c r="N377" s="1437">
        <f t="shared" si="19"/>
        <v>5.6178390000000003E-3</v>
      </c>
    </row>
    <row r="378" spans="1:14" outlineLevel="1">
      <c r="A378" s="1499">
        <v>143</v>
      </c>
      <c r="B378" s="1539" t="s">
        <v>2133</v>
      </c>
      <c r="C378" s="1491" t="s">
        <v>934</v>
      </c>
      <c r="D378" s="1531" t="s">
        <v>1566</v>
      </c>
      <c r="E378" s="1318">
        <v>0</v>
      </c>
      <c r="F378" s="1437">
        <v>4.9465999999999997E-5</v>
      </c>
      <c r="G378" s="1437">
        <v>0</v>
      </c>
      <c r="H378" s="1437">
        <f t="shared" si="17"/>
        <v>4.9465999999999997E-5</v>
      </c>
      <c r="I378" s="1437">
        <v>0</v>
      </c>
      <c r="J378" s="1437">
        <v>0</v>
      </c>
      <c r="K378" s="1438"/>
      <c r="L378" s="1438"/>
      <c r="M378" s="1437">
        <f t="shared" si="18"/>
        <v>0</v>
      </c>
      <c r="N378" s="1437">
        <f t="shared" si="19"/>
        <v>4.9465999999999997E-5</v>
      </c>
    </row>
    <row r="379" spans="1:14" outlineLevel="1">
      <c r="A379" s="1499">
        <v>144</v>
      </c>
      <c r="B379" s="1539" t="s">
        <v>2134</v>
      </c>
      <c r="C379" s="1491" t="s">
        <v>934</v>
      </c>
      <c r="D379" s="1531" t="s">
        <v>1566</v>
      </c>
      <c r="E379" s="1318">
        <v>0</v>
      </c>
      <c r="F379" s="1437">
        <v>1.0752108999999999E-2</v>
      </c>
      <c r="G379" s="1437">
        <v>0</v>
      </c>
      <c r="H379" s="1437">
        <f t="shared" si="17"/>
        <v>1.0752108999999999E-2</v>
      </c>
      <c r="I379" s="1437">
        <v>0</v>
      </c>
      <c r="J379" s="1437">
        <v>0</v>
      </c>
      <c r="K379" s="1438"/>
      <c r="L379" s="1438"/>
      <c r="M379" s="1437">
        <f t="shared" si="18"/>
        <v>0</v>
      </c>
      <c r="N379" s="1437">
        <f t="shared" si="19"/>
        <v>1.0752108999999999E-2</v>
      </c>
    </row>
    <row r="380" spans="1:14" outlineLevel="1">
      <c r="A380" s="1499">
        <v>145</v>
      </c>
      <c r="B380" s="1539" t="s">
        <v>2135</v>
      </c>
      <c r="C380" s="1491" t="s">
        <v>934</v>
      </c>
      <c r="D380" s="1531" t="s">
        <v>1566</v>
      </c>
      <c r="E380" s="1318">
        <v>0</v>
      </c>
      <c r="F380" s="1437">
        <v>3.9941100000000002E-4</v>
      </c>
      <c r="G380" s="1437">
        <v>0</v>
      </c>
      <c r="H380" s="1437">
        <f t="shared" si="17"/>
        <v>3.9941100000000002E-4</v>
      </c>
      <c r="I380" s="1437">
        <v>0</v>
      </c>
      <c r="J380" s="1437">
        <v>0</v>
      </c>
      <c r="K380" s="1438"/>
      <c r="L380" s="1438"/>
      <c r="M380" s="1437">
        <f t="shared" si="18"/>
        <v>0</v>
      </c>
      <c r="N380" s="1437">
        <f t="shared" si="19"/>
        <v>3.9941100000000002E-4</v>
      </c>
    </row>
    <row r="381" spans="1:14" outlineLevel="1">
      <c r="A381" s="1499">
        <v>146</v>
      </c>
      <c r="B381" s="1539" t="s">
        <v>2136</v>
      </c>
      <c r="C381" s="1491" t="s">
        <v>934</v>
      </c>
      <c r="D381" s="1531" t="s">
        <v>1566</v>
      </c>
      <c r="E381" s="1318">
        <v>0</v>
      </c>
      <c r="F381" s="1437">
        <v>9.8566000000000005E-5</v>
      </c>
      <c r="G381" s="1437">
        <v>0</v>
      </c>
      <c r="H381" s="1437">
        <f t="shared" si="17"/>
        <v>9.8566000000000005E-5</v>
      </c>
      <c r="I381" s="1437">
        <v>0</v>
      </c>
      <c r="J381" s="1437">
        <v>0</v>
      </c>
      <c r="K381" s="1438"/>
      <c r="L381" s="1438"/>
      <c r="M381" s="1437">
        <f t="shared" si="18"/>
        <v>0</v>
      </c>
      <c r="N381" s="1437">
        <f t="shared" si="19"/>
        <v>9.8566000000000005E-5</v>
      </c>
    </row>
    <row r="382" spans="1:14" outlineLevel="1">
      <c r="A382" s="1499">
        <v>147</v>
      </c>
      <c r="B382" s="1539" t="s">
        <v>2137</v>
      </c>
      <c r="C382" s="1491" t="s">
        <v>934</v>
      </c>
      <c r="D382" s="1531" t="s">
        <v>1566</v>
      </c>
      <c r="E382" s="1318">
        <v>0</v>
      </c>
      <c r="F382" s="1437">
        <v>1.0304429E-2</v>
      </c>
      <c r="G382" s="1437">
        <v>0</v>
      </c>
      <c r="H382" s="1437">
        <f t="shared" si="17"/>
        <v>1.0304429E-2</v>
      </c>
      <c r="I382" s="1437">
        <v>0</v>
      </c>
      <c r="J382" s="1437">
        <v>0</v>
      </c>
      <c r="K382" s="1438"/>
      <c r="L382" s="1438"/>
      <c r="M382" s="1437">
        <f t="shared" si="18"/>
        <v>0</v>
      </c>
      <c r="N382" s="1437">
        <f t="shared" si="19"/>
        <v>1.0304429E-2</v>
      </c>
    </row>
    <row r="383" spans="1:14" outlineLevel="1">
      <c r="A383" s="1499">
        <v>148</v>
      </c>
      <c r="B383" s="1539" t="s">
        <v>2138</v>
      </c>
      <c r="C383" s="1491" t="s">
        <v>934</v>
      </c>
      <c r="D383" s="1531" t="s">
        <v>1566</v>
      </c>
      <c r="E383" s="1318">
        <v>0</v>
      </c>
      <c r="F383" s="1437">
        <v>2.2363740000000002E-3</v>
      </c>
      <c r="G383" s="1437">
        <v>0</v>
      </c>
      <c r="H383" s="1437">
        <f t="shared" si="17"/>
        <v>2.2363740000000002E-3</v>
      </c>
      <c r="I383" s="1437">
        <v>0</v>
      </c>
      <c r="J383" s="1437">
        <v>0</v>
      </c>
      <c r="K383" s="1438"/>
      <c r="L383" s="1438"/>
      <c r="M383" s="1437">
        <f t="shared" si="18"/>
        <v>0</v>
      </c>
      <c r="N383" s="1437">
        <f t="shared" si="19"/>
        <v>2.2363740000000002E-3</v>
      </c>
    </row>
    <row r="384" spans="1:14" outlineLevel="1">
      <c r="A384" s="1499">
        <v>149</v>
      </c>
      <c r="B384" s="1539" t="s">
        <v>2139</v>
      </c>
      <c r="C384" s="1491" t="s">
        <v>934</v>
      </c>
      <c r="D384" s="1531" t="s">
        <v>1566</v>
      </c>
      <c r="E384" s="1318">
        <v>0</v>
      </c>
      <c r="F384" s="1437">
        <v>1.438855E-3</v>
      </c>
      <c r="G384" s="1437">
        <v>0</v>
      </c>
      <c r="H384" s="1437">
        <f t="shared" si="17"/>
        <v>1.438855E-3</v>
      </c>
      <c r="I384" s="1437">
        <v>0</v>
      </c>
      <c r="J384" s="1437">
        <v>0</v>
      </c>
      <c r="K384" s="1438"/>
      <c r="L384" s="1438"/>
      <c r="M384" s="1437">
        <f t="shared" si="18"/>
        <v>0</v>
      </c>
      <c r="N384" s="1437">
        <f t="shared" si="19"/>
        <v>1.438855E-3</v>
      </c>
    </row>
    <row r="385" spans="1:14" outlineLevel="1">
      <c r="A385" s="1499">
        <v>150</v>
      </c>
      <c r="B385" s="1539" t="s">
        <v>2140</v>
      </c>
      <c r="C385" s="1491" t="s">
        <v>934</v>
      </c>
      <c r="D385" s="1531" t="s">
        <v>1566</v>
      </c>
      <c r="E385" s="1318">
        <v>0</v>
      </c>
      <c r="F385" s="1437">
        <v>8.5482000000000006E-5</v>
      </c>
      <c r="G385" s="1437">
        <v>0</v>
      </c>
      <c r="H385" s="1437">
        <f t="shared" si="17"/>
        <v>8.5482000000000006E-5</v>
      </c>
      <c r="I385" s="1437">
        <v>0</v>
      </c>
      <c r="J385" s="1437">
        <v>0</v>
      </c>
      <c r="K385" s="1438"/>
      <c r="L385" s="1438"/>
      <c r="M385" s="1437">
        <f t="shared" si="18"/>
        <v>0</v>
      </c>
      <c r="N385" s="1437">
        <f t="shared" si="19"/>
        <v>8.5482000000000006E-5</v>
      </c>
    </row>
    <row r="386" spans="1:14" outlineLevel="1">
      <c r="A386" s="1499">
        <v>151</v>
      </c>
      <c r="B386" s="1539" t="s">
        <v>2141</v>
      </c>
      <c r="C386" s="1491" t="s">
        <v>934</v>
      </c>
      <c r="D386" s="1531" t="s">
        <v>1566</v>
      </c>
      <c r="E386" s="1318">
        <v>0</v>
      </c>
      <c r="F386" s="1437">
        <v>4.2384409999999999E-3</v>
      </c>
      <c r="G386" s="1437">
        <v>0</v>
      </c>
      <c r="H386" s="1437">
        <f t="shared" si="17"/>
        <v>4.2384409999999999E-3</v>
      </c>
      <c r="I386" s="1437">
        <v>0</v>
      </c>
      <c r="J386" s="1437">
        <v>0</v>
      </c>
      <c r="K386" s="1438"/>
      <c r="L386" s="1438"/>
      <c r="M386" s="1437">
        <f t="shared" si="18"/>
        <v>0</v>
      </c>
      <c r="N386" s="1437">
        <f t="shared" si="19"/>
        <v>4.2384409999999999E-3</v>
      </c>
    </row>
    <row r="387" spans="1:14" outlineLevel="1">
      <c r="A387" s="1499">
        <v>152</v>
      </c>
      <c r="B387" s="1539" t="s">
        <v>2142</v>
      </c>
      <c r="C387" s="1491" t="s">
        <v>934</v>
      </c>
      <c r="D387" s="1531" t="s">
        <v>1566</v>
      </c>
      <c r="E387" s="1318">
        <v>0</v>
      </c>
      <c r="F387" s="1437">
        <v>3.0444899999999998E-4</v>
      </c>
      <c r="G387" s="1437">
        <v>0</v>
      </c>
      <c r="H387" s="1437">
        <f t="shared" si="17"/>
        <v>3.0444899999999998E-4</v>
      </c>
      <c r="I387" s="1437">
        <v>0</v>
      </c>
      <c r="J387" s="1437">
        <v>0</v>
      </c>
      <c r="K387" s="1438"/>
      <c r="L387" s="1438"/>
      <c r="M387" s="1437">
        <f t="shared" si="18"/>
        <v>0</v>
      </c>
      <c r="N387" s="1437">
        <f t="shared" si="19"/>
        <v>3.0444899999999998E-4</v>
      </c>
    </row>
    <row r="388" spans="1:14" outlineLevel="1">
      <c r="A388" s="1499">
        <v>153</v>
      </c>
      <c r="B388" s="1539" t="s">
        <v>2143</v>
      </c>
      <c r="C388" s="1491" t="s">
        <v>934</v>
      </c>
      <c r="D388" s="1531" t="s">
        <v>1566</v>
      </c>
      <c r="E388" s="1318">
        <v>0</v>
      </c>
      <c r="F388" s="1437">
        <v>1.3285770000000001E-3</v>
      </c>
      <c r="G388" s="1437">
        <v>0</v>
      </c>
      <c r="H388" s="1437">
        <f t="shared" si="17"/>
        <v>1.3285770000000001E-3</v>
      </c>
      <c r="I388" s="1437">
        <v>0</v>
      </c>
      <c r="J388" s="1437">
        <v>0</v>
      </c>
      <c r="K388" s="1438"/>
      <c r="L388" s="1438"/>
      <c r="M388" s="1437">
        <f t="shared" si="18"/>
        <v>0</v>
      </c>
      <c r="N388" s="1437">
        <f t="shared" si="19"/>
        <v>1.3285770000000001E-3</v>
      </c>
    </row>
    <row r="389" spans="1:14" outlineLevel="1">
      <c r="A389" s="1499">
        <v>154</v>
      </c>
      <c r="B389" s="1539" t="s">
        <v>2144</v>
      </c>
      <c r="C389" s="1491" t="s">
        <v>934</v>
      </c>
      <c r="D389" s="1531" t="s">
        <v>1566</v>
      </c>
      <c r="E389" s="1318">
        <v>0</v>
      </c>
      <c r="F389" s="1437">
        <v>2.0736180000000002E-3</v>
      </c>
      <c r="G389" s="1437">
        <v>0</v>
      </c>
      <c r="H389" s="1437">
        <f t="shared" si="17"/>
        <v>2.0736180000000002E-3</v>
      </c>
      <c r="I389" s="1437">
        <v>0</v>
      </c>
      <c r="J389" s="1437">
        <v>0</v>
      </c>
      <c r="K389" s="1438"/>
      <c r="L389" s="1438"/>
      <c r="M389" s="1437">
        <f t="shared" si="18"/>
        <v>0</v>
      </c>
      <c r="N389" s="1437">
        <f t="shared" si="19"/>
        <v>2.0736180000000002E-3</v>
      </c>
    </row>
    <row r="390" spans="1:14" outlineLevel="1">
      <c r="A390" s="1499">
        <v>155</v>
      </c>
      <c r="B390" s="1539" t="s">
        <v>2145</v>
      </c>
      <c r="C390" s="1491" t="s">
        <v>934</v>
      </c>
      <c r="D390" s="1531" t="s">
        <v>1566</v>
      </c>
      <c r="E390" s="1318">
        <v>0</v>
      </c>
      <c r="F390" s="1437">
        <v>8.1516999999999999E-5</v>
      </c>
      <c r="G390" s="1437">
        <v>0</v>
      </c>
      <c r="H390" s="1437">
        <f t="shared" si="17"/>
        <v>8.1516999999999999E-5</v>
      </c>
      <c r="I390" s="1437">
        <v>0</v>
      </c>
      <c r="J390" s="1437">
        <v>0</v>
      </c>
      <c r="K390" s="1438"/>
      <c r="L390" s="1438"/>
      <c r="M390" s="1437">
        <f t="shared" si="18"/>
        <v>0</v>
      </c>
      <c r="N390" s="1437">
        <f t="shared" si="19"/>
        <v>8.1516999999999999E-5</v>
      </c>
    </row>
    <row r="391" spans="1:14" ht="29" outlineLevel="1">
      <c r="A391" s="1499">
        <v>156</v>
      </c>
      <c r="B391" s="1539" t="s">
        <v>2146</v>
      </c>
      <c r="C391" s="1491" t="s">
        <v>934</v>
      </c>
      <c r="D391" s="1531" t="s">
        <v>1566</v>
      </c>
      <c r="E391" s="1318">
        <v>0</v>
      </c>
      <c r="F391" s="1437">
        <v>7.8696799999999997E-2</v>
      </c>
      <c r="G391" s="1437">
        <v>0</v>
      </c>
      <c r="H391" s="1437">
        <f t="shared" si="17"/>
        <v>7.8696799999999997E-2</v>
      </c>
      <c r="I391" s="1437">
        <v>0</v>
      </c>
      <c r="J391" s="1437">
        <v>0</v>
      </c>
      <c r="K391" s="1438"/>
      <c r="L391" s="1438"/>
      <c r="M391" s="1437">
        <f t="shared" si="18"/>
        <v>0</v>
      </c>
      <c r="N391" s="1437">
        <f t="shared" si="19"/>
        <v>7.8696799999999997E-2</v>
      </c>
    </row>
    <row r="392" spans="1:14" outlineLevel="1">
      <c r="A392" s="1499">
        <v>157</v>
      </c>
      <c r="B392" s="1539" t="s">
        <v>2148</v>
      </c>
      <c r="C392" s="1491" t="s">
        <v>934</v>
      </c>
      <c r="D392" s="1531" t="s">
        <v>1566</v>
      </c>
      <c r="E392" s="1318">
        <v>0</v>
      </c>
      <c r="F392" s="1437">
        <v>1.6370498000000001E-2</v>
      </c>
      <c r="G392" s="1437">
        <v>0</v>
      </c>
      <c r="H392" s="1437">
        <f t="shared" si="17"/>
        <v>1.6370498000000001E-2</v>
      </c>
      <c r="I392" s="1437">
        <v>0</v>
      </c>
      <c r="J392" s="1437">
        <v>0</v>
      </c>
      <c r="K392" s="1438"/>
      <c r="L392" s="1438"/>
      <c r="M392" s="1437">
        <f t="shared" si="18"/>
        <v>0</v>
      </c>
      <c r="N392" s="1437">
        <f t="shared" si="19"/>
        <v>1.6370498000000001E-2</v>
      </c>
    </row>
    <row r="393" spans="1:14" outlineLevel="1">
      <c r="A393" s="1499">
        <v>158</v>
      </c>
      <c r="B393" s="1539" t="s">
        <v>2149</v>
      </c>
      <c r="C393" s="1491" t="s">
        <v>934</v>
      </c>
      <c r="D393" s="1531" t="s">
        <v>1566</v>
      </c>
      <c r="E393" s="1318">
        <v>0</v>
      </c>
      <c r="F393" s="1437">
        <v>1.2547599E-2</v>
      </c>
      <c r="G393" s="1437">
        <v>0</v>
      </c>
      <c r="H393" s="1437">
        <f t="shared" si="17"/>
        <v>1.2547599E-2</v>
      </c>
      <c r="I393" s="1437">
        <v>0</v>
      </c>
      <c r="J393" s="1437">
        <v>0</v>
      </c>
      <c r="K393" s="1438"/>
      <c r="L393" s="1438"/>
      <c r="M393" s="1437">
        <f t="shared" si="18"/>
        <v>0</v>
      </c>
      <c r="N393" s="1437">
        <f t="shared" si="19"/>
        <v>1.2547599E-2</v>
      </c>
    </row>
    <row r="394" spans="1:14" outlineLevel="1">
      <c r="A394" s="1499">
        <v>159</v>
      </c>
      <c r="B394" s="1539" t="s">
        <v>2150</v>
      </c>
      <c r="C394" s="1491" t="s">
        <v>934</v>
      </c>
      <c r="D394" s="1531" t="s">
        <v>1566</v>
      </c>
      <c r="E394" s="1318">
        <v>0</v>
      </c>
      <c r="F394" s="1437">
        <v>3.6008699999999998E-4</v>
      </c>
      <c r="G394" s="1437">
        <v>0</v>
      </c>
      <c r="H394" s="1437">
        <f t="shared" ref="H394:H398" si="20">F394-G394</f>
        <v>3.6008699999999998E-4</v>
      </c>
      <c r="I394" s="1437">
        <v>0</v>
      </c>
      <c r="J394" s="1437">
        <v>0</v>
      </c>
      <c r="K394" s="1438"/>
      <c r="L394" s="1438"/>
      <c r="M394" s="1437">
        <f t="shared" ref="M394:M397" si="21">SUM(J394:L394)</f>
        <v>0</v>
      </c>
      <c r="N394" s="1437">
        <f t="shared" ref="N394:N398" si="22">H394+I394-M394</f>
        <v>3.6008699999999998E-4</v>
      </c>
    </row>
    <row r="395" spans="1:14" outlineLevel="1">
      <c r="A395" s="1499">
        <v>160</v>
      </c>
      <c r="B395" s="1539" t="s">
        <v>2151</v>
      </c>
      <c r="C395" s="1491" t="s">
        <v>934</v>
      </c>
      <c r="D395" s="1531" t="s">
        <v>1566</v>
      </c>
      <c r="E395" s="1318">
        <v>0</v>
      </c>
      <c r="F395" s="1437">
        <v>3.0684199999999999E-4</v>
      </c>
      <c r="G395" s="1437">
        <v>0</v>
      </c>
      <c r="H395" s="1437">
        <f t="shared" si="20"/>
        <v>3.0684199999999999E-4</v>
      </c>
      <c r="I395" s="1437">
        <v>0</v>
      </c>
      <c r="J395" s="1437">
        <v>0</v>
      </c>
      <c r="K395" s="1438"/>
      <c r="L395" s="1438"/>
      <c r="M395" s="1437">
        <f t="shared" si="21"/>
        <v>0</v>
      </c>
      <c r="N395" s="1437">
        <f t="shared" si="22"/>
        <v>3.0684199999999999E-4</v>
      </c>
    </row>
    <row r="396" spans="1:14" outlineLevel="1">
      <c r="A396" s="1499">
        <v>161</v>
      </c>
      <c r="B396" s="1539" t="s">
        <v>2152</v>
      </c>
      <c r="C396" s="1491" t="s">
        <v>934</v>
      </c>
      <c r="D396" s="1531" t="s">
        <v>1566</v>
      </c>
      <c r="E396" s="1318">
        <v>0</v>
      </c>
      <c r="F396" s="1437">
        <v>0</v>
      </c>
      <c r="G396" s="1437">
        <v>0</v>
      </c>
      <c r="H396" s="1437">
        <f t="shared" si="20"/>
        <v>0</v>
      </c>
      <c r="I396" s="1437">
        <v>0.11917999999999999</v>
      </c>
      <c r="J396" s="1437">
        <v>0.11917999999999999</v>
      </c>
      <c r="K396" s="1438"/>
      <c r="L396" s="1438"/>
      <c r="M396" s="1437">
        <f t="shared" si="21"/>
        <v>0.11917999999999999</v>
      </c>
      <c r="N396" s="1437">
        <f t="shared" si="22"/>
        <v>0</v>
      </c>
    </row>
    <row r="397" spans="1:14" outlineLevel="1">
      <c r="A397" s="1499">
        <v>162</v>
      </c>
      <c r="B397" s="1539" t="s">
        <v>2153</v>
      </c>
      <c r="C397" s="1491" t="s">
        <v>934</v>
      </c>
      <c r="D397" s="1531" t="s">
        <v>1566</v>
      </c>
      <c r="E397" s="1318">
        <v>0</v>
      </c>
      <c r="F397" s="1437">
        <v>0</v>
      </c>
      <c r="G397" s="1437">
        <v>0</v>
      </c>
      <c r="H397" s="1437">
        <f t="shared" si="20"/>
        <v>0</v>
      </c>
      <c r="I397" s="1437">
        <v>0.68323680199999992</v>
      </c>
      <c r="J397" s="1437">
        <v>0.68323680199999992</v>
      </c>
      <c r="K397" s="1438"/>
      <c r="L397" s="1438"/>
      <c r="M397" s="1437">
        <f t="shared" si="21"/>
        <v>0.68323680199999992</v>
      </c>
      <c r="N397" s="1437">
        <f t="shared" si="22"/>
        <v>0</v>
      </c>
    </row>
    <row r="398" spans="1:14">
      <c r="A398" s="1540"/>
      <c r="B398" s="1541" t="s">
        <v>271</v>
      </c>
      <c r="C398" s="1540">
        <v>0</v>
      </c>
      <c r="D398" s="1542"/>
      <c r="E398" s="1440"/>
      <c r="F398" s="1441">
        <v>98.290097591999995</v>
      </c>
      <c r="G398" s="1441">
        <v>43.704016812999996</v>
      </c>
      <c r="H398" s="1441">
        <f t="shared" si="20"/>
        <v>54.586080779</v>
      </c>
      <c r="I398" s="1441">
        <v>20.170059832999996</v>
      </c>
      <c r="J398" s="1441">
        <v>12.804938353000001</v>
      </c>
      <c r="K398" s="1433"/>
      <c r="L398" s="1433"/>
      <c r="M398" s="1441">
        <f t="shared" ref="M398" si="23">SUM(J398:L398)</f>
        <v>12.804938353000001</v>
      </c>
      <c r="N398" s="1441">
        <f t="shared" si="22"/>
        <v>61.951202258999999</v>
      </c>
    </row>
    <row r="399" spans="1:14">
      <c r="A399" s="1499"/>
      <c r="B399" s="1539"/>
      <c r="C399" s="1499"/>
      <c r="D399" s="1531"/>
      <c r="E399" s="1318"/>
      <c r="F399" s="1437"/>
      <c r="G399" s="1437"/>
      <c r="H399" s="1437"/>
      <c r="I399" s="1437"/>
      <c r="J399" s="1437"/>
      <c r="K399" s="1438"/>
      <c r="L399" s="1438"/>
      <c r="M399" s="1437"/>
      <c r="N399" s="1437"/>
    </row>
    <row r="400" spans="1:14">
      <c r="A400" s="1486"/>
      <c r="B400" s="1433" t="s">
        <v>509</v>
      </c>
      <c r="C400" s="1309"/>
      <c r="D400" s="1432"/>
      <c r="E400" s="1309"/>
      <c r="F400" s="1433"/>
      <c r="G400" s="1433"/>
      <c r="H400" s="1433"/>
      <c r="I400" s="1433"/>
      <c r="J400" s="1433"/>
      <c r="K400" s="1433"/>
      <c r="L400" s="1433"/>
      <c r="M400" s="1433"/>
      <c r="N400" s="1433"/>
    </row>
    <row r="401" spans="1:14" outlineLevel="1">
      <c r="A401" s="1487">
        <f t="shared" ref="A401:E416" si="24">A8</f>
        <v>0</v>
      </c>
      <c r="B401" s="1332" t="str">
        <f t="shared" si="24"/>
        <v>Add Cap (As per 296 of 2019)</v>
      </c>
      <c r="C401" s="1488">
        <f t="shared" si="24"/>
        <v>0</v>
      </c>
      <c r="D401" s="1489" t="str">
        <f t="shared" si="24"/>
        <v>-</v>
      </c>
      <c r="E401" s="1490">
        <f t="shared" si="24"/>
        <v>0</v>
      </c>
      <c r="F401" s="1437">
        <f t="shared" ref="F401:F464" si="25">F8+I8</f>
        <v>0</v>
      </c>
      <c r="G401" s="1437">
        <f t="shared" ref="G401:G464" si="26">G8+M8</f>
        <v>0</v>
      </c>
      <c r="H401" s="1437">
        <f t="shared" ref="H401:H464" si="27">F401-G401</f>
        <v>0</v>
      </c>
      <c r="I401" s="1437">
        <v>0</v>
      </c>
      <c r="J401" s="1437">
        <v>0</v>
      </c>
      <c r="K401" s="1438"/>
      <c r="L401" s="1438"/>
      <c r="M401" s="1437">
        <f t="shared" ref="M401:M464" si="28">SUM(J401:L401)</f>
        <v>0</v>
      </c>
      <c r="N401" s="1437">
        <f t="shared" ref="N401:N464" si="29">H401+I401-M401</f>
        <v>0</v>
      </c>
    </row>
    <row r="402" spans="1:14" ht="17.5" outlineLevel="1">
      <c r="A402" s="1491" t="str">
        <f t="shared" si="24"/>
        <v>A</v>
      </c>
      <c r="B402" s="1333" t="str">
        <f t="shared" si="24"/>
        <v xml:space="preserve">Initial spares </v>
      </c>
      <c r="C402" s="1492" t="str">
        <f t="shared" si="24"/>
        <v>Add Cap (As per 296 of 2019)</v>
      </c>
      <c r="D402" s="1334" t="str">
        <f t="shared" si="24"/>
        <v>-</v>
      </c>
      <c r="E402" s="1335">
        <f t="shared" si="24"/>
        <v>0</v>
      </c>
      <c r="F402" s="1437">
        <f t="shared" si="25"/>
        <v>0</v>
      </c>
      <c r="G402" s="1437">
        <f t="shared" si="26"/>
        <v>0</v>
      </c>
      <c r="H402" s="1437">
        <f t="shared" si="27"/>
        <v>0</v>
      </c>
      <c r="I402" s="1437">
        <v>0</v>
      </c>
      <c r="J402" s="1437">
        <v>0</v>
      </c>
      <c r="K402" s="1438"/>
      <c r="L402" s="1438"/>
      <c r="M402" s="1437">
        <f t="shared" si="28"/>
        <v>0</v>
      </c>
      <c r="N402" s="1437">
        <f t="shared" si="29"/>
        <v>0</v>
      </c>
    </row>
    <row r="403" spans="1:14" ht="15.5" outlineLevel="1">
      <c r="A403" s="1493">
        <f t="shared" si="24"/>
        <v>1</v>
      </c>
      <c r="B403" s="1494" t="str">
        <f t="shared" si="24"/>
        <v>Boiler and Auxiliaries</v>
      </c>
      <c r="C403" s="1495" t="str">
        <f t="shared" si="24"/>
        <v>Add Cap (As per 296 of 2019)</v>
      </c>
      <c r="D403" s="1341" t="str">
        <f t="shared" si="24"/>
        <v>-</v>
      </c>
      <c r="E403" s="1496">
        <f t="shared" si="24"/>
        <v>7.2</v>
      </c>
      <c r="F403" s="1437">
        <f t="shared" si="25"/>
        <v>0</v>
      </c>
      <c r="G403" s="1437">
        <f t="shared" si="26"/>
        <v>0</v>
      </c>
      <c r="H403" s="1437">
        <f t="shared" si="27"/>
        <v>0</v>
      </c>
      <c r="I403" s="1437">
        <v>0</v>
      </c>
      <c r="J403" s="1437">
        <v>0</v>
      </c>
      <c r="K403" s="1438"/>
      <c r="L403" s="1438"/>
      <c r="M403" s="1437">
        <f t="shared" si="28"/>
        <v>0</v>
      </c>
      <c r="N403" s="1437">
        <f t="shared" si="29"/>
        <v>0</v>
      </c>
    </row>
    <row r="404" spans="1:14" ht="31" outlineLevel="1">
      <c r="A404" s="1491">
        <f t="shared" si="24"/>
        <v>1</v>
      </c>
      <c r="B404" s="1497" t="str">
        <f t="shared" si="24"/>
        <v>Procurement of Coal Mill XRP-903 Gear Box Type KMP-280 Spares of Unit # 8 at BM-NPTPS Parli-Vaijnath</v>
      </c>
      <c r="C404" s="1492" t="str">
        <f t="shared" si="24"/>
        <v>Add Cap (As per 296 of 2019)</v>
      </c>
      <c r="D404" s="1334" t="str">
        <f t="shared" si="24"/>
        <v>-</v>
      </c>
      <c r="E404" s="1498">
        <f t="shared" si="24"/>
        <v>0</v>
      </c>
      <c r="F404" s="1437">
        <f t="shared" si="25"/>
        <v>1.35</v>
      </c>
      <c r="G404" s="1437">
        <f t="shared" si="26"/>
        <v>1.35</v>
      </c>
      <c r="H404" s="1437">
        <f t="shared" si="27"/>
        <v>0</v>
      </c>
      <c r="I404" s="1437">
        <v>0</v>
      </c>
      <c r="J404" s="1437">
        <v>0</v>
      </c>
      <c r="K404" s="1438"/>
      <c r="L404" s="1438"/>
      <c r="M404" s="1437">
        <f t="shared" si="28"/>
        <v>0</v>
      </c>
      <c r="N404" s="1437">
        <f t="shared" si="29"/>
        <v>0</v>
      </c>
    </row>
    <row r="405" spans="1:14" ht="31" outlineLevel="1">
      <c r="A405" s="1491">
        <f t="shared" si="24"/>
        <v>2</v>
      </c>
      <c r="B405" s="1497" t="str">
        <f t="shared" si="24"/>
        <v>Supply of Labyrinth Seal Rings with replaceable Inner liners for Coal Mill XRP-903 required for BM Unit-8, NPTPS, Parli-V.</v>
      </c>
      <c r="C405" s="1492" t="str">
        <f t="shared" si="24"/>
        <v>Add Cap (As per 296 of 2019)</v>
      </c>
      <c r="D405" s="1334" t="str">
        <f t="shared" si="24"/>
        <v>-</v>
      </c>
      <c r="E405" s="1498">
        <f t="shared" si="24"/>
        <v>0</v>
      </c>
      <c r="F405" s="1437">
        <f t="shared" si="25"/>
        <v>0.33134400000000003</v>
      </c>
      <c r="G405" s="1437">
        <f t="shared" si="26"/>
        <v>0.33134400000000003</v>
      </c>
      <c r="H405" s="1437">
        <f t="shared" si="27"/>
        <v>0</v>
      </c>
      <c r="I405" s="1437">
        <v>0</v>
      </c>
      <c r="J405" s="1437">
        <v>0</v>
      </c>
      <c r="K405" s="1438"/>
      <c r="L405" s="1438"/>
      <c r="M405" s="1437">
        <f t="shared" si="28"/>
        <v>0</v>
      </c>
      <c r="N405" s="1437">
        <f t="shared" si="29"/>
        <v>0</v>
      </c>
    </row>
    <row r="406" spans="1:14" ht="31" outlineLevel="1">
      <c r="A406" s="1491">
        <f t="shared" si="24"/>
        <v>3</v>
      </c>
      <c r="B406" s="1497" t="str">
        <f t="shared" si="24"/>
        <v>Supply and Installation of coal mill  liners(weld overlay) of XRP-903 Coal Mill in BM U-8, NPTPS,Parli-V.</v>
      </c>
      <c r="C406" s="1492" t="str">
        <f t="shared" si="24"/>
        <v>Add Cap (As per 296 of 2019)</v>
      </c>
      <c r="D406" s="1334" t="str">
        <f t="shared" si="24"/>
        <v>-</v>
      </c>
      <c r="E406" s="1498">
        <f t="shared" si="24"/>
        <v>0</v>
      </c>
      <c r="F406" s="1437">
        <f t="shared" si="25"/>
        <v>0.33134400000000003</v>
      </c>
      <c r="G406" s="1437">
        <f t="shared" si="26"/>
        <v>0.33134400000000003</v>
      </c>
      <c r="H406" s="1437">
        <f t="shared" si="27"/>
        <v>0</v>
      </c>
      <c r="I406" s="1437">
        <v>0</v>
      </c>
      <c r="J406" s="1437">
        <v>0</v>
      </c>
      <c r="K406" s="1438"/>
      <c r="L406" s="1438"/>
      <c r="M406" s="1437">
        <f t="shared" si="28"/>
        <v>0</v>
      </c>
      <c r="N406" s="1437">
        <f t="shared" si="29"/>
        <v>0</v>
      </c>
    </row>
    <row r="407" spans="1:14" ht="31" outlineLevel="1">
      <c r="A407" s="1491">
        <f t="shared" si="24"/>
        <v>4</v>
      </c>
      <c r="B407" s="1497" t="str">
        <f t="shared" si="24"/>
        <v>Procurement of Coal Mill XRP-903 Bowl &amp; Bowl Hub of Unit # 8 at BM-NPTPS Parli-Vaijnath</v>
      </c>
      <c r="C407" s="1492" t="str">
        <f t="shared" si="24"/>
        <v>Add Cap (As per 296 of 2019)</v>
      </c>
      <c r="D407" s="1334" t="str">
        <f t="shared" si="24"/>
        <v>-</v>
      </c>
      <c r="E407" s="1498">
        <f t="shared" si="24"/>
        <v>0</v>
      </c>
      <c r="F407" s="1437">
        <f t="shared" si="25"/>
        <v>0.73326380000000002</v>
      </c>
      <c r="G407" s="1437">
        <f t="shared" si="26"/>
        <v>0.73326380000000002</v>
      </c>
      <c r="H407" s="1437">
        <f t="shared" si="27"/>
        <v>0</v>
      </c>
      <c r="I407" s="1437">
        <v>0</v>
      </c>
      <c r="J407" s="1437">
        <v>0</v>
      </c>
      <c r="K407" s="1438"/>
      <c r="L407" s="1438"/>
      <c r="M407" s="1437">
        <f t="shared" si="28"/>
        <v>0</v>
      </c>
      <c r="N407" s="1437">
        <f t="shared" si="29"/>
        <v>0</v>
      </c>
    </row>
    <row r="408" spans="1:14" ht="15.5" outlineLevel="1">
      <c r="A408" s="1491">
        <f t="shared" si="24"/>
        <v>5</v>
      </c>
      <c r="B408" s="1497" t="str">
        <f t="shared" si="24"/>
        <v>Supply of impeller assembly for ID fan</v>
      </c>
      <c r="C408" s="1492" t="str">
        <f t="shared" si="24"/>
        <v>Add Cap (As per 296 of 2019)</v>
      </c>
      <c r="D408" s="1334" t="str">
        <f t="shared" si="24"/>
        <v>-</v>
      </c>
      <c r="E408" s="1358">
        <f t="shared" si="24"/>
        <v>0</v>
      </c>
      <c r="F408" s="1437">
        <f t="shared" si="25"/>
        <v>0.52329999999999999</v>
      </c>
      <c r="G408" s="1437">
        <f t="shared" si="26"/>
        <v>0.52329999999999999</v>
      </c>
      <c r="H408" s="1437">
        <f t="shared" si="27"/>
        <v>0</v>
      </c>
      <c r="I408" s="1437">
        <v>0</v>
      </c>
      <c r="J408" s="1437">
        <v>0</v>
      </c>
      <c r="K408" s="1438"/>
      <c r="L408" s="1438"/>
      <c r="M408" s="1437">
        <f t="shared" si="28"/>
        <v>0</v>
      </c>
      <c r="N408" s="1437">
        <f t="shared" si="29"/>
        <v>0</v>
      </c>
    </row>
    <row r="409" spans="1:14" ht="31" outlineLevel="1">
      <c r="A409" s="1491">
        <f t="shared" si="24"/>
        <v>6</v>
      </c>
      <c r="B409" s="1497" t="str">
        <f t="shared" si="24"/>
        <v>Procurement of Primary Air Fan &amp; Forced Draught Fan Drive Coupling on OEM basis required at BM U-8, NPTPS, Parli-V</v>
      </c>
      <c r="C409" s="1492" t="str">
        <f t="shared" si="24"/>
        <v>Add Cap (As per 296 of 2019)</v>
      </c>
      <c r="D409" s="1334" t="str">
        <f t="shared" si="24"/>
        <v>-</v>
      </c>
      <c r="E409" s="1358">
        <f t="shared" si="24"/>
        <v>0</v>
      </c>
      <c r="F409" s="1437">
        <f t="shared" si="25"/>
        <v>0.19409999999999999</v>
      </c>
      <c r="G409" s="1437">
        <f t="shared" si="26"/>
        <v>0.19409999999999999</v>
      </c>
      <c r="H409" s="1437">
        <f t="shared" si="27"/>
        <v>0</v>
      </c>
      <c r="I409" s="1437">
        <v>0</v>
      </c>
      <c r="J409" s="1437">
        <v>0</v>
      </c>
      <c r="K409" s="1438"/>
      <c r="L409" s="1438"/>
      <c r="M409" s="1437">
        <f t="shared" si="28"/>
        <v>0</v>
      </c>
      <c r="N409" s="1437">
        <f t="shared" si="29"/>
        <v>0</v>
      </c>
    </row>
    <row r="410" spans="1:14" ht="46.5" outlineLevel="1">
      <c r="A410" s="1491">
        <f t="shared" si="24"/>
        <v>7</v>
      </c>
      <c r="B410" s="1497" t="str">
        <f t="shared" si="24"/>
        <v>Procurement of  Primary Air Fan PAF 17/11.8-2 Hydraulic Adjustment Device on OEM basis required at BM U-8 NPTPS Parli-V</v>
      </c>
      <c r="C410" s="1492" t="str">
        <f t="shared" si="24"/>
        <v>Add Cap (As per 296 of 2019)</v>
      </c>
      <c r="D410" s="1334" t="str">
        <f t="shared" si="24"/>
        <v>-</v>
      </c>
      <c r="E410" s="1359">
        <f t="shared" si="24"/>
        <v>0</v>
      </c>
      <c r="F410" s="1437">
        <f t="shared" si="25"/>
        <v>0.53521083000000003</v>
      </c>
      <c r="G410" s="1437">
        <f t="shared" si="26"/>
        <v>0.53521083000000003</v>
      </c>
      <c r="H410" s="1437">
        <f t="shared" si="27"/>
        <v>0</v>
      </c>
      <c r="I410" s="1437">
        <v>0</v>
      </c>
      <c r="J410" s="1437">
        <v>0</v>
      </c>
      <c r="K410" s="1438"/>
      <c r="L410" s="1438"/>
      <c r="M410" s="1437">
        <f t="shared" si="28"/>
        <v>0</v>
      </c>
      <c r="N410" s="1437">
        <f t="shared" si="29"/>
        <v>0</v>
      </c>
    </row>
    <row r="411" spans="1:14" ht="31" outlineLevel="1">
      <c r="A411" s="1491">
        <f t="shared" si="24"/>
        <v>8</v>
      </c>
      <c r="B411" s="1497" t="str">
        <f t="shared" si="24"/>
        <v>Proc of spares for fabric expansion joints required at BM U-8, NPTPS, Parli-V.</v>
      </c>
      <c r="C411" s="1492" t="str">
        <f t="shared" si="24"/>
        <v>Add Cap (As per 296 of 2019)</v>
      </c>
      <c r="D411" s="1334" t="str">
        <f t="shared" si="24"/>
        <v>-</v>
      </c>
      <c r="E411" s="1358">
        <f t="shared" si="24"/>
        <v>0</v>
      </c>
      <c r="F411" s="1437">
        <f t="shared" si="25"/>
        <v>0.56971689999999997</v>
      </c>
      <c r="G411" s="1437">
        <f t="shared" si="26"/>
        <v>0.56971689999999997</v>
      </c>
      <c r="H411" s="1437">
        <f t="shared" si="27"/>
        <v>0</v>
      </c>
      <c r="I411" s="1437">
        <v>0</v>
      </c>
      <c r="J411" s="1437">
        <v>0</v>
      </c>
      <c r="K411" s="1438"/>
      <c r="L411" s="1438"/>
      <c r="M411" s="1437">
        <f t="shared" si="28"/>
        <v>0</v>
      </c>
      <c r="N411" s="1437">
        <f t="shared" si="29"/>
        <v>0</v>
      </c>
    </row>
    <row r="412" spans="1:14" ht="31" outlineLevel="1">
      <c r="A412" s="1491">
        <f t="shared" si="24"/>
        <v>9</v>
      </c>
      <c r="B412" s="1497" t="str">
        <f t="shared" si="24"/>
        <v>Proc of separator body and seperator top spares for coal mill XRP-903 at BM U-8, NPTPS Parli-V.</v>
      </c>
      <c r="C412" s="1492" t="str">
        <f t="shared" si="24"/>
        <v>Add Cap (As per 296 of 2019)</v>
      </c>
      <c r="D412" s="1334" t="str">
        <f t="shared" si="24"/>
        <v>-</v>
      </c>
      <c r="E412" s="1358">
        <f t="shared" si="24"/>
        <v>0</v>
      </c>
      <c r="F412" s="1437">
        <f t="shared" si="25"/>
        <v>0.42568995599999998</v>
      </c>
      <c r="G412" s="1437">
        <f t="shared" si="26"/>
        <v>0.42568995599999998</v>
      </c>
      <c r="H412" s="1437">
        <f t="shared" si="27"/>
        <v>0</v>
      </c>
      <c r="I412" s="1437">
        <v>0</v>
      </c>
      <c r="J412" s="1437">
        <v>0</v>
      </c>
      <c r="K412" s="1438"/>
      <c r="L412" s="1438"/>
      <c r="M412" s="1437">
        <f t="shared" si="28"/>
        <v>0</v>
      </c>
      <c r="N412" s="1437">
        <f t="shared" si="29"/>
        <v>0</v>
      </c>
    </row>
    <row r="413" spans="1:14" ht="31" outlineLevel="1">
      <c r="A413" s="1491">
        <f t="shared" si="24"/>
        <v>10</v>
      </c>
      <c r="B413" s="1497" t="str">
        <f t="shared" si="24"/>
        <v>Proc of scrapper area &amp; reject system spares for coal mill XRP-903 at BM U-8, NPTPS Parli-V.</v>
      </c>
      <c r="C413" s="1492" t="str">
        <f t="shared" si="24"/>
        <v>Add Cap (As per 296 of 2019)</v>
      </c>
      <c r="D413" s="1334" t="str">
        <f t="shared" si="24"/>
        <v>-</v>
      </c>
      <c r="E413" s="1358">
        <f t="shared" si="24"/>
        <v>0</v>
      </c>
      <c r="F413" s="1437">
        <f t="shared" si="25"/>
        <v>0.27832896000000001</v>
      </c>
      <c r="G413" s="1437">
        <f t="shared" si="26"/>
        <v>0.27832896000000001</v>
      </c>
      <c r="H413" s="1437">
        <f t="shared" si="27"/>
        <v>0</v>
      </c>
      <c r="I413" s="1437">
        <v>0</v>
      </c>
      <c r="J413" s="1437">
        <v>0</v>
      </c>
      <c r="K413" s="1438"/>
      <c r="L413" s="1438"/>
      <c r="M413" s="1437">
        <f t="shared" si="28"/>
        <v>0</v>
      </c>
      <c r="N413" s="1437">
        <f t="shared" si="29"/>
        <v>0</v>
      </c>
    </row>
    <row r="414" spans="1:14" ht="15.5" outlineLevel="1">
      <c r="A414" s="1491">
        <f t="shared" si="24"/>
        <v>11</v>
      </c>
      <c r="B414" s="1497" t="str">
        <f t="shared" si="24"/>
        <v>Proc of seal air fan spares at BM-8 NPTPS, Parli-V.</v>
      </c>
      <c r="C414" s="1492" t="str">
        <f t="shared" si="24"/>
        <v>Add Cap (As per 296 of 2019)</v>
      </c>
      <c r="D414" s="1334" t="str">
        <f t="shared" si="24"/>
        <v>-</v>
      </c>
      <c r="E414" s="1359">
        <f t="shared" si="24"/>
        <v>0</v>
      </c>
      <c r="F414" s="1437">
        <f t="shared" si="25"/>
        <v>0.26431690000000002</v>
      </c>
      <c r="G414" s="1437">
        <f t="shared" si="26"/>
        <v>0.26431690000000002</v>
      </c>
      <c r="H414" s="1437">
        <f t="shared" si="27"/>
        <v>0</v>
      </c>
      <c r="I414" s="1437">
        <v>0</v>
      </c>
      <c r="J414" s="1437">
        <v>0</v>
      </c>
      <c r="K414" s="1438"/>
      <c r="L414" s="1438"/>
      <c r="M414" s="1437">
        <f t="shared" si="28"/>
        <v>0</v>
      </c>
      <c r="N414" s="1437">
        <f t="shared" si="29"/>
        <v>0</v>
      </c>
    </row>
    <row r="415" spans="1:14" ht="31" outlineLevel="1">
      <c r="A415" s="1491">
        <f t="shared" si="24"/>
        <v>12</v>
      </c>
      <c r="B415" s="1497" t="str">
        <f t="shared" si="24"/>
        <v>Procurement of  FD Fan Type FAF 17/9.5-1 Drive Coupling required at BM U-8 NPTPS Parli-V</v>
      </c>
      <c r="C415" s="1492" t="str">
        <f t="shared" si="24"/>
        <v>Add Cap (As per 296 of 2019)</v>
      </c>
      <c r="D415" s="1334" t="str">
        <f t="shared" si="24"/>
        <v>-</v>
      </c>
      <c r="E415" s="1358">
        <f t="shared" si="24"/>
        <v>0</v>
      </c>
      <c r="F415" s="1437">
        <f t="shared" si="25"/>
        <v>0</v>
      </c>
      <c r="G415" s="1437">
        <f t="shared" si="26"/>
        <v>0</v>
      </c>
      <c r="H415" s="1437">
        <f t="shared" si="27"/>
        <v>0</v>
      </c>
      <c r="I415" s="1437">
        <v>0</v>
      </c>
      <c r="J415" s="1437">
        <v>0</v>
      </c>
      <c r="K415" s="1438"/>
      <c r="L415" s="1438"/>
      <c r="M415" s="1437">
        <f t="shared" si="28"/>
        <v>0</v>
      </c>
      <c r="N415" s="1437">
        <f t="shared" si="29"/>
        <v>0</v>
      </c>
    </row>
    <row r="416" spans="1:14" ht="31" outlineLevel="1">
      <c r="A416" s="1491">
        <f t="shared" si="24"/>
        <v>13</v>
      </c>
      <c r="B416" s="1497" t="str">
        <f t="shared" si="24"/>
        <v>Procurement of complete planatary gear box-KMP -280/300 for coal mill XRP-903 at BM U-8 NPTPS Parli-V</v>
      </c>
      <c r="C416" s="1492" t="str">
        <f t="shared" si="24"/>
        <v>Add Cap (As per 296 of 2019)</v>
      </c>
      <c r="D416" s="1334" t="str">
        <f t="shared" si="24"/>
        <v>-</v>
      </c>
      <c r="E416" s="1358">
        <f t="shared" si="24"/>
        <v>0</v>
      </c>
      <c r="F416" s="1437">
        <f t="shared" si="25"/>
        <v>0</v>
      </c>
      <c r="G416" s="1437">
        <f t="shared" si="26"/>
        <v>0</v>
      </c>
      <c r="H416" s="1437">
        <f t="shared" si="27"/>
        <v>0</v>
      </c>
      <c r="I416" s="1437">
        <v>0</v>
      </c>
      <c r="J416" s="1437">
        <v>0</v>
      </c>
      <c r="K416" s="1438"/>
      <c r="L416" s="1438"/>
      <c r="M416" s="1437">
        <f t="shared" si="28"/>
        <v>0</v>
      </c>
      <c r="N416" s="1437">
        <f t="shared" si="29"/>
        <v>0</v>
      </c>
    </row>
    <row r="417" spans="1:14" ht="15.5" outlineLevel="1">
      <c r="A417" s="1493">
        <f t="shared" ref="A417:E432" si="30">A24</f>
        <v>2</v>
      </c>
      <c r="B417" s="1494" t="str">
        <f t="shared" si="30"/>
        <v>Turbine and Auxiliaries</v>
      </c>
      <c r="C417" s="1495" t="str">
        <f t="shared" si="30"/>
        <v>Add Cap (As per 296 of 2019)</v>
      </c>
      <c r="D417" s="1341" t="str">
        <f t="shared" si="30"/>
        <v>-</v>
      </c>
      <c r="E417" s="1496">
        <f t="shared" si="30"/>
        <v>4.3</v>
      </c>
      <c r="F417" s="1437">
        <f t="shared" si="25"/>
        <v>0</v>
      </c>
      <c r="G417" s="1437">
        <f t="shared" si="26"/>
        <v>0</v>
      </c>
      <c r="H417" s="1437">
        <f t="shared" si="27"/>
        <v>0</v>
      </c>
      <c r="I417" s="1437">
        <v>0</v>
      </c>
      <c r="J417" s="1437">
        <v>0</v>
      </c>
      <c r="K417" s="1438"/>
      <c r="L417" s="1438"/>
      <c r="M417" s="1437">
        <f t="shared" si="28"/>
        <v>0</v>
      </c>
      <c r="N417" s="1437">
        <f t="shared" si="29"/>
        <v>0</v>
      </c>
    </row>
    <row r="418" spans="1:14" ht="46.5" outlineLevel="1">
      <c r="A418" s="1499">
        <f t="shared" si="30"/>
        <v>1</v>
      </c>
      <c r="B418" s="1497" t="str">
        <f t="shared" si="30"/>
        <v>Procurement of spares for Equipment Cooling Water Pumps (Make-FLOWMORE) of model FIG-5824 (SG Side) and FIG-5822 (TG side) at Unit-8 NPTPS Parli-V</v>
      </c>
      <c r="C418" s="1492" t="str">
        <f t="shared" si="30"/>
        <v>Add Cap (As per 296 of 2019)</v>
      </c>
      <c r="D418" s="1334" t="str">
        <f t="shared" si="30"/>
        <v>-</v>
      </c>
      <c r="E418" s="1358">
        <f t="shared" si="30"/>
        <v>0</v>
      </c>
      <c r="F418" s="1437">
        <f t="shared" si="25"/>
        <v>0.51811829399999998</v>
      </c>
      <c r="G418" s="1437">
        <f t="shared" si="26"/>
        <v>0.51811829399999998</v>
      </c>
      <c r="H418" s="1437">
        <f t="shared" si="27"/>
        <v>0</v>
      </c>
      <c r="I418" s="1437">
        <v>0</v>
      </c>
      <c r="J418" s="1437">
        <v>0</v>
      </c>
      <c r="K418" s="1438"/>
      <c r="L418" s="1438"/>
      <c r="M418" s="1437">
        <f t="shared" si="28"/>
        <v>0</v>
      </c>
      <c r="N418" s="1437">
        <f t="shared" si="29"/>
        <v>0</v>
      </c>
    </row>
    <row r="419" spans="1:14" ht="15.5" outlineLevel="1">
      <c r="A419" s="1499">
        <f t="shared" si="30"/>
        <v>2</v>
      </c>
      <c r="B419" s="1497" t="str">
        <f t="shared" si="30"/>
        <v>Supply of spars for recovery &amp; FF Pumps along with work  at U#8</v>
      </c>
      <c r="C419" s="1492" t="str">
        <f t="shared" si="30"/>
        <v>Add Cap (As per 296 of 2019)</v>
      </c>
      <c r="D419" s="1334" t="str">
        <f t="shared" si="30"/>
        <v>-</v>
      </c>
      <c r="E419" s="1359">
        <f t="shared" si="30"/>
        <v>0</v>
      </c>
      <c r="F419" s="1437">
        <f t="shared" si="25"/>
        <v>0.37712800000000002</v>
      </c>
      <c r="G419" s="1437">
        <f t="shared" si="26"/>
        <v>0.37712800000000002</v>
      </c>
      <c r="H419" s="1437">
        <f t="shared" si="27"/>
        <v>0</v>
      </c>
      <c r="I419" s="1437">
        <v>0</v>
      </c>
      <c r="J419" s="1437">
        <v>0</v>
      </c>
      <c r="K419" s="1438"/>
      <c r="L419" s="1438"/>
      <c r="M419" s="1437">
        <f t="shared" si="28"/>
        <v>0</v>
      </c>
      <c r="N419" s="1437">
        <f t="shared" si="29"/>
        <v>0</v>
      </c>
    </row>
    <row r="420" spans="1:14" ht="15.5" outlineLevel="1">
      <c r="A420" s="1499">
        <f t="shared" si="30"/>
        <v>3</v>
      </c>
      <c r="B420" s="1497" t="str">
        <f t="shared" si="30"/>
        <v>Supply of seal oil vacuum pump  in unit 08</v>
      </c>
      <c r="C420" s="1492" t="str">
        <f t="shared" si="30"/>
        <v>Add Cap (As per 296 of 2019)</v>
      </c>
      <c r="D420" s="1334" t="str">
        <f t="shared" si="30"/>
        <v>-</v>
      </c>
      <c r="E420" s="1358">
        <f t="shared" si="30"/>
        <v>0</v>
      </c>
      <c r="F420" s="1437">
        <f t="shared" si="25"/>
        <v>0.27501740000000002</v>
      </c>
      <c r="G420" s="1437">
        <f t="shared" si="26"/>
        <v>0.27501740000000002</v>
      </c>
      <c r="H420" s="1437">
        <f t="shared" si="27"/>
        <v>0</v>
      </c>
      <c r="I420" s="1437">
        <v>0</v>
      </c>
      <c r="J420" s="1437">
        <v>0</v>
      </c>
      <c r="K420" s="1438"/>
      <c r="L420" s="1438"/>
      <c r="M420" s="1437">
        <f t="shared" si="28"/>
        <v>0</v>
      </c>
      <c r="N420" s="1437">
        <f t="shared" si="29"/>
        <v>0</v>
      </c>
    </row>
    <row r="421" spans="1:14" ht="46.5" outlineLevel="1">
      <c r="A421" s="1499">
        <f t="shared" si="30"/>
        <v>4</v>
      </c>
      <c r="B421" s="1497" t="str">
        <f t="shared" si="30"/>
        <v>Procurement of AC pressure pipes (235MM OD, 200MM ID, 4.5M Length) for NDCT hot spray water distribution system in Unit-8 NPTPS Parli-Vaijnath</v>
      </c>
      <c r="C421" s="1492" t="str">
        <f t="shared" si="30"/>
        <v>Add Cap (As per 296 of 2019)</v>
      </c>
      <c r="D421" s="1334" t="str">
        <f t="shared" si="30"/>
        <v>-</v>
      </c>
      <c r="E421" s="1358">
        <f t="shared" si="30"/>
        <v>0</v>
      </c>
      <c r="F421" s="1437">
        <f t="shared" si="25"/>
        <v>0.42522480000000001</v>
      </c>
      <c r="G421" s="1437">
        <f t="shared" si="26"/>
        <v>0.42522480000000001</v>
      </c>
      <c r="H421" s="1437">
        <f t="shared" si="27"/>
        <v>0</v>
      </c>
      <c r="I421" s="1437">
        <v>0</v>
      </c>
      <c r="J421" s="1437">
        <v>0</v>
      </c>
      <c r="K421" s="1438"/>
      <c r="L421" s="1438"/>
      <c r="M421" s="1437">
        <f t="shared" si="28"/>
        <v>0</v>
      </c>
      <c r="N421" s="1437">
        <f t="shared" si="29"/>
        <v>0</v>
      </c>
    </row>
    <row r="422" spans="1:14" ht="31" outlineLevel="1">
      <c r="A422" s="1499">
        <f t="shared" si="30"/>
        <v>5</v>
      </c>
      <c r="B422" s="1497" t="str">
        <f t="shared" si="30"/>
        <v>Supply of M/s Summits make Instrument Air Dryer &amp; spares at U # 8 TM, Parli-V</v>
      </c>
      <c r="C422" s="1492" t="str">
        <f t="shared" si="30"/>
        <v>Add Cap (As per 296 of 2019)</v>
      </c>
      <c r="D422" s="1334" t="str">
        <f t="shared" si="30"/>
        <v>-</v>
      </c>
      <c r="E422" s="1358">
        <f t="shared" si="30"/>
        <v>0</v>
      </c>
      <c r="F422" s="1437">
        <f t="shared" si="25"/>
        <v>0.54787163999999999</v>
      </c>
      <c r="G422" s="1437">
        <f t="shared" si="26"/>
        <v>0.54787163999999999</v>
      </c>
      <c r="H422" s="1437">
        <f t="shared" si="27"/>
        <v>0</v>
      </c>
      <c r="I422" s="1437">
        <v>0</v>
      </c>
      <c r="J422" s="1437">
        <v>0</v>
      </c>
      <c r="K422" s="1438"/>
      <c r="L422" s="1438"/>
      <c r="M422" s="1437">
        <f t="shared" si="28"/>
        <v>0</v>
      </c>
      <c r="N422" s="1437">
        <f t="shared" si="29"/>
        <v>0</v>
      </c>
    </row>
    <row r="423" spans="1:14" ht="15.5" outlineLevel="1">
      <c r="A423" s="1499">
        <f t="shared" si="30"/>
        <v>6</v>
      </c>
      <c r="B423" s="1497" t="str">
        <f t="shared" si="30"/>
        <v>Supply of PVC fills for NDCTs at U # 8 TM, Parli-V</v>
      </c>
      <c r="C423" s="1492" t="str">
        <f t="shared" si="30"/>
        <v>Add Cap (As per 296 of 2019)</v>
      </c>
      <c r="D423" s="1334" t="str">
        <f t="shared" si="30"/>
        <v>-</v>
      </c>
      <c r="E423" s="1358">
        <f t="shared" si="30"/>
        <v>0</v>
      </c>
      <c r="F423" s="1437">
        <f t="shared" si="25"/>
        <v>0.58244799999999997</v>
      </c>
      <c r="G423" s="1437">
        <f t="shared" si="26"/>
        <v>0.58244799999999997</v>
      </c>
      <c r="H423" s="1437">
        <f t="shared" si="27"/>
        <v>0</v>
      </c>
      <c r="I423" s="1437">
        <v>0</v>
      </c>
      <c r="J423" s="1437">
        <v>0</v>
      </c>
      <c r="K423" s="1438"/>
      <c r="L423" s="1438"/>
      <c r="M423" s="1437">
        <f t="shared" si="28"/>
        <v>0</v>
      </c>
      <c r="N423" s="1437">
        <f t="shared" si="29"/>
        <v>0</v>
      </c>
    </row>
    <row r="424" spans="1:14" ht="31" outlineLevel="1">
      <c r="A424" s="1499">
        <f t="shared" si="30"/>
        <v>7</v>
      </c>
      <c r="B424" s="1497" t="str">
        <f t="shared" si="30"/>
        <v>Procurement of NB 600MM Gate valves for ACW self cleaning strainers in U#8 TM NPTPS Parli-V</v>
      </c>
      <c r="C424" s="1492" t="str">
        <f t="shared" si="30"/>
        <v>Add Cap (As per 296 of 2019)</v>
      </c>
      <c r="D424" s="1334" t="str">
        <f t="shared" si="30"/>
        <v>-</v>
      </c>
      <c r="E424" s="1358">
        <f t="shared" si="30"/>
        <v>0</v>
      </c>
      <c r="F424" s="1437">
        <f t="shared" si="25"/>
        <v>0.42338399999999998</v>
      </c>
      <c r="G424" s="1437">
        <f t="shared" si="26"/>
        <v>0.42338399999999998</v>
      </c>
      <c r="H424" s="1437">
        <f t="shared" si="27"/>
        <v>0</v>
      </c>
      <c r="I424" s="1437">
        <v>0</v>
      </c>
      <c r="J424" s="1437">
        <v>0</v>
      </c>
      <c r="K424" s="1438"/>
      <c r="L424" s="1438"/>
      <c r="M424" s="1437">
        <f t="shared" si="28"/>
        <v>0</v>
      </c>
      <c r="N424" s="1437">
        <f t="shared" si="29"/>
        <v>0</v>
      </c>
    </row>
    <row r="425" spans="1:14" ht="31" outlineLevel="1">
      <c r="A425" s="1499">
        <f t="shared" si="30"/>
        <v>8</v>
      </c>
      <c r="B425" s="1497" t="str">
        <f t="shared" si="30"/>
        <v>Procurement of Mechanical seals ( Make Leak-Proof) for various pumps in TM Unit-8 NPTPS Parli.</v>
      </c>
      <c r="C425" s="1492" t="str">
        <f t="shared" si="30"/>
        <v>Add Cap (As per 296 of 2019)</v>
      </c>
      <c r="D425" s="1334" t="str">
        <f t="shared" si="30"/>
        <v>-</v>
      </c>
      <c r="E425" s="1359">
        <f t="shared" si="30"/>
        <v>0</v>
      </c>
      <c r="F425" s="1437">
        <f t="shared" si="25"/>
        <v>0.49233139999999997</v>
      </c>
      <c r="G425" s="1437">
        <f t="shared" si="26"/>
        <v>0.49233139999999997</v>
      </c>
      <c r="H425" s="1437">
        <f t="shared" si="27"/>
        <v>0</v>
      </c>
      <c r="I425" s="1437">
        <v>0</v>
      </c>
      <c r="J425" s="1437">
        <v>0</v>
      </c>
      <c r="K425" s="1438"/>
      <c r="L425" s="1438"/>
      <c r="M425" s="1437">
        <f t="shared" si="28"/>
        <v>0</v>
      </c>
      <c r="N425" s="1437">
        <f t="shared" si="29"/>
        <v>0</v>
      </c>
    </row>
    <row r="426" spans="1:14" ht="15.5" outlineLevel="1">
      <c r="A426" s="1499">
        <f t="shared" si="30"/>
        <v>9</v>
      </c>
      <c r="B426" s="1497" t="str">
        <f t="shared" si="30"/>
        <v>Supply of SS 304 pipes &amp; others at U # 8 TM, Parli-V.</v>
      </c>
      <c r="C426" s="1492" t="str">
        <f t="shared" si="30"/>
        <v>Add Cap (As per 296 of 2019)</v>
      </c>
      <c r="D426" s="1334" t="str">
        <f t="shared" si="30"/>
        <v>-</v>
      </c>
      <c r="E426" s="1366">
        <f t="shared" si="30"/>
        <v>0</v>
      </c>
      <c r="F426" s="1437">
        <f t="shared" si="25"/>
        <v>0.52905441600000003</v>
      </c>
      <c r="G426" s="1437">
        <f t="shared" si="26"/>
        <v>0.52905441600000003</v>
      </c>
      <c r="H426" s="1437">
        <f t="shared" si="27"/>
        <v>0</v>
      </c>
      <c r="I426" s="1437">
        <v>0</v>
      </c>
      <c r="J426" s="1437">
        <v>0</v>
      </c>
      <c r="K426" s="1438"/>
      <c r="L426" s="1438"/>
      <c r="M426" s="1437">
        <f t="shared" si="28"/>
        <v>0</v>
      </c>
      <c r="N426" s="1437">
        <f t="shared" si="29"/>
        <v>0</v>
      </c>
    </row>
    <row r="427" spans="1:14" ht="15.5" outlineLevel="1">
      <c r="A427" s="1493">
        <f t="shared" si="30"/>
        <v>3</v>
      </c>
      <c r="B427" s="1494" t="str">
        <f t="shared" si="30"/>
        <v xml:space="preserve">Electrical and Instrumentation </v>
      </c>
      <c r="C427" s="1495" t="str">
        <f t="shared" si="30"/>
        <v>Add Cap (As per 296 of 2019)</v>
      </c>
      <c r="D427" s="1341" t="str">
        <f t="shared" si="30"/>
        <v>-</v>
      </c>
      <c r="E427" s="1496">
        <f t="shared" si="30"/>
        <v>6.1</v>
      </c>
      <c r="F427" s="1437">
        <f t="shared" si="25"/>
        <v>0</v>
      </c>
      <c r="G427" s="1437">
        <f t="shared" si="26"/>
        <v>0</v>
      </c>
      <c r="H427" s="1437">
        <f t="shared" si="27"/>
        <v>0</v>
      </c>
      <c r="I427" s="1437">
        <v>0</v>
      </c>
      <c r="J427" s="1437">
        <v>0</v>
      </c>
      <c r="K427" s="1438"/>
      <c r="L427" s="1438"/>
      <c r="M427" s="1437">
        <f t="shared" si="28"/>
        <v>0</v>
      </c>
      <c r="N427" s="1437">
        <f t="shared" si="29"/>
        <v>0</v>
      </c>
    </row>
    <row r="428" spans="1:14" ht="31" outlineLevel="1">
      <c r="A428" s="1499">
        <f t="shared" si="30"/>
        <v>1</v>
      </c>
      <c r="B428" s="1500" t="str">
        <f t="shared" si="30"/>
        <v>Supply of Instrumentation Spares of LP Bypass System at Unit-8.</v>
      </c>
      <c r="C428" s="1492" t="str">
        <f t="shared" si="30"/>
        <v>Add Cap (As per 296 of 2019)</v>
      </c>
      <c r="D428" s="1334" t="str">
        <f t="shared" si="30"/>
        <v>-</v>
      </c>
      <c r="E428" s="1366">
        <f t="shared" si="30"/>
        <v>0</v>
      </c>
      <c r="F428" s="1437">
        <f t="shared" si="25"/>
        <v>1.9614571240000001</v>
      </c>
      <c r="G428" s="1437">
        <f t="shared" si="26"/>
        <v>1.9614571240000001</v>
      </c>
      <c r="H428" s="1437">
        <f t="shared" si="27"/>
        <v>0</v>
      </c>
      <c r="I428" s="1437">
        <v>0</v>
      </c>
      <c r="J428" s="1437">
        <v>0</v>
      </c>
      <c r="K428" s="1438"/>
      <c r="L428" s="1438"/>
      <c r="M428" s="1437">
        <f t="shared" si="28"/>
        <v>0</v>
      </c>
      <c r="N428" s="1437">
        <f t="shared" si="29"/>
        <v>0</v>
      </c>
    </row>
    <row r="429" spans="1:14" ht="31" outlineLevel="1">
      <c r="A429" s="1499">
        <f t="shared" si="30"/>
        <v>2</v>
      </c>
      <c r="B429" s="1501" t="str">
        <f t="shared" si="30"/>
        <v>Procurement of Schneider MICOM Numerical Relays for GRP and STPR swithcgear at NPTPS Unit-8 Testing</v>
      </c>
      <c r="C429" s="1492" t="str">
        <f t="shared" si="30"/>
        <v>Add Cap (As per 296 of 2019)</v>
      </c>
      <c r="D429" s="1334" t="str">
        <f t="shared" si="30"/>
        <v>-</v>
      </c>
      <c r="E429" s="1366">
        <f t="shared" si="30"/>
        <v>0</v>
      </c>
      <c r="F429" s="1437">
        <f t="shared" si="25"/>
        <v>0.47613</v>
      </c>
      <c r="G429" s="1437">
        <f t="shared" si="26"/>
        <v>0.47613</v>
      </c>
      <c r="H429" s="1437">
        <f t="shared" si="27"/>
        <v>0</v>
      </c>
      <c r="I429" s="1437">
        <v>0</v>
      </c>
      <c r="J429" s="1437">
        <v>0</v>
      </c>
      <c r="K429" s="1438"/>
      <c r="L429" s="1438"/>
      <c r="M429" s="1437">
        <f t="shared" si="28"/>
        <v>0</v>
      </c>
      <c r="N429" s="1437">
        <f t="shared" si="29"/>
        <v>0</v>
      </c>
    </row>
    <row r="430" spans="1:14" ht="31" outlineLevel="1">
      <c r="A430" s="1502">
        <f t="shared" si="30"/>
        <v>3</v>
      </c>
      <c r="B430" s="1501" t="str">
        <f t="shared" si="30"/>
        <v xml:space="preserve">Procurement of 220V DC Chloride make (formally caldyne) make battery chargers Spre of Unit 8 NPTPS Parli-V                           </v>
      </c>
      <c r="C430" s="1492" t="str">
        <f t="shared" si="30"/>
        <v>Add Cap (As per 296 of 2019)</v>
      </c>
      <c r="D430" s="1334" t="str">
        <f t="shared" si="30"/>
        <v>-</v>
      </c>
      <c r="E430" s="1359">
        <f t="shared" si="30"/>
        <v>0</v>
      </c>
      <c r="F430" s="1437">
        <f t="shared" si="25"/>
        <v>0.23365298000000001</v>
      </c>
      <c r="G430" s="1437">
        <f t="shared" si="26"/>
        <v>0.23365298000000001</v>
      </c>
      <c r="H430" s="1437">
        <f t="shared" si="27"/>
        <v>0</v>
      </c>
      <c r="I430" s="1437">
        <v>0</v>
      </c>
      <c r="J430" s="1437">
        <v>0</v>
      </c>
      <c r="K430" s="1438"/>
      <c r="L430" s="1438"/>
      <c r="M430" s="1437">
        <f t="shared" si="28"/>
        <v>0</v>
      </c>
      <c r="N430" s="1437">
        <f t="shared" si="29"/>
        <v>0</v>
      </c>
    </row>
    <row r="431" spans="1:14" ht="31" outlineLevel="1">
      <c r="A431" s="1502">
        <f t="shared" si="30"/>
        <v>4</v>
      </c>
      <c r="B431" s="1501" t="str">
        <f t="shared" si="30"/>
        <v>Procurement of 24V DC Chhabi make make battery chargers Spare of Unit 8 NPTPS Parli-V</v>
      </c>
      <c r="C431" s="1492" t="str">
        <f t="shared" si="30"/>
        <v>Add Cap (As per 296 of 2019)</v>
      </c>
      <c r="D431" s="1334" t="str">
        <f t="shared" si="30"/>
        <v>-</v>
      </c>
      <c r="E431" s="1358">
        <f t="shared" si="30"/>
        <v>0</v>
      </c>
      <c r="F431" s="1437">
        <f t="shared" si="25"/>
        <v>0.22464893999999999</v>
      </c>
      <c r="G431" s="1437">
        <f t="shared" si="26"/>
        <v>0.22464893999999999</v>
      </c>
      <c r="H431" s="1437">
        <f t="shared" si="27"/>
        <v>0</v>
      </c>
      <c r="I431" s="1437">
        <v>0</v>
      </c>
      <c r="J431" s="1437">
        <v>0</v>
      </c>
      <c r="K431" s="1438"/>
      <c r="L431" s="1438"/>
      <c r="M431" s="1437">
        <f t="shared" si="28"/>
        <v>0</v>
      </c>
      <c r="N431" s="1437">
        <f t="shared" si="29"/>
        <v>0</v>
      </c>
    </row>
    <row r="432" spans="1:14" ht="31" outlineLevel="1">
      <c r="A432" s="1499">
        <f t="shared" si="30"/>
        <v>5</v>
      </c>
      <c r="B432" s="1501" t="str">
        <f t="shared" si="30"/>
        <v xml:space="preserve"> Procurement of Spare for Hitachi Hi-Rel make UPS systems installed at Unit-8 NPTPS Parli Vaijnath.</v>
      </c>
      <c r="C432" s="1492" t="str">
        <f t="shared" si="30"/>
        <v>Add Cap (As per 296 of 2019)</v>
      </c>
      <c r="D432" s="1334" t="str">
        <f t="shared" si="30"/>
        <v>-</v>
      </c>
      <c r="E432" s="1358">
        <f t="shared" si="30"/>
        <v>0</v>
      </c>
      <c r="F432" s="1437">
        <f t="shared" si="25"/>
        <v>0.19186271399999999</v>
      </c>
      <c r="G432" s="1437">
        <f t="shared" si="26"/>
        <v>0.19186271399999999</v>
      </c>
      <c r="H432" s="1437">
        <f t="shared" si="27"/>
        <v>0</v>
      </c>
      <c r="I432" s="1437">
        <v>0</v>
      </c>
      <c r="J432" s="1437">
        <v>0</v>
      </c>
      <c r="K432" s="1438"/>
      <c r="L432" s="1438"/>
      <c r="M432" s="1437">
        <f t="shared" si="28"/>
        <v>0</v>
      </c>
      <c r="N432" s="1437">
        <f t="shared" si="29"/>
        <v>0</v>
      </c>
    </row>
    <row r="433" spans="1:14" ht="62" outlineLevel="1">
      <c r="A433" s="1502">
        <f t="shared" ref="A433:E448" si="31">A40</f>
        <v>6</v>
      </c>
      <c r="B433" s="1501" t="str">
        <f t="shared" si="31"/>
        <v>Procurement of various test kit for testing U#8 such as energy meter calibration kit, DC earth faulth locator kit, promary current injection kit, breaker time measurement kit, numeric relay test kit and other testing instruments.</v>
      </c>
      <c r="C433" s="1492" t="str">
        <f t="shared" si="31"/>
        <v>Add Cap (As per 296 of 2019)</v>
      </c>
      <c r="D433" s="1334" t="str">
        <f t="shared" si="31"/>
        <v>-</v>
      </c>
      <c r="E433" s="1359">
        <f t="shared" si="31"/>
        <v>0</v>
      </c>
      <c r="F433" s="1437">
        <f t="shared" si="25"/>
        <v>0.6734502</v>
      </c>
      <c r="G433" s="1437">
        <f t="shared" si="26"/>
        <v>0.6734502</v>
      </c>
      <c r="H433" s="1437">
        <f t="shared" si="27"/>
        <v>0</v>
      </c>
      <c r="I433" s="1437">
        <v>0</v>
      </c>
      <c r="J433" s="1437">
        <v>0</v>
      </c>
      <c r="K433" s="1438"/>
      <c r="L433" s="1438"/>
      <c r="M433" s="1437">
        <f t="shared" si="28"/>
        <v>0</v>
      </c>
      <c r="N433" s="1437">
        <f t="shared" si="29"/>
        <v>0</v>
      </c>
    </row>
    <row r="434" spans="1:14" ht="46.5" outlineLevel="1">
      <c r="A434" s="1499">
        <f t="shared" si="31"/>
        <v>7</v>
      </c>
      <c r="B434" s="1501" t="str">
        <f t="shared" si="31"/>
        <v>Procurement of   Energymeter Caliberation Software Module and hardware for upgrading Numeric Relay Test kit at Unit -8 Testing.</v>
      </c>
      <c r="C434" s="1492" t="str">
        <f t="shared" si="31"/>
        <v>Add Cap (As per 296 of 2019)</v>
      </c>
      <c r="D434" s="1334" t="str">
        <f t="shared" si="31"/>
        <v>-</v>
      </c>
      <c r="E434" s="1367">
        <f t="shared" si="31"/>
        <v>0</v>
      </c>
      <c r="F434" s="1437">
        <f t="shared" si="25"/>
        <v>0.118629766</v>
      </c>
      <c r="G434" s="1437">
        <f t="shared" si="26"/>
        <v>0.118629766</v>
      </c>
      <c r="H434" s="1437">
        <f t="shared" si="27"/>
        <v>0</v>
      </c>
      <c r="I434" s="1437">
        <v>0</v>
      </c>
      <c r="J434" s="1437">
        <v>0</v>
      </c>
      <c r="K434" s="1438"/>
      <c r="L434" s="1438"/>
      <c r="M434" s="1437">
        <f t="shared" si="28"/>
        <v>0</v>
      </c>
      <c r="N434" s="1437">
        <f t="shared" si="29"/>
        <v>0</v>
      </c>
    </row>
    <row r="435" spans="1:14" ht="15.5" outlineLevel="1">
      <c r="A435" s="1502">
        <f t="shared" si="31"/>
        <v>8</v>
      </c>
      <c r="B435" s="1503" t="str">
        <f t="shared" si="31"/>
        <v>Procurement of H T Motors.</v>
      </c>
      <c r="C435" s="1492" t="str">
        <f t="shared" si="31"/>
        <v>Add Cap (As per 296 of 2019)</v>
      </c>
      <c r="D435" s="1334" t="str">
        <f t="shared" si="31"/>
        <v>-</v>
      </c>
      <c r="E435" s="1359">
        <f t="shared" si="31"/>
        <v>0</v>
      </c>
      <c r="F435" s="1437">
        <f t="shared" si="25"/>
        <v>0</v>
      </c>
      <c r="G435" s="1437">
        <f t="shared" si="26"/>
        <v>0</v>
      </c>
      <c r="H435" s="1437">
        <f t="shared" si="27"/>
        <v>0</v>
      </c>
      <c r="I435" s="1437">
        <v>0</v>
      </c>
      <c r="J435" s="1437">
        <v>0</v>
      </c>
      <c r="K435" s="1438"/>
      <c r="L435" s="1438"/>
      <c r="M435" s="1437">
        <f t="shared" si="28"/>
        <v>0</v>
      </c>
      <c r="N435" s="1437">
        <f t="shared" si="29"/>
        <v>0</v>
      </c>
    </row>
    <row r="436" spans="1:14" ht="15.5" outlineLevel="1">
      <c r="A436" s="1499">
        <f t="shared" si="31"/>
        <v>9</v>
      </c>
      <c r="B436" s="1503" t="str">
        <f t="shared" si="31"/>
        <v>Procurement of critical L T Motors</v>
      </c>
      <c r="C436" s="1492" t="str">
        <f t="shared" si="31"/>
        <v>Add Cap (As per 296 of 2019)</v>
      </c>
      <c r="D436" s="1334" t="str">
        <f t="shared" si="31"/>
        <v>-</v>
      </c>
      <c r="E436" s="1368">
        <f t="shared" si="31"/>
        <v>0</v>
      </c>
      <c r="F436" s="1437">
        <f t="shared" si="25"/>
        <v>0</v>
      </c>
      <c r="G436" s="1437">
        <f t="shared" si="26"/>
        <v>0</v>
      </c>
      <c r="H436" s="1437">
        <f t="shared" si="27"/>
        <v>0</v>
      </c>
      <c r="I436" s="1437">
        <v>0</v>
      </c>
      <c r="J436" s="1437">
        <v>0</v>
      </c>
      <c r="K436" s="1438"/>
      <c r="L436" s="1438"/>
      <c r="M436" s="1437">
        <f t="shared" si="28"/>
        <v>0</v>
      </c>
      <c r="N436" s="1437">
        <f t="shared" si="29"/>
        <v>0</v>
      </c>
    </row>
    <row r="437" spans="1:14" ht="62" outlineLevel="1">
      <c r="A437" s="1502">
        <f t="shared" si="31"/>
        <v>10</v>
      </c>
      <c r="B437" s="1501" t="str">
        <f t="shared" si="31"/>
        <v xml:space="preserve">Procurement  of ESP Hopper heaters (As a initial spares) Installed at EM U-8, NPTPS, Parli-Vaijnath under add cap scheme.
</v>
      </c>
      <c r="C437" s="1492" t="str">
        <f t="shared" si="31"/>
        <v>Add Cap (As per 296 of 2019)</v>
      </c>
      <c r="D437" s="1334" t="str">
        <f t="shared" si="31"/>
        <v>-</v>
      </c>
      <c r="E437" s="1359">
        <f t="shared" si="31"/>
        <v>0</v>
      </c>
      <c r="F437" s="1437">
        <f t="shared" si="25"/>
        <v>0.38585999999999998</v>
      </c>
      <c r="G437" s="1437">
        <f t="shared" si="26"/>
        <v>0.38585999999999998</v>
      </c>
      <c r="H437" s="1437">
        <f t="shared" si="27"/>
        <v>0</v>
      </c>
      <c r="I437" s="1437">
        <v>0</v>
      </c>
      <c r="J437" s="1437">
        <v>0</v>
      </c>
      <c r="K437" s="1438"/>
      <c r="L437" s="1438"/>
      <c r="M437" s="1437">
        <f t="shared" si="28"/>
        <v>0</v>
      </c>
      <c r="N437" s="1437">
        <f t="shared" si="29"/>
        <v>0</v>
      </c>
    </row>
    <row r="438" spans="1:14" ht="15.5" outlineLevel="1">
      <c r="A438" s="1493">
        <f t="shared" si="31"/>
        <v>4</v>
      </c>
      <c r="B438" s="1494" t="str">
        <f t="shared" si="31"/>
        <v>Outdoor Plant(CHP/AHP/WTP)</v>
      </c>
      <c r="C438" s="1495" t="str">
        <f t="shared" si="31"/>
        <v>Add Cap (As per 296 of 2019)</v>
      </c>
      <c r="D438" s="1341" t="str">
        <f t="shared" si="31"/>
        <v>-</v>
      </c>
      <c r="E438" s="1496">
        <f t="shared" si="31"/>
        <v>6.64</v>
      </c>
      <c r="F438" s="1437">
        <f t="shared" si="25"/>
        <v>0</v>
      </c>
      <c r="G438" s="1437">
        <f t="shared" si="26"/>
        <v>0</v>
      </c>
      <c r="H438" s="1437">
        <f t="shared" si="27"/>
        <v>0</v>
      </c>
      <c r="I438" s="1437">
        <v>0</v>
      </c>
      <c r="J438" s="1437">
        <v>0</v>
      </c>
      <c r="K438" s="1438"/>
      <c r="L438" s="1438"/>
      <c r="M438" s="1437">
        <f t="shared" si="28"/>
        <v>0</v>
      </c>
      <c r="N438" s="1437">
        <f t="shared" si="29"/>
        <v>0</v>
      </c>
    </row>
    <row r="439" spans="1:14" ht="15.5" outlineLevel="1">
      <c r="A439" s="1504">
        <f t="shared" si="31"/>
        <v>1</v>
      </c>
      <c r="B439" s="1497" t="str">
        <f t="shared" si="31"/>
        <v>Supply of Apron Feeder spares installed at CHP NPTPS Parli-V</v>
      </c>
      <c r="C439" s="1492" t="str">
        <f t="shared" si="31"/>
        <v>Add Cap (As per 296 of 2019)</v>
      </c>
      <c r="D439" s="1334" t="str">
        <f t="shared" si="31"/>
        <v>-</v>
      </c>
      <c r="E439" s="1359">
        <f t="shared" si="31"/>
        <v>0</v>
      </c>
      <c r="F439" s="1437">
        <f t="shared" si="25"/>
        <v>1.6232788</v>
      </c>
      <c r="G439" s="1437">
        <f t="shared" si="26"/>
        <v>1.6232788</v>
      </c>
      <c r="H439" s="1437">
        <f t="shared" si="27"/>
        <v>0</v>
      </c>
      <c r="I439" s="1437">
        <v>0</v>
      </c>
      <c r="J439" s="1437">
        <v>0</v>
      </c>
      <c r="K439" s="1438"/>
      <c r="L439" s="1438"/>
      <c r="M439" s="1437">
        <f t="shared" si="28"/>
        <v>0</v>
      </c>
      <c r="N439" s="1437">
        <f t="shared" si="29"/>
        <v>0</v>
      </c>
    </row>
    <row r="440" spans="1:14" ht="15.5" outlineLevel="1">
      <c r="A440" s="1504">
        <f t="shared" si="31"/>
        <v>2</v>
      </c>
      <c r="B440" s="1497" t="str">
        <f t="shared" si="31"/>
        <v>Supply of various drive and non drive pulleys for CHP U-8.</v>
      </c>
      <c r="C440" s="1492" t="str">
        <f t="shared" si="31"/>
        <v>Add Cap (As per 296 of 2019)</v>
      </c>
      <c r="D440" s="1334" t="str">
        <f t="shared" si="31"/>
        <v>-</v>
      </c>
      <c r="E440" s="1368">
        <f t="shared" si="31"/>
        <v>0</v>
      </c>
      <c r="F440" s="1437">
        <f t="shared" si="25"/>
        <v>0.54529209999999995</v>
      </c>
      <c r="G440" s="1437">
        <f t="shared" si="26"/>
        <v>0.54529209999999995</v>
      </c>
      <c r="H440" s="1437">
        <f t="shared" si="27"/>
        <v>0</v>
      </c>
      <c r="I440" s="1437">
        <v>0</v>
      </c>
      <c r="J440" s="1437">
        <v>0</v>
      </c>
      <c r="K440" s="1438"/>
      <c r="L440" s="1438"/>
      <c r="M440" s="1437">
        <f t="shared" si="28"/>
        <v>0</v>
      </c>
      <c r="N440" s="1437">
        <f t="shared" si="29"/>
        <v>0</v>
      </c>
    </row>
    <row r="441" spans="1:14" ht="31" outlineLevel="1">
      <c r="A441" s="1504">
        <f t="shared" si="31"/>
        <v>3</v>
      </c>
      <c r="B441" s="1497" t="str">
        <f t="shared" si="31"/>
        <v>Supply and installation of clamp pads &amp; resting pads for Side Beam of Wagon Tippler for CHP U-8</v>
      </c>
      <c r="C441" s="1492" t="str">
        <f t="shared" si="31"/>
        <v>Add Cap (As per 296 of 2019)</v>
      </c>
      <c r="D441" s="1334" t="str">
        <f t="shared" si="31"/>
        <v>-</v>
      </c>
      <c r="E441" s="1368">
        <f t="shared" si="31"/>
        <v>0</v>
      </c>
      <c r="F441" s="1437">
        <f t="shared" si="25"/>
        <v>0.54801796000000003</v>
      </c>
      <c r="G441" s="1437">
        <f t="shared" si="26"/>
        <v>0.54801796000000003</v>
      </c>
      <c r="H441" s="1437">
        <f t="shared" si="27"/>
        <v>0</v>
      </c>
      <c r="I441" s="1437">
        <v>0</v>
      </c>
      <c r="J441" s="1437">
        <v>0</v>
      </c>
      <c r="K441" s="1438"/>
      <c r="L441" s="1438"/>
      <c r="M441" s="1437">
        <f t="shared" si="28"/>
        <v>0</v>
      </c>
      <c r="N441" s="1437">
        <f t="shared" si="29"/>
        <v>0</v>
      </c>
    </row>
    <row r="442" spans="1:14" ht="31" outlineLevel="1">
      <c r="A442" s="1504">
        <f t="shared" si="31"/>
        <v>4</v>
      </c>
      <c r="B442" s="1497" t="str">
        <f t="shared" si="31"/>
        <v>Supply of unbalance motorozied vibrating feeder for S/R of U-7/8 CHP NPTPS Parli-V.</v>
      </c>
      <c r="C442" s="1492" t="str">
        <f t="shared" si="31"/>
        <v>Add Cap (As per 296 of 2019)</v>
      </c>
      <c r="D442" s="1334" t="str">
        <f t="shared" si="31"/>
        <v>-</v>
      </c>
      <c r="E442" s="1318">
        <f t="shared" si="31"/>
        <v>0</v>
      </c>
      <c r="F442" s="1437">
        <f t="shared" si="25"/>
        <v>0.39579560000000003</v>
      </c>
      <c r="G442" s="1437">
        <f t="shared" si="26"/>
        <v>0.39579560000000003</v>
      </c>
      <c r="H442" s="1437">
        <f t="shared" si="27"/>
        <v>0</v>
      </c>
      <c r="I442" s="1437">
        <v>0</v>
      </c>
      <c r="J442" s="1437">
        <v>0</v>
      </c>
      <c r="K442" s="1438"/>
      <c r="L442" s="1438"/>
      <c r="M442" s="1437">
        <f t="shared" si="28"/>
        <v>0</v>
      </c>
      <c r="N442" s="1437">
        <f t="shared" si="29"/>
        <v>0</v>
      </c>
    </row>
    <row r="443" spans="1:14" ht="31" outlineLevel="1">
      <c r="A443" s="1504">
        <f t="shared" si="31"/>
        <v>5</v>
      </c>
      <c r="B443" s="1501" t="str">
        <f t="shared" si="31"/>
        <v>Procurement of conveying and Instrument air compressor spares at AHP U#8</v>
      </c>
      <c r="C443" s="1492" t="str">
        <f t="shared" si="31"/>
        <v>Add Cap (As per 296 of 2019)</v>
      </c>
      <c r="D443" s="1334" t="str">
        <f t="shared" si="31"/>
        <v>-</v>
      </c>
      <c r="E443" s="1359">
        <f t="shared" si="31"/>
        <v>0</v>
      </c>
      <c r="F443" s="1437">
        <f t="shared" si="25"/>
        <v>1.769983804</v>
      </c>
      <c r="G443" s="1437">
        <f t="shared" si="26"/>
        <v>1.769983804</v>
      </c>
      <c r="H443" s="1437">
        <f t="shared" si="27"/>
        <v>0</v>
      </c>
      <c r="I443" s="1437">
        <v>0</v>
      </c>
      <c r="J443" s="1437">
        <v>0</v>
      </c>
      <c r="K443" s="1438"/>
      <c r="L443" s="1438"/>
      <c r="M443" s="1437">
        <f t="shared" si="28"/>
        <v>0</v>
      </c>
      <c r="N443" s="1437">
        <f t="shared" si="29"/>
        <v>0</v>
      </c>
    </row>
    <row r="444" spans="1:14" ht="15.5" outlineLevel="1">
      <c r="A444" s="1504">
        <f t="shared" si="31"/>
        <v>6</v>
      </c>
      <c r="B444" s="1501" t="str">
        <f t="shared" si="31"/>
        <v>Procurement of vacuum pump spares at AHP U#8</v>
      </c>
      <c r="C444" s="1492" t="str">
        <f t="shared" si="31"/>
        <v>Add Cap (As per 296 of 2019)</v>
      </c>
      <c r="D444" s="1334" t="str">
        <f t="shared" si="31"/>
        <v>-</v>
      </c>
      <c r="E444" s="1368">
        <f t="shared" si="31"/>
        <v>0</v>
      </c>
      <c r="F444" s="1437">
        <f t="shared" si="25"/>
        <v>0.229104904</v>
      </c>
      <c r="G444" s="1437">
        <f t="shared" si="26"/>
        <v>0.229104904</v>
      </c>
      <c r="H444" s="1437">
        <f t="shared" si="27"/>
        <v>0</v>
      </c>
      <c r="I444" s="1437">
        <v>0</v>
      </c>
      <c r="J444" s="1437">
        <v>0</v>
      </c>
      <c r="K444" s="1438"/>
      <c r="L444" s="1438"/>
      <c r="M444" s="1437">
        <f t="shared" si="28"/>
        <v>0</v>
      </c>
      <c r="N444" s="1437">
        <f t="shared" si="29"/>
        <v>0</v>
      </c>
    </row>
    <row r="445" spans="1:14" ht="15.5" outlineLevel="1">
      <c r="A445" s="1504">
        <f t="shared" si="31"/>
        <v>7</v>
      </c>
      <c r="B445" s="1501" t="str">
        <f t="shared" si="31"/>
        <v>Procurement of fluidizing blower spares at AHP U#8</v>
      </c>
      <c r="C445" s="1492" t="str">
        <f t="shared" si="31"/>
        <v>Add Cap (As per 296 of 2019)</v>
      </c>
      <c r="D445" s="1334" t="str">
        <f t="shared" si="31"/>
        <v>-</v>
      </c>
      <c r="E445" s="1359">
        <f t="shared" si="31"/>
        <v>0</v>
      </c>
      <c r="F445" s="1437">
        <f t="shared" si="25"/>
        <v>0.11795988</v>
      </c>
      <c r="G445" s="1437">
        <f t="shared" si="26"/>
        <v>0.11795988</v>
      </c>
      <c r="H445" s="1437">
        <f t="shared" si="27"/>
        <v>0</v>
      </c>
      <c r="I445" s="1437">
        <v>0</v>
      </c>
      <c r="J445" s="1437">
        <v>0</v>
      </c>
      <c r="K445" s="1438"/>
      <c r="L445" s="1438"/>
      <c r="M445" s="1437">
        <f t="shared" si="28"/>
        <v>0</v>
      </c>
      <c r="N445" s="1437">
        <f t="shared" si="29"/>
        <v>0</v>
      </c>
    </row>
    <row r="446" spans="1:14" ht="15.5" outlineLevel="1">
      <c r="A446" s="1504">
        <f t="shared" si="31"/>
        <v>8</v>
      </c>
      <c r="B446" s="1501" t="str">
        <f t="shared" si="31"/>
        <v>Procurement of slurry pump spares at AHP U#8</v>
      </c>
      <c r="C446" s="1492" t="str">
        <f t="shared" si="31"/>
        <v>Add Cap (As per 296 of 2019)</v>
      </c>
      <c r="D446" s="1334" t="str">
        <f t="shared" si="31"/>
        <v>-</v>
      </c>
      <c r="E446" s="1368">
        <f t="shared" si="31"/>
        <v>0</v>
      </c>
      <c r="F446" s="1437">
        <f t="shared" si="25"/>
        <v>0</v>
      </c>
      <c r="G446" s="1437">
        <f t="shared" si="26"/>
        <v>0</v>
      </c>
      <c r="H446" s="1437">
        <f t="shared" si="27"/>
        <v>0</v>
      </c>
      <c r="I446" s="1437">
        <v>0</v>
      </c>
      <c r="J446" s="1437">
        <v>0</v>
      </c>
      <c r="K446" s="1438"/>
      <c r="L446" s="1438"/>
      <c r="M446" s="1437">
        <f t="shared" si="28"/>
        <v>0</v>
      </c>
      <c r="N446" s="1437">
        <f t="shared" si="29"/>
        <v>0</v>
      </c>
    </row>
    <row r="447" spans="1:14" ht="15.5" outlineLevel="1">
      <c r="A447" s="1504">
        <f t="shared" si="31"/>
        <v>9</v>
      </c>
      <c r="B447" s="1501" t="str">
        <f t="shared" si="31"/>
        <v>Procurement of Clinker grinder spares at AHP U#8</v>
      </c>
      <c r="C447" s="1492" t="str">
        <f t="shared" si="31"/>
        <v>Add Cap (As per 296 of 2019)</v>
      </c>
      <c r="D447" s="1334" t="str">
        <f t="shared" si="31"/>
        <v>-</v>
      </c>
      <c r="E447" s="1368">
        <f t="shared" si="31"/>
        <v>0</v>
      </c>
      <c r="F447" s="1437">
        <f t="shared" si="25"/>
        <v>0.1233369</v>
      </c>
      <c r="G447" s="1437">
        <f t="shared" si="26"/>
        <v>0.1233369</v>
      </c>
      <c r="H447" s="1437">
        <f t="shared" si="27"/>
        <v>0</v>
      </c>
      <c r="I447" s="1437">
        <v>0</v>
      </c>
      <c r="J447" s="1437">
        <v>0</v>
      </c>
      <c r="K447" s="1438"/>
      <c r="L447" s="1438"/>
      <c r="M447" s="1437">
        <f t="shared" si="28"/>
        <v>0</v>
      </c>
      <c r="N447" s="1437">
        <f t="shared" si="29"/>
        <v>0</v>
      </c>
    </row>
    <row r="448" spans="1:14" outlineLevel="1">
      <c r="A448" s="1505">
        <f t="shared" si="31"/>
        <v>0</v>
      </c>
      <c r="B448" s="1506">
        <f t="shared" si="31"/>
        <v>0</v>
      </c>
      <c r="C448" s="1507">
        <f t="shared" si="31"/>
        <v>0</v>
      </c>
      <c r="D448" s="1508" t="str">
        <f t="shared" si="31"/>
        <v>-</v>
      </c>
      <c r="E448" s="1359">
        <f t="shared" si="31"/>
        <v>0</v>
      </c>
      <c r="F448" s="1437">
        <f t="shared" si="25"/>
        <v>0</v>
      </c>
      <c r="G448" s="1437">
        <f t="shared" si="26"/>
        <v>0</v>
      </c>
      <c r="H448" s="1437">
        <f t="shared" si="27"/>
        <v>0</v>
      </c>
      <c r="I448" s="1437">
        <v>0</v>
      </c>
      <c r="J448" s="1437">
        <v>0</v>
      </c>
      <c r="K448" s="1438"/>
      <c r="L448" s="1438"/>
      <c r="M448" s="1437">
        <f t="shared" si="28"/>
        <v>0</v>
      </c>
      <c r="N448" s="1437">
        <f t="shared" si="29"/>
        <v>0</v>
      </c>
    </row>
    <row r="449" spans="1:14" ht="31" outlineLevel="1">
      <c r="A449" s="1493" t="str">
        <f t="shared" ref="A449:E464" si="32">A56</f>
        <v>B</v>
      </c>
      <c r="B449" s="1494" t="str">
        <f t="shared" si="32"/>
        <v>Reassessment of remaining BOP work after insolvency of M/s Sunil Hi-Tech</v>
      </c>
      <c r="C449" s="1495">
        <f t="shared" si="32"/>
        <v>0</v>
      </c>
      <c r="D449" s="1341" t="str">
        <f t="shared" si="32"/>
        <v>-</v>
      </c>
      <c r="E449" s="1496">
        <f t="shared" si="32"/>
        <v>0</v>
      </c>
      <c r="F449" s="1437">
        <f t="shared" si="25"/>
        <v>0</v>
      </c>
      <c r="G449" s="1437">
        <f t="shared" si="26"/>
        <v>0</v>
      </c>
      <c r="H449" s="1437">
        <f t="shared" si="27"/>
        <v>0</v>
      </c>
      <c r="I449" s="1437">
        <v>0</v>
      </c>
      <c r="J449" s="1437">
        <v>0</v>
      </c>
      <c r="K449" s="1438"/>
      <c r="L449" s="1438"/>
      <c r="M449" s="1437">
        <f t="shared" si="28"/>
        <v>0</v>
      </c>
      <c r="N449" s="1437">
        <f t="shared" si="29"/>
        <v>0</v>
      </c>
    </row>
    <row r="450" spans="1:14" ht="31" outlineLevel="1">
      <c r="A450" s="1493">
        <f t="shared" si="32"/>
        <v>0</v>
      </c>
      <c r="B450" s="1494" t="str">
        <f t="shared" si="32"/>
        <v>Project balance E&amp;M  and procurement of mandetory spares</v>
      </c>
      <c r="C450" s="1495" t="str">
        <f t="shared" si="32"/>
        <v>MERC CAPEX Approval in MTR Order 296 of 2019</v>
      </c>
      <c r="D450" s="1341" t="str">
        <f t="shared" si="32"/>
        <v>Order 296 of 2019</v>
      </c>
      <c r="E450" s="1509">
        <f t="shared" si="32"/>
        <v>41.453400000000002</v>
      </c>
      <c r="F450" s="1437">
        <f t="shared" si="25"/>
        <v>0</v>
      </c>
      <c r="G450" s="1437">
        <f t="shared" si="26"/>
        <v>0</v>
      </c>
      <c r="H450" s="1437">
        <f t="shared" si="27"/>
        <v>0</v>
      </c>
      <c r="I450" s="1437">
        <v>0</v>
      </c>
      <c r="J450" s="1437">
        <v>0</v>
      </c>
      <c r="K450" s="1438"/>
      <c r="L450" s="1438"/>
      <c r="M450" s="1437">
        <f t="shared" si="28"/>
        <v>0</v>
      </c>
      <c r="N450" s="1437">
        <f t="shared" si="29"/>
        <v>0</v>
      </c>
    </row>
    <row r="451" spans="1:14" ht="43.5" outlineLevel="1">
      <c r="A451" s="1499">
        <f t="shared" si="32"/>
        <v>1</v>
      </c>
      <c r="B451" s="1510" t="str">
        <f t="shared" si="32"/>
        <v>Work order for Contract of Supply and application of Fire Stop Mortar Seal and Fire Retardant Cable Coating Compound at NPTP U-8 Parli Project</v>
      </c>
      <c r="C451" s="1511" t="str">
        <f t="shared" si="32"/>
        <v>MERC CAPEX Approval in MTR Order 296 of 2019</v>
      </c>
      <c r="D451" s="1334" t="str">
        <f t="shared" si="32"/>
        <v>-</v>
      </c>
      <c r="E451" s="1430">
        <f t="shared" si="32"/>
        <v>0</v>
      </c>
      <c r="F451" s="1437">
        <f t="shared" si="25"/>
        <v>3.4589155919999999</v>
      </c>
      <c r="G451" s="1437">
        <f t="shared" si="26"/>
        <v>3.4589155919999999</v>
      </c>
      <c r="H451" s="1437">
        <f t="shared" si="27"/>
        <v>0</v>
      </c>
      <c r="I451" s="1437">
        <v>0</v>
      </c>
      <c r="J451" s="1437">
        <v>0</v>
      </c>
      <c r="K451" s="1438"/>
      <c r="L451" s="1438"/>
      <c r="M451" s="1437">
        <f t="shared" si="28"/>
        <v>0</v>
      </c>
      <c r="N451" s="1437">
        <f t="shared" si="29"/>
        <v>0</v>
      </c>
    </row>
    <row r="452" spans="1:14" ht="29" outlineLevel="1">
      <c r="A452" s="1499">
        <f t="shared" si="32"/>
        <v>2</v>
      </c>
      <c r="B452" s="1510" t="str">
        <f t="shared" si="32"/>
        <v>Work order for contract for Supply Installaion Testing &amp; Commissioning Smoke Detection &amp; alaram system</v>
      </c>
      <c r="C452" s="1511" t="str">
        <f t="shared" si="32"/>
        <v>MERC CAPEX Approval in MTR Order 296 of 2019</v>
      </c>
      <c r="D452" s="1334" t="str">
        <f t="shared" si="32"/>
        <v>-</v>
      </c>
      <c r="E452" s="1430">
        <f t="shared" si="32"/>
        <v>0</v>
      </c>
      <c r="F452" s="1437">
        <f t="shared" si="25"/>
        <v>2.5606</v>
      </c>
      <c r="G452" s="1437">
        <f t="shared" si="26"/>
        <v>2.5606</v>
      </c>
      <c r="H452" s="1437">
        <f t="shared" si="27"/>
        <v>0</v>
      </c>
      <c r="I452" s="1437">
        <v>0</v>
      </c>
      <c r="J452" s="1437">
        <v>0</v>
      </c>
      <c r="K452" s="1438"/>
      <c r="L452" s="1438"/>
      <c r="M452" s="1437">
        <f t="shared" si="28"/>
        <v>0</v>
      </c>
      <c r="N452" s="1437">
        <f t="shared" si="29"/>
        <v>0</v>
      </c>
    </row>
    <row r="453" spans="1:14" ht="43.5" outlineLevel="1">
      <c r="A453" s="1499">
        <f t="shared" si="32"/>
        <v>3</v>
      </c>
      <c r="B453" s="1510" t="str">
        <f t="shared" si="32"/>
        <v>Work order for contract for Supply Installaion Testing &amp; Commissioning of Balance Fire Fighting System at NPTP U-8 Parli Project</v>
      </c>
      <c r="C453" s="1511" t="str">
        <f t="shared" si="32"/>
        <v>MERC CAPEX Approval in MTR Order 296 of 2019</v>
      </c>
      <c r="D453" s="1334" t="str">
        <f t="shared" si="32"/>
        <v>-</v>
      </c>
      <c r="E453" s="1430">
        <f t="shared" si="32"/>
        <v>0</v>
      </c>
      <c r="F453" s="1437">
        <f t="shared" si="25"/>
        <v>1.0502</v>
      </c>
      <c r="G453" s="1437">
        <f t="shared" si="26"/>
        <v>1.0502</v>
      </c>
      <c r="H453" s="1437">
        <f t="shared" si="27"/>
        <v>0</v>
      </c>
      <c r="I453" s="1437">
        <v>0</v>
      </c>
      <c r="J453" s="1437">
        <v>0</v>
      </c>
      <c r="K453" s="1438"/>
      <c r="L453" s="1438"/>
      <c r="M453" s="1437">
        <f t="shared" si="28"/>
        <v>0</v>
      </c>
      <c r="N453" s="1437">
        <f t="shared" si="29"/>
        <v>0</v>
      </c>
    </row>
    <row r="454" spans="1:14" ht="58" outlineLevel="1">
      <c r="A454" s="1499">
        <f t="shared" si="32"/>
        <v>4</v>
      </c>
      <c r="B454" s="1510" t="str">
        <f t="shared" si="32"/>
        <v>Supply, Errection, testing &amp; commissioning works of RWP, PT potable chlorination system, ETP system control panel, automation of LDO, HFO tank foam system Hose boxes with RRL hoses and branch pipe and allied system at NPTP</v>
      </c>
      <c r="C454" s="1511" t="str">
        <f t="shared" si="32"/>
        <v>MERC CAPEX Approval in MTR Order 296 of 2019</v>
      </c>
      <c r="D454" s="1334" t="str">
        <f t="shared" si="32"/>
        <v>-</v>
      </c>
      <c r="E454" s="1430">
        <f t="shared" si="32"/>
        <v>0</v>
      </c>
      <c r="F454" s="1437">
        <f t="shared" si="25"/>
        <v>0.84960000000000002</v>
      </c>
      <c r="G454" s="1437">
        <f t="shared" si="26"/>
        <v>0.84960000000000002</v>
      </c>
      <c r="H454" s="1437">
        <f t="shared" si="27"/>
        <v>0</v>
      </c>
      <c r="I454" s="1437">
        <v>0</v>
      </c>
      <c r="J454" s="1437">
        <v>0</v>
      </c>
      <c r="K454" s="1438"/>
      <c r="L454" s="1438"/>
      <c r="M454" s="1437">
        <f t="shared" si="28"/>
        <v>0</v>
      </c>
      <c r="N454" s="1437">
        <f t="shared" si="29"/>
        <v>0</v>
      </c>
    </row>
    <row r="455" spans="1:14" ht="43.5" outlineLevel="1">
      <c r="A455" s="1499">
        <f t="shared" si="32"/>
        <v>5</v>
      </c>
      <c r="B455" s="1510" t="str">
        <f t="shared" si="32"/>
        <v xml:space="preserve">Work Order contract for supply, installation Testing &amp; Commissioning of telephone exchange (EPBAX) &amp; Telephone System at NPTP U-8 Parli project  </v>
      </c>
      <c r="C455" s="1511" t="str">
        <f t="shared" si="32"/>
        <v>MERC CAPEX Approval in MTR Order 296 of 2019</v>
      </c>
      <c r="D455" s="1334" t="str">
        <f t="shared" si="32"/>
        <v>-</v>
      </c>
      <c r="E455" s="1430">
        <f t="shared" si="32"/>
        <v>0</v>
      </c>
      <c r="F455" s="1437">
        <f t="shared" si="25"/>
        <v>0.91256150000000003</v>
      </c>
      <c r="G455" s="1437">
        <f t="shared" si="26"/>
        <v>0.91256150000000003</v>
      </c>
      <c r="H455" s="1437">
        <f t="shared" si="27"/>
        <v>0</v>
      </c>
      <c r="I455" s="1437">
        <v>0</v>
      </c>
      <c r="J455" s="1437">
        <v>0</v>
      </c>
      <c r="K455" s="1438"/>
      <c r="L455" s="1438"/>
      <c r="M455" s="1437">
        <f t="shared" si="28"/>
        <v>0</v>
      </c>
      <c r="N455" s="1437">
        <f t="shared" si="29"/>
        <v>0</v>
      </c>
    </row>
    <row r="456" spans="1:14" ht="29" outlineLevel="1">
      <c r="A456" s="1499">
        <f t="shared" si="32"/>
        <v>6</v>
      </c>
      <c r="B456" s="1510" t="str">
        <f t="shared" si="32"/>
        <v>Balance Supply of Electrical Lab Equipment  at NPTP parli-V</v>
      </c>
      <c r="C456" s="1511" t="str">
        <f t="shared" si="32"/>
        <v>MERC CAPEX Approval in MTR Order 296 of 2019</v>
      </c>
      <c r="D456" s="1334" t="str">
        <f t="shared" si="32"/>
        <v>-</v>
      </c>
      <c r="E456" s="1430">
        <f t="shared" si="32"/>
        <v>0</v>
      </c>
      <c r="F456" s="1437">
        <f t="shared" si="25"/>
        <v>0.60826469999999999</v>
      </c>
      <c r="G456" s="1437">
        <f t="shared" si="26"/>
        <v>0.60826469999999999</v>
      </c>
      <c r="H456" s="1437">
        <f t="shared" si="27"/>
        <v>0</v>
      </c>
      <c r="I456" s="1437">
        <v>0</v>
      </c>
      <c r="J456" s="1437">
        <v>0</v>
      </c>
      <c r="K456" s="1438"/>
      <c r="L456" s="1438"/>
      <c r="M456" s="1437">
        <f t="shared" si="28"/>
        <v>0</v>
      </c>
      <c r="N456" s="1437">
        <f t="shared" si="29"/>
        <v>0</v>
      </c>
    </row>
    <row r="457" spans="1:14" ht="43.5" outlineLevel="1">
      <c r="A457" s="1499">
        <f t="shared" si="32"/>
        <v>7</v>
      </c>
      <c r="B457" s="1510" t="str">
        <f t="shared" si="32"/>
        <v>Work order for contract for Supply Installaion Testing &amp; Commissioning with required material to complete  Balance CHP work at NPTP U-8 Parli Project</v>
      </c>
      <c r="C457" s="1511" t="str">
        <f t="shared" si="32"/>
        <v>MERC CAPEX Approval in MTR Order 296 of 2019</v>
      </c>
      <c r="D457" s="1334" t="str">
        <f t="shared" si="32"/>
        <v>-</v>
      </c>
      <c r="E457" s="1430">
        <f t="shared" si="32"/>
        <v>0</v>
      </c>
      <c r="F457" s="1437">
        <f t="shared" si="25"/>
        <v>0.41</v>
      </c>
      <c r="G457" s="1437">
        <f t="shared" si="26"/>
        <v>0.41</v>
      </c>
      <c r="H457" s="1437">
        <f t="shared" si="27"/>
        <v>0</v>
      </c>
      <c r="I457" s="1437">
        <v>0</v>
      </c>
      <c r="J457" s="1437">
        <v>0</v>
      </c>
      <c r="K457" s="1438"/>
      <c r="L457" s="1438"/>
      <c r="M457" s="1437">
        <f t="shared" si="28"/>
        <v>0</v>
      </c>
      <c r="N457" s="1437">
        <f t="shared" si="29"/>
        <v>0</v>
      </c>
    </row>
    <row r="458" spans="1:14" ht="43.5" outlineLevel="1">
      <c r="A458" s="1499">
        <f t="shared" si="32"/>
        <v>8</v>
      </c>
      <c r="B458" s="1510" t="str">
        <f t="shared" si="32"/>
        <v>Supply, Errection, testing &amp; commissioning of Interconnecting Conveyor no.9 &amp; 10 from U-8 to U-6&amp;7 of CHP at NPTP U-8, Parli-V</v>
      </c>
      <c r="C458" s="1511" t="str">
        <f t="shared" si="32"/>
        <v>MERC CAPEX Approval in MTR Order 296 of 2019</v>
      </c>
      <c r="D458" s="1334" t="str">
        <f t="shared" si="32"/>
        <v>-</v>
      </c>
      <c r="E458" s="1430">
        <f t="shared" si="32"/>
        <v>0</v>
      </c>
      <c r="F458" s="1437">
        <f t="shared" si="25"/>
        <v>3.58189</v>
      </c>
      <c r="G458" s="1437">
        <f t="shared" si="26"/>
        <v>3.5813899999999999</v>
      </c>
      <c r="H458" s="1437">
        <f t="shared" si="27"/>
        <v>5.0000000000016698E-4</v>
      </c>
      <c r="I458" s="1437">
        <v>1.75</v>
      </c>
      <c r="J458" s="1437">
        <v>1.7448406999999999</v>
      </c>
      <c r="K458" s="1438"/>
      <c r="L458" s="1438"/>
      <c r="M458" s="1437">
        <f t="shared" si="28"/>
        <v>1.7448406999999999</v>
      </c>
      <c r="N458" s="1437">
        <f t="shared" si="29"/>
        <v>5.6593000000002558E-3</v>
      </c>
    </row>
    <row r="459" spans="1:14" ht="29" outlineLevel="1">
      <c r="A459" s="1499">
        <f t="shared" si="32"/>
        <v>9</v>
      </c>
      <c r="B459" s="1510" t="str">
        <f t="shared" si="32"/>
        <v>SUPPLY ,INSTA,TEST ,COMM ELECTRICAL SYS</v>
      </c>
      <c r="C459" s="1511" t="str">
        <f t="shared" si="32"/>
        <v>MERC CAPEX Approval in MTR Order 296 of 2019</v>
      </c>
      <c r="D459" s="1334" t="str">
        <f t="shared" si="32"/>
        <v>-</v>
      </c>
      <c r="E459" s="1430">
        <f t="shared" si="32"/>
        <v>0</v>
      </c>
      <c r="F459" s="1437">
        <f t="shared" si="25"/>
        <v>0</v>
      </c>
      <c r="G459" s="1437">
        <f t="shared" si="26"/>
        <v>0</v>
      </c>
      <c r="H459" s="1437">
        <f t="shared" si="27"/>
        <v>0</v>
      </c>
      <c r="I459" s="1437">
        <v>0</v>
      </c>
      <c r="J459" s="1437">
        <v>0</v>
      </c>
      <c r="K459" s="1438"/>
      <c r="L459" s="1438"/>
      <c r="M459" s="1437">
        <f t="shared" si="28"/>
        <v>0</v>
      </c>
      <c r="N459" s="1437">
        <f t="shared" si="29"/>
        <v>0</v>
      </c>
    </row>
    <row r="460" spans="1:14" ht="29" outlineLevel="1">
      <c r="A460" s="1499">
        <f t="shared" si="32"/>
        <v>10</v>
      </c>
      <c r="B460" s="1510" t="str">
        <f t="shared" si="32"/>
        <v>SUPPLY,INSTAL,TEST,COMM OF  CRANS&amp;HOIST</v>
      </c>
      <c r="C460" s="1511" t="str">
        <f t="shared" si="32"/>
        <v>MERC CAPEX Approval in MTR Order 296 of 2019</v>
      </c>
      <c r="D460" s="1334" t="str">
        <f t="shared" si="32"/>
        <v>-</v>
      </c>
      <c r="E460" s="1430">
        <f t="shared" si="32"/>
        <v>0</v>
      </c>
      <c r="F460" s="1437">
        <f t="shared" si="25"/>
        <v>1.380482</v>
      </c>
      <c r="G460" s="1437">
        <f t="shared" si="26"/>
        <v>1.380482</v>
      </c>
      <c r="H460" s="1437">
        <f t="shared" si="27"/>
        <v>0</v>
      </c>
      <c r="I460" s="1437">
        <v>0.43</v>
      </c>
      <c r="J460" s="1437">
        <v>2.2418230000000001</v>
      </c>
      <c r="K460" s="1438"/>
      <c r="L460" s="1438"/>
      <c r="M460" s="1437">
        <f t="shared" si="28"/>
        <v>2.2418230000000001</v>
      </c>
      <c r="N460" s="1437">
        <f t="shared" si="29"/>
        <v>-1.8118230000000002</v>
      </c>
    </row>
    <row r="461" spans="1:14" ht="29" outlineLevel="1">
      <c r="A461" s="1499">
        <f t="shared" si="32"/>
        <v>11</v>
      </c>
      <c r="B461" s="1510" t="str">
        <f t="shared" si="32"/>
        <v>Supply, Errection, testing &amp; commissioning of Dust Extraction system at NPTP U-8, Parli-V</v>
      </c>
      <c r="C461" s="1511" t="str">
        <f t="shared" si="32"/>
        <v>MERC CAPEX Approval in MTR Order 296 of 2019</v>
      </c>
      <c r="D461" s="1334" t="str">
        <f t="shared" si="32"/>
        <v>-</v>
      </c>
      <c r="E461" s="1430">
        <f t="shared" si="32"/>
        <v>0</v>
      </c>
      <c r="F461" s="1437">
        <f t="shared" si="25"/>
        <v>1.8060844</v>
      </c>
      <c r="G461" s="1437">
        <f t="shared" si="26"/>
        <v>0</v>
      </c>
      <c r="H461" s="1437">
        <f t="shared" si="27"/>
        <v>1.8060844</v>
      </c>
      <c r="I461" s="1437">
        <v>0</v>
      </c>
      <c r="J461" s="1437">
        <v>0</v>
      </c>
      <c r="K461" s="1438"/>
      <c r="L461" s="1438"/>
      <c r="M461" s="1437">
        <f t="shared" si="28"/>
        <v>0</v>
      </c>
      <c r="N461" s="1437">
        <f t="shared" si="29"/>
        <v>1.8060844</v>
      </c>
    </row>
    <row r="462" spans="1:14" ht="29" outlineLevel="1">
      <c r="A462" s="1499">
        <f t="shared" si="32"/>
        <v>12</v>
      </c>
      <c r="B462" s="1510" t="str">
        <f t="shared" si="32"/>
        <v>Supply, Errection, testing &amp; commissioning of DSS &amp; DFDS at NPTP U-8, Parli-V</v>
      </c>
      <c r="C462" s="1511" t="str">
        <f t="shared" si="32"/>
        <v>MERC CAPEX Approval in MTR Order 296 of 2019</v>
      </c>
      <c r="D462" s="1334" t="str">
        <f t="shared" si="32"/>
        <v>-</v>
      </c>
      <c r="E462" s="1430">
        <f t="shared" si="32"/>
        <v>0</v>
      </c>
      <c r="F462" s="1437">
        <f t="shared" si="25"/>
        <v>2.8091143999999999</v>
      </c>
      <c r="G462" s="1437">
        <f t="shared" si="26"/>
        <v>0</v>
      </c>
      <c r="H462" s="1437">
        <f t="shared" si="27"/>
        <v>2.8091143999999999</v>
      </c>
      <c r="I462" s="1437">
        <v>0</v>
      </c>
      <c r="J462" s="1437">
        <v>0</v>
      </c>
      <c r="K462" s="1438"/>
      <c r="L462" s="1438"/>
      <c r="M462" s="1437">
        <f t="shared" si="28"/>
        <v>0</v>
      </c>
      <c r="N462" s="1437">
        <f t="shared" si="29"/>
        <v>2.8091143999999999</v>
      </c>
    </row>
    <row r="463" spans="1:14" ht="29" outlineLevel="1">
      <c r="A463" s="1499">
        <f t="shared" si="32"/>
        <v>13</v>
      </c>
      <c r="B463" s="1510" t="str">
        <f t="shared" si="32"/>
        <v>Supply, Errection, testing &amp; commissioning of Monorail at NPTP U-8, Parli-V</v>
      </c>
      <c r="C463" s="1511" t="str">
        <f t="shared" si="32"/>
        <v>MERC CAPEX Approval in MTR Order 296 of 2019</v>
      </c>
      <c r="D463" s="1334" t="str">
        <f t="shared" si="32"/>
        <v>-</v>
      </c>
      <c r="E463" s="1430">
        <f t="shared" si="32"/>
        <v>0</v>
      </c>
      <c r="F463" s="1437">
        <f t="shared" si="25"/>
        <v>1.1891777000000001</v>
      </c>
      <c r="G463" s="1437">
        <f t="shared" si="26"/>
        <v>1.1891</v>
      </c>
      <c r="H463" s="1437">
        <f t="shared" si="27"/>
        <v>7.770000000006938E-5</v>
      </c>
      <c r="I463" s="1437">
        <v>0</v>
      </c>
      <c r="J463" s="1437">
        <v>0</v>
      </c>
      <c r="K463" s="1438"/>
      <c r="L463" s="1438"/>
      <c r="M463" s="1437">
        <f t="shared" si="28"/>
        <v>0</v>
      </c>
      <c r="N463" s="1437">
        <f t="shared" si="29"/>
        <v>7.770000000006938E-5</v>
      </c>
    </row>
    <row r="464" spans="1:14" ht="29" outlineLevel="1">
      <c r="A464" s="1499">
        <f t="shared" si="32"/>
        <v>14</v>
      </c>
      <c r="B464" s="1510" t="str">
        <f t="shared" si="32"/>
        <v>Supply, Errection, testing &amp; commissioning of various Control &amp; Instrumentation equipments at NPTP U-8, Parli-V</v>
      </c>
      <c r="C464" s="1511" t="str">
        <f t="shared" si="32"/>
        <v>MERC CAPEX Approval in MTR Order 296 of 2019</v>
      </c>
      <c r="D464" s="1334" t="str">
        <f t="shared" si="32"/>
        <v>-</v>
      </c>
      <c r="E464" s="1430">
        <f t="shared" si="32"/>
        <v>0</v>
      </c>
      <c r="F464" s="1437">
        <f t="shared" si="25"/>
        <v>0.72225269999999997</v>
      </c>
      <c r="G464" s="1437">
        <f t="shared" si="26"/>
        <v>0.72225269999999997</v>
      </c>
      <c r="H464" s="1437">
        <f t="shared" si="27"/>
        <v>0</v>
      </c>
      <c r="I464" s="1437">
        <v>0</v>
      </c>
      <c r="J464" s="1437">
        <v>0</v>
      </c>
      <c r="K464" s="1438"/>
      <c r="L464" s="1438"/>
      <c r="M464" s="1437">
        <f t="shared" si="28"/>
        <v>0</v>
      </c>
      <c r="N464" s="1437">
        <f t="shared" si="29"/>
        <v>0</v>
      </c>
    </row>
    <row r="465" spans="1:14" ht="29" outlineLevel="1">
      <c r="A465" s="1499">
        <f t="shared" ref="A465:E480" si="33">A72</f>
        <v>15</v>
      </c>
      <c r="B465" s="1510" t="str">
        <f t="shared" si="33"/>
        <v>Supply, Errection, testing &amp; commissioning of Air Conditioning System at NPTP U-8, Parli-V</v>
      </c>
      <c r="C465" s="1511" t="str">
        <f t="shared" si="33"/>
        <v>MERC CAPEX Approval in MTR Order 296 of 2019</v>
      </c>
      <c r="D465" s="1334" t="str">
        <f t="shared" si="33"/>
        <v>-</v>
      </c>
      <c r="E465" s="1430">
        <f t="shared" si="33"/>
        <v>0</v>
      </c>
      <c r="F465" s="1437">
        <f t="shared" ref="F465:F528" si="34">F72+I72</f>
        <v>0.15304309999999999</v>
      </c>
      <c r="G465" s="1437">
        <f t="shared" ref="G465:G528" si="35">G72+M72</f>
        <v>0.44729429999999998</v>
      </c>
      <c r="H465" s="1437">
        <f t="shared" ref="H465:H528" si="36">F465-G465</f>
        <v>-0.29425119999999999</v>
      </c>
      <c r="I465" s="1437">
        <v>0</v>
      </c>
      <c r="J465" s="1437">
        <v>0</v>
      </c>
      <c r="K465" s="1438"/>
      <c r="L465" s="1438"/>
      <c r="M465" s="1437">
        <f t="shared" ref="M465:M528" si="37">SUM(J465:L465)</f>
        <v>0</v>
      </c>
      <c r="N465" s="1437">
        <f t="shared" ref="N465:N528" si="38">H465+I465-M465</f>
        <v>-0.29425119999999999</v>
      </c>
    </row>
    <row r="466" spans="1:14" ht="29" outlineLevel="1">
      <c r="A466" s="1499">
        <f t="shared" si="33"/>
        <v>16</v>
      </c>
      <c r="B466" s="1510" t="str">
        <f t="shared" si="33"/>
        <v>Supply, Errection, testing &amp; commissioning of Ventilation  System at NPTP U-8, Parli-V</v>
      </c>
      <c r="C466" s="1511" t="str">
        <f t="shared" si="33"/>
        <v>MERC CAPEX Approval in MTR Order 296 of 2019</v>
      </c>
      <c r="D466" s="1334" t="str">
        <f t="shared" si="33"/>
        <v>-</v>
      </c>
      <c r="E466" s="1430">
        <f t="shared" si="33"/>
        <v>0</v>
      </c>
      <c r="F466" s="1437">
        <f t="shared" si="34"/>
        <v>1.2036</v>
      </c>
      <c r="G466" s="1437">
        <f t="shared" si="35"/>
        <v>1.2036</v>
      </c>
      <c r="H466" s="1437">
        <f t="shared" si="36"/>
        <v>0</v>
      </c>
      <c r="I466" s="1437">
        <v>0.91</v>
      </c>
      <c r="J466" s="1437">
        <v>0</v>
      </c>
      <c r="K466" s="1438"/>
      <c r="L466" s="1438"/>
      <c r="M466" s="1437">
        <f t="shared" si="37"/>
        <v>0</v>
      </c>
      <c r="N466" s="1437">
        <f t="shared" si="38"/>
        <v>0.91</v>
      </c>
    </row>
    <row r="467" spans="1:14" ht="29" outlineLevel="1">
      <c r="A467" s="1499">
        <f t="shared" si="33"/>
        <v>17</v>
      </c>
      <c r="B467" s="1510" t="str">
        <f t="shared" si="33"/>
        <v>Supply, Errection, testing &amp; commissioning of Elevator works.</v>
      </c>
      <c r="C467" s="1511" t="str">
        <f t="shared" si="33"/>
        <v>MERC CAPEX Approval in MTR Order 296 of 2019</v>
      </c>
      <c r="D467" s="1334" t="str">
        <f t="shared" si="33"/>
        <v>-</v>
      </c>
      <c r="E467" s="1430">
        <f t="shared" si="33"/>
        <v>0</v>
      </c>
      <c r="F467" s="1437">
        <f t="shared" si="34"/>
        <v>0</v>
      </c>
      <c r="G467" s="1437">
        <f t="shared" si="35"/>
        <v>0</v>
      </c>
      <c r="H467" s="1437">
        <f t="shared" si="36"/>
        <v>0</v>
      </c>
      <c r="I467" s="1437">
        <v>3.5173187000000001</v>
      </c>
      <c r="J467" s="1437">
        <v>3.5173187000000001</v>
      </c>
      <c r="K467" s="1438"/>
      <c r="L467" s="1438"/>
      <c r="M467" s="1437">
        <f t="shared" si="37"/>
        <v>3.5173187000000001</v>
      </c>
      <c r="N467" s="1437">
        <f t="shared" si="38"/>
        <v>0</v>
      </c>
    </row>
    <row r="468" spans="1:14" ht="29" outlineLevel="1">
      <c r="A468" s="1499">
        <f t="shared" si="33"/>
        <v>18</v>
      </c>
      <c r="B468" s="1510" t="str">
        <f t="shared" si="33"/>
        <v>Work contract for dismentaling, supply, erection &amp; commissioning of MRHS</v>
      </c>
      <c r="C468" s="1511" t="str">
        <f t="shared" si="33"/>
        <v>MERC CAPEX Approval in MTR Order 296 of 2019</v>
      </c>
      <c r="D468" s="1334" t="str">
        <f t="shared" si="33"/>
        <v>-</v>
      </c>
      <c r="E468" s="1430">
        <f t="shared" si="33"/>
        <v>0</v>
      </c>
      <c r="F468" s="1437">
        <f t="shared" si="34"/>
        <v>0</v>
      </c>
      <c r="G468" s="1437">
        <f t="shared" si="35"/>
        <v>0</v>
      </c>
      <c r="H468" s="1437">
        <f t="shared" si="36"/>
        <v>0</v>
      </c>
      <c r="I468" s="1437">
        <v>2.2335039999999999</v>
      </c>
      <c r="J468" s="1437">
        <v>2.2335039999999999</v>
      </c>
      <c r="K468" s="1438"/>
      <c r="L468" s="1438"/>
      <c r="M468" s="1437">
        <f t="shared" si="37"/>
        <v>2.2335039999999999</v>
      </c>
      <c r="N468" s="1437">
        <f t="shared" si="38"/>
        <v>0</v>
      </c>
    </row>
    <row r="469" spans="1:14" ht="43.5" outlineLevel="1">
      <c r="A469" s="1499">
        <f t="shared" si="33"/>
        <v>19</v>
      </c>
      <c r="B469" s="1510" t="str">
        <f t="shared" si="33"/>
        <v>Supply, Errection, testing &amp; commissioning of FF System, Smoke detection &amp; Fire stop mortar &amp; Fire retradant cable coating for conveyor 09 &amp; 10</v>
      </c>
      <c r="C469" s="1511" t="str">
        <f t="shared" si="33"/>
        <v>MERC CAPEX Approval in MTR Order 296 of 2019</v>
      </c>
      <c r="D469" s="1334" t="str">
        <f t="shared" si="33"/>
        <v>-</v>
      </c>
      <c r="E469" s="1430">
        <f t="shared" si="33"/>
        <v>0</v>
      </c>
      <c r="F469" s="1437">
        <f t="shared" si="34"/>
        <v>0</v>
      </c>
      <c r="G469" s="1437">
        <f t="shared" si="35"/>
        <v>0</v>
      </c>
      <c r="H469" s="1437">
        <f t="shared" si="36"/>
        <v>0</v>
      </c>
      <c r="I469" s="1437">
        <v>0.22170519999999999</v>
      </c>
      <c r="J469" s="1437">
        <v>0.51866310000000004</v>
      </c>
      <c r="K469" s="1438"/>
      <c r="L469" s="1438"/>
      <c r="M469" s="1437">
        <f t="shared" si="37"/>
        <v>0.51866310000000004</v>
      </c>
      <c r="N469" s="1437">
        <f t="shared" si="38"/>
        <v>-0.29695790000000005</v>
      </c>
    </row>
    <row r="470" spans="1:14" ht="29" outlineLevel="1">
      <c r="A470" s="1499">
        <f t="shared" si="33"/>
        <v>20</v>
      </c>
      <c r="B470" s="1510" t="str">
        <f t="shared" si="33"/>
        <v>Supply, Errection, testing &amp; commissioning of Chimney Elevator</v>
      </c>
      <c r="C470" s="1511" t="str">
        <f t="shared" si="33"/>
        <v>MERC CAPEX Approval in MTR Order 296 of 2019</v>
      </c>
      <c r="D470" s="1334" t="str">
        <f t="shared" si="33"/>
        <v>-</v>
      </c>
      <c r="E470" s="1430">
        <f t="shared" si="33"/>
        <v>0</v>
      </c>
      <c r="F470" s="1437">
        <f t="shared" si="34"/>
        <v>0</v>
      </c>
      <c r="G470" s="1437">
        <f t="shared" si="35"/>
        <v>0</v>
      </c>
      <c r="H470" s="1437">
        <f t="shared" si="36"/>
        <v>0</v>
      </c>
      <c r="I470" s="1437">
        <v>1.060802</v>
      </c>
      <c r="J470" s="1437">
        <v>0</v>
      </c>
      <c r="K470" s="1438"/>
      <c r="L470" s="1438"/>
      <c r="M470" s="1437">
        <f t="shared" si="37"/>
        <v>0</v>
      </c>
      <c r="N470" s="1437">
        <f t="shared" si="38"/>
        <v>1.060802</v>
      </c>
    </row>
    <row r="471" spans="1:14" ht="29" outlineLevel="1">
      <c r="A471" s="1499">
        <f t="shared" si="33"/>
        <v>21</v>
      </c>
      <c r="B471" s="1510" t="str">
        <f t="shared" si="33"/>
        <v>Supply, Errection, testing &amp; commissioning work of GEHO Pumps.</v>
      </c>
      <c r="C471" s="1511" t="str">
        <f t="shared" si="33"/>
        <v>MERC CAPEX Approval in MTR Order 296 of 2019</v>
      </c>
      <c r="D471" s="1334" t="str">
        <f t="shared" si="33"/>
        <v>-</v>
      </c>
      <c r="E471" s="1430">
        <f t="shared" si="33"/>
        <v>0</v>
      </c>
      <c r="F471" s="1437">
        <f t="shared" si="34"/>
        <v>0</v>
      </c>
      <c r="G471" s="1437">
        <f t="shared" si="35"/>
        <v>0</v>
      </c>
      <c r="H471" s="1437">
        <f t="shared" si="36"/>
        <v>0</v>
      </c>
      <c r="I471" s="1437">
        <v>0</v>
      </c>
      <c r="J471" s="1437">
        <v>0</v>
      </c>
      <c r="K471" s="1438"/>
      <c r="L471" s="1438"/>
      <c r="M471" s="1437">
        <f t="shared" si="37"/>
        <v>0</v>
      </c>
      <c r="N471" s="1437">
        <f t="shared" si="38"/>
        <v>0</v>
      </c>
    </row>
    <row r="472" spans="1:14" ht="29" outlineLevel="1">
      <c r="A472" s="1499">
        <f t="shared" si="33"/>
        <v>22</v>
      </c>
      <c r="B472" s="1510" t="str">
        <f t="shared" si="33"/>
        <v>Procurement of various Mandetory spares of BOP packages</v>
      </c>
      <c r="C472" s="1511" t="str">
        <f t="shared" si="33"/>
        <v>MERC CAPEX Approval in MTR Order 296 of 2019</v>
      </c>
      <c r="D472" s="1334" t="str">
        <f t="shared" si="33"/>
        <v>-</v>
      </c>
      <c r="E472" s="1430">
        <f t="shared" si="33"/>
        <v>0</v>
      </c>
      <c r="F472" s="1437">
        <f t="shared" si="34"/>
        <v>0</v>
      </c>
      <c r="G472" s="1437">
        <f t="shared" si="35"/>
        <v>0</v>
      </c>
      <c r="H472" s="1437">
        <f t="shared" si="36"/>
        <v>0</v>
      </c>
      <c r="I472" s="1437">
        <v>0</v>
      </c>
      <c r="J472" s="1437">
        <v>0</v>
      </c>
      <c r="K472" s="1438"/>
      <c r="L472" s="1438"/>
      <c r="M472" s="1437">
        <f t="shared" si="37"/>
        <v>0</v>
      </c>
      <c r="N472" s="1437">
        <f t="shared" si="38"/>
        <v>0</v>
      </c>
    </row>
    <row r="473" spans="1:14" ht="31" outlineLevel="1">
      <c r="A473" s="1493">
        <f t="shared" si="33"/>
        <v>0</v>
      </c>
      <c r="B473" s="1494" t="str">
        <f t="shared" si="33"/>
        <v>Balance civil work of BOP scope at 250 MW Parli-V</v>
      </c>
      <c r="C473" s="1495" t="str">
        <f t="shared" si="33"/>
        <v>MERC CAPEX Approval in MTR Order 296 of 2019</v>
      </c>
      <c r="D473" s="1341" t="str">
        <f t="shared" si="33"/>
        <v>-</v>
      </c>
      <c r="E473" s="1509">
        <f t="shared" si="33"/>
        <v>45.323799999999991</v>
      </c>
      <c r="F473" s="1437">
        <f t="shared" si="34"/>
        <v>0</v>
      </c>
      <c r="G473" s="1437">
        <f t="shared" si="35"/>
        <v>0</v>
      </c>
      <c r="H473" s="1437">
        <f t="shared" si="36"/>
        <v>0</v>
      </c>
      <c r="I473" s="1437">
        <v>0.55711806000000097</v>
      </c>
      <c r="J473" s="1437">
        <v>16.720000000000002</v>
      </c>
      <c r="K473" s="1438"/>
      <c r="L473" s="1438"/>
      <c r="M473" s="1437">
        <f t="shared" si="37"/>
        <v>16.720000000000002</v>
      </c>
      <c r="N473" s="1437">
        <f t="shared" si="38"/>
        <v>-16.162881940000002</v>
      </c>
    </row>
    <row r="474" spans="1:14" ht="29" outlineLevel="1">
      <c r="A474" s="1499">
        <f t="shared" si="33"/>
        <v>1</v>
      </c>
      <c r="B474" s="1512" t="str">
        <f t="shared" si="33"/>
        <v>Area grading</v>
      </c>
      <c r="C474" s="1511" t="str">
        <f t="shared" si="33"/>
        <v>MERC CAPEX Approval in MTR Order 296 of 2019</v>
      </c>
      <c r="D474" s="1334" t="str">
        <f t="shared" si="33"/>
        <v>-</v>
      </c>
      <c r="E474" s="1430">
        <f t="shared" si="33"/>
        <v>0</v>
      </c>
      <c r="F474" s="1437">
        <f t="shared" si="34"/>
        <v>6.6028819399999996</v>
      </c>
      <c r="G474" s="1437">
        <f t="shared" si="35"/>
        <v>0</v>
      </c>
      <c r="H474" s="1437">
        <f t="shared" si="36"/>
        <v>6.6028819399999996</v>
      </c>
      <c r="I474" s="1437">
        <v>0.38375873999999999</v>
      </c>
      <c r="J474" s="1437">
        <v>0.89</v>
      </c>
      <c r="K474" s="1438"/>
      <c r="L474" s="1438"/>
      <c r="M474" s="1437">
        <f t="shared" si="37"/>
        <v>0.89</v>
      </c>
      <c r="N474" s="1437">
        <f t="shared" si="38"/>
        <v>6.0966406800000001</v>
      </c>
    </row>
    <row r="475" spans="1:14" ht="29" outlineLevel="1">
      <c r="A475" s="1499">
        <f t="shared" si="33"/>
        <v>2</v>
      </c>
      <c r="B475" s="1512" t="str">
        <f t="shared" si="33"/>
        <v>CMD</v>
      </c>
      <c r="C475" s="1511" t="str">
        <f t="shared" si="33"/>
        <v>MERC CAPEX Approval in MTR Order 296 of 2019</v>
      </c>
      <c r="D475" s="1334" t="str">
        <f t="shared" si="33"/>
        <v>-</v>
      </c>
      <c r="E475" s="1430">
        <f t="shared" si="33"/>
        <v>0</v>
      </c>
      <c r="F475" s="1437">
        <f t="shared" si="34"/>
        <v>0.76624126000000015</v>
      </c>
      <c r="G475" s="1437">
        <f t="shared" si="35"/>
        <v>0</v>
      </c>
      <c r="H475" s="1437">
        <f t="shared" si="36"/>
        <v>0.76624126000000015</v>
      </c>
      <c r="I475" s="1437">
        <v>0.47483324000000099</v>
      </c>
      <c r="J475" s="1437">
        <v>1.3549000000000009</v>
      </c>
      <c r="K475" s="1438"/>
      <c r="L475" s="1438"/>
      <c r="M475" s="1437">
        <f t="shared" si="37"/>
        <v>1.3549000000000009</v>
      </c>
      <c r="N475" s="1437">
        <f t="shared" si="38"/>
        <v>-0.11382549999999969</v>
      </c>
    </row>
    <row r="476" spans="1:14" ht="29" outlineLevel="1">
      <c r="A476" s="1499">
        <f t="shared" si="33"/>
        <v>3</v>
      </c>
      <c r="B476" s="1512" t="str">
        <f t="shared" si="33"/>
        <v>Conveyor 09, 10 &amp; TP 06</v>
      </c>
      <c r="C476" s="1511" t="str">
        <f t="shared" si="33"/>
        <v>MERC CAPEX Approval in MTR Order 296 of 2019</v>
      </c>
      <c r="D476" s="1334" t="str">
        <f t="shared" si="33"/>
        <v>-</v>
      </c>
      <c r="E476" s="1430">
        <f t="shared" si="33"/>
        <v>0</v>
      </c>
      <c r="F476" s="1437">
        <f t="shared" si="34"/>
        <v>10.605166759999999</v>
      </c>
      <c r="G476" s="1437">
        <f t="shared" si="35"/>
        <v>0</v>
      </c>
      <c r="H476" s="1437">
        <f t="shared" si="36"/>
        <v>10.605166759999999</v>
      </c>
      <c r="I476" s="1437">
        <v>3.9553725000000002</v>
      </c>
      <c r="J476" s="1437">
        <v>10.1</v>
      </c>
      <c r="K476" s="1438"/>
      <c r="L476" s="1438"/>
      <c r="M476" s="1437">
        <f t="shared" si="37"/>
        <v>10.1</v>
      </c>
      <c r="N476" s="1437">
        <f t="shared" si="38"/>
        <v>4.4605392599999991</v>
      </c>
    </row>
    <row r="477" spans="1:14" ht="29" outlineLevel="1">
      <c r="A477" s="1499">
        <f t="shared" si="33"/>
        <v>4</v>
      </c>
      <c r="B477" s="1512" t="str">
        <f t="shared" si="33"/>
        <v>Finishing item</v>
      </c>
      <c r="C477" s="1511" t="str">
        <f t="shared" si="33"/>
        <v>MERC CAPEX Approval in MTR Order 296 of 2019</v>
      </c>
      <c r="D477" s="1334" t="str">
        <f t="shared" si="33"/>
        <v>-</v>
      </c>
      <c r="E477" s="1430">
        <f t="shared" si="33"/>
        <v>0</v>
      </c>
      <c r="F477" s="1437">
        <f t="shared" si="34"/>
        <v>6.1446274999999995</v>
      </c>
      <c r="G477" s="1437">
        <f t="shared" si="35"/>
        <v>0</v>
      </c>
      <c r="H477" s="1437">
        <f t="shared" si="36"/>
        <v>6.1446274999999995</v>
      </c>
      <c r="I477" s="1437">
        <v>1.94033754</v>
      </c>
      <c r="J477" s="1437">
        <v>4.6505999999999998</v>
      </c>
      <c r="K477" s="1438"/>
      <c r="L477" s="1438"/>
      <c r="M477" s="1437">
        <f t="shared" si="37"/>
        <v>4.6505999999999998</v>
      </c>
      <c r="N477" s="1437">
        <f t="shared" si="38"/>
        <v>3.4343650400000003</v>
      </c>
    </row>
    <row r="478" spans="1:14" ht="29" outlineLevel="1">
      <c r="A478" s="1499">
        <f t="shared" si="33"/>
        <v>5</v>
      </c>
      <c r="B478" s="1512" t="str">
        <f t="shared" si="33"/>
        <v>Drain &amp; nala</v>
      </c>
      <c r="C478" s="1511" t="str">
        <f t="shared" si="33"/>
        <v>MERC CAPEX Approval in MTR Order 296 of 2019</v>
      </c>
      <c r="D478" s="1334" t="str">
        <f t="shared" si="33"/>
        <v>-</v>
      </c>
      <c r="E478" s="1430">
        <f t="shared" si="33"/>
        <v>0</v>
      </c>
      <c r="F478" s="1437">
        <f t="shared" si="34"/>
        <v>2.7096624600000001</v>
      </c>
      <c r="G478" s="1437">
        <f t="shared" si="35"/>
        <v>0</v>
      </c>
      <c r="H478" s="1437">
        <f t="shared" si="36"/>
        <v>2.7096624600000001</v>
      </c>
      <c r="I478" s="1437">
        <v>2.3751707799999999</v>
      </c>
      <c r="J478" s="1437">
        <v>11.79</v>
      </c>
      <c r="K478" s="1438"/>
      <c r="L478" s="1438"/>
      <c r="M478" s="1437">
        <f t="shared" si="37"/>
        <v>11.79</v>
      </c>
      <c r="N478" s="1437">
        <f t="shared" si="38"/>
        <v>-6.7051667599999991</v>
      </c>
    </row>
    <row r="479" spans="1:14" ht="29" outlineLevel="1">
      <c r="A479" s="1499">
        <f t="shared" si="33"/>
        <v>6</v>
      </c>
      <c r="B479" s="1512" t="str">
        <f t="shared" si="33"/>
        <v>Internal roads</v>
      </c>
      <c r="C479" s="1511" t="str">
        <f t="shared" si="33"/>
        <v>MERC CAPEX Approval in MTR Order 296 of 2019</v>
      </c>
      <c r="D479" s="1334" t="str">
        <f t="shared" si="33"/>
        <v>-</v>
      </c>
      <c r="E479" s="1430">
        <f t="shared" si="33"/>
        <v>0</v>
      </c>
      <c r="F479" s="1437">
        <f t="shared" si="34"/>
        <v>9.4148292199999997</v>
      </c>
      <c r="G479" s="1437">
        <f t="shared" si="35"/>
        <v>0</v>
      </c>
      <c r="H479" s="1437">
        <f t="shared" si="36"/>
        <v>9.4148292199999997</v>
      </c>
      <c r="I479" s="1437">
        <v>0.33731576000000002</v>
      </c>
      <c r="J479" s="1437">
        <v>1.5</v>
      </c>
      <c r="K479" s="1438"/>
      <c r="L479" s="1438"/>
      <c r="M479" s="1437">
        <f t="shared" si="37"/>
        <v>1.5</v>
      </c>
      <c r="N479" s="1437">
        <f t="shared" si="38"/>
        <v>8.2521449799999989</v>
      </c>
    </row>
    <row r="480" spans="1:14" ht="29" outlineLevel="1">
      <c r="A480" s="1499">
        <f t="shared" si="33"/>
        <v>7</v>
      </c>
      <c r="B480" s="1512" t="str">
        <f t="shared" si="33"/>
        <v>Stacker &amp; reclaimer</v>
      </c>
      <c r="C480" s="1511" t="str">
        <f t="shared" si="33"/>
        <v>MERC CAPEX Approval in MTR Order 296 of 2019</v>
      </c>
      <c r="D480" s="1334" t="str">
        <f t="shared" si="33"/>
        <v>-</v>
      </c>
      <c r="E480" s="1430">
        <f t="shared" si="33"/>
        <v>0</v>
      </c>
      <c r="F480" s="1437">
        <f t="shared" si="34"/>
        <v>1.1626842399999999</v>
      </c>
      <c r="G480" s="1437">
        <f t="shared" si="35"/>
        <v>0</v>
      </c>
      <c r="H480" s="1437">
        <f t="shared" si="36"/>
        <v>1.1626842399999999</v>
      </c>
      <c r="I480" s="1437">
        <v>0</v>
      </c>
      <c r="J480" s="1437">
        <v>0</v>
      </c>
      <c r="K480" s="1438"/>
      <c r="L480" s="1438"/>
      <c r="M480" s="1437">
        <f t="shared" si="37"/>
        <v>0</v>
      </c>
      <c r="N480" s="1437">
        <f t="shared" si="38"/>
        <v>1.1626842399999999</v>
      </c>
    </row>
    <row r="481" spans="1:16" ht="15.5" outlineLevel="1">
      <c r="A481" s="1493">
        <f t="shared" ref="A481:E496" si="39">A88</f>
        <v>0</v>
      </c>
      <c r="B481" s="1494" t="str">
        <f t="shared" si="39"/>
        <v>Other Add Cap</v>
      </c>
      <c r="C481" s="1495">
        <f t="shared" si="39"/>
        <v>0</v>
      </c>
      <c r="D481" s="1341" t="str">
        <f t="shared" si="39"/>
        <v>-</v>
      </c>
      <c r="E481" s="1496">
        <f t="shared" si="39"/>
        <v>0</v>
      </c>
      <c r="F481" s="1437">
        <f t="shared" si="34"/>
        <v>0</v>
      </c>
      <c r="G481" s="1437">
        <f t="shared" si="35"/>
        <v>0</v>
      </c>
      <c r="H481" s="1437">
        <f t="shared" si="36"/>
        <v>0</v>
      </c>
      <c r="I481" s="1437">
        <v>0</v>
      </c>
      <c r="J481" s="1437">
        <v>0</v>
      </c>
      <c r="K481" s="1438"/>
      <c r="L481" s="1438"/>
      <c r="M481" s="1437">
        <f t="shared" si="37"/>
        <v>0</v>
      </c>
      <c r="N481" s="1437">
        <f t="shared" si="38"/>
        <v>0</v>
      </c>
    </row>
    <row r="482" spans="1:16" ht="15.5" outlineLevel="1">
      <c r="A482" s="1491">
        <f t="shared" si="39"/>
        <v>0</v>
      </c>
      <c r="B482" s="1377" t="str">
        <f t="shared" si="39"/>
        <v>Laboratory set up</v>
      </c>
      <c r="C482" s="1492" t="str">
        <f t="shared" si="39"/>
        <v>Add Cap (As per 296 of 2019)</v>
      </c>
      <c r="D482" s="1334" t="str">
        <f t="shared" si="39"/>
        <v>-</v>
      </c>
      <c r="E482" s="1378">
        <f t="shared" si="39"/>
        <v>0</v>
      </c>
      <c r="F482" s="1437">
        <f t="shared" si="34"/>
        <v>0</v>
      </c>
      <c r="G482" s="1437">
        <f t="shared" si="35"/>
        <v>0</v>
      </c>
      <c r="H482" s="1437">
        <f t="shared" si="36"/>
        <v>0</v>
      </c>
      <c r="I482" s="1437">
        <v>0</v>
      </c>
      <c r="J482" s="1437">
        <v>0</v>
      </c>
      <c r="K482" s="1438"/>
      <c r="L482" s="1438"/>
      <c r="M482" s="1437">
        <f t="shared" si="37"/>
        <v>0</v>
      </c>
      <c r="N482" s="1437">
        <f t="shared" si="38"/>
        <v>0</v>
      </c>
    </row>
    <row r="483" spans="1:16" ht="31" outlineLevel="1">
      <c r="A483" s="1491">
        <f t="shared" si="39"/>
        <v>1</v>
      </c>
      <c r="B483" s="1513" t="str">
        <f t="shared" si="39"/>
        <v>Supply of Analytical Instruments for condition monitoring Laboratory for 1X250 MW of   NPTPS, Parli-V.</v>
      </c>
      <c r="C483" s="1492" t="str">
        <f t="shared" si="39"/>
        <v>Add Cap (As per 296 of 2019)</v>
      </c>
      <c r="D483" s="1514" t="str">
        <f t="shared" si="39"/>
        <v>-</v>
      </c>
      <c r="E483" s="1382">
        <f t="shared" si="39"/>
        <v>0.5</v>
      </c>
      <c r="F483" s="1437">
        <f t="shared" si="34"/>
        <v>0.49655460000000001</v>
      </c>
      <c r="G483" s="1437">
        <f t="shared" si="35"/>
        <v>0.49655460000000001</v>
      </c>
      <c r="H483" s="1437">
        <f t="shared" si="36"/>
        <v>0</v>
      </c>
      <c r="I483" s="1437">
        <v>0</v>
      </c>
      <c r="J483" s="1437">
        <v>0</v>
      </c>
      <c r="K483" s="1438"/>
      <c r="L483" s="1438"/>
      <c r="M483" s="1437">
        <f t="shared" si="37"/>
        <v>0</v>
      </c>
      <c r="N483" s="1437">
        <f t="shared" si="38"/>
        <v>0</v>
      </c>
    </row>
    <row r="484" spans="1:16" ht="31" outlineLevel="1">
      <c r="A484" s="1491">
        <f t="shared" si="39"/>
        <v>2</v>
      </c>
      <c r="B484" s="1513" t="str">
        <f t="shared" si="39"/>
        <v>Supply of Analytical Instruments for Water Analysis Laboratory for 1X250 MW of   NPTPS, Parli-V</v>
      </c>
      <c r="C484" s="1492" t="str">
        <f t="shared" si="39"/>
        <v>Add Cap (As per 296 of 2019)</v>
      </c>
      <c r="D484" s="1334" t="str">
        <f t="shared" si="39"/>
        <v>-</v>
      </c>
      <c r="E484" s="1382">
        <f t="shared" si="39"/>
        <v>1.23</v>
      </c>
      <c r="F484" s="1437">
        <f t="shared" si="34"/>
        <v>0.29846889999999998</v>
      </c>
      <c r="G484" s="1437">
        <f t="shared" si="35"/>
        <v>0.29846889999999998</v>
      </c>
      <c r="H484" s="1437">
        <f t="shared" si="36"/>
        <v>0</v>
      </c>
      <c r="I484" s="1437">
        <v>0</v>
      </c>
      <c r="J484" s="1437">
        <v>0</v>
      </c>
      <c r="K484" s="1438"/>
      <c r="L484" s="1438"/>
      <c r="M484" s="1437">
        <f t="shared" si="37"/>
        <v>0</v>
      </c>
      <c r="N484" s="1437">
        <f t="shared" si="38"/>
        <v>0</v>
      </c>
    </row>
    <row r="485" spans="1:16" ht="31" outlineLevel="1">
      <c r="A485" s="1491">
        <f t="shared" si="39"/>
        <v>3</v>
      </c>
      <c r="B485" s="1513" t="str">
        <f t="shared" si="39"/>
        <v>Supply of Analytical Instruments for Environment Laboratory for 1 x 250 MW, NPTPS, Parli-V.</v>
      </c>
      <c r="C485" s="1492" t="str">
        <f t="shared" si="39"/>
        <v>Add Cap (As per 296 of 2019)</v>
      </c>
      <c r="D485" s="1514" t="str">
        <f t="shared" si="39"/>
        <v>-</v>
      </c>
      <c r="E485" s="1382">
        <f t="shared" si="39"/>
        <v>0.39</v>
      </c>
      <c r="F485" s="1437">
        <f t="shared" si="34"/>
        <v>0.36579919999999999</v>
      </c>
      <c r="G485" s="1437">
        <f t="shared" si="35"/>
        <v>0.36579919999999999</v>
      </c>
      <c r="H485" s="1437">
        <f t="shared" si="36"/>
        <v>0</v>
      </c>
      <c r="I485" s="1437">
        <v>0</v>
      </c>
      <c r="J485" s="1437">
        <v>0</v>
      </c>
      <c r="K485" s="1438"/>
      <c r="L485" s="1438"/>
      <c r="M485" s="1437">
        <f t="shared" si="37"/>
        <v>0</v>
      </c>
      <c r="N485" s="1437">
        <f t="shared" si="38"/>
        <v>0</v>
      </c>
    </row>
    <row r="486" spans="1:16" ht="31" outlineLevel="1">
      <c r="A486" s="1491">
        <f t="shared" si="39"/>
        <v>4</v>
      </c>
      <c r="B486" s="1513" t="str">
        <f t="shared" si="39"/>
        <v>Supply of Analytical Instruments for Precision Laboratory for 1 x 250 MW, NPTPS, Parli-V.</v>
      </c>
      <c r="C486" s="1492" t="str">
        <f t="shared" si="39"/>
        <v>Add Cap (As per 296 of 2019)</v>
      </c>
      <c r="D486" s="1334" t="str">
        <f t="shared" si="39"/>
        <v>-</v>
      </c>
      <c r="E486" s="1382">
        <f t="shared" si="39"/>
        <v>1</v>
      </c>
      <c r="F486" s="1437">
        <f t="shared" si="34"/>
        <v>0</v>
      </c>
      <c r="G486" s="1437">
        <f t="shared" si="35"/>
        <v>0</v>
      </c>
      <c r="H486" s="1437">
        <f t="shared" si="36"/>
        <v>0</v>
      </c>
      <c r="I486" s="1437">
        <v>0</v>
      </c>
      <c r="J486" s="1437">
        <v>0</v>
      </c>
      <c r="K486" s="1438"/>
      <c r="L486" s="1438"/>
      <c r="M486" s="1437">
        <f t="shared" si="37"/>
        <v>0</v>
      </c>
      <c r="N486" s="1437">
        <f t="shared" si="38"/>
        <v>0</v>
      </c>
    </row>
    <row r="487" spans="1:16" ht="31" outlineLevel="1">
      <c r="A487" s="1491">
        <f t="shared" si="39"/>
        <v>5</v>
      </c>
      <c r="B487" s="1513" t="str">
        <f t="shared" si="39"/>
        <v>Supply of Analytical Instruments for General Laboratory of Water Treatment Plant of 1 x 250 MW, NPTPS, Parli-V.</v>
      </c>
      <c r="C487" s="1492" t="str">
        <f t="shared" si="39"/>
        <v>Add Cap (As per 296 of 2019)</v>
      </c>
      <c r="D487" s="1334" t="str">
        <f t="shared" si="39"/>
        <v>-</v>
      </c>
      <c r="E487" s="1382">
        <f t="shared" si="39"/>
        <v>0.93</v>
      </c>
      <c r="F487" s="1437">
        <f t="shared" si="34"/>
        <v>0</v>
      </c>
      <c r="G487" s="1437">
        <f t="shared" si="35"/>
        <v>0</v>
      </c>
      <c r="H487" s="1437">
        <f t="shared" si="36"/>
        <v>0</v>
      </c>
      <c r="I487" s="1437">
        <v>0</v>
      </c>
      <c r="J487" s="1437">
        <v>0</v>
      </c>
      <c r="K487" s="1438"/>
      <c r="L487" s="1438"/>
      <c r="M487" s="1437">
        <f t="shared" si="37"/>
        <v>0</v>
      </c>
      <c r="N487" s="1437">
        <f t="shared" si="38"/>
        <v>0</v>
      </c>
    </row>
    <row r="488" spans="1:16" ht="31" outlineLevel="1">
      <c r="A488" s="1491">
        <f t="shared" si="39"/>
        <v>6</v>
      </c>
      <c r="B488" s="1513" t="str">
        <f t="shared" si="39"/>
        <v>Supply of Corrosion Monitor/Meter, Corrosion Coupon &amp; Coupon Rack for 1X250 MW of   NPTPS, Parli-V.</v>
      </c>
      <c r="C488" s="1492" t="str">
        <f t="shared" si="39"/>
        <v>Add Cap (As per 296 of 2019)</v>
      </c>
      <c r="D488" s="1334" t="str">
        <f t="shared" si="39"/>
        <v>-</v>
      </c>
      <c r="E488" s="1382">
        <f t="shared" si="39"/>
        <v>0.34</v>
      </c>
      <c r="F488" s="1437">
        <f t="shared" si="34"/>
        <v>0.347356836</v>
      </c>
      <c r="G488" s="1437">
        <f t="shared" si="35"/>
        <v>0.347356836</v>
      </c>
      <c r="H488" s="1437">
        <f t="shared" si="36"/>
        <v>0</v>
      </c>
      <c r="I488" s="1437">
        <v>0</v>
      </c>
      <c r="J488" s="1437">
        <v>0</v>
      </c>
      <c r="K488" s="1438"/>
      <c r="L488" s="1438"/>
      <c r="M488" s="1437">
        <f t="shared" si="37"/>
        <v>0</v>
      </c>
      <c r="N488" s="1437">
        <f t="shared" si="38"/>
        <v>0</v>
      </c>
    </row>
    <row r="489" spans="1:16" ht="31" outlineLevel="1">
      <c r="A489" s="1491">
        <f t="shared" si="39"/>
        <v>7</v>
      </c>
      <c r="B489" s="1515" t="str">
        <f t="shared" si="39"/>
        <v>Supply of Analytical Instruments for Coal Analysis Laboratory for 1X250 MW of   NPTPS, Parli-V</v>
      </c>
      <c r="C489" s="1492" t="str">
        <f t="shared" si="39"/>
        <v>Add Cap (As per 296 of 2019)</v>
      </c>
      <c r="D489" s="1334" t="str">
        <f t="shared" si="39"/>
        <v>-</v>
      </c>
      <c r="E489" s="1382">
        <f t="shared" si="39"/>
        <v>1.65</v>
      </c>
      <c r="F489" s="1437">
        <f t="shared" si="34"/>
        <v>0.39444410000000002</v>
      </c>
      <c r="G489" s="1437">
        <f t="shared" si="35"/>
        <v>0.39444410000000002</v>
      </c>
      <c r="H489" s="1437">
        <f t="shared" si="36"/>
        <v>0</v>
      </c>
      <c r="I489" s="1437">
        <v>0</v>
      </c>
      <c r="J489" s="1437">
        <v>0</v>
      </c>
      <c r="K489" s="1438"/>
      <c r="L489" s="1438"/>
      <c r="M489" s="1437">
        <f t="shared" si="37"/>
        <v>0</v>
      </c>
      <c r="N489" s="1437">
        <f t="shared" si="38"/>
        <v>0</v>
      </c>
      <c r="O489" s="1529">
        <f t="shared" ref="O489:O491" si="40">MAX(0,IF(M489=0,0,IF(G489+M489&lt;E489,M489,E489-G489)))</f>
        <v>0</v>
      </c>
      <c r="P489" s="1439">
        <f t="shared" ref="P489:P491" si="41">M489-O489</f>
        <v>0</v>
      </c>
    </row>
    <row r="490" spans="1:16" ht="15.5" outlineLevel="1">
      <c r="A490" s="1491">
        <f t="shared" si="39"/>
        <v>9</v>
      </c>
      <c r="B490" s="1377" t="str">
        <f t="shared" si="39"/>
        <v>Grade slab (WTP Area)</v>
      </c>
      <c r="C490" s="1492" t="str">
        <f t="shared" si="39"/>
        <v>Add Cap (As per 296 of 2019)</v>
      </c>
      <c r="D490" s="1334" t="str">
        <f t="shared" si="39"/>
        <v>-</v>
      </c>
      <c r="E490" s="1378">
        <f t="shared" si="39"/>
        <v>1</v>
      </c>
      <c r="F490" s="1437">
        <f t="shared" si="34"/>
        <v>0.99752063400000002</v>
      </c>
      <c r="G490" s="1437">
        <f t="shared" si="35"/>
        <v>0.99752063400000002</v>
      </c>
      <c r="H490" s="1437">
        <f t="shared" si="36"/>
        <v>0</v>
      </c>
      <c r="I490" s="1437">
        <v>0</v>
      </c>
      <c r="J490" s="1437">
        <v>0</v>
      </c>
      <c r="K490" s="1438"/>
      <c r="L490" s="1438"/>
      <c r="M490" s="1437">
        <f t="shared" si="37"/>
        <v>0</v>
      </c>
      <c r="N490" s="1437">
        <f t="shared" si="38"/>
        <v>0</v>
      </c>
      <c r="O490" s="1529">
        <f t="shared" si="40"/>
        <v>0</v>
      </c>
      <c r="P490" s="1439">
        <f t="shared" si="41"/>
        <v>0</v>
      </c>
    </row>
    <row r="491" spans="1:16" ht="15.5" outlineLevel="1">
      <c r="A491" s="1491">
        <f t="shared" si="39"/>
        <v>10</v>
      </c>
      <c r="B491" s="1377" t="str">
        <f t="shared" si="39"/>
        <v>Grade slab (Near AHP Building)</v>
      </c>
      <c r="C491" s="1492" t="str">
        <f t="shared" si="39"/>
        <v>Add Cap (As per 296 of 2019)</v>
      </c>
      <c r="D491" s="1334" t="str">
        <f t="shared" si="39"/>
        <v>-</v>
      </c>
      <c r="E491" s="1384">
        <f t="shared" si="39"/>
        <v>0.75</v>
      </c>
      <c r="F491" s="1437">
        <f t="shared" si="34"/>
        <v>0.74556261000000001</v>
      </c>
      <c r="G491" s="1437">
        <f t="shared" si="35"/>
        <v>0.74556261000000001</v>
      </c>
      <c r="H491" s="1437">
        <f t="shared" si="36"/>
        <v>0</v>
      </c>
      <c r="I491" s="1437">
        <v>0</v>
      </c>
      <c r="J491" s="1437">
        <v>0</v>
      </c>
      <c r="K491" s="1438"/>
      <c r="L491" s="1438"/>
      <c r="M491" s="1437">
        <f t="shared" si="37"/>
        <v>0</v>
      </c>
      <c r="N491" s="1437">
        <f t="shared" si="38"/>
        <v>0</v>
      </c>
      <c r="O491" s="1529">
        <f t="shared" si="40"/>
        <v>0</v>
      </c>
      <c r="P491" s="1439">
        <f t="shared" si="41"/>
        <v>0</v>
      </c>
    </row>
    <row r="492" spans="1:16" ht="15.5" outlineLevel="1">
      <c r="A492" s="1516">
        <f t="shared" si="39"/>
        <v>11</v>
      </c>
      <c r="B492" s="1385" t="str">
        <f t="shared" si="39"/>
        <v>Temporary shed for empty barrles &amp; filled barrles</v>
      </c>
      <c r="C492" s="1492" t="str">
        <f t="shared" si="39"/>
        <v>Add Cap (As per 296 of 2019)</v>
      </c>
      <c r="D492" s="1514" t="str">
        <f t="shared" si="39"/>
        <v>-</v>
      </c>
      <c r="E492" s="1384">
        <f t="shared" si="39"/>
        <v>0.5</v>
      </c>
      <c r="F492" s="1437">
        <f t="shared" si="34"/>
        <v>0.45635233799999997</v>
      </c>
      <c r="G492" s="1437">
        <f t="shared" si="35"/>
        <v>0.45635233799999997</v>
      </c>
      <c r="H492" s="1437">
        <f t="shared" si="36"/>
        <v>0</v>
      </c>
      <c r="I492" s="1437">
        <v>0</v>
      </c>
      <c r="J492" s="1437">
        <v>0</v>
      </c>
      <c r="K492" s="1438"/>
      <c r="L492" s="1438"/>
      <c r="M492" s="1437">
        <f t="shared" si="37"/>
        <v>0</v>
      </c>
      <c r="N492" s="1437">
        <f t="shared" si="38"/>
        <v>0</v>
      </c>
    </row>
    <row r="493" spans="1:16" ht="15.5" outlineLevel="1">
      <c r="A493" s="1491">
        <f t="shared" si="39"/>
        <v>12</v>
      </c>
      <c r="B493" s="1386" t="str">
        <f t="shared" si="39"/>
        <v>Cabins for operators at TP.</v>
      </c>
      <c r="C493" s="1492" t="str">
        <f t="shared" si="39"/>
        <v>Add Cap (As per 296 of 2019)</v>
      </c>
      <c r="D493" s="1334" t="str">
        <f t="shared" si="39"/>
        <v>-</v>
      </c>
      <c r="E493" s="1384">
        <f t="shared" si="39"/>
        <v>0.2</v>
      </c>
      <c r="F493" s="1437">
        <f t="shared" si="34"/>
        <v>0.18583111099999999</v>
      </c>
      <c r="G493" s="1437">
        <f t="shared" si="35"/>
        <v>0.18583111099999999</v>
      </c>
      <c r="H493" s="1437">
        <f t="shared" si="36"/>
        <v>0</v>
      </c>
      <c r="I493" s="1437">
        <v>0</v>
      </c>
      <c r="J493" s="1437">
        <v>0</v>
      </c>
      <c r="K493" s="1438"/>
      <c r="L493" s="1438"/>
      <c r="M493" s="1437">
        <f t="shared" si="37"/>
        <v>0</v>
      </c>
      <c r="N493" s="1437">
        <f t="shared" si="38"/>
        <v>0</v>
      </c>
    </row>
    <row r="494" spans="1:16" ht="15.5" outlineLevel="1">
      <c r="A494" s="1491">
        <f t="shared" si="39"/>
        <v>13</v>
      </c>
      <c r="B494" s="1385" t="str">
        <f t="shared" si="39"/>
        <v>Compound wall for isolation of administrative building.</v>
      </c>
      <c r="C494" s="1492" t="str">
        <f t="shared" si="39"/>
        <v>Add Cap (As per 296 of 2019)</v>
      </c>
      <c r="D494" s="1334" t="str">
        <f t="shared" si="39"/>
        <v>-</v>
      </c>
      <c r="E494" s="1384">
        <f t="shared" si="39"/>
        <v>0.5</v>
      </c>
      <c r="F494" s="1437">
        <f t="shared" si="34"/>
        <v>0</v>
      </c>
      <c r="G494" s="1437">
        <f t="shared" si="35"/>
        <v>0</v>
      </c>
      <c r="H494" s="1437">
        <f t="shared" si="36"/>
        <v>0</v>
      </c>
      <c r="I494" s="1437">
        <v>0</v>
      </c>
      <c r="J494" s="1437">
        <v>0</v>
      </c>
      <c r="K494" s="1438"/>
      <c r="L494" s="1438"/>
      <c r="M494" s="1437">
        <f t="shared" si="37"/>
        <v>0</v>
      </c>
      <c r="N494" s="1437">
        <f t="shared" si="38"/>
        <v>0</v>
      </c>
    </row>
    <row r="495" spans="1:16" ht="46.5" outlineLevel="1">
      <c r="A495" s="1491">
        <f t="shared" si="39"/>
        <v>14</v>
      </c>
      <c r="B495" s="1386" t="str">
        <f t="shared" si="39"/>
        <v>Work of providing/ fixing of internal partitions of aluminium/Nova palm/glass/wooden for Unit 8 service building &amp; other allied builings in the premises.</v>
      </c>
      <c r="C495" s="1492" t="str">
        <f t="shared" si="39"/>
        <v>Add Cap (As per 296 of 2019)</v>
      </c>
      <c r="D495" s="1334" t="str">
        <f t="shared" si="39"/>
        <v>-</v>
      </c>
      <c r="E495" s="1378">
        <f t="shared" si="39"/>
        <v>0.7</v>
      </c>
      <c r="F495" s="1437">
        <f t="shared" si="34"/>
        <v>0.67356391299999996</v>
      </c>
      <c r="G495" s="1437">
        <f t="shared" si="35"/>
        <v>0.67356391299999996</v>
      </c>
      <c r="H495" s="1437">
        <f t="shared" si="36"/>
        <v>0</v>
      </c>
      <c r="I495" s="1437">
        <v>0</v>
      </c>
      <c r="J495" s="1437">
        <v>0</v>
      </c>
      <c r="K495" s="1438"/>
      <c r="L495" s="1438"/>
      <c r="M495" s="1437">
        <f t="shared" si="37"/>
        <v>0</v>
      </c>
      <c r="N495" s="1437">
        <f t="shared" si="38"/>
        <v>0</v>
      </c>
    </row>
    <row r="496" spans="1:16" ht="46.5" outlineLevel="1">
      <c r="A496" s="1517">
        <f t="shared" si="39"/>
        <v>15</v>
      </c>
      <c r="B496" s="1518" t="str">
        <f t="shared" si="39"/>
        <v>Provision of DM and softening water line interconnection from u-6,7 to u-8 &amp; Provision of recovery of waste water from sandava pump house,NDCT.</v>
      </c>
      <c r="C496" s="1492" t="str">
        <f t="shared" si="39"/>
        <v>Add Cap (As per 296 of 2019)</v>
      </c>
      <c r="D496" s="1334" t="str">
        <f t="shared" si="39"/>
        <v>-</v>
      </c>
      <c r="E496" s="1378">
        <f t="shared" si="39"/>
        <v>3</v>
      </c>
      <c r="F496" s="1437">
        <f t="shared" si="34"/>
        <v>1.0266339840000001</v>
      </c>
      <c r="G496" s="1437">
        <f t="shared" si="35"/>
        <v>1.0266339840000001</v>
      </c>
      <c r="H496" s="1437">
        <f t="shared" si="36"/>
        <v>0</v>
      </c>
      <c r="I496" s="1437">
        <v>0</v>
      </c>
      <c r="J496" s="1437">
        <v>0</v>
      </c>
      <c r="K496" s="1438"/>
      <c r="L496" s="1438"/>
      <c r="M496" s="1437">
        <f t="shared" si="37"/>
        <v>0</v>
      </c>
      <c r="N496" s="1437">
        <f t="shared" si="38"/>
        <v>0</v>
      </c>
    </row>
    <row r="497" spans="1:14" ht="15.5" outlineLevel="1">
      <c r="A497" s="1519">
        <f t="shared" ref="A497:E512" si="42">A104</f>
        <v>0</v>
      </c>
      <c r="B497" s="1520">
        <f t="shared" si="42"/>
        <v>0</v>
      </c>
      <c r="C497" s="1492" t="str">
        <f t="shared" si="42"/>
        <v>Add Cap (As per 296 of 2019)</v>
      </c>
      <c r="D497" s="1334" t="str">
        <f t="shared" si="42"/>
        <v>-</v>
      </c>
      <c r="E497" s="1378">
        <f t="shared" si="42"/>
        <v>0</v>
      </c>
      <c r="F497" s="1437">
        <f t="shared" si="34"/>
        <v>1.8371300820000001</v>
      </c>
      <c r="G497" s="1437">
        <f t="shared" si="35"/>
        <v>1.8371300820000001</v>
      </c>
      <c r="H497" s="1437">
        <f t="shared" si="36"/>
        <v>0</v>
      </c>
      <c r="I497" s="1437">
        <v>0</v>
      </c>
      <c r="J497" s="1437">
        <v>0</v>
      </c>
      <c r="K497" s="1438"/>
      <c r="L497" s="1438"/>
      <c r="M497" s="1437">
        <f t="shared" si="37"/>
        <v>0</v>
      </c>
      <c r="N497" s="1437">
        <f t="shared" si="38"/>
        <v>0</v>
      </c>
    </row>
    <row r="498" spans="1:14" ht="15.5" outlineLevel="1">
      <c r="A498" s="1491">
        <f t="shared" si="42"/>
        <v>16</v>
      </c>
      <c r="B498" s="1513" t="str">
        <f t="shared" si="42"/>
        <v xml:space="preserve"> Hydraulic drive system modification.    </v>
      </c>
      <c r="C498" s="1492" t="str">
        <f t="shared" si="42"/>
        <v>Add Cap (As per 296 of 2019)</v>
      </c>
      <c r="D498" s="1334" t="str">
        <f t="shared" si="42"/>
        <v>-</v>
      </c>
      <c r="E498" s="1521">
        <f t="shared" si="42"/>
        <v>2.5</v>
      </c>
      <c r="F498" s="1437">
        <f t="shared" si="34"/>
        <v>2.4383865259999999</v>
      </c>
      <c r="G498" s="1437">
        <f t="shared" si="35"/>
        <v>2.4383865259999999</v>
      </c>
      <c r="H498" s="1437">
        <f t="shared" si="36"/>
        <v>0</v>
      </c>
      <c r="I498" s="1437">
        <v>0</v>
      </c>
      <c r="J498" s="1437">
        <v>0</v>
      </c>
      <c r="K498" s="1438"/>
      <c r="L498" s="1438"/>
      <c r="M498" s="1437">
        <f t="shared" si="37"/>
        <v>0</v>
      </c>
      <c r="N498" s="1437">
        <f t="shared" si="38"/>
        <v>0</v>
      </c>
    </row>
    <row r="499" spans="1:14" ht="15.5" outlineLevel="1">
      <c r="A499" s="1491">
        <f t="shared" si="42"/>
        <v>17</v>
      </c>
      <c r="B499" s="1513" t="str">
        <f t="shared" si="42"/>
        <v xml:space="preserve">Link conveyor from Con-2 of U-6/7 to Con.-2AB of U-8. </v>
      </c>
      <c r="C499" s="1492" t="str">
        <f t="shared" si="42"/>
        <v>Add Cap (As per 296 of 2019)</v>
      </c>
      <c r="D499" s="1334" t="str">
        <f t="shared" si="42"/>
        <v>-</v>
      </c>
      <c r="E499" s="1521">
        <f t="shared" si="42"/>
        <v>3.7</v>
      </c>
      <c r="F499" s="1437">
        <f t="shared" si="34"/>
        <v>3.8434434319999999</v>
      </c>
      <c r="G499" s="1437">
        <f t="shared" si="35"/>
        <v>3.8434434319999999</v>
      </c>
      <c r="H499" s="1437">
        <f t="shared" si="36"/>
        <v>0</v>
      </c>
      <c r="I499" s="1437">
        <v>0.80000000000000027</v>
      </c>
      <c r="J499" s="1437">
        <v>18.812928558999999</v>
      </c>
      <c r="K499" s="1438"/>
      <c r="L499" s="1438"/>
      <c r="M499" s="1437">
        <f t="shared" si="37"/>
        <v>18.812928558999999</v>
      </c>
      <c r="N499" s="1437">
        <f t="shared" si="38"/>
        <v>-18.012928558999999</v>
      </c>
    </row>
    <row r="500" spans="1:14" ht="15.5" outlineLevel="1">
      <c r="A500" s="1491">
        <f t="shared" si="42"/>
        <v>18</v>
      </c>
      <c r="B500" s="1513" t="str">
        <f t="shared" si="42"/>
        <v>Ozone plant for Unit -8</v>
      </c>
      <c r="C500" s="1492" t="str">
        <f t="shared" si="42"/>
        <v>Add Cap (As per 296 of 2019)</v>
      </c>
      <c r="D500" s="1334" t="str">
        <f t="shared" si="42"/>
        <v>-</v>
      </c>
      <c r="E500" s="1521">
        <f t="shared" si="42"/>
        <v>20</v>
      </c>
      <c r="F500" s="1437">
        <f t="shared" si="34"/>
        <v>17.904708299999999</v>
      </c>
      <c r="G500" s="1437">
        <f t="shared" si="35"/>
        <v>0</v>
      </c>
      <c r="H500" s="1437">
        <f t="shared" si="36"/>
        <v>17.904708299999999</v>
      </c>
      <c r="I500" s="1437">
        <v>2.19</v>
      </c>
      <c r="J500" s="1437">
        <v>2.1929439999999998</v>
      </c>
      <c r="K500" s="1438"/>
      <c r="L500" s="1438"/>
      <c r="M500" s="1437">
        <f t="shared" si="37"/>
        <v>2.1929439999999998</v>
      </c>
      <c r="N500" s="1437">
        <f t="shared" si="38"/>
        <v>17.9017643</v>
      </c>
    </row>
    <row r="501" spans="1:14" ht="15.5" outlineLevel="1">
      <c r="A501" s="1499">
        <f t="shared" si="42"/>
        <v>0</v>
      </c>
      <c r="B501" s="1522" t="str">
        <f t="shared" si="42"/>
        <v>IDC</v>
      </c>
      <c r="C501" s="1492">
        <f t="shared" si="42"/>
        <v>0</v>
      </c>
      <c r="D501" s="1334" t="str">
        <f t="shared" si="42"/>
        <v>-</v>
      </c>
      <c r="E501" s="1521">
        <f t="shared" si="42"/>
        <v>0</v>
      </c>
      <c r="F501" s="1437">
        <f t="shared" si="34"/>
        <v>0</v>
      </c>
      <c r="G501" s="1437">
        <f t="shared" si="35"/>
        <v>0</v>
      </c>
      <c r="H501" s="1437">
        <f t="shared" si="36"/>
        <v>0</v>
      </c>
      <c r="I501" s="1437">
        <v>0</v>
      </c>
      <c r="J501" s="1437">
        <v>0</v>
      </c>
      <c r="K501" s="1438"/>
      <c r="L501" s="1438"/>
      <c r="M501" s="1437">
        <f t="shared" si="37"/>
        <v>0</v>
      </c>
      <c r="N501" s="1437">
        <f t="shared" si="38"/>
        <v>0</v>
      </c>
    </row>
    <row r="502" spans="1:14" ht="15.5" outlineLevel="1">
      <c r="A502" s="1491">
        <f t="shared" si="42"/>
        <v>19</v>
      </c>
      <c r="B502" s="1377" t="str">
        <f t="shared" si="42"/>
        <v>Water management system</v>
      </c>
      <c r="C502" s="1492" t="str">
        <f t="shared" si="42"/>
        <v>Add Cap (As per 296 of 2019)</v>
      </c>
      <c r="D502" s="1334" t="str">
        <f t="shared" si="42"/>
        <v>-</v>
      </c>
      <c r="E502" s="1378">
        <f t="shared" si="42"/>
        <v>2</v>
      </c>
      <c r="F502" s="1437">
        <f t="shared" si="34"/>
        <v>0</v>
      </c>
      <c r="G502" s="1437">
        <f t="shared" si="35"/>
        <v>0</v>
      </c>
      <c r="H502" s="1437">
        <f t="shared" si="36"/>
        <v>0</v>
      </c>
      <c r="I502" s="1437">
        <v>0</v>
      </c>
      <c r="J502" s="1437">
        <v>0</v>
      </c>
      <c r="K502" s="1438"/>
      <c r="L502" s="1438"/>
      <c r="M502" s="1437">
        <f t="shared" si="37"/>
        <v>0</v>
      </c>
      <c r="N502" s="1437">
        <f t="shared" si="38"/>
        <v>0</v>
      </c>
    </row>
    <row r="503" spans="1:14" ht="31" outlineLevel="1">
      <c r="A503" s="1491" t="str">
        <f t="shared" si="42"/>
        <v>8, 20</v>
      </c>
      <c r="B503" s="1523" t="str">
        <f t="shared" si="42"/>
        <v>Procurement &amp; Installation of EMS system at Unit-8 NPTPS Parli-Vaijnath</v>
      </c>
      <c r="C503" s="1492" t="str">
        <f t="shared" si="42"/>
        <v>Add Cap (As per 296 of 2019)</v>
      </c>
      <c r="D503" s="1514" t="str">
        <f t="shared" si="42"/>
        <v>-</v>
      </c>
      <c r="E503" s="1394">
        <f t="shared" si="42"/>
        <v>1</v>
      </c>
      <c r="F503" s="1437">
        <f t="shared" si="34"/>
        <v>0.144170512</v>
      </c>
      <c r="G503" s="1437">
        <f t="shared" si="35"/>
        <v>0.144170512</v>
      </c>
      <c r="H503" s="1437">
        <f t="shared" si="36"/>
        <v>0</v>
      </c>
      <c r="I503" s="1437">
        <v>0</v>
      </c>
      <c r="J503" s="1437">
        <v>0</v>
      </c>
      <c r="K503" s="1438"/>
      <c r="L503" s="1438"/>
      <c r="M503" s="1437">
        <f t="shared" si="37"/>
        <v>0</v>
      </c>
      <c r="N503" s="1437">
        <f t="shared" si="38"/>
        <v>0</v>
      </c>
    </row>
    <row r="504" spans="1:14" ht="31" outlineLevel="1">
      <c r="A504" s="1491">
        <f t="shared" si="42"/>
        <v>21</v>
      </c>
      <c r="B504" s="1515" t="str">
        <f t="shared" si="42"/>
        <v>Conveyor-5 of  stacking/reclaiming belt double drive arrangement.</v>
      </c>
      <c r="C504" s="1492" t="str">
        <f t="shared" si="42"/>
        <v>Add Cap (As per 296 of 2019)</v>
      </c>
      <c r="D504" s="1334" t="str">
        <f t="shared" si="42"/>
        <v>-</v>
      </c>
      <c r="E504" s="1524">
        <f t="shared" si="42"/>
        <v>2</v>
      </c>
      <c r="F504" s="1437">
        <f t="shared" si="34"/>
        <v>2.0431699999999999</v>
      </c>
      <c r="G504" s="1437">
        <f t="shared" si="35"/>
        <v>2.0431699999999999</v>
      </c>
      <c r="H504" s="1437">
        <f t="shared" si="36"/>
        <v>0</v>
      </c>
      <c r="I504" s="1437">
        <v>0</v>
      </c>
      <c r="J504" s="1437">
        <v>0</v>
      </c>
      <c r="K504" s="1438"/>
      <c r="L504" s="1438"/>
      <c r="M504" s="1437">
        <f t="shared" si="37"/>
        <v>0</v>
      </c>
      <c r="N504" s="1437">
        <f t="shared" si="38"/>
        <v>0</v>
      </c>
    </row>
    <row r="505" spans="1:14" ht="15.5" outlineLevel="1">
      <c r="A505" s="1491">
        <f t="shared" si="42"/>
        <v>22</v>
      </c>
      <c r="B505" s="1377" t="str">
        <f t="shared" si="42"/>
        <v>Chemical lab building</v>
      </c>
      <c r="C505" s="1492" t="str">
        <f t="shared" si="42"/>
        <v>Add Cap (As per 296 of 2019)</v>
      </c>
      <c r="D505" s="1334" t="str">
        <f t="shared" si="42"/>
        <v>-</v>
      </c>
      <c r="E505" s="1384">
        <f t="shared" si="42"/>
        <v>1.5</v>
      </c>
      <c r="F505" s="1437">
        <f t="shared" si="34"/>
        <v>0</v>
      </c>
      <c r="G505" s="1437">
        <f t="shared" si="35"/>
        <v>0</v>
      </c>
      <c r="H505" s="1437">
        <f t="shared" si="36"/>
        <v>0</v>
      </c>
      <c r="I505" s="1437">
        <v>0</v>
      </c>
      <c r="J505" s="1437">
        <v>0</v>
      </c>
      <c r="K505" s="1438"/>
      <c r="L505" s="1438"/>
      <c r="M505" s="1437">
        <f t="shared" si="37"/>
        <v>0</v>
      </c>
      <c r="N505" s="1437">
        <f t="shared" si="38"/>
        <v>0</v>
      </c>
    </row>
    <row r="506" spans="1:14" ht="15.5" outlineLevel="1">
      <c r="A506" s="1491">
        <f t="shared" si="42"/>
        <v>23</v>
      </c>
      <c r="B506" s="1377" t="str">
        <f t="shared" si="42"/>
        <v>Chemical store</v>
      </c>
      <c r="C506" s="1492" t="str">
        <f t="shared" si="42"/>
        <v>Add Cap (As per 296 of 2019)</v>
      </c>
      <c r="D506" s="1334" t="str">
        <f t="shared" si="42"/>
        <v>-</v>
      </c>
      <c r="E506" s="1384">
        <f t="shared" si="42"/>
        <v>2.5</v>
      </c>
      <c r="F506" s="1437">
        <f t="shared" si="34"/>
        <v>0</v>
      </c>
      <c r="G506" s="1437">
        <f t="shared" si="35"/>
        <v>0</v>
      </c>
      <c r="H506" s="1437">
        <f t="shared" si="36"/>
        <v>0</v>
      </c>
      <c r="I506" s="1437">
        <v>0</v>
      </c>
      <c r="J506" s="1437">
        <v>0</v>
      </c>
      <c r="K506" s="1438"/>
      <c r="L506" s="1438"/>
      <c r="M506" s="1437">
        <f t="shared" si="37"/>
        <v>0</v>
      </c>
      <c r="N506" s="1437">
        <f t="shared" si="38"/>
        <v>0</v>
      </c>
    </row>
    <row r="507" spans="1:14" outlineLevel="1">
      <c r="A507" s="1491">
        <f t="shared" si="42"/>
        <v>24</v>
      </c>
      <c r="B507" s="1397" t="str">
        <f t="shared" si="42"/>
        <v xml:space="preserve"> Lawn development around NDCT.</v>
      </c>
      <c r="C507" s="1492" t="str">
        <f t="shared" si="42"/>
        <v>Add Cap (As per 296 of 2019)</v>
      </c>
      <c r="D507" s="1514" t="str">
        <f t="shared" si="42"/>
        <v>-</v>
      </c>
      <c r="E507" s="1398">
        <f t="shared" si="42"/>
        <v>0.75</v>
      </c>
      <c r="F507" s="1437">
        <f t="shared" si="34"/>
        <v>0</v>
      </c>
      <c r="G507" s="1437">
        <f t="shared" si="35"/>
        <v>0</v>
      </c>
      <c r="H507" s="1437">
        <f t="shared" si="36"/>
        <v>0</v>
      </c>
      <c r="I507" s="1437">
        <v>0</v>
      </c>
      <c r="J507" s="1437">
        <v>0</v>
      </c>
      <c r="K507" s="1438"/>
      <c r="L507" s="1438"/>
      <c r="M507" s="1437">
        <f t="shared" si="37"/>
        <v>0</v>
      </c>
      <c r="N507" s="1437">
        <f t="shared" si="38"/>
        <v>0</v>
      </c>
    </row>
    <row r="508" spans="1:14" outlineLevel="1">
      <c r="A508" s="1491">
        <f t="shared" si="42"/>
        <v>25</v>
      </c>
      <c r="B508" s="1399" t="str">
        <f t="shared" si="42"/>
        <v>Tree plantation &amp; greenery along road side.</v>
      </c>
      <c r="C508" s="1492" t="str">
        <f t="shared" si="42"/>
        <v>Add Cap (As per 296 of 2019)</v>
      </c>
      <c r="D508" s="1334" t="str">
        <f t="shared" si="42"/>
        <v>-</v>
      </c>
      <c r="E508" s="1400">
        <f t="shared" si="42"/>
        <v>0.5</v>
      </c>
      <c r="F508" s="1437">
        <f t="shared" si="34"/>
        <v>0</v>
      </c>
      <c r="G508" s="1437">
        <f t="shared" si="35"/>
        <v>0</v>
      </c>
      <c r="H508" s="1437">
        <f t="shared" si="36"/>
        <v>0</v>
      </c>
      <c r="I508" s="1437">
        <v>0</v>
      </c>
      <c r="J508" s="1437">
        <v>0</v>
      </c>
      <c r="K508" s="1438"/>
      <c r="L508" s="1438"/>
      <c r="M508" s="1437">
        <f t="shared" si="37"/>
        <v>0</v>
      </c>
      <c r="N508" s="1437">
        <f t="shared" si="38"/>
        <v>0</v>
      </c>
    </row>
    <row r="509" spans="1:14" outlineLevel="1">
      <c r="A509" s="1491">
        <f t="shared" si="42"/>
        <v>26</v>
      </c>
      <c r="B509" s="1399" t="str">
        <f t="shared" si="42"/>
        <v>Greenery development in area between  WTP &amp; main plant.</v>
      </c>
      <c r="C509" s="1492" t="str">
        <f t="shared" si="42"/>
        <v>Add Cap (As per 296 of 2019)</v>
      </c>
      <c r="D509" s="1334" t="str">
        <f t="shared" si="42"/>
        <v>-</v>
      </c>
      <c r="E509" s="1400">
        <f t="shared" si="42"/>
        <v>1.25</v>
      </c>
      <c r="F509" s="1437">
        <f t="shared" si="34"/>
        <v>0</v>
      </c>
      <c r="G509" s="1437">
        <f t="shared" si="35"/>
        <v>0</v>
      </c>
      <c r="H509" s="1437">
        <f t="shared" si="36"/>
        <v>0</v>
      </c>
      <c r="I509" s="1437">
        <v>0</v>
      </c>
      <c r="J509" s="1437">
        <v>0</v>
      </c>
      <c r="K509" s="1438"/>
      <c r="L509" s="1438"/>
      <c r="M509" s="1437">
        <f t="shared" si="37"/>
        <v>0</v>
      </c>
      <c r="N509" s="1437">
        <f t="shared" si="38"/>
        <v>0</v>
      </c>
    </row>
    <row r="510" spans="1:14" ht="15.5" outlineLevel="1">
      <c r="A510" s="1491">
        <f t="shared" si="42"/>
        <v>27</v>
      </c>
      <c r="B510" s="1385" t="str">
        <f t="shared" si="42"/>
        <v>Construction of staff rooms &amp; store for CHP maint..</v>
      </c>
      <c r="C510" s="1492" t="str">
        <f t="shared" si="42"/>
        <v>Add Cap (As per 296 of 2019)</v>
      </c>
      <c r="D510" s="1334" t="str">
        <f t="shared" si="42"/>
        <v>-</v>
      </c>
      <c r="E510" s="1378">
        <f t="shared" si="42"/>
        <v>1</v>
      </c>
      <c r="F510" s="1437">
        <f t="shared" si="34"/>
        <v>0.90702717499999985</v>
      </c>
      <c r="G510" s="1437">
        <f t="shared" si="35"/>
        <v>0.90702717499999996</v>
      </c>
      <c r="H510" s="1437">
        <f t="shared" si="36"/>
        <v>0</v>
      </c>
      <c r="I510" s="1437">
        <v>0</v>
      </c>
      <c r="J510" s="1437">
        <v>0</v>
      </c>
      <c r="K510" s="1438"/>
      <c r="L510" s="1438"/>
      <c r="M510" s="1437">
        <f t="shared" si="37"/>
        <v>0</v>
      </c>
      <c r="N510" s="1437">
        <f t="shared" si="38"/>
        <v>0</v>
      </c>
    </row>
    <row r="511" spans="1:14" ht="15.5" outlineLevel="1">
      <c r="A511" s="1491">
        <f t="shared" si="42"/>
        <v>28</v>
      </c>
      <c r="B511" s="1377" t="str">
        <f t="shared" si="42"/>
        <v xml:space="preserve">Dsludg filteration for raw water </v>
      </c>
      <c r="C511" s="1492" t="str">
        <f t="shared" si="42"/>
        <v>Add Cap (As per 296 of 2019)</v>
      </c>
      <c r="D511" s="1334" t="str">
        <f t="shared" si="42"/>
        <v>-</v>
      </c>
      <c r="E511" s="1401">
        <f t="shared" si="42"/>
        <v>17</v>
      </c>
      <c r="F511" s="1437">
        <f t="shared" si="34"/>
        <v>0</v>
      </c>
      <c r="G511" s="1437">
        <f t="shared" si="35"/>
        <v>0</v>
      </c>
      <c r="H511" s="1437">
        <f t="shared" si="36"/>
        <v>0</v>
      </c>
      <c r="I511" s="1437">
        <v>0</v>
      </c>
      <c r="J511" s="1437">
        <v>0</v>
      </c>
      <c r="K511" s="1438"/>
      <c r="L511" s="1438"/>
      <c r="M511" s="1437">
        <f t="shared" si="37"/>
        <v>0</v>
      </c>
      <c r="N511" s="1437">
        <f t="shared" si="38"/>
        <v>0</v>
      </c>
    </row>
    <row r="512" spans="1:14" ht="15.5" outlineLevel="1">
      <c r="A512" s="1491">
        <f t="shared" si="42"/>
        <v>29</v>
      </c>
      <c r="B512" s="1525" t="str">
        <f t="shared" si="42"/>
        <v>PLC/UPS system  upgradation</v>
      </c>
      <c r="C512" s="1492" t="str">
        <f t="shared" si="42"/>
        <v>Add Cap (As per 296 of 2019)</v>
      </c>
      <c r="D512" s="1514" t="str">
        <f t="shared" si="42"/>
        <v>-</v>
      </c>
      <c r="E512" s="1498">
        <f t="shared" si="42"/>
        <v>0.5</v>
      </c>
      <c r="F512" s="1437">
        <f t="shared" si="34"/>
        <v>0.40149499999999999</v>
      </c>
      <c r="G512" s="1437">
        <f t="shared" si="35"/>
        <v>0.40149499999999999</v>
      </c>
      <c r="H512" s="1437">
        <f t="shared" si="36"/>
        <v>0</v>
      </c>
      <c r="I512" s="1437">
        <v>0</v>
      </c>
      <c r="J512" s="1437">
        <v>0</v>
      </c>
      <c r="K512" s="1438"/>
      <c r="L512" s="1438"/>
      <c r="M512" s="1437">
        <f t="shared" si="37"/>
        <v>0</v>
      </c>
      <c r="N512" s="1437">
        <f t="shared" si="38"/>
        <v>0</v>
      </c>
    </row>
    <row r="513" spans="1:14" outlineLevel="1">
      <c r="A513" s="1392">
        <f t="shared" ref="A513:E528" si="43">A120</f>
        <v>0</v>
      </c>
      <c r="B513" s="1332" t="str">
        <f t="shared" si="43"/>
        <v>DPR Schemes</v>
      </c>
      <c r="C513" s="1338">
        <f t="shared" si="43"/>
        <v>0</v>
      </c>
      <c r="D513" s="1334" t="str">
        <f t="shared" si="43"/>
        <v>-</v>
      </c>
      <c r="E513" s="1336">
        <f t="shared" si="43"/>
        <v>0</v>
      </c>
      <c r="F513" s="1437">
        <f t="shared" si="34"/>
        <v>0</v>
      </c>
      <c r="G513" s="1437">
        <f t="shared" si="35"/>
        <v>0</v>
      </c>
      <c r="H513" s="1437">
        <f t="shared" si="36"/>
        <v>0</v>
      </c>
      <c r="I513" s="1437">
        <v>0</v>
      </c>
      <c r="J513" s="1437">
        <v>0</v>
      </c>
      <c r="K513" s="1438"/>
      <c r="L513" s="1438"/>
      <c r="M513" s="1437">
        <f t="shared" si="37"/>
        <v>0</v>
      </c>
      <c r="N513" s="1437">
        <f t="shared" si="38"/>
        <v>0</v>
      </c>
    </row>
    <row r="514" spans="1:14" outlineLevel="1">
      <c r="A514" s="1526">
        <f t="shared" si="43"/>
        <v>22</v>
      </c>
      <c r="B514" s="1527" t="str">
        <f t="shared" si="43"/>
        <v>FGD at Parli Unit # 8</v>
      </c>
      <c r="C514" s="1526" t="str">
        <f t="shared" si="43"/>
        <v>MERC/CAPEX/2021-2022/0284</v>
      </c>
      <c r="D514" s="1528">
        <f t="shared" si="43"/>
        <v>44739</v>
      </c>
      <c r="E514" s="1405">
        <f t="shared" si="43"/>
        <v>89.240000000000009</v>
      </c>
      <c r="F514" s="1437">
        <f t="shared" si="34"/>
        <v>0</v>
      </c>
      <c r="G514" s="1437">
        <f t="shared" si="35"/>
        <v>0</v>
      </c>
      <c r="H514" s="1437">
        <f t="shared" si="36"/>
        <v>0</v>
      </c>
      <c r="I514" s="1437">
        <v>4.0999999999999996</v>
      </c>
      <c r="J514" s="1437">
        <v>0</v>
      </c>
      <c r="K514" s="1438"/>
      <c r="L514" s="1438"/>
      <c r="M514" s="1437">
        <f t="shared" si="37"/>
        <v>0</v>
      </c>
      <c r="N514" s="1437">
        <f t="shared" si="38"/>
        <v>4.0999999999999996</v>
      </c>
    </row>
    <row r="515" spans="1:14" outlineLevel="1">
      <c r="A515" s="1499">
        <f t="shared" si="43"/>
        <v>22.1</v>
      </c>
      <c r="B515" s="1530" t="str">
        <f t="shared" si="43"/>
        <v>FGD at Parli Unit # 8</v>
      </c>
      <c r="C515" s="1491" t="str">
        <f t="shared" si="43"/>
        <v>MERC/CAPEX/2021-2022/0284</v>
      </c>
      <c r="D515" s="1531">
        <f t="shared" si="43"/>
        <v>44739</v>
      </c>
      <c r="E515" s="1318">
        <f t="shared" si="43"/>
        <v>85.2</v>
      </c>
      <c r="F515" s="1437">
        <f t="shared" si="34"/>
        <v>0</v>
      </c>
      <c r="G515" s="1437">
        <f t="shared" si="35"/>
        <v>0</v>
      </c>
      <c r="H515" s="1437">
        <f t="shared" si="36"/>
        <v>0</v>
      </c>
      <c r="I515" s="1437">
        <v>0.49</v>
      </c>
      <c r="J515" s="1437">
        <v>0</v>
      </c>
      <c r="K515" s="1438"/>
      <c r="L515" s="1438"/>
      <c r="M515" s="1437">
        <f t="shared" si="37"/>
        <v>0</v>
      </c>
      <c r="N515" s="1437">
        <f t="shared" si="38"/>
        <v>0.49</v>
      </c>
    </row>
    <row r="516" spans="1:14" outlineLevel="1">
      <c r="A516" s="1511">
        <f t="shared" si="43"/>
        <v>0</v>
      </c>
      <c r="B516" s="1532" t="str">
        <f t="shared" si="43"/>
        <v>IDC</v>
      </c>
      <c r="C516" s="1491" t="str">
        <f t="shared" si="43"/>
        <v>MERC/CAPEX/2021-2022/0284</v>
      </c>
      <c r="D516" s="1531">
        <f t="shared" si="43"/>
        <v>44739</v>
      </c>
      <c r="E516" s="1318">
        <f t="shared" si="43"/>
        <v>4.04</v>
      </c>
      <c r="F516" s="1437">
        <f t="shared" si="34"/>
        <v>0</v>
      </c>
      <c r="G516" s="1437">
        <f t="shared" si="35"/>
        <v>0</v>
      </c>
      <c r="H516" s="1437">
        <f t="shared" si="36"/>
        <v>0</v>
      </c>
      <c r="I516" s="1437">
        <v>0</v>
      </c>
      <c r="J516" s="1437">
        <v>0</v>
      </c>
      <c r="K516" s="1438"/>
      <c r="L516" s="1438"/>
      <c r="M516" s="1437">
        <f t="shared" si="37"/>
        <v>0</v>
      </c>
      <c r="N516" s="1437">
        <f t="shared" si="38"/>
        <v>0</v>
      </c>
    </row>
    <row r="517" spans="1:14" ht="31" outlineLevel="1">
      <c r="A517" s="1533" t="str">
        <f t="shared" si="43"/>
        <v>HO
DPR 16</v>
      </c>
      <c r="B517" s="1534" t="str">
        <f t="shared" si="43"/>
        <v>Construction of new Administrative Building for Mahagenco at Vidyut Bhawan, Katol Road, Nagpur</v>
      </c>
      <c r="C517" s="1526" t="str">
        <f t="shared" si="43"/>
        <v>MERC/CAPEX/2021-2022/MSPGCL/063</v>
      </c>
      <c r="D517" s="1528">
        <f t="shared" si="43"/>
        <v>44604</v>
      </c>
      <c r="E517" s="1405">
        <f t="shared" si="43"/>
        <v>57</v>
      </c>
      <c r="F517" s="1437">
        <f t="shared" si="34"/>
        <v>0</v>
      </c>
      <c r="G517" s="1437">
        <f t="shared" si="35"/>
        <v>0</v>
      </c>
      <c r="H517" s="1437">
        <f t="shared" si="36"/>
        <v>0</v>
      </c>
      <c r="I517" s="1437">
        <v>0</v>
      </c>
      <c r="J517" s="1437">
        <v>0</v>
      </c>
      <c r="K517" s="1438"/>
      <c r="L517" s="1438"/>
      <c r="M517" s="1437">
        <f t="shared" si="37"/>
        <v>0</v>
      </c>
      <c r="N517" s="1437">
        <f t="shared" si="38"/>
        <v>0</v>
      </c>
    </row>
    <row r="518" spans="1:14" ht="46.5" outlineLevel="1">
      <c r="A518" s="1535" t="str">
        <f t="shared" si="43"/>
        <v>HO
DPR 16.1</v>
      </c>
      <c r="B518" s="1536" t="str">
        <f t="shared" si="43"/>
        <v>Construction of new Administrative Building for Mahagenco at Vidyut Bhawan, Katol Road, Nagpur</v>
      </c>
      <c r="C518" s="1491" t="str">
        <f t="shared" si="43"/>
        <v>MERC/CAPEX/2021-2022/MSPGCL/063</v>
      </c>
      <c r="D518" s="1531">
        <f t="shared" si="43"/>
        <v>44604</v>
      </c>
      <c r="E518" s="1318">
        <f t="shared" si="43"/>
        <v>54.24</v>
      </c>
      <c r="F518" s="1437">
        <f t="shared" si="34"/>
        <v>0</v>
      </c>
      <c r="G518" s="1437">
        <f t="shared" si="35"/>
        <v>0</v>
      </c>
      <c r="H518" s="1437">
        <f t="shared" si="36"/>
        <v>0</v>
      </c>
      <c r="I518" s="1437">
        <v>0</v>
      </c>
      <c r="J518" s="1437">
        <v>0</v>
      </c>
      <c r="K518" s="1438"/>
      <c r="L518" s="1438"/>
      <c r="M518" s="1437">
        <f t="shared" si="37"/>
        <v>0</v>
      </c>
      <c r="N518" s="1437">
        <f t="shared" si="38"/>
        <v>0</v>
      </c>
    </row>
    <row r="519" spans="1:14" ht="15.5" outlineLevel="1">
      <c r="A519" s="1537">
        <f t="shared" si="43"/>
        <v>0</v>
      </c>
      <c r="B519" s="1536" t="str">
        <f t="shared" si="43"/>
        <v>IDC</v>
      </c>
      <c r="C519" s="1491" t="str">
        <f t="shared" si="43"/>
        <v>MERC/CAPEX/2021-2022/MSPGCL/063</v>
      </c>
      <c r="D519" s="1531">
        <f t="shared" si="43"/>
        <v>44604</v>
      </c>
      <c r="E519" s="1318">
        <f t="shared" si="43"/>
        <v>2.76</v>
      </c>
      <c r="F519" s="1437">
        <f t="shared" si="34"/>
        <v>0</v>
      </c>
      <c r="G519" s="1437">
        <f t="shared" si="35"/>
        <v>0</v>
      </c>
      <c r="H519" s="1437">
        <f t="shared" si="36"/>
        <v>0</v>
      </c>
      <c r="I519" s="1437">
        <v>0</v>
      </c>
      <c r="J519" s="1437">
        <v>0</v>
      </c>
      <c r="K519" s="1438"/>
      <c r="L519" s="1438"/>
      <c r="M519" s="1437">
        <f t="shared" si="37"/>
        <v>0</v>
      </c>
      <c r="N519" s="1437">
        <f t="shared" si="38"/>
        <v>0</v>
      </c>
    </row>
    <row r="520" spans="1:14" ht="31" outlineLevel="1">
      <c r="A520" s="1533" t="str">
        <f t="shared" si="43"/>
        <v>HO
DPR 17</v>
      </c>
      <c r="B520" s="1534" t="str">
        <f t="shared" si="43"/>
        <v>Centralized Monitoring Solution</v>
      </c>
      <c r="C520" s="1526" t="str">
        <f t="shared" si="43"/>
        <v>MERC/CAPEX/MSPGCL/2023-24/0576</v>
      </c>
      <c r="D520" s="1528">
        <f t="shared" si="43"/>
        <v>45232</v>
      </c>
      <c r="E520" s="1405">
        <f t="shared" si="43"/>
        <v>69.308999999999997</v>
      </c>
      <c r="F520" s="1437">
        <f t="shared" si="34"/>
        <v>0</v>
      </c>
      <c r="G520" s="1437">
        <f t="shared" si="35"/>
        <v>0</v>
      </c>
      <c r="H520" s="1437">
        <f t="shared" si="36"/>
        <v>0</v>
      </c>
      <c r="I520" s="1437">
        <v>0</v>
      </c>
      <c r="J520" s="1437">
        <v>0</v>
      </c>
      <c r="K520" s="1438"/>
      <c r="L520" s="1438"/>
      <c r="M520" s="1437">
        <f t="shared" si="37"/>
        <v>0</v>
      </c>
      <c r="N520" s="1437">
        <f t="shared" si="38"/>
        <v>0</v>
      </c>
    </row>
    <row r="521" spans="1:14" ht="46.5" outlineLevel="1">
      <c r="A521" s="1535" t="str">
        <f t="shared" si="43"/>
        <v>HO
DPR 17.1</v>
      </c>
      <c r="B521" s="1536" t="str">
        <f t="shared" si="43"/>
        <v>Centralized Monitoring Solution</v>
      </c>
      <c r="C521" s="1491" t="str">
        <f t="shared" si="43"/>
        <v>MERC/CAPEX/MSPGCL/2023-24/0576</v>
      </c>
      <c r="D521" s="1531">
        <f t="shared" si="43"/>
        <v>45232</v>
      </c>
      <c r="E521" s="1318">
        <f t="shared" si="43"/>
        <v>66.009</v>
      </c>
      <c r="F521" s="1437">
        <f t="shared" si="34"/>
        <v>0</v>
      </c>
      <c r="G521" s="1437">
        <f t="shared" si="35"/>
        <v>0</v>
      </c>
      <c r="H521" s="1437">
        <f t="shared" si="36"/>
        <v>0</v>
      </c>
      <c r="I521" s="1437">
        <v>0</v>
      </c>
      <c r="J521" s="1437">
        <v>0</v>
      </c>
      <c r="K521" s="1438"/>
      <c r="L521" s="1438"/>
      <c r="M521" s="1437">
        <f t="shared" si="37"/>
        <v>0</v>
      </c>
      <c r="N521" s="1437">
        <f t="shared" si="38"/>
        <v>0</v>
      </c>
    </row>
    <row r="522" spans="1:14" ht="15.5" outlineLevel="1">
      <c r="A522" s="1537">
        <f t="shared" si="43"/>
        <v>0</v>
      </c>
      <c r="B522" s="1536" t="str">
        <f t="shared" si="43"/>
        <v>IDC</v>
      </c>
      <c r="C522" s="1491" t="str">
        <f t="shared" si="43"/>
        <v>MERC/CAPEX/MSPGCL/2023-24/0576</v>
      </c>
      <c r="D522" s="1531">
        <f t="shared" si="43"/>
        <v>45232</v>
      </c>
      <c r="E522" s="1318">
        <f t="shared" si="43"/>
        <v>3.3</v>
      </c>
      <c r="F522" s="1437">
        <f t="shared" si="34"/>
        <v>0</v>
      </c>
      <c r="G522" s="1437">
        <f t="shared" si="35"/>
        <v>0</v>
      </c>
      <c r="H522" s="1437">
        <f t="shared" si="36"/>
        <v>0</v>
      </c>
      <c r="I522" s="1437">
        <v>0</v>
      </c>
      <c r="J522" s="1437">
        <v>0</v>
      </c>
      <c r="K522" s="1438"/>
      <c r="L522" s="1438"/>
      <c r="M522" s="1437">
        <f t="shared" si="37"/>
        <v>0</v>
      </c>
      <c r="N522" s="1437">
        <f t="shared" si="38"/>
        <v>0</v>
      </c>
    </row>
    <row r="523" spans="1:14" outlineLevel="1">
      <c r="A523" s="1505">
        <f t="shared" si="43"/>
        <v>0</v>
      </c>
      <c r="B523" s="1332" t="str">
        <f t="shared" si="43"/>
        <v>(ii) Yet to be submitted to MERC</v>
      </c>
      <c r="C523" s="1491">
        <f t="shared" si="43"/>
        <v>0</v>
      </c>
      <c r="D523" s="1531" t="str">
        <f t="shared" si="43"/>
        <v>-</v>
      </c>
      <c r="E523" s="1318">
        <f t="shared" si="43"/>
        <v>0</v>
      </c>
      <c r="F523" s="1437">
        <f t="shared" si="34"/>
        <v>0</v>
      </c>
      <c r="G523" s="1437">
        <f t="shared" si="35"/>
        <v>0</v>
      </c>
      <c r="H523" s="1437">
        <f t="shared" si="36"/>
        <v>0</v>
      </c>
      <c r="I523" s="1437">
        <v>0</v>
      </c>
      <c r="J523" s="1437">
        <v>0</v>
      </c>
      <c r="K523" s="1438"/>
      <c r="L523" s="1438"/>
      <c r="M523" s="1437">
        <f t="shared" si="37"/>
        <v>0</v>
      </c>
      <c r="N523" s="1437">
        <f t="shared" si="38"/>
        <v>0</v>
      </c>
    </row>
    <row r="524" spans="1:14" ht="46.5" outlineLevel="1">
      <c r="A524" s="1533">
        <f t="shared" si="43"/>
        <v>1</v>
      </c>
      <c r="B524" s="1534" t="str">
        <f t="shared" si="43"/>
        <v xml:space="preserve">Detailed Project Report on  Boiler plant performance improvement and availability improvement schemes at Boiler Maintenance 1x250MW Unit-8 TPS Parli-V </v>
      </c>
      <c r="C524" s="1526" t="str">
        <f t="shared" si="43"/>
        <v>Yet to be approved</v>
      </c>
      <c r="D524" s="1528" t="str">
        <f t="shared" si="43"/>
        <v>-</v>
      </c>
      <c r="E524" s="1405">
        <f t="shared" si="43"/>
        <v>0</v>
      </c>
      <c r="F524" s="1437">
        <f t="shared" si="34"/>
        <v>0</v>
      </c>
      <c r="G524" s="1437">
        <f t="shared" si="35"/>
        <v>0</v>
      </c>
      <c r="H524" s="1437">
        <f t="shared" si="36"/>
        <v>0</v>
      </c>
      <c r="I524" s="1437">
        <v>0</v>
      </c>
      <c r="J524" s="1437">
        <v>0</v>
      </c>
      <c r="K524" s="1438"/>
      <c r="L524" s="1438"/>
      <c r="M524" s="1437">
        <f t="shared" si="37"/>
        <v>0</v>
      </c>
      <c r="N524" s="1437">
        <f t="shared" si="38"/>
        <v>0</v>
      </c>
    </row>
    <row r="525" spans="1:14" ht="29" outlineLevel="1">
      <c r="A525" s="1491">
        <f t="shared" si="43"/>
        <v>1.1000000000000001</v>
      </c>
      <c r="B525" s="1530" t="str">
        <f t="shared" si="43"/>
        <v>Procurement &amp; Replacement of Complete Economizer Upper &amp; Lower Bank Coil Assemblies at Unit-8, NPTPS Parli-V</v>
      </c>
      <c r="C525" s="1491" t="str">
        <f t="shared" si="43"/>
        <v>Yet to be approved</v>
      </c>
      <c r="D525" s="1531" t="str">
        <f t="shared" si="43"/>
        <v>-</v>
      </c>
      <c r="E525" s="1318">
        <f t="shared" si="43"/>
        <v>0</v>
      </c>
      <c r="F525" s="1437">
        <f t="shared" si="34"/>
        <v>0</v>
      </c>
      <c r="G525" s="1437">
        <f t="shared" si="35"/>
        <v>0</v>
      </c>
      <c r="H525" s="1437">
        <f t="shared" si="36"/>
        <v>0</v>
      </c>
      <c r="I525" s="1437">
        <v>0</v>
      </c>
      <c r="J525" s="1437">
        <v>0</v>
      </c>
      <c r="K525" s="1438"/>
      <c r="L525" s="1438"/>
      <c r="M525" s="1437">
        <f t="shared" si="37"/>
        <v>0</v>
      </c>
      <c r="N525" s="1437">
        <f t="shared" si="38"/>
        <v>0</v>
      </c>
    </row>
    <row r="526" spans="1:14" ht="29" outlineLevel="1">
      <c r="A526" s="1491">
        <f t="shared" si="43"/>
        <v>1.2</v>
      </c>
      <c r="B526" s="1530" t="str">
        <f t="shared" si="43"/>
        <v>Procurement &amp; Replacement of Two complete set of APH Baskets at 250 MW Unit-8, Parli TPS.</v>
      </c>
      <c r="C526" s="1491" t="str">
        <f t="shared" si="43"/>
        <v>Yet to be approved</v>
      </c>
      <c r="D526" s="1531" t="str">
        <f t="shared" si="43"/>
        <v>-</v>
      </c>
      <c r="E526" s="1318">
        <f t="shared" si="43"/>
        <v>0</v>
      </c>
      <c r="F526" s="1437">
        <f t="shared" si="34"/>
        <v>0</v>
      </c>
      <c r="G526" s="1437">
        <f t="shared" si="35"/>
        <v>0</v>
      </c>
      <c r="H526" s="1437">
        <f t="shared" si="36"/>
        <v>0</v>
      </c>
      <c r="I526" s="1437">
        <v>0</v>
      </c>
      <c r="J526" s="1437">
        <v>0</v>
      </c>
      <c r="K526" s="1438"/>
      <c r="L526" s="1438"/>
      <c r="M526" s="1437">
        <f t="shared" si="37"/>
        <v>0</v>
      </c>
      <c r="N526" s="1437">
        <f t="shared" si="38"/>
        <v>0</v>
      </c>
    </row>
    <row r="527" spans="1:14" ht="29" outlineLevel="1">
      <c r="A527" s="1491">
        <f t="shared" si="43"/>
        <v>1.3</v>
      </c>
      <c r="B527" s="1530" t="str">
        <f t="shared" si="43"/>
        <v>Procurement &amp; replacement of  PA Fan PAF 17/11.8-2 and FD Fan FAF 17/9.5-1 Complete Blade set required at BM U-8 NPTPS Parli-V.</v>
      </c>
      <c r="C527" s="1491" t="str">
        <f t="shared" si="43"/>
        <v>Yet to be approved</v>
      </c>
      <c r="D527" s="1531" t="str">
        <f t="shared" si="43"/>
        <v>-</v>
      </c>
      <c r="E527" s="1318">
        <f t="shared" si="43"/>
        <v>0</v>
      </c>
      <c r="F527" s="1437">
        <f t="shared" si="34"/>
        <v>0</v>
      </c>
      <c r="G527" s="1437">
        <f t="shared" si="35"/>
        <v>0</v>
      </c>
      <c r="H527" s="1437">
        <f t="shared" si="36"/>
        <v>0</v>
      </c>
      <c r="I527" s="1437">
        <v>0</v>
      </c>
      <c r="J527" s="1437">
        <v>0</v>
      </c>
      <c r="K527" s="1438"/>
      <c r="L527" s="1438"/>
      <c r="M527" s="1437">
        <f t="shared" si="37"/>
        <v>0</v>
      </c>
      <c r="N527" s="1437">
        <f t="shared" si="38"/>
        <v>0</v>
      </c>
    </row>
    <row r="528" spans="1:14" ht="29" outlineLevel="1">
      <c r="A528" s="1491">
        <f t="shared" si="43"/>
        <v>1.4</v>
      </c>
      <c r="B528" s="1530" t="str">
        <f t="shared" si="43"/>
        <v>Procurement &amp; Replacement of  Coal Mill Gear Box Type KMP 280 at 250 MW Unit-8, Parli TPS.</v>
      </c>
      <c r="C528" s="1491" t="str">
        <f t="shared" si="43"/>
        <v>Yet to be approved</v>
      </c>
      <c r="D528" s="1531" t="str">
        <f t="shared" si="43"/>
        <v>-</v>
      </c>
      <c r="E528" s="1318">
        <f t="shared" si="43"/>
        <v>0</v>
      </c>
      <c r="F528" s="1437">
        <f t="shared" si="34"/>
        <v>0</v>
      </c>
      <c r="G528" s="1437">
        <f t="shared" si="35"/>
        <v>0</v>
      </c>
      <c r="H528" s="1437">
        <f t="shared" si="36"/>
        <v>0</v>
      </c>
      <c r="I528" s="1437">
        <v>0</v>
      </c>
      <c r="J528" s="1437">
        <v>0</v>
      </c>
      <c r="K528" s="1438"/>
      <c r="L528" s="1438"/>
      <c r="M528" s="1437">
        <f t="shared" si="37"/>
        <v>0</v>
      </c>
      <c r="N528" s="1437">
        <f t="shared" si="38"/>
        <v>0</v>
      </c>
    </row>
    <row r="529" spans="1:14" ht="29" outlineLevel="1">
      <c r="A529" s="1491">
        <f t="shared" ref="A529:E544" si="44">A136</f>
        <v>1.5</v>
      </c>
      <c r="B529" s="1530" t="str">
        <f t="shared" si="44"/>
        <v>Procurement &amp; replacement of Bowl &amp; Bowl Hub Assembly of Coal Mill XRP-903 required at BM U-8 NPTPS Parli-V.</v>
      </c>
      <c r="C529" s="1491" t="str">
        <f t="shared" si="44"/>
        <v>Yet to be approved</v>
      </c>
      <c r="D529" s="1531" t="str">
        <f t="shared" si="44"/>
        <v>-</v>
      </c>
      <c r="E529" s="1318">
        <f t="shared" si="44"/>
        <v>0</v>
      </c>
      <c r="F529" s="1437">
        <f t="shared" ref="F529:F592" si="45">F136+I136</f>
        <v>0</v>
      </c>
      <c r="G529" s="1437">
        <f t="shared" ref="G529:G592" si="46">G136+M136</f>
        <v>0</v>
      </c>
      <c r="H529" s="1437">
        <f t="shared" ref="H529:H592" si="47">F529-G529</f>
        <v>0</v>
      </c>
      <c r="I529" s="1437">
        <v>0</v>
      </c>
      <c r="J529" s="1437">
        <v>0</v>
      </c>
      <c r="K529" s="1438"/>
      <c r="L529" s="1438"/>
      <c r="M529" s="1437">
        <f t="shared" ref="M529" si="48">SUM(J529:L529)</f>
        <v>0</v>
      </c>
      <c r="N529" s="1437">
        <f t="shared" ref="N529:N592" si="49">H529+I529-M529</f>
        <v>0</v>
      </c>
    </row>
    <row r="530" spans="1:14" ht="29" outlineLevel="1">
      <c r="A530" s="1491">
        <f t="shared" si="44"/>
        <v>1.6</v>
      </c>
      <c r="B530" s="1530" t="str">
        <f t="shared" si="44"/>
        <v>Procurement of Complete Journal Assembly without Grinding roll for Coal Mill XRP-903  required at BM U-8 NPTPS Parli-V</v>
      </c>
      <c r="C530" s="1491" t="str">
        <f t="shared" si="44"/>
        <v>Yet to be approved</v>
      </c>
      <c r="D530" s="1531" t="str">
        <f t="shared" si="44"/>
        <v>-</v>
      </c>
      <c r="E530" s="1318">
        <f t="shared" si="44"/>
        <v>0</v>
      </c>
      <c r="F530" s="1437">
        <f t="shared" si="45"/>
        <v>0</v>
      </c>
      <c r="G530" s="1437">
        <f t="shared" si="46"/>
        <v>0</v>
      </c>
      <c r="H530" s="1437">
        <f t="shared" si="47"/>
        <v>0</v>
      </c>
      <c r="I530" s="1437">
        <v>0</v>
      </c>
      <c r="J530" s="1437">
        <v>0</v>
      </c>
      <c r="K530" s="1438"/>
      <c r="L530" s="1438"/>
      <c r="M530" s="1437">
        <f t="shared" ref="M530:M594" si="50">SUM(J530:L530)</f>
        <v>0</v>
      </c>
      <c r="N530" s="1437">
        <f t="shared" si="49"/>
        <v>0</v>
      </c>
    </row>
    <row r="531" spans="1:14" ht="29" outlineLevel="1">
      <c r="A531" s="1491">
        <f t="shared" si="44"/>
        <v>1.7</v>
      </c>
      <c r="B531" s="1530" t="str">
        <f t="shared" si="44"/>
        <v>Procurement of  Hydraulic Adjustment Device for FD Fan FAF 17/9.5-1 at BM U-8 NPTPS Parli-V.</v>
      </c>
      <c r="C531" s="1491" t="str">
        <f t="shared" si="44"/>
        <v>Yet to be approved</v>
      </c>
      <c r="D531" s="1531" t="str">
        <f t="shared" si="44"/>
        <v>-</v>
      </c>
      <c r="E531" s="1318">
        <f t="shared" si="44"/>
        <v>0</v>
      </c>
      <c r="F531" s="1437">
        <f t="shared" si="45"/>
        <v>0</v>
      </c>
      <c r="G531" s="1437">
        <f t="shared" si="46"/>
        <v>0</v>
      </c>
      <c r="H531" s="1437">
        <f t="shared" si="47"/>
        <v>0</v>
      </c>
      <c r="I531" s="1437">
        <v>0</v>
      </c>
      <c r="J531" s="1437">
        <v>0</v>
      </c>
      <c r="K531" s="1438"/>
      <c r="L531" s="1438"/>
      <c r="M531" s="1437">
        <f t="shared" si="50"/>
        <v>0</v>
      </c>
      <c r="N531" s="1437">
        <f t="shared" si="49"/>
        <v>0</v>
      </c>
    </row>
    <row r="532" spans="1:14" outlineLevel="1">
      <c r="A532" s="1491">
        <f t="shared" si="44"/>
        <v>1.8</v>
      </c>
      <c r="B532" s="1530" t="str">
        <f t="shared" si="44"/>
        <v>SWAS upgradation at U#8</v>
      </c>
      <c r="C532" s="1491" t="str">
        <f t="shared" si="44"/>
        <v>Yet to be approved</v>
      </c>
      <c r="D532" s="1531" t="str">
        <f t="shared" si="44"/>
        <v>-</v>
      </c>
      <c r="E532" s="1318">
        <f t="shared" si="44"/>
        <v>0</v>
      </c>
      <c r="F532" s="1437">
        <f t="shared" si="45"/>
        <v>0</v>
      </c>
      <c r="G532" s="1437">
        <f t="shared" si="46"/>
        <v>0</v>
      </c>
      <c r="H532" s="1437">
        <f t="shared" si="47"/>
        <v>0</v>
      </c>
      <c r="I532" s="1437">
        <v>0</v>
      </c>
      <c r="J532" s="1437">
        <v>0</v>
      </c>
      <c r="K532" s="1438"/>
      <c r="L532" s="1438"/>
      <c r="M532" s="1437">
        <f t="shared" si="50"/>
        <v>0</v>
      </c>
      <c r="N532" s="1437">
        <f t="shared" si="49"/>
        <v>0</v>
      </c>
    </row>
    <row r="533" spans="1:14" ht="21" outlineLevel="1">
      <c r="A533" s="1538">
        <f t="shared" si="44"/>
        <v>0</v>
      </c>
      <c r="B533" s="1410" t="str">
        <f t="shared" si="44"/>
        <v>(ii) Yet to be submitted to MERC</v>
      </c>
      <c r="C533" s="1491">
        <f t="shared" si="44"/>
        <v>0</v>
      </c>
      <c r="D533" s="1531" t="str">
        <f t="shared" si="44"/>
        <v>-</v>
      </c>
      <c r="E533" s="1318">
        <f t="shared" si="44"/>
        <v>0</v>
      </c>
      <c r="F533" s="1437">
        <f t="shared" si="45"/>
        <v>0</v>
      </c>
      <c r="G533" s="1437">
        <f t="shared" si="46"/>
        <v>0</v>
      </c>
      <c r="H533" s="1437">
        <f t="shared" si="47"/>
        <v>0</v>
      </c>
      <c r="I533" s="1437">
        <v>0</v>
      </c>
      <c r="J533" s="1437">
        <v>0</v>
      </c>
      <c r="K533" s="1438"/>
      <c r="L533" s="1438"/>
      <c r="M533" s="1437">
        <f t="shared" si="50"/>
        <v>0</v>
      </c>
      <c r="N533" s="1437">
        <f t="shared" si="49"/>
        <v>0</v>
      </c>
    </row>
    <row r="534" spans="1:14" ht="77.5" outlineLevel="1">
      <c r="A534" s="1533">
        <f t="shared" si="44"/>
        <v>2</v>
      </c>
      <c r="B534" s="1534" t="str">
        <f t="shared" si="44"/>
        <v xml:space="preserve"> Procurement &amp; Replacement of Complete Platen super heater coils  Coil Assemblies at Unit-8, TPS Parli-V,  Procurement &amp; Replacement of Complete LTSH upper &amp; lower bank Coil Assemblies at Unit-8, TPS Parli-V &amp;  Procurement &amp; Replacement of  Coal Mill Gear Box Type KMP 280 at 250 MW Unit-8, Parli TPS.</v>
      </c>
      <c r="C534" s="1491" t="str">
        <f t="shared" si="44"/>
        <v>Yet to be approved</v>
      </c>
      <c r="D534" s="1531" t="str">
        <f t="shared" si="44"/>
        <v>-</v>
      </c>
      <c r="E534" s="1318">
        <f t="shared" si="44"/>
        <v>0</v>
      </c>
      <c r="F534" s="1437">
        <f t="shared" si="45"/>
        <v>0</v>
      </c>
      <c r="G534" s="1437">
        <f t="shared" si="46"/>
        <v>0</v>
      </c>
      <c r="H534" s="1437">
        <f t="shared" si="47"/>
        <v>0</v>
      </c>
      <c r="I534" s="1437">
        <v>0</v>
      </c>
      <c r="J534" s="1437">
        <v>0</v>
      </c>
      <c r="K534" s="1438"/>
      <c r="L534" s="1438"/>
      <c r="M534" s="1437">
        <f t="shared" si="50"/>
        <v>0</v>
      </c>
      <c r="N534" s="1437">
        <f t="shared" si="49"/>
        <v>0</v>
      </c>
    </row>
    <row r="535" spans="1:14" ht="29" outlineLevel="1">
      <c r="A535" s="1491">
        <f t="shared" si="44"/>
        <v>2.1</v>
      </c>
      <c r="B535" s="1530" t="str">
        <f t="shared" si="44"/>
        <v>Procurement &amp; Replacement of Complete Platen super heater coils  Coil Assemblies at Unit-8, TPS Parli-V</v>
      </c>
      <c r="C535" s="1491" t="str">
        <f t="shared" si="44"/>
        <v>Yet to be approved</v>
      </c>
      <c r="D535" s="1531" t="str">
        <f t="shared" si="44"/>
        <v>-</v>
      </c>
      <c r="E535" s="1318">
        <f t="shared" si="44"/>
        <v>0</v>
      </c>
      <c r="F535" s="1437">
        <f t="shared" si="45"/>
        <v>0</v>
      </c>
      <c r="G535" s="1437">
        <f t="shared" si="46"/>
        <v>0</v>
      </c>
      <c r="H535" s="1437">
        <f t="shared" si="47"/>
        <v>0</v>
      </c>
      <c r="I535" s="1437">
        <v>0</v>
      </c>
      <c r="J535" s="1437">
        <v>0</v>
      </c>
      <c r="K535" s="1438"/>
      <c r="L535" s="1438"/>
      <c r="M535" s="1437">
        <f t="shared" si="50"/>
        <v>0</v>
      </c>
      <c r="N535" s="1437">
        <f t="shared" si="49"/>
        <v>0</v>
      </c>
    </row>
    <row r="536" spans="1:14" ht="29" outlineLevel="1">
      <c r="A536" s="1491">
        <f t="shared" si="44"/>
        <v>2.2000000000000002</v>
      </c>
      <c r="B536" s="1530" t="str">
        <f t="shared" si="44"/>
        <v>Procurement &amp; Replacement of Complete LTSH upper &amp; lower bank Coil Assemblies at Unit-8, TPS Parli-V</v>
      </c>
      <c r="C536" s="1491" t="str">
        <f t="shared" si="44"/>
        <v>Yet to be approved</v>
      </c>
      <c r="D536" s="1531" t="str">
        <f t="shared" si="44"/>
        <v>-</v>
      </c>
      <c r="E536" s="1318">
        <f t="shared" si="44"/>
        <v>0</v>
      </c>
      <c r="F536" s="1437">
        <f t="shared" si="45"/>
        <v>0</v>
      </c>
      <c r="G536" s="1437">
        <f t="shared" si="46"/>
        <v>0</v>
      </c>
      <c r="H536" s="1437">
        <f t="shared" si="47"/>
        <v>0</v>
      </c>
      <c r="I536" s="1437">
        <v>0</v>
      </c>
      <c r="J536" s="1437">
        <v>0</v>
      </c>
      <c r="K536" s="1438"/>
      <c r="L536" s="1438"/>
      <c r="M536" s="1437">
        <f t="shared" si="50"/>
        <v>0</v>
      </c>
      <c r="N536" s="1437">
        <f t="shared" si="49"/>
        <v>0</v>
      </c>
    </row>
    <row r="537" spans="1:14" ht="29" outlineLevel="1">
      <c r="A537" s="1491">
        <f t="shared" si="44"/>
        <v>2.2999999999999998</v>
      </c>
      <c r="B537" s="1530" t="str">
        <f t="shared" si="44"/>
        <v xml:space="preserve"> Procurement &amp; Replacement of  Coal Mill Gear Box Type KMP 280 at 250 MW Unit-8, Parli TPS.</v>
      </c>
      <c r="C537" s="1491" t="str">
        <f t="shared" si="44"/>
        <v>Yet to be approved</v>
      </c>
      <c r="D537" s="1531" t="str">
        <f t="shared" si="44"/>
        <v>-</v>
      </c>
      <c r="E537" s="1318">
        <f t="shared" si="44"/>
        <v>0</v>
      </c>
      <c r="F537" s="1437">
        <f t="shared" si="45"/>
        <v>0</v>
      </c>
      <c r="G537" s="1437">
        <f t="shared" si="46"/>
        <v>0</v>
      </c>
      <c r="H537" s="1437">
        <f t="shared" si="47"/>
        <v>0</v>
      </c>
      <c r="I537" s="1437">
        <v>0</v>
      </c>
      <c r="J537" s="1437">
        <v>0</v>
      </c>
      <c r="K537" s="1438"/>
      <c r="L537" s="1438"/>
      <c r="M537" s="1437">
        <f t="shared" si="50"/>
        <v>0</v>
      </c>
      <c r="N537" s="1437">
        <f t="shared" si="49"/>
        <v>0</v>
      </c>
    </row>
    <row r="538" spans="1:14" ht="46.5" outlineLevel="1">
      <c r="A538" s="1533">
        <f t="shared" si="44"/>
        <v>3</v>
      </c>
      <c r="B538" s="1534" t="str">
        <f t="shared" si="44"/>
        <v xml:space="preserve"> Procurement &amp; Replacement of Two complete set of APH Baskets at 250 MW Unit-8, Parli TPS Procurement &amp; replacement of PA &amp; FD fan rotar hub assembly at Unit-8 TPS Parli-V</v>
      </c>
      <c r="C538" s="1491" t="str">
        <f t="shared" si="44"/>
        <v>Yet to be approved</v>
      </c>
      <c r="D538" s="1531" t="str">
        <f t="shared" si="44"/>
        <v>-</v>
      </c>
      <c r="E538" s="1318">
        <f t="shared" si="44"/>
        <v>0</v>
      </c>
      <c r="F538" s="1437">
        <f t="shared" si="45"/>
        <v>0</v>
      </c>
      <c r="G538" s="1437">
        <f t="shared" si="46"/>
        <v>0</v>
      </c>
      <c r="H538" s="1437">
        <f t="shared" si="47"/>
        <v>0</v>
      </c>
      <c r="I538" s="1437">
        <v>0</v>
      </c>
      <c r="J538" s="1437">
        <v>0</v>
      </c>
      <c r="K538" s="1438"/>
      <c r="L538" s="1438"/>
      <c r="M538" s="1437">
        <f t="shared" si="50"/>
        <v>0</v>
      </c>
      <c r="N538" s="1437">
        <f t="shared" si="49"/>
        <v>0</v>
      </c>
    </row>
    <row r="539" spans="1:14" ht="29" outlineLevel="1">
      <c r="A539" s="1491">
        <f t="shared" si="44"/>
        <v>3.1</v>
      </c>
      <c r="B539" s="1530" t="str">
        <f t="shared" si="44"/>
        <v xml:space="preserve"> Procurement &amp; Replacement of Two complete set of APH Baskets at 250 MW Unit-8, Parli TPS.</v>
      </c>
      <c r="C539" s="1491" t="str">
        <f t="shared" si="44"/>
        <v>Yet to be approved</v>
      </c>
      <c r="D539" s="1531" t="str">
        <f t="shared" si="44"/>
        <v>-</v>
      </c>
      <c r="E539" s="1318">
        <f t="shared" si="44"/>
        <v>0</v>
      </c>
      <c r="F539" s="1437">
        <f t="shared" si="45"/>
        <v>0</v>
      </c>
      <c r="G539" s="1437">
        <f t="shared" si="46"/>
        <v>0</v>
      </c>
      <c r="H539" s="1437">
        <f t="shared" si="47"/>
        <v>0</v>
      </c>
      <c r="I539" s="1437">
        <v>0</v>
      </c>
      <c r="J539" s="1437">
        <v>0</v>
      </c>
      <c r="K539" s="1438"/>
      <c r="L539" s="1438"/>
      <c r="M539" s="1437">
        <f t="shared" si="50"/>
        <v>0</v>
      </c>
      <c r="N539" s="1437">
        <f t="shared" si="49"/>
        <v>0</v>
      </c>
    </row>
    <row r="540" spans="1:14" ht="29" outlineLevel="1">
      <c r="A540" s="1491">
        <f t="shared" si="44"/>
        <v>3.2</v>
      </c>
      <c r="B540" s="1530" t="str">
        <f t="shared" si="44"/>
        <v>Procurement &amp; replacement of PA &amp; FD fan rotar hub assembly at Unit-8 TPS Parli-V</v>
      </c>
      <c r="C540" s="1491" t="str">
        <f t="shared" si="44"/>
        <v>Yet to be approved</v>
      </c>
      <c r="D540" s="1531" t="str">
        <f t="shared" si="44"/>
        <v>-</v>
      </c>
      <c r="E540" s="1318">
        <f t="shared" si="44"/>
        <v>0</v>
      </c>
      <c r="F540" s="1437">
        <f t="shared" si="45"/>
        <v>0</v>
      </c>
      <c r="G540" s="1437">
        <f t="shared" si="46"/>
        <v>0</v>
      </c>
      <c r="H540" s="1437">
        <f t="shared" si="47"/>
        <v>0</v>
      </c>
      <c r="I540" s="1437">
        <v>0</v>
      </c>
      <c r="J540" s="1437">
        <v>0</v>
      </c>
      <c r="K540" s="1438"/>
      <c r="L540" s="1438"/>
      <c r="M540" s="1437">
        <f t="shared" si="50"/>
        <v>0</v>
      </c>
      <c r="N540" s="1437">
        <f t="shared" si="49"/>
        <v>0</v>
      </c>
    </row>
    <row r="541" spans="1:14" ht="31" outlineLevel="1">
      <c r="A541" s="1533">
        <f t="shared" si="44"/>
        <v>4</v>
      </c>
      <c r="B541" s="1534" t="str">
        <f t="shared" si="44"/>
        <v xml:space="preserve">DPR on Refurbishment of TG Governing system at Unit-8, PTPS, Parli V. </v>
      </c>
      <c r="C541" s="1491" t="str">
        <f t="shared" si="44"/>
        <v>Yet to be approved</v>
      </c>
      <c r="D541" s="1531" t="str">
        <f t="shared" si="44"/>
        <v>-</v>
      </c>
      <c r="E541" s="1318">
        <f t="shared" si="44"/>
        <v>0</v>
      </c>
      <c r="F541" s="1437">
        <f t="shared" si="45"/>
        <v>0</v>
      </c>
      <c r="G541" s="1437">
        <f t="shared" si="46"/>
        <v>0</v>
      </c>
      <c r="H541" s="1437">
        <f t="shared" si="47"/>
        <v>0</v>
      </c>
      <c r="I541" s="1437">
        <v>0</v>
      </c>
      <c r="J541" s="1437">
        <v>0</v>
      </c>
      <c r="K541" s="1438"/>
      <c r="L541" s="1438"/>
      <c r="M541" s="1437">
        <f t="shared" si="50"/>
        <v>0</v>
      </c>
      <c r="N541" s="1437">
        <f t="shared" si="49"/>
        <v>0</v>
      </c>
    </row>
    <row r="542" spans="1:14" outlineLevel="1">
      <c r="A542" s="1491">
        <f t="shared" si="44"/>
        <v>4.0999999999999996</v>
      </c>
      <c r="B542" s="1530" t="str">
        <f t="shared" si="44"/>
        <v xml:space="preserve">Refurbishment of TG Governing system at Unit-8, PTPS, Parli V. </v>
      </c>
      <c r="C542" s="1491" t="str">
        <f t="shared" si="44"/>
        <v>Yet to be approved</v>
      </c>
      <c r="D542" s="1531" t="str">
        <f t="shared" si="44"/>
        <v>-</v>
      </c>
      <c r="E542" s="1318">
        <f t="shared" si="44"/>
        <v>0</v>
      </c>
      <c r="F542" s="1437">
        <f t="shared" si="45"/>
        <v>0</v>
      </c>
      <c r="G542" s="1437">
        <f t="shared" si="46"/>
        <v>0</v>
      </c>
      <c r="H542" s="1437">
        <f t="shared" si="47"/>
        <v>0</v>
      </c>
      <c r="I542" s="1437">
        <v>0</v>
      </c>
      <c r="J542" s="1437">
        <v>0</v>
      </c>
      <c r="K542" s="1438"/>
      <c r="L542" s="1438"/>
      <c r="M542" s="1437">
        <f t="shared" si="50"/>
        <v>0</v>
      </c>
      <c r="N542" s="1437">
        <f t="shared" si="49"/>
        <v>0</v>
      </c>
    </row>
    <row r="543" spans="1:14" ht="31" outlineLevel="1">
      <c r="A543" s="1533">
        <f t="shared" si="44"/>
        <v>5</v>
      </c>
      <c r="B543" s="1534" t="str">
        <f t="shared" si="44"/>
        <v>DPR on Performance improvement of Natural Draft Cooling Tower (NDCT) at Unit-8, PTPS, Parli V.</v>
      </c>
      <c r="C543" s="1491" t="str">
        <f t="shared" si="44"/>
        <v>Yet to be approved</v>
      </c>
      <c r="D543" s="1531" t="str">
        <f t="shared" si="44"/>
        <v>-</v>
      </c>
      <c r="E543" s="1318">
        <f t="shared" si="44"/>
        <v>0</v>
      </c>
      <c r="F543" s="1437">
        <f t="shared" si="45"/>
        <v>0</v>
      </c>
      <c r="G543" s="1437">
        <f t="shared" si="46"/>
        <v>0</v>
      </c>
      <c r="H543" s="1437">
        <f t="shared" si="47"/>
        <v>0</v>
      </c>
      <c r="I543" s="1437">
        <v>0</v>
      </c>
      <c r="J543" s="1437">
        <v>0</v>
      </c>
      <c r="K543" s="1438"/>
      <c r="L543" s="1438"/>
      <c r="M543" s="1437">
        <f t="shared" si="50"/>
        <v>0</v>
      </c>
      <c r="N543" s="1437">
        <f t="shared" si="49"/>
        <v>0</v>
      </c>
    </row>
    <row r="544" spans="1:14" ht="58" outlineLevel="1">
      <c r="A544" s="1491">
        <f t="shared" si="44"/>
        <v>5.0999999999999996</v>
      </c>
      <c r="B544" s="1530" t="str">
        <f t="shared" si="44"/>
        <v>Performance improvement of Natural Draft Cooling Tower (NDCT) by replacement of PVC fills, AC cement pipes, strengthening of Hot water distribution system, replacement of beams, columns, support structures, etc. at Unit-8, PTPS, Parli V.</v>
      </c>
      <c r="C544" s="1491" t="str">
        <f t="shared" si="44"/>
        <v>Yet to be approved</v>
      </c>
      <c r="D544" s="1531" t="str">
        <f t="shared" si="44"/>
        <v>-</v>
      </c>
      <c r="E544" s="1318">
        <f t="shared" si="44"/>
        <v>0</v>
      </c>
      <c r="F544" s="1437">
        <f t="shared" si="45"/>
        <v>0</v>
      </c>
      <c r="G544" s="1437">
        <f t="shared" si="46"/>
        <v>0</v>
      </c>
      <c r="H544" s="1437">
        <f t="shared" si="47"/>
        <v>0</v>
      </c>
      <c r="I544" s="1437">
        <v>0</v>
      </c>
      <c r="J544" s="1437">
        <v>0</v>
      </c>
      <c r="K544" s="1438"/>
      <c r="L544" s="1438"/>
      <c r="M544" s="1437">
        <f t="shared" si="50"/>
        <v>0</v>
      </c>
      <c r="N544" s="1437">
        <f t="shared" si="49"/>
        <v>0</v>
      </c>
    </row>
    <row r="545" spans="1:14" ht="31" outlineLevel="1">
      <c r="A545" s="1533">
        <f t="shared" ref="A545:E560" si="51">A152</f>
        <v>6</v>
      </c>
      <c r="B545" s="1534" t="str">
        <f t="shared" si="51"/>
        <v xml:space="preserve">DPR on Procurement of  ACW &amp; CW pump along with mandatory spares at Unit-8, PTPS, Parli V. </v>
      </c>
      <c r="C545" s="1491" t="str">
        <f t="shared" si="51"/>
        <v>Yet to be approved</v>
      </c>
      <c r="D545" s="1531" t="str">
        <f t="shared" si="51"/>
        <v>-</v>
      </c>
      <c r="E545" s="1318">
        <f t="shared" si="51"/>
        <v>0</v>
      </c>
      <c r="F545" s="1437">
        <f t="shared" si="45"/>
        <v>0</v>
      </c>
      <c r="G545" s="1437">
        <f t="shared" si="46"/>
        <v>0</v>
      </c>
      <c r="H545" s="1437">
        <f t="shared" si="47"/>
        <v>0</v>
      </c>
      <c r="I545" s="1437">
        <v>0</v>
      </c>
      <c r="J545" s="1437">
        <v>0</v>
      </c>
      <c r="K545" s="1438"/>
      <c r="L545" s="1438"/>
      <c r="M545" s="1437">
        <f t="shared" si="50"/>
        <v>0</v>
      </c>
      <c r="N545" s="1437">
        <f t="shared" si="49"/>
        <v>0</v>
      </c>
    </row>
    <row r="546" spans="1:14" ht="29" outlineLevel="1">
      <c r="A546" s="1491">
        <f t="shared" si="51"/>
        <v>6.1</v>
      </c>
      <c r="B546" s="1530" t="str">
        <f t="shared" si="51"/>
        <v xml:space="preserve">DPR on Procurement of  ACW &amp; CW pump along with mandatory spares at Unit-8, PTPS, Parli V. </v>
      </c>
      <c r="C546" s="1491" t="str">
        <f t="shared" si="51"/>
        <v>Yet to be approved</v>
      </c>
      <c r="D546" s="1531" t="str">
        <f t="shared" si="51"/>
        <v>-</v>
      </c>
      <c r="E546" s="1318">
        <f t="shared" si="51"/>
        <v>0</v>
      </c>
      <c r="F546" s="1437">
        <f t="shared" si="45"/>
        <v>0</v>
      </c>
      <c r="G546" s="1437">
        <f t="shared" si="46"/>
        <v>0</v>
      </c>
      <c r="H546" s="1437">
        <f t="shared" si="47"/>
        <v>0</v>
      </c>
      <c r="I546" s="1437">
        <v>0</v>
      </c>
      <c r="J546" s="1437">
        <v>0</v>
      </c>
      <c r="K546" s="1438"/>
      <c r="L546" s="1438"/>
      <c r="M546" s="1437">
        <f t="shared" si="50"/>
        <v>0</v>
      </c>
      <c r="N546" s="1437">
        <f t="shared" si="49"/>
        <v>0</v>
      </c>
    </row>
    <row r="547" spans="1:14" ht="62" outlineLevel="1">
      <c r="A547" s="1533">
        <f t="shared" si="51"/>
        <v>7</v>
      </c>
      <c r="B547" s="1534" t="str">
        <f t="shared" si="51"/>
        <v xml:space="preserve">DPR on Procurement of  CEP pump and BFP Booster pump along with mandatory spares at Unit-8, PTPS, Parli V and Procurement of Energy Efficient Cartridges of Boiler Feed Pump at Unit-8, PTPS, Parli V. </v>
      </c>
      <c r="C547" s="1491" t="str">
        <f t="shared" si="51"/>
        <v>Yet to be approved</v>
      </c>
      <c r="D547" s="1531" t="str">
        <f t="shared" si="51"/>
        <v>-</v>
      </c>
      <c r="E547" s="1318">
        <f t="shared" si="51"/>
        <v>0</v>
      </c>
      <c r="F547" s="1437">
        <f t="shared" si="45"/>
        <v>0</v>
      </c>
      <c r="G547" s="1437">
        <f t="shared" si="46"/>
        <v>0</v>
      </c>
      <c r="H547" s="1437">
        <f t="shared" si="47"/>
        <v>0</v>
      </c>
      <c r="I547" s="1437">
        <v>0</v>
      </c>
      <c r="J547" s="1437">
        <v>0</v>
      </c>
      <c r="K547" s="1438"/>
      <c r="L547" s="1438"/>
      <c r="M547" s="1437">
        <f t="shared" si="50"/>
        <v>0</v>
      </c>
      <c r="N547" s="1437">
        <f t="shared" si="49"/>
        <v>0</v>
      </c>
    </row>
    <row r="548" spans="1:14" ht="29" outlineLevel="1">
      <c r="A548" s="1491">
        <f t="shared" si="51"/>
        <v>7.1</v>
      </c>
      <c r="B548" s="1530" t="str">
        <f t="shared" si="51"/>
        <v xml:space="preserve">Procurement of  CEP pump and BFP Booster pump along with mandatory spares at Unit-8, PTPS, Parli </v>
      </c>
      <c r="C548" s="1491" t="str">
        <f t="shared" si="51"/>
        <v>Yet to be approved</v>
      </c>
      <c r="D548" s="1531" t="str">
        <f t="shared" si="51"/>
        <v>-</v>
      </c>
      <c r="E548" s="1318">
        <f t="shared" si="51"/>
        <v>0</v>
      </c>
      <c r="F548" s="1437">
        <f t="shared" si="45"/>
        <v>0</v>
      </c>
      <c r="G548" s="1437">
        <f t="shared" si="46"/>
        <v>0</v>
      </c>
      <c r="H548" s="1437">
        <f t="shared" si="47"/>
        <v>0</v>
      </c>
      <c r="I548" s="1437">
        <v>0</v>
      </c>
      <c r="J548" s="1437">
        <v>0</v>
      </c>
      <c r="K548" s="1438"/>
      <c r="L548" s="1438"/>
      <c r="M548" s="1437">
        <f t="shared" si="50"/>
        <v>0</v>
      </c>
      <c r="N548" s="1437">
        <f t="shared" si="49"/>
        <v>0</v>
      </c>
    </row>
    <row r="549" spans="1:14" ht="29" outlineLevel="1">
      <c r="A549" s="1491">
        <f t="shared" si="51"/>
        <v>7.2</v>
      </c>
      <c r="B549" s="1530" t="str">
        <f t="shared" si="51"/>
        <v xml:space="preserve">Procurement of Energy Efficient Cartridges of Boiler Feed Pump at Unit-8, PTPS, Parli V. </v>
      </c>
      <c r="C549" s="1491" t="str">
        <f t="shared" si="51"/>
        <v>Yet to be approved</v>
      </c>
      <c r="D549" s="1531" t="str">
        <f t="shared" si="51"/>
        <v>-</v>
      </c>
      <c r="E549" s="1318">
        <f t="shared" si="51"/>
        <v>0</v>
      </c>
      <c r="F549" s="1437">
        <f t="shared" si="45"/>
        <v>0</v>
      </c>
      <c r="G549" s="1437">
        <f t="shared" si="46"/>
        <v>0</v>
      </c>
      <c r="H549" s="1437">
        <f t="shared" si="47"/>
        <v>0</v>
      </c>
      <c r="I549" s="1437">
        <v>0</v>
      </c>
      <c r="J549" s="1437">
        <v>0</v>
      </c>
      <c r="K549" s="1438"/>
      <c r="L549" s="1438"/>
      <c r="M549" s="1437">
        <f t="shared" si="50"/>
        <v>0</v>
      </c>
      <c r="N549" s="1437">
        <f t="shared" si="49"/>
        <v>0</v>
      </c>
    </row>
    <row r="550" spans="1:14" ht="31" outlineLevel="1">
      <c r="A550" s="1533">
        <f t="shared" si="51"/>
        <v>8</v>
      </c>
      <c r="B550" s="1534" t="str">
        <f t="shared" si="51"/>
        <v>DPR on Procurement of turbine blades of HP, IP &amp; LP rotor in Unit-8, PTPS, Parli V.</v>
      </c>
      <c r="C550" s="1491" t="str">
        <f t="shared" si="51"/>
        <v>Yet to be approved</v>
      </c>
      <c r="D550" s="1531" t="str">
        <f t="shared" si="51"/>
        <v>-</v>
      </c>
      <c r="E550" s="1318">
        <f t="shared" si="51"/>
        <v>0</v>
      </c>
      <c r="F550" s="1437">
        <f t="shared" si="45"/>
        <v>0</v>
      </c>
      <c r="G550" s="1437">
        <f t="shared" si="46"/>
        <v>0</v>
      </c>
      <c r="H550" s="1437">
        <f t="shared" si="47"/>
        <v>0</v>
      </c>
      <c r="I550" s="1437">
        <v>0</v>
      </c>
      <c r="J550" s="1437">
        <v>0</v>
      </c>
      <c r="K550" s="1438"/>
      <c r="L550" s="1438"/>
      <c r="M550" s="1437">
        <f t="shared" si="50"/>
        <v>0</v>
      </c>
      <c r="N550" s="1437">
        <f t="shared" si="49"/>
        <v>0</v>
      </c>
    </row>
    <row r="551" spans="1:14" ht="29" outlineLevel="1">
      <c r="A551" s="1491">
        <f t="shared" si="51"/>
        <v>8.1</v>
      </c>
      <c r="B551" s="1530" t="str">
        <f t="shared" si="51"/>
        <v>DPR on Procurement of turbine blades of HP, IP &amp; LP rotor in Unit-8, PTPS, Parli V.</v>
      </c>
      <c r="C551" s="1491" t="str">
        <f t="shared" si="51"/>
        <v>Yet to be approved</v>
      </c>
      <c r="D551" s="1531" t="str">
        <f t="shared" si="51"/>
        <v>-</v>
      </c>
      <c r="E551" s="1318">
        <f t="shared" si="51"/>
        <v>0</v>
      </c>
      <c r="F551" s="1437">
        <f t="shared" si="45"/>
        <v>0</v>
      </c>
      <c r="G551" s="1437">
        <f t="shared" si="46"/>
        <v>0</v>
      </c>
      <c r="H551" s="1437">
        <f t="shared" si="47"/>
        <v>0</v>
      </c>
      <c r="I551" s="1437">
        <v>0</v>
      </c>
      <c r="J551" s="1437">
        <v>0</v>
      </c>
      <c r="K551" s="1438"/>
      <c r="L551" s="1438"/>
      <c r="M551" s="1437">
        <f t="shared" si="50"/>
        <v>0</v>
      </c>
      <c r="N551" s="1437">
        <f t="shared" si="49"/>
        <v>0</v>
      </c>
    </row>
    <row r="552" spans="1:14" ht="46.5" outlineLevel="1">
      <c r="A552" s="1533">
        <f t="shared" si="51"/>
        <v>9</v>
      </c>
      <c r="B552" s="1534" t="str">
        <f t="shared" si="51"/>
        <v xml:space="preserve">DPR on Repair &amp; Reconditioning of Water treatment plant at Unit-8, PTPS, Parli V and Performance improvement of centralised AC plant at Unit-8, PTPS, Parli V. </v>
      </c>
      <c r="C552" s="1491" t="str">
        <f t="shared" si="51"/>
        <v>Yet to be approved</v>
      </c>
      <c r="D552" s="1531" t="str">
        <f t="shared" si="51"/>
        <v>-</v>
      </c>
      <c r="E552" s="1318">
        <f t="shared" si="51"/>
        <v>0</v>
      </c>
      <c r="F552" s="1437">
        <f t="shared" si="45"/>
        <v>0</v>
      </c>
      <c r="G552" s="1437">
        <f t="shared" si="46"/>
        <v>0</v>
      </c>
      <c r="H552" s="1437">
        <f t="shared" si="47"/>
        <v>0</v>
      </c>
      <c r="I552" s="1437">
        <v>0</v>
      </c>
      <c r="J552" s="1437">
        <v>0</v>
      </c>
      <c r="K552" s="1438"/>
      <c r="L552" s="1438"/>
      <c r="M552" s="1437">
        <f t="shared" si="50"/>
        <v>0</v>
      </c>
      <c r="N552" s="1437">
        <f t="shared" si="49"/>
        <v>0</v>
      </c>
    </row>
    <row r="553" spans="1:14" ht="29" outlineLevel="1">
      <c r="A553" s="1491">
        <f t="shared" si="51"/>
        <v>9.1</v>
      </c>
      <c r="B553" s="1530" t="str">
        <f t="shared" si="51"/>
        <v>Reconditioning of Acid and Alkali Unloading and storage system at Unit-8, PTPS, Parli V.</v>
      </c>
      <c r="C553" s="1491" t="str">
        <f t="shared" si="51"/>
        <v>Yet to be approved</v>
      </c>
      <c r="D553" s="1531" t="str">
        <f t="shared" si="51"/>
        <v>-</v>
      </c>
      <c r="E553" s="1318">
        <f t="shared" si="51"/>
        <v>0</v>
      </c>
      <c r="F553" s="1437">
        <f t="shared" si="45"/>
        <v>0</v>
      </c>
      <c r="G553" s="1437">
        <f t="shared" si="46"/>
        <v>0</v>
      </c>
      <c r="H553" s="1437">
        <f t="shared" si="47"/>
        <v>0</v>
      </c>
      <c r="I553" s="1437">
        <v>0</v>
      </c>
      <c r="J553" s="1437">
        <v>0</v>
      </c>
      <c r="K553" s="1438"/>
      <c r="L553" s="1438"/>
      <c r="M553" s="1437">
        <f t="shared" si="50"/>
        <v>0</v>
      </c>
      <c r="N553" s="1437">
        <f t="shared" si="49"/>
        <v>0</v>
      </c>
    </row>
    <row r="554" spans="1:14" ht="29" outlineLevel="1">
      <c r="A554" s="1491">
        <f t="shared" si="51"/>
        <v>9.1999999999999993</v>
      </c>
      <c r="B554" s="1530" t="str">
        <f t="shared" si="51"/>
        <v>Reconditioning &amp; repairing of WTP DM Plant regeneration system at Unit-8, PTPS, Parli V.</v>
      </c>
      <c r="C554" s="1491" t="str">
        <f t="shared" si="51"/>
        <v>Yet to be approved</v>
      </c>
      <c r="D554" s="1531" t="str">
        <f t="shared" si="51"/>
        <v>-</v>
      </c>
      <c r="E554" s="1318">
        <f t="shared" si="51"/>
        <v>0</v>
      </c>
      <c r="F554" s="1437">
        <f t="shared" si="45"/>
        <v>0</v>
      </c>
      <c r="G554" s="1437">
        <f t="shared" si="46"/>
        <v>0</v>
      </c>
      <c r="H554" s="1437">
        <f t="shared" si="47"/>
        <v>0</v>
      </c>
      <c r="I554" s="1437">
        <v>0</v>
      </c>
      <c r="J554" s="1437">
        <v>0</v>
      </c>
      <c r="K554" s="1438"/>
      <c r="L554" s="1438"/>
      <c r="M554" s="1437">
        <f t="shared" si="50"/>
        <v>0</v>
      </c>
      <c r="N554" s="1437">
        <f t="shared" si="49"/>
        <v>0</v>
      </c>
    </row>
    <row r="555" spans="1:14" ht="43.5" outlineLevel="1">
      <c r="A555" s="1491">
        <f t="shared" si="51"/>
        <v>9.3000000000000007</v>
      </c>
      <c r="B555" s="1530" t="str">
        <f t="shared" si="51"/>
        <v xml:space="preserve"> Performance improvement of centralised AC plant by reconditioning of cooling tower, various pumps, heat exchangers, etc. at Unit-8, PTPS, Parli V. </v>
      </c>
      <c r="C555" s="1491" t="str">
        <f t="shared" si="51"/>
        <v>Yet to be approved</v>
      </c>
      <c r="D555" s="1531" t="str">
        <f t="shared" si="51"/>
        <v>-</v>
      </c>
      <c r="E555" s="1318">
        <f t="shared" si="51"/>
        <v>0</v>
      </c>
      <c r="F555" s="1437">
        <f t="shared" si="45"/>
        <v>0</v>
      </c>
      <c r="G555" s="1437">
        <f t="shared" si="46"/>
        <v>0</v>
      </c>
      <c r="H555" s="1437">
        <f t="shared" si="47"/>
        <v>0</v>
      </c>
      <c r="I555" s="1437">
        <v>0</v>
      </c>
      <c r="J555" s="1437">
        <v>0</v>
      </c>
      <c r="K555" s="1438"/>
      <c r="L555" s="1438"/>
      <c r="M555" s="1437">
        <f t="shared" si="50"/>
        <v>0</v>
      </c>
      <c r="N555" s="1437">
        <f t="shared" si="49"/>
        <v>0</v>
      </c>
    </row>
    <row r="556" spans="1:14" ht="46.5" outlineLevel="1">
      <c r="A556" s="1533">
        <f t="shared" si="51"/>
        <v>10</v>
      </c>
      <c r="B556" s="1534" t="str">
        <f t="shared" si="51"/>
        <v>DPR on Procurement of Control Fluid (HPCF) pump, Lube Oil pump, Emergency Oil pump, Jacking Oil pump, Seal oil pump at Unit-8, PTPS, Parli V.</v>
      </c>
      <c r="C556" s="1491" t="str">
        <f t="shared" si="51"/>
        <v>Yet to be approved</v>
      </c>
      <c r="D556" s="1531" t="str">
        <f t="shared" si="51"/>
        <v>-</v>
      </c>
      <c r="E556" s="1318">
        <f t="shared" si="51"/>
        <v>0</v>
      </c>
      <c r="F556" s="1437">
        <f t="shared" si="45"/>
        <v>0</v>
      </c>
      <c r="G556" s="1437">
        <f t="shared" si="46"/>
        <v>0</v>
      </c>
      <c r="H556" s="1437">
        <f t="shared" si="47"/>
        <v>0</v>
      </c>
      <c r="I556" s="1437">
        <v>0</v>
      </c>
      <c r="J556" s="1437">
        <v>0</v>
      </c>
      <c r="K556" s="1438"/>
      <c r="L556" s="1438"/>
      <c r="M556" s="1437">
        <f t="shared" si="50"/>
        <v>0</v>
      </c>
      <c r="N556" s="1437">
        <f t="shared" si="49"/>
        <v>0</v>
      </c>
    </row>
    <row r="557" spans="1:14" ht="43.5" outlineLevel="1">
      <c r="A557" s="1491">
        <f t="shared" si="51"/>
        <v>10.1</v>
      </c>
      <c r="B557" s="1530" t="str">
        <f t="shared" si="51"/>
        <v>DPR on Procurement of Control Fluid (HPCF) pump, Lube Oil pump, Emergency Oil pump, Jacking Oil pump, Seal oil pump at Unit-8, PTPS, Parli V.</v>
      </c>
      <c r="C557" s="1491" t="str">
        <f t="shared" si="51"/>
        <v>Yet to be approved</v>
      </c>
      <c r="D557" s="1531" t="str">
        <f t="shared" si="51"/>
        <v>-</v>
      </c>
      <c r="E557" s="1318">
        <f t="shared" si="51"/>
        <v>0</v>
      </c>
      <c r="F557" s="1437">
        <f t="shared" si="45"/>
        <v>0</v>
      </c>
      <c r="G557" s="1437">
        <f t="shared" si="46"/>
        <v>0</v>
      </c>
      <c r="H557" s="1437">
        <f t="shared" si="47"/>
        <v>0</v>
      </c>
      <c r="I557" s="1437">
        <v>0</v>
      </c>
      <c r="J557" s="1437">
        <v>0</v>
      </c>
      <c r="K557" s="1438"/>
      <c r="L557" s="1438"/>
      <c r="M557" s="1437">
        <f t="shared" si="50"/>
        <v>0</v>
      </c>
      <c r="N557" s="1437">
        <f t="shared" si="49"/>
        <v>0</v>
      </c>
    </row>
    <row r="558" spans="1:14" ht="31" outlineLevel="1">
      <c r="A558" s="1533">
        <f t="shared" si="51"/>
        <v>11</v>
      </c>
      <c r="B558" s="1534" t="str">
        <f t="shared" si="51"/>
        <v xml:space="preserve">DPR on Procurement of H2 cooler, BFP coolers, generator exciter cooler, Seal and Lube oil coolers at Unit-8, PTPS, Parli V. </v>
      </c>
      <c r="C558" s="1491" t="str">
        <f t="shared" si="51"/>
        <v>Yet to be approved</v>
      </c>
      <c r="D558" s="1531" t="str">
        <f t="shared" si="51"/>
        <v>-</v>
      </c>
      <c r="E558" s="1318">
        <f t="shared" si="51"/>
        <v>0</v>
      </c>
      <c r="F558" s="1437">
        <f t="shared" si="45"/>
        <v>0</v>
      </c>
      <c r="G558" s="1437">
        <f t="shared" si="46"/>
        <v>0</v>
      </c>
      <c r="H558" s="1437">
        <f t="shared" si="47"/>
        <v>0</v>
      </c>
      <c r="I558" s="1437">
        <v>0</v>
      </c>
      <c r="J558" s="1437">
        <v>0</v>
      </c>
      <c r="K558" s="1438"/>
      <c r="L558" s="1438"/>
      <c r="M558" s="1437">
        <f t="shared" si="50"/>
        <v>0</v>
      </c>
      <c r="N558" s="1437">
        <f t="shared" si="49"/>
        <v>0</v>
      </c>
    </row>
    <row r="559" spans="1:14" ht="29" outlineLevel="1">
      <c r="A559" s="1491">
        <f t="shared" si="51"/>
        <v>11.1</v>
      </c>
      <c r="B559" s="1530" t="str">
        <f t="shared" si="51"/>
        <v xml:space="preserve">DPR on Procurement of H2 cooler, BFP coolers, generator exciter cooler, Seal and Lube oil coolers at Unit-8, PTPS, Parli V. </v>
      </c>
      <c r="C559" s="1491" t="str">
        <f t="shared" si="51"/>
        <v>Yet to be approved</v>
      </c>
      <c r="D559" s="1531" t="str">
        <f t="shared" si="51"/>
        <v>-</v>
      </c>
      <c r="E559" s="1318">
        <f t="shared" si="51"/>
        <v>0</v>
      </c>
      <c r="F559" s="1437">
        <f t="shared" si="45"/>
        <v>0</v>
      </c>
      <c r="G559" s="1437">
        <f t="shared" si="46"/>
        <v>0</v>
      </c>
      <c r="H559" s="1437">
        <f t="shared" si="47"/>
        <v>0</v>
      </c>
      <c r="I559" s="1437">
        <v>0</v>
      </c>
      <c r="J559" s="1437">
        <v>0</v>
      </c>
      <c r="K559" s="1438"/>
      <c r="L559" s="1438"/>
      <c r="M559" s="1437">
        <f t="shared" si="50"/>
        <v>0</v>
      </c>
      <c r="N559" s="1437">
        <f t="shared" si="49"/>
        <v>0</v>
      </c>
    </row>
    <row r="560" spans="1:14" ht="62" outlineLevel="1">
      <c r="A560" s="1533">
        <f t="shared" si="51"/>
        <v>12</v>
      </c>
      <c r="B560" s="1534" t="str">
        <f t="shared" si="51"/>
        <v>Supply, installation &amp; commissioning of 220V 2140AH,24V 830AH &amp; 710AH, 360V 570AH Mains UPS,110V 110AH AHP PLC , 110V , 103 AH DM plant battery set for unit 8 , NPTPS Parli-V &amp; Procurement of HT motors at U#8</v>
      </c>
      <c r="C560" s="1491" t="str">
        <f t="shared" si="51"/>
        <v>Yet to be approved</v>
      </c>
      <c r="D560" s="1531" t="str">
        <f t="shared" si="51"/>
        <v>-</v>
      </c>
      <c r="E560" s="1318">
        <f t="shared" si="51"/>
        <v>0</v>
      </c>
      <c r="F560" s="1437">
        <f t="shared" si="45"/>
        <v>0</v>
      </c>
      <c r="G560" s="1437">
        <f t="shared" si="46"/>
        <v>0</v>
      </c>
      <c r="H560" s="1437">
        <f t="shared" si="47"/>
        <v>0</v>
      </c>
      <c r="I560" s="1437">
        <v>0</v>
      </c>
      <c r="J560" s="1437">
        <v>0</v>
      </c>
      <c r="K560" s="1438"/>
      <c r="L560" s="1438"/>
      <c r="M560" s="1437">
        <f t="shared" si="50"/>
        <v>0</v>
      </c>
      <c r="N560" s="1437">
        <f t="shared" si="49"/>
        <v>0</v>
      </c>
    </row>
    <row r="561" spans="1:14" ht="43.5" outlineLevel="1">
      <c r="A561" s="1491">
        <f t="shared" ref="A561:E576" si="52">A168</f>
        <v>12.1</v>
      </c>
      <c r="B561" s="1530" t="str">
        <f t="shared" si="52"/>
        <v>Supply, installation &amp; commissioning of 220V 2140AH,24V 830AH &amp; 710AH, 360V 570AH Mains UPS,110V 110AH AHP PLC , 110V , 103 AH DM plant battery set for unit 8 , NPTPS Parli-V</v>
      </c>
      <c r="C561" s="1491" t="str">
        <f t="shared" si="52"/>
        <v>Yet to be approved</v>
      </c>
      <c r="D561" s="1531" t="str">
        <f t="shared" si="52"/>
        <v>-</v>
      </c>
      <c r="E561" s="1318">
        <f t="shared" si="52"/>
        <v>0</v>
      </c>
      <c r="F561" s="1437">
        <f t="shared" si="45"/>
        <v>0</v>
      </c>
      <c r="G561" s="1437">
        <f t="shared" si="46"/>
        <v>0</v>
      </c>
      <c r="H561" s="1437">
        <f t="shared" si="47"/>
        <v>0</v>
      </c>
      <c r="I561" s="1437">
        <v>0</v>
      </c>
      <c r="J561" s="1437">
        <v>0</v>
      </c>
      <c r="K561" s="1438"/>
      <c r="L561" s="1438"/>
      <c r="M561" s="1437">
        <f t="shared" si="50"/>
        <v>0</v>
      </c>
      <c r="N561" s="1437">
        <f t="shared" si="49"/>
        <v>0</v>
      </c>
    </row>
    <row r="562" spans="1:14" outlineLevel="1">
      <c r="A562" s="1491">
        <f t="shared" si="52"/>
        <v>12.2</v>
      </c>
      <c r="B562" s="1530" t="str">
        <f t="shared" si="52"/>
        <v>Procurement of HT motors at U#8</v>
      </c>
      <c r="C562" s="1491" t="str">
        <f t="shared" si="52"/>
        <v>Yet to be approved</v>
      </c>
      <c r="D562" s="1531" t="str">
        <f t="shared" si="52"/>
        <v>-</v>
      </c>
      <c r="E562" s="1318">
        <f t="shared" si="52"/>
        <v>0</v>
      </c>
      <c r="F562" s="1437">
        <f t="shared" si="45"/>
        <v>0</v>
      </c>
      <c r="G562" s="1437">
        <f t="shared" si="46"/>
        <v>0</v>
      </c>
      <c r="H562" s="1437">
        <f t="shared" si="47"/>
        <v>0</v>
      </c>
      <c r="I562" s="1437">
        <v>0</v>
      </c>
      <c r="J562" s="1437">
        <v>0</v>
      </c>
      <c r="K562" s="1438"/>
      <c r="L562" s="1438"/>
      <c r="M562" s="1437">
        <f t="shared" si="50"/>
        <v>0</v>
      </c>
      <c r="N562" s="1437">
        <f t="shared" si="49"/>
        <v>0</v>
      </c>
    </row>
    <row r="563" spans="1:14" ht="15.5" outlineLevel="1">
      <c r="A563" s="1533">
        <f t="shared" si="52"/>
        <v>13</v>
      </c>
      <c r="B563" s="1534" t="str">
        <f t="shared" si="52"/>
        <v>DPR on various instrumentation &amp; control schemes at U#8</v>
      </c>
      <c r="C563" s="1491" t="str">
        <f t="shared" si="52"/>
        <v>Yet to be approved</v>
      </c>
      <c r="D563" s="1531" t="str">
        <f t="shared" si="52"/>
        <v>-</v>
      </c>
      <c r="E563" s="1318">
        <f t="shared" si="52"/>
        <v>0</v>
      </c>
      <c r="F563" s="1437">
        <f t="shared" si="45"/>
        <v>0</v>
      </c>
      <c r="G563" s="1437">
        <f t="shared" si="46"/>
        <v>0</v>
      </c>
      <c r="H563" s="1437">
        <f t="shared" si="47"/>
        <v>0</v>
      </c>
      <c r="I563" s="1437">
        <v>0</v>
      </c>
      <c r="J563" s="1437">
        <v>0</v>
      </c>
      <c r="K563" s="1438"/>
      <c r="L563" s="1438"/>
      <c r="M563" s="1437">
        <f t="shared" si="50"/>
        <v>0</v>
      </c>
      <c r="N563" s="1437">
        <f t="shared" si="49"/>
        <v>0</v>
      </c>
    </row>
    <row r="564" spans="1:14" outlineLevel="1">
      <c r="A564" s="1491">
        <f t="shared" si="52"/>
        <v>13.1</v>
      </c>
      <c r="B564" s="1530" t="str">
        <f t="shared" si="52"/>
        <v>Upgradation of MAX-DNA  DCS system at U#8 (HMI upgradation)</v>
      </c>
      <c r="C564" s="1491" t="str">
        <f t="shared" si="52"/>
        <v>Yet to be approved</v>
      </c>
      <c r="D564" s="1531" t="str">
        <f t="shared" si="52"/>
        <v>-</v>
      </c>
      <c r="E564" s="1318">
        <f t="shared" si="52"/>
        <v>0</v>
      </c>
      <c r="F564" s="1437">
        <f t="shared" si="45"/>
        <v>0</v>
      </c>
      <c r="G564" s="1437">
        <f t="shared" si="46"/>
        <v>0</v>
      </c>
      <c r="H564" s="1437">
        <f t="shared" si="47"/>
        <v>0</v>
      </c>
      <c r="I564" s="1437">
        <v>0</v>
      </c>
      <c r="J564" s="1437">
        <v>0</v>
      </c>
      <c r="K564" s="1438"/>
      <c r="L564" s="1438"/>
      <c r="M564" s="1437">
        <f t="shared" si="50"/>
        <v>0</v>
      </c>
      <c r="N564" s="1437">
        <f t="shared" si="49"/>
        <v>0</v>
      </c>
    </row>
    <row r="565" spans="1:14" ht="29" outlineLevel="1">
      <c r="A565" s="1491">
        <f t="shared" si="52"/>
        <v>13.2</v>
      </c>
      <c r="B565" s="1530" t="str">
        <f t="shared" si="52"/>
        <v>Upgradation of existing Pcal system with plant performance analysis diagnostic and optimization system (PADO) at Unit  8 New Parli TPS</v>
      </c>
      <c r="C565" s="1491" t="str">
        <f t="shared" si="52"/>
        <v>Yet to be approved</v>
      </c>
      <c r="D565" s="1531" t="str">
        <f t="shared" si="52"/>
        <v>-</v>
      </c>
      <c r="E565" s="1318">
        <f t="shared" si="52"/>
        <v>0</v>
      </c>
      <c r="F565" s="1437">
        <f t="shared" si="45"/>
        <v>0</v>
      </c>
      <c r="G565" s="1437">
        <f t="shared" si="46"/>
        <v>0</v>
      </c>
      <c r="H565" s="1437">
        <f t="shared" si="47"/>
        <v>0</v>
      </c>
      <c r="I565" s="1437">
        <v>0</v>
      </c>
      <c r="J565" s="1437">
        <v>0</v>
      </c>
      <c r="K565" s="1438"/>
      <c r="L565" s="1438"/>
      <c r="M565" s="1437">
        <f t="shared" si="50"/>
        <v>0</v>
      </c>
      <c r="N565" s="1437">
        <f t="shared" si="49"/>
        <v>0</v>
      </c>
    </row>
    <row r="566" spans="1:14" outlineLevel="1">
      <c r="A566" s="1491">
        <f t="shared" si="52"/>
        <v>13.3</v>
      </c>
      <c r="B566" s="1530" t="str">
        <f t="shared" si="52"/>
        <v xml:space="preserve"> Upgradation of coal feeder for I&amp;C Unit8 PTPS Parli V.</v>
      </c>
      <c r="C566" s="1491" t="str">
        <f t="shared" si="52"/>
        <v>Yet to be approved</v>
      </c>
      <c r="D566" s="1531" t="str">
        <f t="shared" si="52"/>
        <v>-</v>
      </c>
      <c r="E566" s="1318">
        <f t="shared" si="52"/>
        <v>0</v>
      </c>
      <c r="F566" s="1437">
        <f t="shared" si="45"/>
        <v>0</v>
      </c>
      <c r="G566" s="1437">
        <f t="shared" si="46"/>
        <v>0</v>
      </c>
      <c r="H566" s="1437">
        <f t="shared" si="47"/>
        <v>0</v>
      </c>
      <c r="I566" s="1437">
        <v>0</v>
      </c>
      <c r="J566" s="1437">
        <v>0</v>
      </c>
      <c r="K566" s="1438"/>
      <c r="L566" s="1438"/>
      <c r="M566" s="1437">
        <f t="shared" si="50"/>
        <v>0</v>
      </c>
      <c r="N566" s="1437">
        <f t="shared" si="49"/>
        <v>0</v>
      </c>
    </row>
    <row r="567" spans="1:14" outlineLevel="1">
      <c r="A567" s="1491">
        <f t="shared" si="52"/>
        <v>13.4</v>
      </c>
      <c r="B567" s="1530" t="str">
        <f t="shared" si="52"/>
        <v>Procurement of smart control positioner at I&amp;C Unit8 PTPS Parli V.</v>
      </c>
      <c r="C567" s="1491" t="str">
        <f t="shared" si="52"/>
        <v>Yet to be approved</v>
      </c>
      <c r="D567" s="1531" t="str">
        <f t="shared" si="52"/>
        <v>-</v>
      </c>
      <c r="E567" s="1318">
        <f t="shared" si="52"/>
        <v>0</v>
      </c>
      <c r="F567" s="1437">
        <f t="shared" si="45"/>
        <v>0</v>
      </c>
      <c r="G567" s="1437">
        <f t="shared" si="46"/>
        <v>0</v>
      </c>
      <c r="H567" s="1437">
        <f t="shared" si="47"/>
        <v>0</v>
      </c>
      <c r="I567" s="1437">
        <v>0</v>
      </c>
      <c r="J567" s="1437">
        <v>0</v>
      </c>
      <c r="K567" s="1438"/>
      <c r="L567" s="1438"/>
      <c r="M567" s="1437">
        <f t="shared" si="50"/>
        <v>0</v>
      </c>
      <c r="N567" s="1437">
        <f t="shared" si="49"/>
        <v>0</v>
      </c>
    </row>
    <row r="568" spans="1:14" outlineLevel="1">
      <c r="A568" s="1491">
        <f t="shared" si="52"/>
        <v>13.5</v>
      </c>
      <c r="B568" s="1530" t="str">
        <f t="shared" si="52"/>
        <v>Upgradation Electronic control drive for I&amp;C Unit8 PTPS Parli V.</v>
      </c>
      <c r="C568" s="1491" t="str">
        <f t="shared" si="52"/>
        <v>Yet to be approved</v>
      </c>
      <c r="D568" s="1531" t="str">
        <f t="shared" si="52"/>
        <v>-</v>
      </c>
      <c r="E568" s="1318">
        <f t="shared" si="52"/>
        <v>0</v>
      </c>
      <c r="F568" s="1437">
        <f t="shared" si="45"/>
        <v>0</v>
      </c>
      <c r="G568" s="1437">
        <f t="shared" si="46"/>
        <v>0</v>
      </c>
      <c r="H568" s="1437">
        <f t="shared" si="47"/>
        <v>0</v>
      </c>
      <c r="I568" s="1437">
        <v>0</v>
      </c>
      <c r="J568" s="1437">
        <v>0</v>
      </c>
      <c r="K568" s="1438"/>
      <c r="L568" s="1438"/>
      <c r="M568" s="1437">
        <f t="shared" si="50"/>
        <v>0</v>
      </c>
      <c r="N568" s="1437">
        <f t="shared" si="49"/>
        <v>0</v>
      </c>
    </row>
    <row r="569" spans="1:14" ht="29" outlineLevel="1">
      <c r="A569" s="1491">
        <f t="shared" si="52"/>
        <v>13.6</v>
      </c>
      <c r="B569" s="1530" t="str">
        <f t="shared" si="52"/>
        <v>Upgradation of turbovisory &amp; vibration monitoring system control panel.</v>
      </c>
      <c r="C569" s="1491" t="str">
        <f t="shared" si="52"/>
        <v>Yet to be approved</v>
      </c>
      <c r="D569" s="1531" t="str">
        <f t="shared" si="52"/>
        <v>-</v>
      </c>
      <c r="E569" s="1318">
        <f t="shared" si="52"/>
        <v>0</v>
      </c>
      <c r="F569" s="1437">
        <f t="shared" si="45"/>
        <v>0</v>
      </c>
      <c r="G569" s="1437">
        <f t="shared" si="46"/>
        <v>0</v>
      </c>
      <c r="H569" s="1437">
        <f t="shared" si="47"/>
        <v>0</v>
      </c>
      <c r="I569" s="1437">
        <v>0</v>
      </c>
      <c r="J569" s="1437">
        <v>0</v>
      </c>
      <c r="K569" s="1438"/>
      <c r="L569" s="1438"/>
      <c r="M569" s="1437">
        <f t="shared" ref="M569" si="53">SUM(J569:L569)</f>
        <v>0</v>
      </c>
      <c r="N569" s="1437">
        <f t="shared" si="49"/>
        <v>0</v>
      </c>
    </row>
    <row r="570" spans="1:14" ht="46.5" outlineLevel="1">
      <c r="A570" s="1533">
        <f t="shared" si="52"/>
        <v>14</v>
      </c>
      <c r="B570" s="1534" t="str">
        <f t="shared" si="52"/>
        <v>Performance improvement by system up gradation  at CHP &amp; DPR for normalization and stabilization of coal handling plant performance at Parli TPS</v>
      </c>
      <c r="C570" s="1491" t="str">
        <f t="shared" si="52"/>
        <v>Yet to be approved</v>
      </c>
      <c r="D570" s="1531" t="str">
        <f t="shared" si="52"/>
        <v>-</v>
      </c>
      <c r="E570" s="1318">
        <f t="shared" si="52"/>
        <v>0</v>
      </c>
      <c r="F570" s="1437">
        <f t="shared" si="45"/>
        <v>0</v>
      </c>
      <c r="G570" s="1437">
        <f t="shared" si="46"/>
        <v>0</v>
      </c>
      <c r="H570" s="1437">
        <f t="shared" si="47"/>
        <v>0</v>
      </c>
      <c r="I570" s="1437">
        <v>0</v>
      </c>
      <c r="J570" s="1437">
        <v>0</v>
      </c>
      <c r="K570" s="1438"/>
      <c r="L570" s="1438"/>
      <c r="M570" s="1437">
        <f t="shared" si="50"/>
        <v>0</v>
      </c>
      <c r="N570" s="1437">
        <f t="shared" si="49"/>
        <v>0</v>
      </c>
    </row>
    <row r="571" spans="1:14" ht="43.5" outlineLevel="1">
      <c r="A571" s="1491">
        <f t="shared" si="52"/>
        <v>14.1</v>
      </c>
      <c r="B571" s="1530" t="str">
        <f t="shared" si="52"/>
        <v xml:space="preserve">Supply and Commissioning of Energy Efficient Evaporative Cooling System for Control Panel &amp; Breaker room of CHP Unit-8   For  PARLI TPS </v>
      </c>
      <c r="C571" s="1491" t="str">
        <f t="shared" si="52"/>
        <v>Yet to be approved</v>
      </c>
      <c r="D571" s="1531" t="str">
        <f t="shared" si="52"/>
        <v>-</v>
      </c>
      <c r="E571" s="1318">
        <f t="shared" si="52"/>
        <v>0</v>
      </c>
      <c r="F571" s="1437">
        <f t="shared" si="45"/>
        <v>0</v>
      </c>
      <c r="G571" s="1437">
        <f t="shared" si="46"/>
        <v>0</v>
      </c>
      <c r="H571" s="1437">
        <f t="shared" si="47"/>
        <v>0</v>
      </c>
      <c r="I571" s="1437">
        <v>0</v>
      </c>
      <c r="J571" s="1437">
        <v>0</v>
      </c>
      <c r="K571" s="1438"/>
      <c r="L571" s="1438"/>
      <c r="M571" s="1437">
        <f t="shared" si="50"/>
        <v>0</v>
      </c>
      <c r="N571" s="1437">
        <f t="shared" si="49"/>
        <v>0</v>
      </c>
    </row>
    <row r="572" spans="1:14" outlineLevel="1">
      <c r="A572" s="1491">
        <f t="shared" si="52"/>
        <v>14.2</v>
      </c>
      <c r="B572" s="1530" t="str">
        <f t="shared" si="52"/>
        <v>Supply and commissioning of Suspended Magnets for U-8 CHP NPTPS</v>
      </c>
      <c r="C572" s="1491" t="str">
        <f t="shared" si="52"/>
        <v>Yet to be approved</v>
      </c>
      <c r="D572" s="1531" t="str">
        <f t="shared" si="52"/>
        <v>-</v>
      </c>
      <c r="E572" s="1318">
        <f t="shared" si="52"/>
        <v>0</v>
      </c>
      <c r="F572" s="1437">
        <f t="shared" si="45"/>
        <v>0</v>
      </c>
      <c r="G572" s="1437">
        <f t="shared" si="46"/>
        <v>0</v>
      </c>
      <c r="H572" s="1437">
        <f t="shared" si="47"/>
        <v>0</v>
      </c>
      <c r="I572" s="1437">
        <v>0</v>
      </c>
      <c r="J572" s="1437">
        <v>0</v>
      </c>
      <c r="K572" s="1438"/>
      <c r="L572" s="1438"/>
      <c r="M572" s="1437">
        <f t="shared" si="50"/>
        <v>0</v>
      </c>
      <c r="N572" s="1437">
        <f t="shared" si="49"/>
        <v>0</v>
      </c>
    </row>
    <row r="573" spans="1:14" outlineLevel="1">
      <c r="A573" s="1491">
        <f t="shared" si="52"/>
        <v>14.3</v>
      </c>
      <c r="B573" s="1530" t="str">
        <f t="shared" si="52"/>
        <v>Stacker-reclaimer Bucket wheel drive modification work of U- 8 CHP</v>
      </c>
      <c r="C573" s="1491" t="str">
        <f t="shared" si="52"/>
        <v>Yet to be approved</v>
      </c>
      <c r="D573" s="1531" t="str">
        <f t="shared" si="52"/>
        <v>-</v>
      </c>
      <c r="E573" s="1318">
        <f t="shared" si="52"/>
        <v>0</v>
      </c>
      <c r="F573" s="1437">
        <f t="shared" si="45"/>
        <v>0</v>
      </c>
      <c r="G573" s="1437">
        <f t="shared" si="46"/>
        <v>0</v>
      </c>
      <c r="H573" s="1437">
        <f t="shared" si="47"/>
        <v>0</v>
      </c>
      <c r="I573" s="1437">
        <v>0</v>
      </c>
      <c r="J573" s="1437">
        <v>0</v>
      </c>
      <c r="K573" s="1438"/>
      <c r="L573" s="1438"/>
      <c r="M573" s="1437">
        <f t="shared" si="50"/>
        <v>0</v>
      </c>
      <c r="N573" s="1437">
        <f t="shared" si="49"/>
        <v>0</v>
      </c>
    </row>
    <row r="574" spans="1:14" ht="29" outlineLevel="1">
      <c r="A574" s="1491">
        <f t="shared" si="52"/>
        <v>14.4</v>
      </c>
      <c r="B574" s="1530" t="str">
        <f t="shared" si="52"/>
        <v>Apron feeder drive modification from Hydraulic to Electro-Mechanical at CHP U-8  NPTPS</v>
      </c>
      <c r="C574" s="1491" t="str">
        <f t="shared" si="52"/>
        <v>Yet to be approved</v>
      </c>
      <c r="D574" s="1531" t="str">
        <f t="shared" si="52"/>
        <v>-</v>
      </c>
      <c r="E574" s="1318">
        <f t="shared" si="52"/>
        <v>0</v>
      </c>
      <c r="F574" s="1437">
        <f t="shared" si="45"/>
        <v>0</v>
      </c>
      <c r="G574" s="1437">
        <f t="shared" si="46"/>
        <v>0</v>
      </c>
      <c r="H574" s="1437">
        <f t="shared" si="47"/>
        <v>0</v>
      </c>
      <c r="I574" s="1437">
        <v>0</v>
      </c>
      <c r="J574" s="1437">
        <v>0</v>
      </c>
      <c r="K574" s="1438"/>
      <c r="L574" s="1438"/>
      <c r="M574" s="1437">
        <f t="shared" si="50"/>
        <v>0</v>
      </c>
      <c r="N574" s="1437">
        <f t="shared" si="49"/>
        <v>0</v>
      </c>
    </row>
    <row r="575" spans="1:14" outlineLevel="1">
      <c r="A575" s="1491">
        <f t="shared" si="52"/>
        <v>14.5</v>
      </c>
      <c r="B575" s="1530" t="str">
        <f t="shared" si="52"/>
        <v>Procurement of U-8 W/T Major spares</v>
      </c>
      <c r="C575" s="1491" t="str">
        <f t="shared" si="52"/>
        <v>Yet to be approved</v>
      </c>
      <c r="D575" s="1531" t="str">
        <f t="shared" si="52"/>
        <v>-</v>
      </c>
      <c r="E575" s="1318">
        <f t="shared" si="52"/>
        <v>0</v>
      </c>
      <c r="F575" s="1437">
        <f t="shared" si="45"/>
        <v>0</v>
      </c>
      <c r="G575" s="1437">
        <f t="shared" si="46"/>
        <v>0</v>
      </c>
      <c r="H575" s="1437">
        <f t="shared" si="47"/>
        <v>0</v>
      </c>
      <c r="I575" s="1437">
        <v>0</v>
      </c>
      <c r="J575" s="1437">
        <v>0</v>
      </c>
      <c r="K575" s="1438"/>
      <c r="L575" s="1438"/>
      <c r="M575" s="1437">
        <f t="shared" si="50"/>
        <v>0</v>
      </c>
      <c r="N575" s="1437">
        <f t="shared" si="49"/>
        <v>0</v>
      </c>
    </row>
    <row r="576" spans="1:14" outlineLevel="1">
      <c r="A576" s="1491">
        <f t="shared" si="52"/>
        <v>14.6</v>
      </c>
      <c r="B576" s="1530" t="str">
        <f t="shared" si="52"/>
        <v>Provision of Soft starter / VFD for Various conveyor</v>
      </c>
      <c r="C576" s="1491" t="str">
        <f t="shared" si="52"/>
        <v>Yet to be approved</v>
      </c>
      <c r="D576" s="1531" t="str">
        <f t="shared" si="52"/>
        <v>-</v>
      </c>
      <c r="E576" s="1318">
        <f t="shared" si="52"/>
        <v>0</v>
      </c>
      <c r="F576" s="1437">
        <f t="shared" si="45"/>
        <v>0</v>
      </c>
      <c r="G576" s="1437">
        <f t="shared" si="46"/>
        <v>0</v>
      </c>
      <c r="H576" s="1437">
        <f t="shared" si="47"/>
        <v>0</v>
      </c>
      <c r="I576" s="1437">
        <v>0</v>
      </c>
      <c r="J576" s="1437">
        <v>0</v>
      </c>
      <c r="K576" s="1438"/>
      <c r="L576" s="1438"/>
      <c r="M576" s="1437">
        <f t="shared" si="50"/>
        <v>0</v>
      </c>
      <c r="N576" s="1437">
        <f t="shared" si="49"/>
        <v>0</v>
      </c>
    </row>
    <row r="577" spans="1:14" outlineLevel="1">
      <c r="A577" s="1491">
        <f t="shared" ref="A577:E592" si="54">A184</f>
        <v>14.7</v>
      </c>
      <c r="B577" s="1530" t="str">
        <f t="shared" si="54"/>
        <v>TP-3 chute modification at U-8 CHP.</v>
      </c>
      <c r="C577" s="1491" t="str">
        <f t="shared" si="54"/>
        <v>Yet to be approved</v>
      </c>
      <c r="D577" s="1531" t="str">
        <f t="shared" si="54"/>
        <v>-</v>
      </c>
      <c r="E577" s="1318">
        <f t="shared" si="54"/>
        <v>0</v>
      </c>
      <c r="F577" s="1437">
        <f t="shared" si="45"/>
        <v>0</v>
      </c>
      <c r="G577" s="1437">
        <f t="shared" si="46"/>
        <v>0</v>
      </c>
      <c r="H577" s="1437">
        <f t="shared" si="47"/>
        <v>0</v>
      </c>
      <c r="I577" s="1437">
        <v>0</v>
      </c>
      <c r="J577" s="1437">
        <v>0</v>
      </c>
      <c r="K577" s="1438"/>
      <c r="L577" s="1438"/>
      <c r="M577" s="1437">
        <f t="shared" si="50"/>
        <v>0</v>
      </c>
      <c r="N577" s="1437">
        <f t="shared" si="49"/>
        <v>0</v>
      </c>
    </row>
    <row r="578" spans="1:14" ht="29" outlineLevel="1">
      <c r="A578" s="1491">
        <f t="shared" si="54"/>
        <v>14.8</v>
      </c>
      <c r="B578" s="1530" t="str">
        <f t="shared" si="54"/>
        <v>Design, supply and commissioning of solar operated lighting system in CHP  U-8.</v>
      </c>
      <c r="C578" s="1491" t="str">
        <f t="shared" si="54"/>
        <v>Yet to be approved</v>
      </c>
      <c r="D578" s="1531" t="str">
        <f t="shared" si="54"/>
        <v>-</v>
      </c>
      <c r="E578" s="1318">
        <f t="shared" si="54"/>
        <v>0</v>
      </c>
      <c r="F578" s="1437">
        <f t="shared" si="45"/>
        <v>0</v>
      </c>
      <c r="G578" s="1437">
        <f t="shared" si="46"/>
        <v>0</v>
      </c>
      <c r="H578" s="1437">
        <f t="shared" si="47"/>
        <v>0</v>
      </c>
      <c r="I578" s="1437">
        <v>0</v>
      </c>
      <c r="J578" s="1437">
        <v>0</v>
      </c>
      <c r="K578" s="1438"/>
      <c r="L578" s="1438"/>
      <c r="M578" s="1437">
        <f t="shared" si="50"/>
        <v>0</v>
      </c>
      <c r="N578" s="1437">
        <f t="shared" si="49"/>
        <v>0</v>
      </c>
    </row>
    <row r="579" spans="1:14" outlineLevel="1">
      <c r="A579" s="1491">
        <f t="shared" si="54"/>
        <v>14.9</v>
      </c>
      <c r="B579" s="1530" t="str">
        <f t="shared" si="54"/>
        <v xml:space="preserve"> Installation of CCTV survillance system alongwith all conveyors.</v>
      </c>
      <c r="C579" s="1491" t="str">
        <f t="shared" si="54"/>
        <v>Yet to be approved</v>
      </c>
      <c r="D579" s="1531" t="str">
        <f t="shared" si="54"/>
        <v>-</v>
      </c>
      <c r="E579" s="1318">
        <f t="shared" si="54"/>
        <v>0</v>
      </c>
      <c r="F579" s="1437">
        <f t="shared" si="45"/>
        <v>0</v>
      </c>
      <c r="G579" s="1437">
        <f t="shared" si="46"/>
        <v>0</v>
      </c>
      <c r="H579" s="1437">
        <f t="shared" si="47"/>
        <v>0</v>
      </c>
      <c r="I579" s="1437">
        <v>0</v>
      </c>
      <c r="J579" s="1437">
        <v>0</v>
      </c>
      <c r="K579" s="1438"/>
      <c r="L579" s="1438"/>
      <c r="M579" s="1437">
        <f t="shared" si="50"/>
        <v>0</v>
      </c>
      <c r="N579" s="1437">
        <f t="shared" si="49"/>
        <v>0</v>
      </c>
    </row>
    <row r="580" spans="1:14" ht="31" outlineLevel="1">
      <c r="A580" s="1533">
        <f t="shared" si="54"/>
        <v>15</v>
      </c>
      <c r="B580" s="1534" t="str">
        <f t="shared" si="54"/>
        <v>DPR for maximiation of Coal Handling Plant efficiency &amp; DPR on life enhancement of Coal Handling Plant</v>
      </c>
      <c r="C580" s="1491" t="str">
        <f t="shared" si="54"/>
        <v>Yet to be approved</v>
      </c>
      <c r="D580" s="1531" t="str">
        <f t="shared" si="54"/>
        <v>-</v>
      </c>
      <c r="E580" s="1318">
        <f t="shared" si="54"/>
        <v>0</v>
      </c>
      <c r="F580" s="1437">
        <f t="shared" si="45"/>
        <v>0</v>
      </c>
      <c r="G580" s="1437">
        <f t="shared" si="46"/>
        <v>0</v>
      </c>
      <c r="H580" s="1437">
        <f t="shared" si="47"/>
        <v>0</v>
      </c>
      <c r="I580" s="1437">
        <v>0</v>
      </c>
      <c r="J580" s="1437">
        <v>0</v>
      </c>
      <c r="K580" s="1438"/>
      <c r="L580" s="1438"/>
      <c r="M580" s="1437">
        <f t="shared" si="50"/>
        <v>0</v>
      </c>
      <c r="N580" s="1437">
        <f t="shared" si="49"/>
        <v>0</v>
      </c>
    </row>
    <row r="581" spans="1:14" outlineLevel="1">
      <c r="A581" s="1491">
        <f t="shared" si="54"/>
        <v>15.1</v>
      </c>
      <c r="B581" s="1530" t="str">
        <f t="shared" si="54"/>
        <v>W/T control room &amp; bunker house battery &amp; UPS upgradation</v>
      </c>
      <c r="C581" s="1491" t="str">
        <f t="shared" si="54"/>
        <v>Yet to be approved</v>
      </c>
      <c r="D581" s="1531" t="str">
        <f t="shared" si="54"/>
        <v>-</v>
      </c>
      <c r="E581" s="1318">
        <f t="shared" si="54"/>
        <v>0</v>
      </c>
      <c r="F581" s="1437">
        <f t="shared" si="45"/>
        <v>0</v>
      </c>
      <c r="G581" s="1437">
        <f t="shared" si="46"/>
        <v>0</v>
      </c>
      <c r="H581" s="1437">
        <f t="shared" si="47"/>
        <v>0</v>
      </c>
      <c r="I581" s="1437">
        <v>0</v>
      </c>
      <c r="J581" s="1437">
        <v>0</v>
      </c>
      <c r="K581" s="1438"/>
      <c r="L581" s="1438"/>
      <c r="M581" s="1437">
        <f t="shared" si="50"/>
        <v>0</v>
      </c>
      <c r="N581" s="1437">
        <f t="shared" si="49"/>
        <v>0</v>
      </c>
    </row>
    <row r="582" spans="1:14" ht="29" outlineLevel="1">
      <c r="A582" s="1491">
        <f t="shared" si="54"/>
        <v>15.2</v>
      </c>
      <c r="B582" s="1530" t="str">
        <f t="shared" si="54"/>
        <v>Refurbishment of  conveyor no. 2 A/B &amp; 6 A/B drive system of CHP U-8 TPS Parli.</v>
      </c>
      <c r="C582" s="1491" t="str">
        <f t="shared" si="54"/>
        <v>Yet to be approved</v>
      </c>
      <c r="D582" s="1531" t="str">
        <f t="shared" si="54"/>
        <v>-</v>
      </c>
      <c r="E582" s="1318">
        <f t="shared" si="54"/>
        <v>0</v>
      </c>
      <c r="F582" s="1437">
        <f t="shared" si="45"/>
        <v>0</v>
      </c>
      <c r="G582" s="1437">
        <f t="shared" si="46"/>
        <v>0</v>
      </c>
      <c r="H582" s="1437">
        <f t="shared" si="47"/>
        <v>0</v>
      </c>
      <c r="I582" s="1437">
        <v>0</v>
      </c>
      <c r="J582" s="1437">
        <v>0</v>
      </c>
      <c r="K582" s="1438"/>
      <c r="L582" s="1438"/>
      <c r="M582" s="1437">
        <f t="shared" si="50"/>
        <v>0</v>
      </c>
      <c r="N582" s="1437">
        <f t="shared" si="49"/>
        <v>0</v>
      </c>
    </row>
    <row r="583" spans="1:14" outlineLevel="1">
      <c r="A583" s="1491">
        <f t="shared" si="54"/>
        <v>15.3</v>
      </c>
      <c r="B583" s="1530" t="str">
        <f t="shared" si="54"/>
        <v>Provision of Soft starter / VFD for Various conveyor</v>
      </c>
      <c r="C583" s="1491" t="str">
        <f t="shared" si="54"/>
        <v>Yet to be approved</v>
      </c>
      <c r="D583" s="1531" t="str">
        <f t="shared" si="54"/>
        <v>-</v>
      </c>
      <c r="E583" s="1318">
        <f t="shared" si="54"/>
        <v>0</v>
      </c>
      <c r="F583" s="1437">
        <f t="shared" si="45"/>
        <v>0</v>
      </c>
      <c r="G583" s="1437">
        <f t="shared" si="46"/>
        <v>0</v>
      </c>
      <c r="H583" s="1437">
        <f t="shared" si="47"/>
        <v>0</v>
      </c>
      <c r="I583" s="1437">
        <v>0</v>
      </c>
      <c r="J583" s="1437">
        <v>0</v>
      </c>
      <c r="K583" s="1438"/>
      <c r="L583" s="1438"/>
      <c r="M583" s="1437">
        <f t="shared" si="50"/>
        <v>0</v>
      </c>
      <c r="N583" s="1437">
        <f t="shared" si="49"/>
        <v>0</v>
      </c>
    </row>
    <row r="584" spans="1:14" outlineLevel="1">
      <c r="A584" s="1491">
        <f t="shared" si="54"/>
        <v>15.4</v>
      </c>
      <c r="B584" s="1530" t="str">
        <f t="shared" si="54"/>
        <v>Procurement &amp; installation of Belt tear detection system</v>
      </c>
      <c r="C584" s="1491" t="str">
        <f t="shared" si="54"/>
        <v>Yet to be approved</v>
      </c>
      <c r="D584" s="1531" t="str">
        <f t="shared" si="54"/>
        <v>-</v>
      </c>
      <c r="E584" s="1318">
        <f t="shared" si="54"/>
        <v>0</v>
      </c>
      <c r="F584" s="1437">
        <f t="shared" si="45"/>
        <v>0</v>
      </c>
      <c r="G584" s="1437">
        <f t="shared" si="46"/>
        <v>0</v>
      </c>
      <c r="H584" s="1437">
        <f t="shared" si="47"/>
        <v>0</v>
      </c>
      <c r="I584" s="1437">
        <v>0</v>
      </c>
      <c r="J584" s="1437">
        <v>0</v>
      </c>
      <c r="K584" s="1438"/>
      <c r="L584" s="1438"/>
      <c r="M584" s="1437">
        <f t="shared" si="50"/>
        <v>0</v>
      </c>
      <c r="N584" s="1437">
        <f t="shared" si="49"/>
        <v>0</v>
      </c>
    </row>
    <row r="585" spans="1:14" outlineLevel="1">
      <c r="A585" s="1491">
        <f t="shared" si="54"/>
        <v>15.5</v>
      </c>
      <c r="B585" s="1530" t="str">
        <f t="shared" si="54"/>
        <v>Conveyor gravity takeup infrastructure strengthening work</v>
      </c>
      <c r="C585" s="1491" t="str">
        <f t="shared" si="54"/>
        <v>Yet to be approved</v>
      </c>
      <c r="D585" s="1531" t="str">
        <f t="shared" si="54"/>
        <v>-</v>
      </c>
      <c r="E585" s="1318">
        <f t="shared" si="54"/>
        <v>0</v>
      </c>
      <c r="F585" s="1437">
        <f t="shared" si="45"/>
        <v>0</v>
      </c>
      <c r="G585" s="1437">
        <f t="shared" si="46"/>
        <v>0</v>
      </c>
      <c r="H585" s="1437">
        <f t="shared" si="47"/>
        <v>0</v>
      </c>
      <c r="I585" s="1437">
        <v>0</v>
      </c>
      <c r="J585" s="1437">
        <v>0</v>
      </c>
      <c r="K585" s="1438"/>
      <c r="L585" s="1438"/>
      <c r="M585" s="1437">
        <f t="shared" si="50"/>
        <v>0</v>
      </c>
      <c r="N585" s="1437">
        <f t="shared" si="49"/>
        <v>0</v>
      </c>
    </row>
    <row r="586" spans="1:14" outlineLevel="1">
      <c r="A586" s="1491">
        <f t="shared" si="54"/>
        <v>15.6</v>
      </c>
      <c r="B586" s="1530" t="str">
        <f t="shared" si="54"/>
        <v>U-8 CHP apron feeder-I to Conveyor 1 A/B chute modification work .</v>
      </c>
      <c r="C586" s="1491" t="str">
        <f t="shared" si="54"/>
        <v>Yet to be approved</v>
      </c>
      <c r="D586" s="1531" t="str">
        <f t="shared" si="54"/>
        <v>-</v>
      </c>
      <c r="E586" s="1318">
        <f t="shared" si="54"/>
        <v>0</v>
      </c>
      <c r="F586" s="1437">
        <f t="shared" si="45"/>
        <v>0</v>
      </c>
      <c r="G586" s="1437">
        <f t="shared" si="46"/>
        <v>0</v>
      </c>
      <c r="H586" s="1437">
        <f t="shared" si="47"/>
        <v>0</v>
      </c>
      <c r="I586" s="1437">
        <v>0</v>
      </c>
      <c r="J586" s="1437">
        <v>0</v>
      </c>
      <c r="K586" s="1438"/>
      <c r="L586" s="1438"/>
      <c r="M586" s="1437">
        <f t="shared" si="50"/>
        <v>0</v>
      </c>
      <c r="N586" s="1437">
        <f t="shared" si="49"/>
        <v>0</v>
      </c>
    </row>
    <row r="587" spans="1:14" ht="15.5" outlineLevel="1">
      <c r="A587" s="1533">
        <f t="shared" si="54"/>
        <v>16</v>
      </c>
      <c r="B587" s="1534" t="str">
        <f t="shared" si="54"/>
        <v>DPR for stabiliazation of Coal Handling Performance.</v>
      </c>
      <c r="C587" s="1491" t="str">
        <f t="shared" si="54"/>
        <v>Yet to be approved</v>
      </c>
      <c r="D587" s="1531" t="str">
        <f t="shared" si="54"/>
        <v>-</v>
      </c>
      <c r="E587" s="1318">
        <f t="shared" si="54"/>
        <v>0</v>
      </c>
      <c r="F587" s="1437">
        <f t="shared" si="45"/>
        <v>0</v>
      </c>
      <c r="G587" s="1437">
        <f t="shared" si="46"/>
        <v>0</v>
      </c>
      <c r="H587" s="1437">
        <f t="shared" si="47"/>
        <v>0</v>
      </c>
      <c r="I587" s="1437">
        <v>0</v>
      </c>
      <c r="J587" s="1437">
        <v>0</v>
      </c>
      <c r="K587" s="1438"/>
      <c r="L587" s="1438"/>
      <c r="M587" s="1437">
        <f t="shared" si="50"/>
        <v>0</v>
      </c>
      <c r="N587" s="1437">
        <f t="shared" si="49"/>
        <v>0</v>
      </c>
    </row>
    <row r="588" spans="1:14" outlineLevel="1">
      <c r="A588" s="1491">
        <f t="shared" si="54"/>
        <v>16.100000000000001</v>
      </c>
      <c r="B588" s="1530" t="str">
        <f t="shared" si="54"/>
        <v xml:space="preserve">Drive modification of Stacker Reclaimer slewing system. </v>
      </c>
      <c r="C588" s="1491" t="str">
        <f t="shared" si="54"/>
        <v>Yet to be approved</v>
      </c>
      <c r="D588" s="1531" t="str">
        <f t="shared" si="54"/>
        <v>-</v>
      </c>
      <c r="E588" s="1318">
        <f t="shared" si="54"/>
        <v>0</v>
      </c>
      <c r="F588" s="1437">
        <f t="shared" si="45"/>
        <v>0</v>
      </c>
      <c r="G588" s="1437">
        <f t="shared" si="46"/>
        <v>0</v>
      </c>
      <c r="H588" s="1437">
        <f t="shared" si="47"/>
        <v>0</v>
      </c>
      <c r="I588" s="1437">
        <v>0</v>
      </c>
      <c r="J588" s="1437">
        <v>0</v>
      </c>
      <c r="K588" s="1438"/>
      <c r="L588" s="1438"/>
      <c r="M588" s="1437">
        <f t="shared" si="50"/>
        <v>0</v>
      </c>
      <c r="N588" s="1437">
        <f t="shared" si="49"/>
        <v>0</v>
      </c>
    </row>
    <row r="589" spans="1:14" outlineLevel="1">
      <c r="A589" s="1491">
        <f t="shared" si="54"/>
        <v>16.2</v>
      </c>
      <c r="B589" s="1530" t="str">
        <f t="shared" si="54"/>
        <v>Retrofitting of Side Arm Charger-I &amp; II at CHP U-8</v>
      </c>
      <c r="C589" s="1491" t="str">
        <f t="shared" si="54"/>
        <v>Yet to be approved</v>
      </c>
      <c r="D589" s="1531" t="str">
        <f t="shared" si="54"/>
        <v>-</v>
      </c>
      <c r="E589" s="1318">
        <f t="shared" si="54"/>
        <v>0</v>
      </c>
      <c r="F589" s="1437">
        <f t="shared" si="45"/>
        <v>0</v>
      </c>
      <c r="G589" s="1437">
        <f t="shared" si="46"/>
        <v>0</v>
      </c>
      <c r="H589" s="1437">
        <f t="shared" si="47"/>
        <v>0</v>
      </c>
      <c r="I589" s="1437">
        <v>0</v>
      </c>
      <c r="J589" s="1437">
        <v>0</v>
      </c>
      <c r="K589" s="1438"/>
      <c r="L589" s="1438"/>
      <c r="M589" s="1437">
        <f t="shared" si="50"/>
        <v>0</v>
      </c>
      <c r="N589" s="1437">
        <f t="shared" si="49"/>
        <v>0</v>
      </c>
    </row>
    <row r="590" spans="1:14" outlineLevel="1">
      <c r="A590" s="1491">
        <f t="shared" si="54"/>
        <v>16.3</v>
      </c>
      <c r="B590" s="1530" t="str">
        <f t="shared" si="54"/>
        <v>Upgradation of GE/Schineder make PLC system atU-8 CHP.</v>
      </c>
      <c r="C590" s="1491" t="str">
        <f t="shared" si="54"/>
        <v>Yet to be approved</v>
      </c>
      <c r="D590" s="1531" t="str">
        <f t="shared" si="54"/>
        <v>-</v>
      </c>
      <c r="E590" s="1318">
        <f t="shared" si="54"/>
        <v>0</v>
      </c>
      <c r="F590" s="1437">
        <f t="shared" si="45"/>
        <v>0</v>
      </c>
      <c r="G590" s="1437">
        <f t="shared" si="46"/>
        <v>0</v>
      </c>
      <c r="H590" s="1437">
        <f t="shared" si="47"/>
        <v>0</v>
      </c>
      <c r="I590" s="1437">
        <v>0</v>
      </c>
      <c r="J590" s="1437">
        <v>0</v>
      </c>
      <c r="K590" s="1438"/>
      <c r="L590" s="1438"/>
      <c r="M590" s="1437">
        <f t="shared" si="50"/>
        <v>0</v>
      </c>
      <c r="N590" s="1437">
        <f t="shared" si="49"/>
        <v>0</v>
      </c>
    </row>
    <row r="591" spans="1:14" outlineLevel="1">
      <c r="A591" s="1491">
        <f t="shared" si="54"/>
        <v>16.399999999999999</v>
      </c>
      <c r="B591" s="1530" t="str">
        <f t="shared" si="54"/>
        <v>Refurbishment of Apron Feeder at CHP U-8.</v>
      </c>
      <c r="C591" s="1491" t="str">
        <f t="shared" si="54"/>
        <v>Yet to be approved</v>
      </c>
      <c r="D591" s="1531" t="str">
        <f t="shared" si="54"/>
        <v>-</v>
      </c>
      <c r="E591" s="1318">
        <f t="shared" si="54"/>
        <v>0</v>
      </c>
      <c r="F591" s="1437">
        <f t="shared" si="45"/>
        <v>0</v>
      </c>
      <c r="G591" s="1437">
        <f t="shared" si="46"/>
        <v>0</v>
      </c>
      <c r="H591" s="1437">
        <f t="shared" si="47"/>
        <v>0</v>
      </c>
      <c r="I591" s="1437">
        <v>0</v>
      </c>
      <c r="J591" s="1437">
        <v>0</v>
      </c>
      <c r="K591" s="1438"/>
      <c r="L591" s="1438"/>
      <c r="M591" s="1437">
        <f t="shared" si="50"/>
        <v>0</v>
      </c>
      <c r="N591" s="1437">
        <f t="shared" si="49"/>
        <v>0</v>
      </c>
    </row>
    <row r="592" spans="1:14" ht="29" outlineLevel="1">
      <c r="A592" s="1491">
        <f t="shared" si="54"/>
        <v>16.5</v>
      </c>
      <c r="B592" s="1530" t="str">
        <f t="shared" si="54"/>
        <v>Provision of moveable stacker and crusher in CHP coal stack yard at CHP U-8.</v>
      </c>
      <c r="C592" s="1491" t="str">
        <f t="shared" si="54"/>
        <v>Yet to be approved</v>
      </c>
      <c r="D592" s="1531" t="str">
        <f t="shared" si="54"/>
        <v>-</v>
      </c>
      <c r="E592" s="1318">
        <f t="shared" si="54"/>
        <v>0</v>
      </c>
      <c r="F592" s="1437">
        <f t="shared" si="45"/>
        <v>0</v>
      </c>
      <c r="G592" s="1437">
        <f t="shared" si="46"/>
        <v>0</v>
      </c>
      <c r="H592" s="1437">
        <f t="shared" si="47"/>
        <v>0</v>
      </c>
      <c r="I592" s="1437">
        <v>0</v>
      </c>
      <c r="J592" s="1437">
        <v>0</v>
      </c>
      <c r="K592" s="1438"/>
      <c r="L592" s="1438"/>
      <c r="M592" s="1437">
        <f t="shared" si="50"/>
        <v>0</v>
      </c>
      <c r="N592" s="1437">
        <f t="shared" si="49"/>
        <v>0</v>
      </c>
    </row>
    <row r="593" spans="1:14" outlineLevel="1">
      <c r="A593" s="1491">
        <f t="shared" ref="A593:E608" si="55">A200</f>
        <v>16.600000000000001</v>
      </c>
      <c r="B593" s="1530" t="str">
        <f t="shared" si="55"/>
        <v>Procurement of Loco &amp; Bulldozer at CHP U-8.</v>
      </c>
      <c r="C593" s="1491" t="str">
        <f t="shared" si="55"/>
        <v>Yet to be approved</v>
      </c>
      <c r="D593" s="1531" t="str">
        <f t="shared" si="55"/>
        <v>-</v>
      </c>
      <c r="E593" s="1318">
        <f t="shared" si="55"/>
        <v>0</v>
      </c>
      <c r="F593" s="1437">
        <f t="shared" ref="F593:F656" si="56">F200+I200</f>
        <v>0</v>
      </c>
      <c r="G593" s="1437">
        <f t="shared" ref="G593:G656" si="57">G200+M200</f>
        <v>0</v>
      </c>
      <c r="H593" s="1437">
        <f t="shared" ref="H593:H657" si="58">F593-G593</f>
        <v>0</v>
      </c>
      <c r="I593" s="1437">
        <v>0</v>
      </c>
      <c r="J593" s="1437">
        <v>0</v>
      </c>
      <c r="K593" s="1438"/>
      <c r="L593" s="1438"/>
      <c r="M593" s="1437">
        <f t="shared" si="50"/>
        <v>0</v>
      </c>
      <c r="N593" s="1437">
        <f t="shared" ref="N593:N657" si="59">H593+I593-M593</f>
        <v>0</v>
      </c>
    </row>
    <row r="594" spans="1:14" ht="31" outlineLevel="1">
      <c r="A594" s="1533">
        <f t="shared" si="55"/>
        <v>17</v>
      </c>
      <c r="B594" s="1534" t="str">
        <f t="shared" si="55"/>
        <v>DPR on dry fly ash utilisation improvement scheme for AHP U-8 NPTPS Parli-V.</v>
      </c>
      <c r="C594" s="1491" t="str">
        <f t="shared" si="55"/>
        <v>Yet to be approved</v>
      </c>
      <c r="D594" s="1531" t="str">
        <f t="shared" si="55"/>
        <v>-</v>
      </c>
      <c r="E594" s="1318">
        <f t="shared" si="55"/>
        <v>0</v>
      </c>
      <c r="F594" s="1437">
        <f t="shared" si="56"/>
        <v>0</v>
      </c>
      <c r="G594" s="1437">
        <f t="shared" si="57"/>
        <v>0</v>
      </c>
      <c r="H594" s="1437">
        <f t="shared" si="58"/>
        <v>0</v>
      </c>
      <c r="I594" s="1437">
        <v>0</v>
      </c>
      <c r="J594" s="1437">
        <v>0</v>
      </c>
      <c r="K594" s="1438"/>
      <c r="L594" s="1438"/>
      <c r="M594" s="1437">
        <f t="shared" si="50"/>
        <v>0</v>
      </c>
      <c r="N594" s="1437">
        <f t="shared" si="59"/>
        <v>0</v>
      </c>
    </row>
    <row r="595" spans="1:14" ht="29" outlineLevel="1">
      <c r="A595" s="1491">
        <f t="shared" si="55"/>
        <v>17.100000000000001</v>
      </c>
      <c r="B595" s="1530" t="str">
        <f t="shared" si="55"/>
        <v>Design, supply, erection, installation &amp; comissioning of intermediate silo with sub system at AHP U-8.</v>
      </c>
      <c r="C595" s="1491" t="str">
        <f t="shared" si="55"/>
        <v>Yet to be approved</v>
      </c>
      <c r="D595" s="1531" t="str">
        <f t="shared" si="55"/>
        <v>-</v>
      </c>
      <c r="E595" s="1318">
        <f t="shared" si="55"/>
        <v>0</v>
      </c>
      <c r="F595" s="1437">
        <f t="shared" si="56"/>
        <v>0</v>
      </c>
      <c r="G595" s="1437">
        <f t="shared" si="57"/>
        <v>0</v>
      </c>
      <c r="H595" s="1437">
        <f t="shared" si="58"/>
        <v>0</v>
      </c>
      <c r="I595" s="1437">
        <v>0</v>
      </c>
      <c r="J595" s="1437">
        <v>0</v>
      </c>
      <c r="K595" s="1438"/>
      <c r="L595" s="1438"/>
      <c r="M595" s="1437">
        <f t="shared" ref="M595:M658" si="60">SUM(J595:L595)</f>
        <v>0</v>
      </c>
      <c r="N595" s="1437">
        <f t="shared" si="59"/>
        <v>0</v>
      </c>
    </row>
    <row r="596" spans="1:14" ht="31" outlineLevel="1">
      <c r="A596" s="1533">
        <f t="shared" si="55"/>
        <v>18</v>
      </c>
      <c r="B596" s="1534" t="str">
        <f t="shared" si="55"/>
        <v>DPR on ash handling plant improvement scheme for AHP U-8 NPTPS Parli-V.</v>
      </c>
      <c r="C596" s="1491" t="str">
        <f t="shared" si="55"/>
        <v>Yet to be approved</v>
      </c>
      <c r="D596" s="1531" t="str">
        <f t="shared" si="55"/>
        <v>-</v>
      </c>
      <c r="E596" s="1318">
        <f t="shared" si="55"/>
        <v>0</v>
      </c>
      <c r="F596" s="1437">
        <f t="shared" si="56"/>
        <v>0</v>
      </c>
      <c r="G596" s="1437">
        <f t="shared" si="57"/>
        <v>0</v>
      </c>
      <c r="H596" s="1437">
        <f t="shared" si="58"/>
        <v>0</v>
      </c>
      <c r="I596" s="1437">
        <v>0</v>
      </c>
      <c r="J596" s="1437">
        <v>0</v>
      </c>
      <c r="K596" s="1438"/>
      <c r="L596" s="1438"/>
      <c r="M596" s="1437">
        <f t="shared" si="60"/>
        <v>0</v>
      </c>
      <c r="N596" s="1437">
        <f t="shared" si="59"/>
        <v>0</v>
      </c>
    </row>
    <row r="597" spans="1:14" ht="29" outlineLevel="1">
      <c r="A597" s="1491">
        <f t="shared" si="55"/>
        <v>18.100000000000001</v>
      </c>
      <c r="B597" s="1530" t="str">
        <f t="shared" si="55"/>
        <v xml:space="preserve"> Design, supply, erection &amp; comissioning of weigh bridge for silo at AHP U-8.</v>
      </c>
      <c r="C597" s="1491" t="str">
        <f t="shared" si="55"/>
        <v>Yet to be approved</v>
      </c>
      <c r="D597" s="1531" t="str">
        <f t="shared" si="55"/>
        <v>-</v>
      </c>
      <c r="E597" s="1318">
        <f t="shared" si="55"/>
        <v>0</v>
      </c>
      <c r="F597" s="1437">
        <f t="shared" si="56"/>
        <v>0</v>
      </c>
      <c r="G597" s="1437">
        <f t="shared" si="57"/>
        <v>0</v>
      </c>
      <c r="H597" s="1437">
        <f t="shared" si="58"/>
        <v>0</v>
      </c>
      <c r="I597" s="1437">
        <v>0</v>
      </c>
      <c r="J597" s="1437">
        <v>0</v>
      </c>
      <c r="K597" s="1438"/>
      <c r="L597" s="1438"/>
      <c r="M597" s="1437">
        <f t="shared" si="60"/>
        <v>0</v>
      </c>
      <c r="N597" s="1437">
        <f t="shared" si="59"/>
        <v>0</v>
      </c>
    </row>
    <row r="598" spans="1:14" ht="29" outlineLevel="1">
      <c r="A598" s="1491">
        <f t="shared" si="55"/>
        <v>18.2</v>
      </c>
      <c r="B598" s="1530" t="str">
        <f t="shared" si="55"/>
        <v>Supply, installation &amp; comissioning of energy efficient air compressor at AHP U-8.</v>
      </c>
      <c r="C598" s="1491" t="str">
        <f t="shared" si="55"/>
        <v>Yet to be approved</v>
      </c>
      <c r="D598" s="1531" t="str">
        <f t="shared" si="55"/>
        <v>-</v>
      </c>
      <c r="E598" s="1318">
        <f t="shared" si="55"/>
        <v>0</v>
      </c>
      <c r="F598" s="1437">
        <f t="shared" si="56"/>
        <v>0</v>
      </c>
      <c r="G598" s="1437">
        <f t="shared" si="57"/>
        <v>0</v>
      </c>
      <c r="H598" s="1437">
        <f t="shared" si="58"/>
        <v>0</v>
      </c>
      <c r="I598" s="1437">
        <v>0</v>
      </c>
      <c r="J598" s="1437">
        <v>0</v>
      </c>
      <c r="K598" s="1438"/>
      <c r="L598" s="1438"/>
      <c r="M598" s="1437">
        <f t="shared" si="60"/>
        <v>0</v>
      </c>
      <c r="N598" s="1437">
        <f t="shared" si="59"/>
        <v>0</v>
      </c>
    </row>
    <row r="599" spans="1:14" ht="58" outlineLevel="1">
      <c r="A599" s="1491">
        <f t="shared" si="55"/>
        <v>18.3</v>
      </c>
      <c r="B599" s="1530" t="str">
        <f t="shared" si="55"/>
        <v xml:space="preserve"> PROCUREMENT OF COMPLETE ASSEMBLY OF SAM MAKE AR-150/510 PUMPS (2 NOS) FOR REPLACEMENT OF ASH SLURRY PUMPS OF BOTTOM ASH SLURRY DISPOSAL FROM SLURRY TANK TO ASH BUND IN SLURRY PUMP HOUSE. </v>
      </c>
      <c r="C599" s="1491" t="str">
        <f t="shared" si="55"/>
        <v>Yet to be approved</v>
      </c>
      <c r="D599" s="1531" t="str">
        <f t="shared" si="55"/>
        <v>-</v>
      </c>
      <c r="E599" s="1318">
        <f t="shared" si="55"/>
        <v>0</v>
      </c>
      <c r="F599" s="1437">
        <f t="shared" si="56"/>
        <v>0</v>
      </c>
      <c r="G599" s="1437">
        <f t="shared" si="57"/>
        <v>0</v>
      </c>
      <c r="H599" s="1437">
        <f t="shared" si="58"/>
        <v>0</v>
      </c>
      <c r="I599" s="1437">
        <v>0</v>
      </c>
      <c r="J599" s="1437">
        <v>0</v>
      </c>
      <c r="K599" s="1438"/>
      <c r="L599" s="1438"/>
      <c r="M599" s="1437">
        <f t="shared" si="60"/>
        <v>0</v>
      </c>
      <c r="N599" s="1437">
        <f t="shared" si="59"/>
        <v>0</v>
      </c>
    </row>
    <row r="600" spans="1:14" ht="58" outlineLevel="1">
      <c r="A600" s="1491">
        <f t="shared" si="55"/>
        <v>18.399999999999999</v>
      </c>
      <c r="B600" s="1530" t="str">
        <f t="shared" si="55"/>
        <v>PROCUREMENT OF COMPLETE ASSEMBLY OF SAM MAKE ZM-II 530/02 (2 NOS) FOR REPLACEMENT OF HP PUMPS OF BOTTOM ASH &amp; COARSE ASH EVACUATION FROM BA/CA HOPPERS TO SLURRY TANK IN ASH WATER PUMP HOUSE. 0.75 0.89</v>
      </c>
      <c r="C600" s="1491" t="str">
        <f t="shared" si="55"/>
        <v>Yet to be approved</v>
      </c>
      <c r="D600" s="1531" t="str">
        <f t="shared" si="55"/>
        <v>-</v>
      </c>
      <c r="E600" s="1318">
        <f t="shared" si="55"/>
        <v>0</v>
      </c>
      <c r="F600" s="1437">
        <f t="shared" si="56"/>
        <v>0</v>
      </c>
      <c r="G600" s="1437">
        <f t="shared" si="57"/>
        <v>0</v>
      </c>
      <c r="H600" s="1437">
        <f t="shared" si="58"/>
        <v>0</v>
      </c>
      <c r="I600" s="1437">
        <v>0</v>
      </c>
      <c r="J600" s="1437">
        <v>0</v>
      </c>
      <c r="K600" s="1438"/>
      <c r="L600" s="1438"/>
      <c r="M600" s="1437">
        <f t="shared" si="60"/>
        <v>0</v>
      </c>
      <c r="N600" s="1437">
        <f t="shared" si="59"/>
        <v>0</v>
      </c>
    </row>
    <row r="601" spans="1:14" ht="29" outlineLevel="1">
      <c r="A601" s="1491">
        <f t="shared" si="55"/>
        <v>18.5</v>
      </c>
      <c r="B601" s="1530" t="str">
        <f t="shared" si="55"/>
        <v>Procurement of vacuum pumps complete assembly for AHP U-8 NPTPS Parli-V.</v>
      </c>
      <c r="C601" s="1491" t="str">
        <f t="shared" si="55"/>
        <v>Yet to be approved</v>
      </c>
      <c r="D601" s="1531" t="str">
        <f t="shared" si="55"/>
        <v>-</v>
      </c>
      <c r="E601" s="1318">
        <f t="shared" si="55"/>
        <v>0</v>
      </c>
      <c r="F601" s="1437">
        <f t="shared" si="56"/>
        <v>0</v>
      </c>
      <c r="G601" s="1437">
        <f t="shared" si="57"/>
        <v>0</v>
      </c>
      <c r="H601" s="1437">
        <f t="shared" si="58"/>
        <v>0</v>
      </c>
      <c r="I601" s="1437">
        <v>0</v>
      </c>
      <c r="J601" s="1437">
        <v>0</v>
      </c>
      <c r="K601" s="1438"/>
      <c r="L601" s="1438"/>
      <c r="M601" s="1437">
        <f t="shared" si="60"/>
        <v>0</v>
      </c>
      <c r="N601" s="1437">
        <f t="shared" si="59"/>
        <v>0</v>
      </c>
    </row>
    <row r="602" spans="1:14" ht="29" outlineLevel="1">
      <c r="A602" s="1491">
        <f t="shared" si="55"/>
        <v>18.600000000000001</v>
      </c>
      <c r="B602" s="1530" t="str">
        <f t="shared" si="55"/>
        <v>Procurement of vacuum pumps complete assembly for AHP U-8 NPTPS Parli-V.</v>
      </c>
      <c r="C602" s="1491" t="str">
        <f t="shared" si="55"/>
        <v>Yet to be approved</v>
      </c>
      <c r="D602" s="1531" t="str">
        <f t="shared" si="55"/>
        <v>-</v>
      </c>
      <c r="E602" s="1318">
        <f t="shared" si="55"/>
        <v>0</v>
      </c>
      <c r="F602" s="1437">
        <f t="shared" si="56"/>
        <v>0</v>
      </c>
      <c r="G602" s="1437">
        <f t="shared" si="57"/>
        <v>0</v>
      </c>
      <c r="H602" s="1437">
        <f t="shared" si="58"/>
        <v>0</v>
      </c>
      <c r="I602" s="1437">
        <v>0</v>
      </c>
      <c r="J602" s="1437">
        <v>0</v>
      </c>
      <c r="K602" s="1438"/>
      <c r="L602" s="1438"/>
      <c r="M602" s="1437">
        <f t="shared" si="60"/>
        <v>0</v>
      </c>
      <c r="N602" s="1437">
        <f t="shared" si="59"/>
        <v>0</v>
      </c>
    </row>
    <row r="603" spans="1:14" ht="29" outlineLevel="1">
      <c r="A603" s="1491">
        <f t="shared" si="55"/>
        <v>18.7</v>
      </c>
      <c r="B603" s="1530" t="str">
        <f t="shared" si="55"/>
        <v>Procurement of Feed Gate Complete Assembly along with modified metallurgy to enhance the life of Clinker Grinder.</v>
      </c>
      <c r="C603" s="1491" t="str">
        <f t="shared" si="55"/>
        <v>Yet to be approved</v>
      </c>
      <c r="D603" s="1531" t="str">
        <f t="shared" si="55"/>
        <v>-</v>
      </c>
      <c r="E603" s="1318">
        <f t="shared" si="55"/>
        <v>0</v>
      </c>
      <c r="F603" s="1437">
        <f t="shared" si="56"/>
        <v>0</v>
      </c>
      <c r="G603" s="1437">
        <f t="shared" si="57"/>
        <v>0</v>
      </c>
      <c r="H603" s="1437">
        <f t="shared" si="58"/>
        <v>0</v>
      </c>
      <c r="I603" s="1437">
        <v>0</v>
      </c>
      <c r="J603" s="1437">
        <v>0</v>
      </c>
      <c r="K603" s="1438"/>
      <c r="L603" s="1438"/>
      <c r="M603" s="1437">
        <f t="shared" si="60"/>
        <v>0</v>
      </c>
      <c r="N603" s="1437">
        <f t="shared" si="59"/>
        <v>0</v>
      </c>
    </row>
    <row r="604" spans="1:14" ht="29" outlineLevel="1">
      <c r="A604" s="1491">
        <f t="shared" si="55"/>
        <v>18.8</v>
      </c>
      <c r="B604" s="1530" t="str">
        <f t="shared" si="55"/>
        <v>Procurement of Double Roll Clinker Grinder Complete Assembly with Drive Unit installed at AHP</v>
      </c>
      <c r="C604" s="1491" t="str">
        <f t="shared" si="55"/>
        <v>Yet to be approved</v>
      </c>
      <c r="D604" s="1531" t="str">
        <f t="shared" si="55"/>
        <v>-</v>
      </c>
      <c r="E604" s="1318">
        <f t="shared" si="55"/>
        <v>0</v>
      </c>
      <c r="F604" s="1437">
        <f t="shared" si="56"/>
        <v>0</v>
      </c>
      <c r="G604" s="1437">
        <f t="shared" si="57"/>
        <v>0</v>
      </c>
      <c r="H604" s="1437">
        <f t="shared" si="58"/>
        <v>0</v>
      </c>
      <c r="I604" s="1437">
        <v>0</v>
      </c>
      <c r="J604" s="1437">
        <v>0</v>
      </c>
      <c r="K604" s="1438"/>
      <c r="L604" s="1438"/>
      <c r="M604" s="1437">
        <f t="shared" si="60"/>
        <v>0</v>
      </c>
      <c r="N604" s="1437">
        <f t="shared" si="59"/>
        <v>0</v>
      </c>
    </row>
    <row r="605" spans="1:14" ht="29" outlineLevel="1">
      <c r="A605" s="1491">
        <f t="shared" si="55"/>
        <v>18.899999999999999</v>
      </c>
      <c r="B605" s="1530" t="str">
        <f t="shared" si="55"/>
        <v>Procurement of Instrument Air Dryers assembly for performance improvement</v>
      </c>
      <c r="C605" s="1491" t="str">
        <f t="shared" si="55"/>
        <v>Yet to be approved</v>
      </c>
      <c r="D605" s="1531" t="str">
        <f t="shared" si="55"/>
        <v>-</v>
      </c>
      <c r="E605" s="1318">
        <f t="shared" si="55"/>
        <v>0</v>
      </c>
      <c r="F605" s="1437">
        <f t="shared" si="56"/>
        <v>0</v>
      </c>
      <c r="G605" s="1437">
        <f t="shared" si="57"/>
        <v>0</v>
      </c>
      <c r="H605" s="1437">
        <f t="shared" si="58"/>
        <v>0</v>
      </c>
      <c r="I605" s="1437">
        <v>0</v>
      </c>
      <c r="J605" s="1437">
        <v>0</v>
      </c>
      <c r="K605" s="1438"/>
      <c r="L605" s="1438"/>
      <c r="M605" s="1437">
        <f t="shared" si="60"/>
        <v>0</v>
      </c>
      <c r="N605" s="1437">
        <f t="shared" si="59"/>
        <v>0</v>
      </c>
    </row>
    <row r="606" spans="1:14" ht="43.5" outlineLevel="1">
      <c r="A606" s="1491">
        <f t="shared" si="55"/>
        <v>18.100000000000001</v>
      </c>
      <c r="B606" s="1530" t="str">
        <f t="shared" si="55"/>
        <v>Procurement of various types of Isolation Valves assembly, Dome Valves assembly, Root Valve Assembly &amp; Expansion Bellows Assembly for Dry Ash Conveing performance improvement</v>
      </c>
      <c r="C606" s="1491" t="str">
        <f t="shared" si="55"/>
        <v>Yet to be approved</v>
      </c>
      <c r="D606" s="1531" t="str">
        <f t="shared" si="55"/>
        <v>-</v>
      </c>
      <c r="E606" s="1318">
        <f t="shared" si="55"/>
        <v>0</v>
      </c>
      <c r="F606" s="1437">
        <f t="shared" si="56"/>
        <v>0</v>
      </c>
      <c r="G606" s="1437">
        <f t="shared" si="57"/>
        <v>0</v>
      </c>
      <c r="H606" s="1437">
        <f t="shared" si="58"/>
        <v>0</v>
      </c>
      <c r="I606" s="1437">
        <v>0</v>
      </c>
      <c r="J606" s="1437">
        <v>0</v>
      </c>
      <c r="K606" s="1438"/>
      <c r="L606" s="1438"/>
      <c r="M606" s="1437">
        <f t="shared" si="60"/>
        <v>0</v>
      </c>
      <c r="N606" s="1437">
        <f t="shared" si="59"/>
        <v>0</v>
      </c>
    </row>
    <row r="607" spans="1:14" ht="31" outlineLevel="1">
      <c r="A607" s="1533">
        <f t="shared" si="55"/>
        <v>19</v>
      </c>
      <c r="B607" s="1534" t="str">
        <f t="shared" si="55"/>
        <v>DPR on ash handling plant improvement scheme for AHP U-8 NPTPS Parli-V.</v>
      </c>
      <c r="C607" s="1491" t="str">
        <f t="shared" si="55"/>
        <v>Yet to be approved</v>
      </c>
      <c r="D607" s="1531" t="str">
        <f t="shared" si="55"/>
        <v>-</v>
      </c>
      <c r="E607" s="1318">
        <f t="shared" si="55"/>
        <v>0</v>
      </c>
      <c r="F607" s="1437">
        <f t="shared" si="56"/>
        <v>0</v>
      </c>
      <c r="G607" s="1437">
        <f t="shared" si="57"/>
        <v>0</v>
      </c>
      <c r="H607" s="1437">
        <f t="shared" si="58"/>
        <v>0</v>
      </c>
      <c r="I607" s="1437">
        <v>0</v>
      </c>
      <c r="J607" s="1437">
        <v>0</v>
      </c>
      <c r="K607" s="1438"/>
      <c r="L607" s="1438"/>
      <c r="M607" s="1437">
        <f t="shared" si="60"/>
        <v>0</v>
      </c>
      <c r="N607" s="1437">
        <f t="shared" si="59"/>
        <v>0</v>
      </c>
    </row>
    <row r="608" spans="1:14" ht="29" outlineLevel="1">
      <c r="A608" s="1491">
        <f t="shared" si="55"/>
        <v>19.100000000000001</v>
      </c>
      <c r="B608" s="1530" t="str">
        <f t="shared" si="55"/>
        <v>Design, supply, erection, installation &amp; comissioning of DM water close loop cooling system for air compressors at AHP U-8.</v>
      </c>
      <c r="C608" s="1491" t="str">
        <f t="shared" si="55"/>
        <v>Yet to be approved</v>
      </c>
      <c r="D608" s="1531" t="str">
        <f t="shared" si="55"/>
        <v>-</v>
      </c>
      <c r="E608" s="1318">
        <f t="shared" si="55"/>
        <v>0</v>
      </c>
      <c r="F608" s="1437">
        <f t="shared" si="56"/>
        <v>0</v>
      </c>
      <c r="G608" s="1437">
        <f t="shared" si="57"/>
        <v>0</v>
      </c>
      <c r="H608" s="1437">
        <f t="shared" si="58"/>
        <v>0</v>
      </c>
      <c r="I608" s="1437">
        <v>0</v>
      </c>
      <c r="J608" s="1437">
        <v>0</v>
      </c>
      <c r="K608" s="1438"/>
      <c r="L608" s="1438"/>
      <c r="M608" s="1437">
        <f t="shared" si="60"/>
        <v>0</v>
      </c>
      <c r="N608" s="1437">
        <f t="shared" si="59"/>
        <v>0</v>
      </c>
    </row>
    <row r="609" spans="1:14" ht="29" outlineLevel="1">
      <c r="A609" s="1491">
        <f t="shared" ref="A609:E624" si="61">A216</f>
        <v>19.2</v>
      </c>
      <c r="B609" s="1530" t="str">
        <f t="shared" si="61"/>
        <v>Up-gradation of Existing Schneider make PLC (HMI + PLC hardware) installed at AHP Unit -8 at Parli TPS.</v>
      </c>
      <c r="C609" s="1491" t="str">
        <f t="shared" si="61"/>
        <v>Yet to be approved</v>
      </c>
      <c r="D609" s="1531" t="str">
        <f t="shared" si="61"/>
        <v>-</v>
      </c>
      <c r="E609" s="1318">
        <f t="shared" si="61"/>
        <v>0</v>
      </c>
      <c r="F609" s="1437">
        <f t="shared" si="56"/>
        <v>0</v>
      </c>
      <c r="G609" s="1437">
        <f t="shared" si="57"/>
        <v>0</v>
      </c>
      <c r="H609" s="1437">
        <f t="shared" si="58"/>
        <v>0</v>
      </c>
      <c r="I609" s="1437">
        <v>0</v>
      </c>
      <c r="J609" s="1437">
        <v>0</v>
      </c>
      <c r="K609" s="1438"/>
      <c r="L609" s="1438"/>
      <c r="M609" s="1437">
        <f t="shared" si="60"/>
        <v>0</v>
      </c>
      <c r="N609" s="1437">
        <f t="shared" si="59"/>
        <v>0</v>
      </c>
    </row>
    <row r="610" spans="1:14" outlineLevel="1">
      <c r="A610" s="1491">
        <f t="shared" si="61"/>
        <v>19.3</v>
      </c>
      <c r="B610" s="1530" t="str">
        <f t="shared" si="61"/>
        <v>Procurement of HT motors for AHP U-8 Parli TPS.</v>
      </c>
      <c r="C610" s="1491" t="str">
        <f t="shared" si="61"/>
        <v>Yet to be approved</v>
      </c>
      <c r="D610" s="1531" t="str">
        <f t="shared" si="61"/>
        <v>-</v>
      </c>
      <c r="E610" s="1318">
        <f t="shared" si="61"/>
        <v>0</v>
      </c>
      <c r="F610" s="1437">
        <f t="shared" si="56"/>
        <v>0</v>
      </c>
      <c r="G610" s="1437">
        <f t="shared" si="57"/>
        <v>0</v>
      </c>
      <c r="H610" s="1437">
        <f t="shared" si="58"/>
        <v>0</v>
      </c>
      <c r="I610" s="1437">
        <v>0</v>
      </c>
      <c r="J610" s="1437">
        <v>0</v>
      </c>
      <c r="K610" s="1438"/>
      <c r="L610" s="1438"/>
      <c r="M610" s="1437">
        <f t="shared" si="60"/>
        <v>0</v>
      </c>
      <c r="N610" s="1437">
        <f t="shared" si="59"/>
        <v>0</v>
      </c>
    </row>
    <row r="611" spans="1:14" ht="43.5" outlineLevel="1">
      <c r="A611" s="1491">
        <f t="shared" si="61"/>
        <v>19.399999999999999</v>
      </c>
      <c r="B611" s="1530" t="str">
        <f t="shared" si="61"/>
        <v>PROCUREMENT OF CRITICAL GEARBOXES AND FLUID COUPLINGS INTERNAL ASSEMBLIES FOR SLURRY PUMPS AND SILO HCSD SYSTEM INSTALLED AT AHP, PARLI TPS.</v>
      </c>
      <c r="C611" s="1491" t="str">
        <f t="shared" si="61"/>
        <v>Yet to be approved</v>
      </c>
      <c r="D611" s="1531" t="str">
        <f t="shared" si="61"/>
        <v>-</v>
      </c>
      <c r="E611" s="1318">
        <f t="shared" si="61"/>
        <v>0</v>
      </c>
      <c r="F611" s="1437">
        <f t="shared" si="56"/>
        <v>0</v>
      </c>
      <c r="G611" s="1437">
        <f t="shared" si="57"/>
        <v>0</v>
      </c>
      <c r="H611" s="1437">
        <f t="shared" si="58"/>
        <v>0</v>
      </c>
      <c r="I611" s="1437">
        <v>0</v>
      </c>
      <c r="J611" s="1437">
        <v>0</v>
      </c>
      <c r="K611" s="1438"/>
      <c r="L611" s="1438"/>
      <c r="M611" s="1437">
        <f t="shared" si="60"/>
        <v>0</v>
      </c>
      <c r="N611" s="1437">
        <f t="shared" si="59"/>
        <v>0</v>
      </c>
    </row>
    <row r="612" spans="1:14" ht="43.5" outlineLevel="1">
      <c r="A612" s="1491">
        <f t="shared" si="61"/>
        <v>19.5</v>
      </c>
      <c r="B612" s="1530" t="str">
        <f t="shared" si="61"/>
        <v>Procurement of Atlas Copco Make Instrument Air Compressors Critical/Non-Critical Spares sub-assembly for performance improvement</v>
      </c>
      <c r="C612" s="1491" t="str">
        <f t="shared" si="61"/>
        <v>Yet to be approved</v>
      </c>
      <c r="D612" s="1531" t="str">
        <f t="shared" si="61"/>
        <v>-</v>
      </c>
      <c r="E612" s="1318">
        <f t="shared" si="61"/>
        <v>0</v>
      </c>
      <c r="F612" s="1437">
        <f t="shared" si="56"/>
        <v>0</v>
      </c>
      <c r="G612" s="1437">
        <f t="shared" si="57"/>
        <v>0</v>
      </c>
      <c r="H612" s="1437">
        <f t="shared" si="58"/>
        <v>0</v>
      </c>
      <c r="I612" s="1437">
        <v>0</v>
      </c>
      <c r="J612" s="1437">
        <v>0</v>
      </c>
      <c r="K612" s="1438"/>
      <c r="L612" s="1438"/>
      <c r="M612" s="1437">
        <f t="shared" si="60"/>
        <v>0</v>
      </c>
      <c r="N612" s="1437">
        <f t="shared" si="59"/>
        <v>0</v>
      </c>
    </row>
    <row r="613" spans="1:14" ht="43.5" outlineLevel="1">
      <c r="A613" s="1491">
        <f t="shared" si="61"/>
        <v>19.600000000000001</v>
      </c>
      <c r="B613" s="1530" t="str">
        <f t="shared" si="61"/>
        <v>Upgradation and improvement in Hopper Temperature monitoring system by providing Rf Type Hopper Level Sensors for performance improvement of conveying of Dry ash evacuation system.</v>
      </c>
      <c r="C613" s="1491" t="str">
        <f t="shared" si="61"/>
        <v>Yet to be approved</v>
      </c>
      <c r="D613" s="1531" t="str">
        <f t="shared" si="61"/>
        <v>-</v>
      </c>
      <c r="E613" s="1318">
        <f t="shared" si="61"/>
        <v>0</v>
      </c>
      <c r="F613" s="1437">
        <f t="shared" si="56"/>
        <v>0</v>
      </c>
      <c r="G613" s="1437">
        <f t="shared" si="57"/>
        <v>0</v>
      </c>
      <c r="H613" s="1437">
        <f t="shared" si="58"/>
        <v>0</v>
      </c>
      <c r="I613" s="1437">
        <v>0</v>
      </c>
      <c r="J613" s="1437">
        <v>0</v>
      </c>
      <c r="K613" s="1438"/>
      <c r="L613" s="1438"/>
      <c r="M613" s="1437">
        <f t="shared" si="60"/>
        <v>0</v>
      </c>
      <c r="N613" s="1437">
        <f t="shared" si="59"/>
        <v>0</v>
      </c>
    </row>
    <row r="614" spans="1:14" ht="31" outlineLevel="1">
      <c r="A614" s="1533">
        <f t="shared" si="61"/>
        <v>20</v>
      </c>
      <c r="B614" s="1534" t="str">
        <f t="shared" si="61"/>
        <v>DPR on ash handling plant improvement scheme for AHP U-8 NPTPS Parli-V.</v>
      </c>
      <c r="C614" s="1491" t="str">
        <f t="shared" si="61"/>
        <v>Yet to be approved</v>
      </c>
      <c r="D614" s="1531" t="str">
        <f t="shared" si="61"/>
        <v>-</v>
      </c>
      <c r="E614" s="1318">
        <f t="shared" si="61"/>
        <v>0</v>
      </c>
      <c r="F614" s="1437">
        <f t="shared" si="56"/>
        <v>0</v>
      </c>
      <c r="G614" s="1437">
        <f t="shared" si="57"/>
        <v>0</v>
      </c>
      <c r="H614" s="1437">
        <f t="shared" si="58"/>
        <v>0</v>
      </c>
      <c r="I614" s="1437">
        <v>0</v>
      </c>
      <c r="J614" s="1437">
        <v>0</v>
      </c>
      <c r="K614" s="1438"/>
      <c r="L614" s="1438"/>
      <c r="M614" s="1437">
        <f t="shared" si="60"/>
        <v>0</v>
      </c>
      <c r="N614" s="1437">
        <f t="shared" si="59"/>
        <v>0</v>
      </c>
    </row>
    <row r="615" spans="1:14" ht="29" outlineLevel="1">
      <c r="A615" s="1491">
        <f t="shared" si="61"/>
        <v>20.100000000000001</v>
      </c>
      <c r="B615" s="1530" t="str">
        <f t="shared" si="61"/>
        <v xml:space="preserve"> Design, supply, erection, installation &amp; comissioning ESP 1st &amp; 2nd field dry fly ash evacuation &amp; conveying system at AHP U-8.</v>
      </c>
      <c r="C615" s="1491" t="str">
        <f t="shared" si="61"/>
        <v>Yet to be approved</v>
      </c>
      <c r="D615" s="1531" t="str">
        <f t="shared" si="61"/>
        <v>-</v>
      </c>
      <c r="E615" s="1318">
        <f t="shared" si="61"/>
        <v>0</v>
      </c>
      <c r="F615" s="1437">
        <f t="shared" si="56"/>
        <v>0</v>
      </c>
      <c r="G615" s="1437">
        <f t="shared" si="57"/>
        <v>0</v>
      </c>
      <c r="H615" s="1437">
        <f t="shared" si="58"/>
        <v>0</v>
      </c>
      <c r="I615" s="1437">
        <v>0</v>
      </c>
      <c r="J615" s="1437">
        <v>0</v>
      </c>
      <c r="K615" s="1438"/>
      <c r="L615" s="1438"/>
      <c r="M615" s="1437">
        <f t="shared" si="60"/>
        <v>0</v>
      </c>
      <c r="N615" s="1437">
        <f t="shared" si="59"/>
        <v>0</v>
      </c>
    </row>
    <row r="616" spans="1:14" ht="43.5" outlineLevel="1">
      <c r="A616" s="1491">
        <f t="shared" si="61"/>
        <v>20.2</v>
      </c>
      <c r="B616" s="1530" t="str">
        <f t="shared" si="61"/>
        <v>Design, supply, erection, installation &amp; comissioning of dry ash evacuation &amp; conveying system for APH &amp; Economiser ash hoppers at AHP U-8.</v>
      </c>
      <c r="C616" s="1491" t="str">
        <f t="shared" si="61"/>
        <v>Yet to be approved</v>
      </c>
      <c r="D616" s="1531" t="str">
        <f t="shared" si="61"/>
        <v>-</v>
      </c>
      <c r="E616" s="1318">
        <f t="shared" si="61"/>
        <v>0</v>
      </c>
      <c r="F616" s="1437">
        <f t="shared" si="56"/>
        <v>0</v>
      </c>
      <c r="G616" s="1437">
        <f t="shared" si="57"/>
        <v>0</v>
      </c>
      <c r="H616" s="1437">
        <f t="shared" si="58"/>
        <v>0</v>
      </c>
      <c r="I616" s="1437">
        <v>0</v>
      </c>
      <c r="J616" s="1437">
        <v>0</v>
      </c>
      <c r="K616" s="1438"/>
      <c r="L616" s="1438"/>
      <c r="M616" s="1437">
        <f t="shared" si="60"/>
        <v>0</v>
      </c>
      <c r="N616" s="1437">
        <f t="shared" si="59"/>
        <v>0</v>
      </c>
    </row>
    <row r="617" spans="1:14" ht="15.5" outlineLevel="1">
      <c r="A617" s="1533">
        <f t="shared" si="61"/>
        <v>21</v>
      </c>
      <c r="B617" s="1534" t="str">
        <f t="shared" si="61"/>
        <v>Verious Civil schemes in Unit 8 NPTPS  Parli V.</v>
      </c>
      <c r="C617" s="1491" t="str">
        <f t="shared" si="61"/>
        <v>Yet to be approved</v>
      </c>
      <c r="D617" s="1531" t="str">
        <f t="shared" si="61"/>
        <v>-</v>
      </c>
      <c r="E617" s="1318">
        <f t="shared" si="61"/>
        <v>0</v>
      </c>
      <c r="F617" s="1437">
        <f t="shared" si="56"/>
        <v>0</v>
      </c>
      <c r="G617" s="1437">
        <f t="shared" si="57"/>
        <v>0</v>
      </c>
      <c r="H617" s="1437">
        <f t="shared" si="58"/>
        <v>0</v>
      </c>
      <c r="I617" s="1437">
        <v>0</v>
      </c>
      <c r="J617" s="1437">
        <v>0</v>
      </c>
      <c r="K617" s="1438"/>
      <c r="L617" s="1438"/>
      <c r="M617" s="1437">
        <f t="shared" si="60"/>
        <v>0</v>
      </c>
      <c r="N617" s="1437">
        <f t="shared" si="59"/>
        <v>0</v>
      </c>
    </row>
    <row r="618" spans="1:14" outlineLevel="1">
      <c r="A618" s="1491">
        <f t="shared" si="61"/>
        <v>21.1</v>
      </c>
      <c r="B618" s="1530" t="str">
        <f t="shared" si="61"/>
        <v>Construction of chemical laboratory building at Unit 8, NPTPS, Parli V.</v>
      </c>
      <c r="C618" s="1491" t="str">
        <f t="shared" si="61"/>
        <v>Yet to be approved</v>
      </c>
      <c r="D618" s="1531" t="str">
        <f t="shared" si="61"/>
        <v>-</v>
      </c>
      <c r="E618" s="1318">
        <f t="shared" si="61"/>
        <v>0</v>
      </c>
      <c r="F618" s="1437">
        <f t="shared" si="56"/>
        <v>0</v>
      </c>
      <c r="G618" s="1437">
        <f t="shared" si="57"/>
        <v>0</v>
      </c>
      <c r="H618" s="1437">
        <f t="shared" si="58"/>
        <v>0</v>
      </c>
      <c r="I618" s="1437">
        <v>0</v>
      </c>
      <c r="J618" s="1437">
        <v>0</v>
      </c>
      <c r="K618" s="1438"/>
      <c r="L618" s="1438"/>
      <c r="M618" s="1437">
        <f t="shared" si="60"/>
        <v>0</v>
      </c>
      <c r="N618" s="1437">
        <f t="shared" si="59"/>
        <v>0</v>
      </c>
    </row>
    <row r="619" spans="1:14" ht="29" outlineLevel="1">
      <c r="A619" s="1491">
        <f t="shared" si="61"/>
        <v>21.2</v>
      </c>
      <c r="B619" s="1530" t="str">
        <f t="shared" si="61"/>
        <v>Construction of Alum/salt storage area at Unit No.8 (1X250MW) NPTPS Parli Vaijnath.</v>
      </c>
      <c r="C619" s="1491" t="str">
        <f t="shared" si="61"/>
        <v>Yet to be approved</v>
      </c>
      <c r="D619" s="1531" t="str">
        <f t="shared" si="61"/>
        <v>-</v>
      </c>
      <c r="E619" s="1318">
        <f t="shared" si="61"/>
        <v>0</v>
      </c>
      <c r="F619" s="1437">
        <f t="shared" si="56"/>
        <v>0</v>
      </c>
      <c r="G619" s="1437">
        <f t="shared" si="57"/>
        <v>0</v>
      </c>
      <c r="H619" s="1437">
        <f t="shared" si="58"/>
        <v>0</v>
      </c>
      <c r="I619" s="1437">
        <v>0</v>
      </c>
      <c r="J619" s="1437">
        <v>0</v>
      </c>
      <c r="K619" s="1438"/>
      <c r="L619" s="1438"/>
      <c r="M619" s="1437">
        <f t="shared" si="60"/>
        <v>0</v>
      </c>
      <c r="N619" s="1437">
        <f t="shared" si="59"/>
        <v>0</v>
      </c>
    </row>
    <row r="620" spans="1:14" outlineLevel="1">
      <c r="A620" s="1491">
        <f t="shared" si="61"/>
        <v>21.3</v>
      </c>
      <c r="B620" s="1530" t="str">
        <f t="shared" si="61"/>
        <v>Construction of Fire Fighting station  at Unit-8,  NPTPS  Parli V.</v>
      </c>
      <c r="C620" s="1491" t="str">
        <f t="shared" si="61"/>
        <v>Yet to be approved</v>
      </c>
      <c r="D620" s="1531" t="str">
        <f t="shared" si="61"/>
        <v>-</v>
      </c>
      <c r="E620" s="1318">
        <f t="shared" si="61"/>
        <v>0</v>
      </c>
      <c r="F620" s="1437">
        <f t="shared" si="56"/>
        <v>0</v>
      </c>
      <c r="G620" s="1437">
        <f t="shared" si="57"/>
        <v>0</v>
      </c>
      <c r="H620" s="1437">
        <f t="shared" si="58"/>
        <v>0</v>
      </c>
      <c r="I620" s="1437">
        <v>0</v>
      </c>
      <c r="J620" s="1437">
        <v>0</v>
      </c>
      <c r="K620" s="1438"/>
      <c r="L620" s="1438"/>
      <c r="M620" s="1437">
        <f t="shared" si="60"/>
        <v>0</v>
      </c>
      <c r="N620" s="1437">
        <f t="shared" si="59"/>
        <v>0</v>
      </c>
    </row>
    <row r="621" spans="1:14" outlineLevel="1">
      <c r="A621" s="1491">
        <f t="shared" si="61"/>
        <v>21.4</v>
      </c>
      <c r="B621" s="1530" t="str">
        <f t="shared" si="61"/>
        <v xml:space="preserve">Construction of workshop building at Unit-8,  NPTPS  Parli V. </v>
      </c>
      <c r="C621" s="1491" t="str">
        <f t="shared" si="61"/>
        <v>Yet to be approved</v>
      </c>
      <c r="D621" s="1531" t="str">
        <f t="shared" si="61"/>
        <v>-</v>
      </c>
      <c r="E621" s="1318">
        <f t="shared" si="61"/>
        <v>0</v>
      </c>
      <c r="F621" s="1437">
        <f t="shared" si="56"/>
        <v>0</v>
      </c>
      <c r="G621" s="1437">
        <f t="shared" si="57"/>
        <v>0</v>
      </c>
      <c r="H621" s="1437">
        <f t="shared" si="58"/>
        <v>0</v>
      </c>
      <c r="I621" s="1437">
        <v>0</v>
      </c>
      <c r="J621" s="1437">
        <v>0</v>
      </c>
      <c r="K621" s="1438"/>
      <c r="L621" s="1438"/>
      <c r="M621" s="1437">
        <f t="shared" si="60"/>
        <v>0</v>
      </c>
      <c r="N621" s="1437">
        <f t="shared" si="59"/>
        <v>0</v>
      </c>
    </row>
    <row r="622" spans="1:14" ht="15.5" outlineLevel="1">
      <c r="A622" s="1533">
        <f t="shared" si="61"/>
        <v>22</v>
      </c>
      <c r="B622" s="1534" t="str">
        <f t="shared" si="61"/>
        <v>CHP improvement scheme at 250 MW</v>
      </c>
      <c r="C622" s="1491">
        <f t="shared" si="61"/>
        <v>0</v>
      </c>
      <c r="D622" s="1531" t="str">
        <f t="shared" si="61"/>
        <v>-</v>
      </c>
      <c r="E622" s="1318">
        <f t="shared" si="61"/>
        <v>0</v>
      </c>
      <c r="F622" s="1437">
        <f t="shared" si="56"/>
        <v>0</v>
      </c>
      <c r="G622" s="1437">
        <f t="shared" si="57"/>
        <v>0</v>
      </c>
      <c r="H622" s="1437">
        <f t="shared" si="58"/>
        <v>0</v>
      </c>
      <c r="I622" s="1437">
        <v>0</v>
      </c>
      <c r="J622" s="1437">
        <v>0</v>
      </c>
      <c r="K622" s="1438"/>
      <c r="L622" s="1438"/>
      <c r="M622" s="1437">
        <f t="shared" si="60"/>
        <v>0</v>
      </c>
      <c r="N622" s="1437">
        <f t="shared" si="59"/>
        <v>0</v>
      </c>
    </row>
    <row r="623" spans="1:14" outlineLevel="1">
      <c r="A623" s="1491">
        <f t="shared" si="61"/>
        <v>22.1</v>
      </c>
      <c r="B623" s="1530" t="str">
        <f t="shared" si="61"/>
        <v>CHP improvement scheme at 250 MW</v>
      </c>
      <c r="C623" s="1491">
        <f t="shared" si="61"/>
        <v>0</v>
      </c>
      <c r="D623" s="1531" t="str">
        <f t="shared" si="61"/>
        <v>-</v>
      </c>
      <c r="E623" s="1318">
        <f t="shared" si="61"/>
        <v>0</v>
      </c>
      <c r="F623" s="1437">
        <f t="shared" si="56"/>
        <v>0</v>
      </c>
      <c r="G623" s="1437">
        <f t="shared" si="57"/>
        <v>0</v>
      </c>
      <c r="H623" s="1437">
        <f t="shared" si="58"/>
        <v>0</v>
      </c>
      <c r="I623" s="1437">
        <v>0</v>
      </c>
      <c r="J623" s="1437">
        <v>0</v>
      </c>
      <c r="K623" s="1438"/>
      <c r="L623" s="1438"/>
      <c r="M623" s="1437">
        <f t="shared" si="60"/>
        <v>0</v>
      </c>
      <c r="N623" s="1437">
        <f t="shared" si="59"/>
        <v>0</v>
      </c>
    </row>
    <row r="624" spans="1:14" outlineLevel="1">
      <c r="A624" s="1420">
        <f t="shared" si="61"/>
        <v>0</v>
      </c>
      <c r="B624" s="1421" t="str">
        <f t="shared" si="61"/>
        <v>B) Non-DPR</v>
      </c>
      <c r="C624" s="1491">
        <f t="shared" si="61"/>
        <v>0</v>
      </c>
      <c r="D624" s="1531" t="str">
        <f t="shared" si="61"/>
        <v>-</v>
      </c>
      <c r="E624" s="1318">
        <f t="shared" si="61"/>
        <v>0</v>
      </c>
      <c r="F624" s="1437">
        <f t="shared" si="56"/>
        <v>0</v>
      </c>
      <c r="G624" s="1437">
        <f t="shared" si="57"/>
        <v>0</v>
      </c>
      <c r="H624" s="1437">
        <f t="shared" si="58"/>
        <v>0</v>
      </c>
      <c r="I624" s="1437">
        <v>0</v>
      </c>
      <c r="J624" s="1437">
        <v>0</v>
      </c>
      <c r="K624" s="1438"/>
      <c r="L624" s="1438"/>
      <c r="M624" s="1437">
        <f t="shared" si="60"/>
        <v>0</v>
      </c>
      <c r="N624" s="1437">
        <f t="shared" si="59"/>
        <v>0</v>
      </c>
    </row>
    <row r="625" spans="1:14" ht="15.5" outlineLevel="1">
      <c r="A625" s="1533">
        <f t="shared" ref="A625:E640" si="62">A232</f>
        <v>0</v>
      </c>
      <c r="B625" s="1534">
        <f t="shared" si="62"/>
        <v>0</v>
      </c>
      <c r="C625" s="1491">
        <f t="shared" si="62"/>
        <v>0</v>
      </c>
      <c r="D625" s="1531" t="str">
        <f t="shared" si="62"/>
        <v>-</v>
      </c>
      <c r="E625" s="1318">
        <f t="shared" si="62"/>
        <v>0</v>
      </c>
      <c r="F625" s="1437">
        <f t="shared" si="56"/>
        <v>0</v>
      </c>
      <c r="G625" s="1437">
        <f t="shared" si="57"/>
        <v>0</v>
      </c>
      <c r="H625" s="1437">
        <f t="shared" si="58"/>
        <v>0</v>
      </c>
      <c r="I625" s="1437">
        <v>0.56615120600000002</v>
      </c>
      <c r="J625" s="1437">
        <v>0.56615120600000002</v>
      </c>
      <c r="K625" s="1438"/>
      <c r="L625" s="1438"/>
      <c r="M625" s="1437">
        <f t="shared" si="60"/>
        <v>0.56615120600000002</v>
      </c>
      <c r="N625" s="1437">
        <f t="shared" si="59"/>
        <v>0</v>
      </c>
    </row>
    <row r="626" spans="1:14" ht="15.5" outlineLevel="1">
      <c r="A626" s="1493">
        <f t="shared" si="62"/>
        <v>0</v>
      </c>
      <c r="B626" s="1494" t="str">
        <f t="shared" si="62"/>
        <v>B) GA</v>
      </c>
      <c r="C626" s="1491">
        <f t="shared" si="62"/>
        <v>0</v>
      </c>
      <c r="D626" s="1531" t="str">
        <f t="shared" si="62"/>
        <v>-</v>
      </c>
      <c r="E626" s="1318">
        <f t="shared" si="62"/>
        <v>0</v>
      </c>
      <c r="F626" s="1437">
        <f t="shared" si="56"/>
        <v>0.34312365099999997</v>
      </c>
      <c r="G626" s="1437">
        <f t="shared" si="57"/>
        <v>0.40371165099999995</v>
      </c>
      <c r="H626" s="1437">
        <f t="shared" si="58"/>
        <v>-6.0587999999999975E-2</v>
      </c>
      <c r="I626" s="1437">
        <v>0</v>
      </c>
      <c r="J626" s="1437">
        <v>0</v>
      </c>
      <c r="K626" s="1438"/>
      <c r="L626" s="1438"/>
      <c r="M626" s="1437">
        <f t="shared" si="60"/>
        <v>0</v>
      </c>
      <c r="N626" s="1437">
        <f t="shared" si="59"/>
        <v>-6.0587999999999975E-2</v>
      </c>
    </row>
    <row r="627" spans="1:14" outlineLevel="1">
      <c r="A627" s="1499">
        <f t="shared" si="62"/>
        <v>0</v>
      </c>
      <c r="B627" s="1539">
        <f t="shared" si="62"/>
        <v>0</v>
      </c>
      <c r="C627" s="1491">
        <f t="shared" si="62"/>
        <v>0</v>
      </c>
      <c r="D627" s="1531" t="str">
        <f t="shared" si="62"/>
        <v>-</v>
      </c>
      <c r="E627" s="1318">
        <f t="shared" si="62"/>
        <v>0</v>
      </c>
      <c r="F627" s="1437">
        <f t="shared" si="56"/>
        <v>0</v>
      </c>
      <c r="G627" s="1437">
        <f t="shared" si="57"/>
        <v>0</v>
      </c>
      <c r="H627" s="1437">
        <f t="shared" si="58"/>
        <v>0</v>
      </c>
      <c r="I627" s="1437">
        <v>0</v>
      </c>
      <c r="J627" s="1437">
        <v>0</v>
      </c>
      <c r="K627" s="1438"/>
      <c r="L627" s="1438"/>
      <c r="M627" s="1437">
        <f t="shared" si="60"/>
        <v>0</v>
      </c>
      <c r="N627" s="1437">
        <f t="shared" si="59"/>
        <v>0</v>
      </c>
    </row>
    <row r="628" spans="1:14" ht="15.5" outlineLevel="1">
      <c r="A628" s="1493">
        <f t="shared" si="62"/>
        <v>0</v>
      </c>
      <c r="B628" s="1494" t="str">
        <f t="shared" si="62"/>
        <v>C) Asset received from Project U#8</v>
      </c>
      <c r="C628" s="1491">
        <f t="shared" si="62"/>
        <v>0</v>
      </c>
      <c r="D628" s="1531" t="str">
        <f t="shared" si="62"/>
        <v>-</v>
      </c>
      <c r="E628" s="1318">
        <f t="shared" si="62"/>
        <v>0</v>
      </c>
      <c r="F628" s="1437">
        <f t="shared" si="56"/>
        <v>0</v>
      </c>
      <c r="G628" s="1437">
        <f t="shared" si="57"/>
        <v>0</v>
      </c>
      <c r="H628" s="1437">
        <f t="shared" si="58"/>
        <v>0</v>
      </c>
      <c r="I628" s="1437">
        <v>0</v>
      </c>
      <c r="J628" s="1437">
        <v>0</v>
      </c>
      <c r="K628" s="1438"/>
      <c r="L628" s="1438"/>
      <c r="M628" s="1437">
        <f t="shared" si="60"/>
        <v>0</v>
      </c>
      <c r="N628" s="1437">
        <f t="shared" si="59"/>
        <v>0</v>
      </c>
    </row>
    <row r="629" spans="1:14" outlineLevel="1">
      <c r="A629" s="1499">
        <f t="shared" si="62"/>
        <v>1</v>
      </c>
      <c r="B629" s="1539" t="str">
        <f t="shared" si="62"/>
        <v>Asset Recived From Civil-U#8-Land-10101</v>
      </c>
      <c r="C629" s="1491" t="str">
        <f t="shared" si="62"/>
        <v>N.A.</v>
      </c>
      <c r="D629" s="1531" t="str">
        <f t="shared" si="62"/>
        <v>-</v>
      </c>
      <c r="E629" s="1318">
        <f t="shared" si="62"/>
        <v>0</v>
      </c>
      <c r="F629" s="1437">
        <f t="shared" si="56"/>
        <v>3.1293089999999998E-3</v>
      </c>
      <c r="G629" s="1437">
        <f t="shared" si="57"/>
        <v>0</v>
      </c>
      <c r="H629" s="1437">
        <f t="shared" si="58"/>
        <v>3.1293089999999998E-3</v>
      </c>
      <c r="I629" s="1437">
        <v>0</v>
      </c>
      <c r="J629" s="1437">
        <v>0</v>
      </c>
      <c r="K629" s="1438"/>
      <c r="L629" s="1438"/>
      <c r="M629" s="1437">
        <f t="shared" si="60"/>
        <v>0</v>
      </c>
      <c r="N629" s="1437">
        <f t="shared" si="59"/>
        <v>3.1293089999999998E-3</v>
      </c>
    </row>
    <row r="630" spans="1:14" outlineLevel="1">
      <c r="A630" s="1499">
        <f t="shared" si="62"/>
        <v>2</v>
      </c>
      <c r="B630" s="1539" t="str">
        <f t="shared" si="62"/>
        <v>Asset Recived From Civil-U#8-T.G. Building-10201</v>
      </c>
      <c r="C630" s="1491" t="str">
        <f t="shared" si="62"/>
        <v>N.A.</v>
      </c>
      <c r="D630" s="1531" t="str">
        <f t="shared" si="62"/>
        <v>-</v>
      </c>
      <c r="E630" s="1318">
        <f t="shared" si="62"/>
        <v>0</v>
      </c>
      <c r="F630" s="1437">
        <f t="shared" si="56"/>
        <v>1.0037712000000001E-2</v>
      </c>
      <c r="G630" s="1437">
        <f t="shared" si="57"/>
        <v>0</v>
      </c>
      <c r="H630" s="1437">
        <f t="shared" si="58"/>
        <v>1.0037712000000001E-2</v>
      </c>
      <c r="I630" s="1437">
        <v>0</v>
      </c>
      <c r="J630" s="1437">
        <v>0</v>
      </c>
      <c r="K630" s="1438"/>
      <c r="L630" s="1438"/>
      <c r="M630" s="1437">
        <f t="shared" si="60"/>
        <v>0</v>
      </c>
      <c r="N630" s="1437">
        <f t="shared" si="59"/>
        <v>1.0037712000000001E-2</v>
      </c>
    </row>
    <row r="631" spans="1:14" ht="29" outlineLevel="1">
      <c r="A631" s="1499">
        <f t="shared" si="62"/>
        <v>3</v>
      </c>
      <c r="B631" s="1539" t="str">
        <f t="shared" si="62"/>
        <v>Asset Recived From Civil-U#8-T.G. Building(BC)bay&amp;control room-10201</v>
      </c>
      <c r="C631" s="1491" t="str">
        <f t="shared" si="62"/>
        <v>N.A.</v>
      </c>
      <c r="D631" s="1531" t="str">
        <f t="shared" si="62"/>
        <v>-</v>
      </c>
      <c r="E631" s="1318">
        <f t="shared" si="62"/>
        <v>0</v>
      </c>
      <c r="F631" s="1437">
        <f t="shared" si="56"/>
        <v>4.578426E-3</v>
      </c>
      <c r="G631" s="1437">
        <f t="shared" si="57"/>
        <v>0</v>
      </c>
      <c r="H631" s="1437">
        <f t="shared" si="58"/>
        <v>4.578426E-3</v>
      </c>
      <c r="I631" s="1437">
        <v>0</v>
      </c>
      <c r="J631" s="1437">
        <v>0</v>
      </c>
      <c r="K631" s="1438"/>
      <c r="L631" s="1438"/>
      <c r="M631" s="1437">
        <f t="shared" si="60"/>
        <v>0</v>
      </c>
      <c r="N631" s="1437">
        <f t="shared" si="59"/>
        <v>4.578426E-3</v>
      </c>
    </row>
    <row r="632" spans="1:14" ht="29" outlineLevel="1">
      <c r="A632" s="1499">
        <f t="shared" si="62"/>
        <v>4</v>
      </c>
      <c r="B632" s="1539" t="str">
        <f t="shared" si="62"/>
        <v>Asset Recived From Civil-U#8-StructuralSteelWorks4TGBldgA2EBays-10201</v>
      </c>
      <c r="C632" s="1491" t="str">
        <f t="shared" si="62"/>
        <v>N.A.</v>
      </c>
      <c r="D632" s="1531" t="str">
        <f t="shared" si="62"/>
        <v>-</v>
      </c>
      <c r="E632" s="1318">
        <f t="shared" si="62"/>
        <v>0</v>
      </c>
      <c r="F632" s="1437">
        <f t="shared" si="56"/>
        <v>1.397639E-3</v>
      </c>
      <c r="G632" s="1437">
        <f t="shared" si="57"/>
        <v>0</v>
      </c>
      <c r="H632" s="1437">
        <f t="shared" si="58"/>
        <v>1.397639E-3</v>
      </c>
      <c r="I632" s="1437">
        <v>0</v>
      </c>
      <c r="J632" s="1437">
        <v>0</v>
      </c>
      <c r="K632" s="1438"/>
      <c r="L632" s="1438"/>
      <c r="M632" s="1437">
        <f t="shared" si="60"/>
        <v>0</v>
      </c>
      <c r="N632" s="1437">
        <f t="shared" si="59"/>
        <v>1.397639E-3</v>
      </c>
    </row>
    <row r="633" spans="1:14" outlineLevel="1">
      <c r="A633" s="1499">
        <f t="shared" si="62"/>
        <v>5</v>
      </c>
      <c r="B633" s="1539" t="str">
        <f t="shared" si="62"/>
        <v>Asset Recived From Civil-U#8-WTP Building-10201</v>
      </c>
      <c r="C633" s="1491" t="str">
        <f t="shared" si="62"/>
        <v>N.A.</v>
      </c>
      <c r="D633" s="1531" t="str">
        <f t="shared" si="62"/>
        <v>-</v>
      </c>
      <c r="E633" s="1318">
        <f t="shared" si="62"/>
        <v>0</v>
      </c>
      <c r="F633" s="1437">
        <f t="shared" si="56"/>
        <v>1.14825E-4</v>
      </c>
      <c r="G633" s="1437">
        <f t="shared" si="57"/>
        <v>0</v>
      </c>
      <c r="H633" s="1437">
        <f t="shared" si="58"/>
        <v>1.14825E-4</v>
      </c>
      <c r="I633" s="1437">
        <v>0</v>
      </c>
      <c r="J633" s="1437">
        <v>0</v>
      </c>
      <c r="K633" s="1438"/>
      <c r="L633" s="1438"/>
      <c r="M633" s="1437">
        <f t="shared" si="60"/>
        <v>0</v>
      </c>
      <c r="N633" s="1437">
        <f t="shared" si="59"/>
        <v>1.14825E-4</v>
      </c>
    </row>
    <row r="634" spans="1:14" ht="29" outlineLevel="1">
      <c r="A634" s="1499">
        <f t="shared" si="62"/>
        <v>6</v>
      </c>
      <c r="B634" s="1539" t="str">
        <f t="shared" si="62"/>
        <v>Asset Recived From Civil-U#8-DG SET ROOM CUM AIR COMP. HOUSE-10201</v>
      </c>
      <c r="C634" s="1491" t="str">
        <f t="shared" si="62"/>
        <v>N.A.</v>
      </c>
      <c r="D634" s="1531" t="str">
        <f t="shared" si="62"/>
        <v>-</v>
      </c>
      <c r="E634" s="1318">
        <f t="shared" si="62"/>
        <v>0</v>
      </c>
      <c r="F634" s="1437">
        <f t="shared" si="56"/>
        <v>1.05983E-4</v>
      </c>
      <c r="G634" s="1437">
        <f t="shared" si="57"/>
        <v>0</v>
      </c>
      <c r="H634" s="1437">
        <f t="shared" si="58"/>
        <v>1.05983E-4</v>
      </c>
      <c r="I634" s="1437">
        <v>0</v>
      </c>
      <c r="J634" s="1437">
        <v>0</v>
      </c>
      <c r="K634" s="1438"/>
      <c r="L634" s="1438"/>
      <c r="M634" s="1437">
        <f t="shared" si="60"/>
        <v>0</v>
      </c>
      <c r="N634" s="1437">
        <f t="shared" si="59"/>
        <v>1.05983E-4</v>
      </c>
    </row>
    <row r="635" spans="1:14" ht="29" outlineLevel="1">
      <c r="A635" s="1499">
        <f t="shared" si="62"/>
        <v>7</v>
      </c>
      <c r="B635" s="1539" t="str">
        <f t="shared" si="62"/>
        <v>Asset Recived From Civil-U#8-WTP-Raw/Fire water pump House-10233</v>
      </c>
      <c r="C635" s="1491" t="str">
        <f t="shared" si="62"/>
        <v>N.A.</v>
      </c>
      <c r="D635" s="1531" t="str">
        <f t="shared" si="62"/>
        <v>-</v>
      </c>
      <c r="E635" s="1318">
        <f t="shared" si="62"/>
        <v>0</v>
      </c>
      <c r="F635" s="1437">
        <f t="shared" si="56"/>
        <v>6.9018599999999997E-4</v>
      </c>
      <c r="G635" s="1437">
        <f t="shared" si="57"/>
        <v>0</v>
      </c>
      <c r="H635" s="1437">
        <f t="shared" si="58"/>
        <v>6.9018599999999997E-4</v>
      </c>
      <c r="I635" s="1437">
        <v>0</v>
      </c>
      <c r="J635" s="1437">
        <v>0</v>
      </c>
      <c r="K635" s="1438"/>
      <c r="L635" s="1438"/>
      <c r="M635" s="1437">
        <f t="shared" si="60"/>
        <v>0</v>
      </c>
      <c r="N635" s="1437">
        <f t="shared" si="59"/>
        <v>6.9018599999999997E-4</v>
      </c>
    </row>
    <row r="636" spans="1:14" outlineLevel="1">
      <c r="A636" s="1499">
        <f t="shared" si="62"/>
        <v>8</v>
      </c>
      <c r="B636" s="1539" t="str">
        <f t="shared" si="62"/>
        <v>Asset Recived From Civil-U#8-SERVICE BUILDING -10211</v>
      </c>
      <c r="C636" s="1491" t="str">
        <f t="shared" si="62"/>
        <v>N.A.</v>
      </c>
      <c r="D636" s="1531" t="str">
        <f t="shared" si="62"/>
        <v>-</v>
      </c>
      <c r="E636" s="1318">
        <f t="shared" si="62"/>
        <v>0</v>
      </c>
      <c r="F636" s="1437">
        <f t="shared" si="56"/>
        <v>5.51437E-4</v>
      </c>
      <c r="G636" s="1437">
        <f t="shared" si="57"/>
        <v>0</v>
      </c>
      <c r="H636" s="1437">
        <f t="shared" si="58"/>
        <v>5.51437E-4</v>
      </c>
      <c r="I636" s="1437">
        <v>0</v>
      </c>
      <c r="J636" s="1437">
        <v>0</v>
      </c>
      <c r="K636" s="1438"/>
      <c r="L636" s="1438"/>
      <c r="M636" s="1437">
        <f t="shared" si="60"/>
        <v>0</v>
      </c>
      <c r="N636" s="1437">
        <f t="shared" si="59"/>
        <v>5.51437E-4</v>
      </c>
    </row>
    <row r="637" spans="1:14" outlineLevel="1">
      <c r="A637" s="1499">
        <f t="shared" si="62"/>
        <v>9</v>
      </c>
      <c r="B637" s="1539" t="str">
        <f t="shared" si="62"/>
        <v>Asset Recived From Civil-U#8-Canteen -10233</v>
      </c>
      <c r="C637" s="1491" t="str">
        <f t="shared" si="62"/>
        <v>N.A.</v>
      </c>
      <c r="D637" s="1531" t="str">
        <f t="shared" si="62"/>
        <v>-</v>
      </c>
      <c r="E637" s="1318">
        <f t="shared" si="62"/>
        <v>0</v>
      </c>
      <c r="F637" s="1437">
        <f t="shared" si="56"/>
        <v>7.2491400000000001E-4</v>
      </c>
      <c r="G637" s="1437">
        <f t="shared" si="57"/>
        <v>0</v>
      </c>
      <c r="H637" s="1437">
        <f t="shared" si="58"/>
        <v>7.2491400000000001E-4</v>
      </c>
      <c r="I637" s="1437">
        <v>0</v>
      </c>
      <c r="J637" s="1437">
        <v>0</v>
      </c>
      <c r="K637" s="1438"/>
      <c r="L637" s="1438"/>
      <c r="M637" s="1437">
        <f t="shared" si="60"/>
        <v>0</v>
      </c>
      <c r="N637" s="1437">
        <f t="shared" si="59"/>
        <v>7.2491400000000001E-4</v>
      </c>
    </row>
    <row r="638" spans="1:14" outlineLevel="1">
      <c r="A638" s="1499">
        <f t="shared" si="62"/>
        <v>10</v>
      </c>
      <c r="B638" s="1539" t="str">
        <f t="shared" si="62"/>
        <v>Asset Recived From Civil-U#8-PARKING SHED -10233</v>
      </c>
      <c r="C638" s="1491" t="str">
        <f t="shared" si="62"/>
        <v>N.A.</v>
      </c>
      <c r="D638" s="1531" t="str">
        <f t="shared" si="62"/>
        <v>-</v>
      </c>
      <c r="E638" s="1318">
        <f t="shared" si="62"/>
        <v>0</v>
      </c>
      <c r="F638" s="1437">
        <f t="shared" si="56"/>
        <v>6.1109999999999996E-6</v>
      </c>
      <c r="G638" s="1437">
        <f t="shared" si="57"/>
        <v>0</v>
      </c>
      <c r="H638" s="1437">
        <f t="shared" si="58"/>
        <v>6.1109999999999996E-6</v>
      </c>
      <c r="I638" s="1437">
        <v>0</v>
      </c>
      <c r="J638" s="1437">
        <v>0</v>
      </c>
      <c r="K638" s="1438"/>
      <c r="L638" s="1438"/>
      <c r="M638" s="1437">
        <f t="shared" si="60"/>
        <v>0</v>
      </c>
      <c r="N638" s="1437">
        <f t="shared" si="59"/>
        <v>6.1109999999999996E-6</v>
      </c>
    </row>
    <row r="639" spans="1:14" outlineLevel="1">
      <c r="A639" s="1499">
        <f t="shared" si="62"/>
        <v>11</v>
      </c>
      <c r="B639" s="1539" t="str">
        <f t="shared" si="62"/>
        <v>Asset Recived From Civil-U#8-Time Security Building -10233</v>
      </c>
      <c r="C639" s="1491" t="str">
        <f t="shared" si="62"/>
        <v>N.A.</v>
      </c>
      <c r="D639" s="1531" t="str">
        <f t="shared" si="62"/>
        <v>-</v>
      </c>
      <c r="E639" s="1318">
        <f t="shared" si="62"/>
        <v>0</v>
      </c>
      <c r="F639" s="1437">
        <f t="shared" si="56"/>
        <v>3.595E-5</v>
      </c>
      <c r="G639" s="1437">
        <f t="shared" si="57"/>
        <v>0</v>
      </c>
      <c r="H639" s="1437">
        <f t="shared" si="58"/>
        <v>3.595E-5</v>
      </c>
      <c r="I639" s="1437">
        <v>0</v>
      </c>
      <c r="J639" s="1437">
        <v>0</v>
      </c>
      <c r="K639" s="1438"/>
      <c r="L639" s="1438"/>
      <c r="M639" s="1437">
        <f t="shared" si="60"/>
        <v>0</v>
      </c>
      <c r="N639" s="1437">
        <f t="shared" si="59"/>
        <v>3.595E-5</v>
      </c>
    </row>
    <row r="640" spans="1:14" ht="29" outlineLevel="1">
      <c r="A640" s="1499">
        <f t="shared" si="62"/>
        <v>12</v>
      </c>
      <c r="B640" s="1539" t="str">
        <f t="shared" si="62"/>
        <v>Asset Recived From Civil-U#8-Misc.Building/structure/Watchtower-10233</v>
      </c>
      <c r="C640" s="1491" t="str">
        <f t="shared" si="62"/>
        <v>N.A.</v>
      </c>
      <c r="D640" s="1531" t="str">
        <f t="shared" si="62"/>
        <v>-</v>
      </c>
      <c r="E640" s="1318">
        <f t="shared" si="62"/>
        <v>0</v>
      </c>
      <c r="F640" s="1437">
        <f t="shared" si="56"/>
        <v>1.7243E-4</v>
      </c>
      <c r="G640" s="1437">
        <f t="shared" si="57"/>
        <v>0</v>
      </c>
      <c r="H640" s="1437">
        <f t="shared" si="58"/>
        <v>1.7243E-4</v>
      </c>
      <c r="I640" s="1437">
        <v>0</v>
      </c>
      <c r="J640" s="1437">
        <v>0</v>
      </c>
      <c r="K640" s="1438"/>
      <c r="L640" s="1438"/>
      <c r="M640" s="1437">
        <f t="shared" si="60"/>
        <v>0</v>
      </c>
      <c r="N640" s="1437">
        <f t="shared" si="59"/>
        <v>1.7243E-4</v>
      </c>
    </row>
    <row r="641" spans="1:14" outlineLevel="1">
      <c r="A641" s="1499">
        <f t="shared" ref="A641:E656" si="63">A248</f>
        <v>13</v>
      </c>
      <c r="B641" s="1539" t="str">
        <f t="shared" si="63"/>
        <v>Asset Recived From Civil-U#8-Boundry compound wall Mall-10233</v>
      </c>
      <c r="C641" s="1491" t="str">
        <f t="shared" si="63"/>
        <v>N.A.</v>
      </c>
      <c r="D641" s="1531" t="str">
        <f t="shared" si="63"/>
        <v>-</v>
      </c>
      <c r="E641" s="1318">
        <f t="shared" si="63"/>
        <v>0</v>
      </c>
      <c r="F641" s="1437">
        <f t="shared" si="56"/>
        <v>0.15765880700000001</v>
      </c>
      <c r="G641" s="1437">
        <f t="shared" si="57"/>
        <v>0</v>
      </c>
      <c r="H641" s="1437">
        <f t="shared" si="58"/>
        <v>0.15765880700000001</v>
      </c>
      <c r="I641" s="1437">
        <v>0</v>
      </c>
      <c r="J641" s="1437">
        <v>0</v>
      </c>
      <c r="K641" s="1438"/>
      <c r="L641" s="1438"/>
      <c r="M641" s="1437">
        <f t="shared" si="60"/>
        <v>0</v>
      </c>
      <c r="N641" s="1437">
        <f t="shared" si="59"/>
        <v>0.15765880700000001</v>
      </c>
    </row>
    <row r="642" spans="1:14" outlineLevel="1">
      <c r="A642" s="1499">
        <f t="shared" si="63"/>
        <v>14</v>
      </c>
      <c r="B642" s="1539" t="str">
        <f t="shared" si="63"/>
        <v>Asset Recived From Civil-U#8-Workshop civil work-10233</v>
      </c>
      <c r="C642" s="1491" t="str">
        <f t="shared" si="63"/>
        <v>N.A.</v>
      </c>
      <c r="D642" s="1531" t="str">
        <f t="shared" si="63"/>
        <v>-</v>
      </c>
      <c r="E642" s="1318">
        <f t="shared" si="63"/>
        <v>0</v>
      </c>
      <c r="F642" s="1437">
        <f t="shared" si="56"/>
        <v>4.1879999999999999E-5</v>
      </c>
      <c r="G642" s="1437">
        <f t="shared" si="57"/>
        <v>0</v>
      </c>
      <c r="H642" s="1437">
        <f t="shared" si="58"/>
        <v>4.1879999999999999E-5</v>
      </c>
      <c r="I642" s="1437">
        <v>0</v>
      </c>
      <c r="J642" s="1437">
        <v>0</v>
      </c>
      <c r="K642" s="1438"/>
      <c r="L642" s="1438"/>
      <c r="M642" s="1437">
        <f t="shared" si="60"/>
        <v>0</v>
      </c>
      <c r="N642" s="1437">
        <f t="shared" si="59"/>
        <v>4.1879999999999999E-5</v>
      </c>
    </row>
    <row r="643" spans="1:14" outlineLevel="1">
      <c r="A643" s="1499">
        <f t="shared" si="63"/>
        <v>15</v>
      </c>
      <c r="B643" s="1539" t="str">
        <f t="shared" si="63"/>
        <v>Asset Recived From Civil-U#8-Interior Work for CEC-I Office-10233</v>
      </c>
      <c r="C643" s="1491" t="str">
        <f t="shared" si="63"/>
        <v>N.A.</v>
      </c>
      <c r="D643" s="1531" t="str">
        <f t="shared" si="63"/>
        <v>-</v>
      </c>
      <c r="E643" s="1318">
        <f t="shared" si="63"/>
        <v>0</v>
      </c>
      <c r="F643" s="1437">
        <f t="shared" si="56"/>
        <v>5.6437999999999997E-5</v>
      </c>
      <c r="G643" s="1437">
        <f t="shared" si="57"/>
        <v>0</v>
      </c>
      <c r="H643" s="1437">
        <f t="shared" si="58"/>
        <v>5.6437999999999997E-5</v>
      </c>
      <c r="I643" s="1437">
        <v>0</v>
      </c>
      <c r="J643" s="1437">
        <v>0</v>
      </c>
      <c r="K643" s="1438"/>
      <c r="L643" s="1438"/>
      <c r="M643" s="1437">
        <f t="shared" si="60"/>
        <v>0</v>
      </c>
      <c r="N643" s="1437">
        <f t="shared" si="59"/>
        <v>5.6437999999999997E-5</v>
      </c>
    </row>
    <row r="644" spans="1:14" outlineLevel="1">
      <c r="A644" s="1499">
        <f t="shared" si="63"/>
        <v>16</v>
      </c>
      <c r="B644" s="1539" t="str">
        <f t="shared" si="63"/>
        <v>Asset Recived From Civil-U#8-WTP-Raw water reservoir -10305</v>
      </c>
      <c r="C644" s="1491" t="str">
        <f t="shared" si="63"/>
        <v>N.A.</v>
      </c>
      <c r="D644" s="1531" t="str">
        <f t="shared" si="63"/>
        <v>-</v>
      </c>
      <c r="E644" s="1318">
        <f t="shared" si="63"/>
        <v>0</v>
      </c>
      <c r="F644" s="1437">
        <f t="shared" si="56"/>
        <v>1.224798E-3</v>
      </c>
      <c r="G644" s="1437">
        <f t="shared" si="57"/>
        <v>0</v>
      </c>
      <c r="H644" s="1437">
        <f t="shared" si="58"/>
        <v>1.224798E-3</v>
      </c>
      <c r="I644" s="1437">
        <v>0</v>
      </c>
      <c r="J644" s="1437">
        <v>0</v>
      </c>
      <c r="K644" s="1438"/>
      <c r="L644" s="1438"/>
      <c r="M644" s="1437">
        <f t="shared" si="60"/>
        <v>0</v>
      </c>
      <c r="N644" s="1437">
        <f t="shared" si="59"/>
        <v>1.224798E-3</v>
      </c>
    </row>
    <row r="645" spans="1:14" outlineLevel="1">
      <c r="A645" s="1499">
        <f t="shared" si="63"/>
        <v>17</v>
      </c>
      <c r="B645" s="1539" t="str">
        <f t="shared" si="63"/>
        <v>Asset Recived From Civil-U#8-WTP-Clarifier -10305</v>
      </c>
      <c r="C645" s="1491" t="str">
        <f t="shared" si="63"/>
        <v>N.A.</v>
      </c>
      <c r="D645" s="1531" t="str">
        <f t="shared" si="63"/>
        <v>-</v>
      </c>
      <c r="E645" s="1318">
        <f t="shared" si="63"/>
        <v>0</v>
      </c>
      <c r="F645" s="1437">
        <f t="shared" si="56"/>
        <v>1.1651750000000001E-3</v>
      </c>
      <c r="G645" s="1437">
        <f t="shared" si="57"/>
        <v>0</v>
      </c>
      <c r="H645" s="1437">
        <f t="shared" si="58"/>
        <v>1.1651750000000001E-3</v>
      </c>
      <c r="I645" s="1437">
        <v>0</v>
      </c>
      <c r="J645" s="1437">
        <v>0</v>
      </c>
      <c r="K645" s="1438"/>
      <c r="L645" s="1438"/>
      <c r="M645" s="1437">
        <f t="shared" si="60"/>
        <v>0</v>
      </c>
      <c r="N645" s="1437">
        <f t="shared" si="59"/>
        <v>1.1651750000000001E-3</v>
      </c>
    </row>
    <row r="646" spans="1:14" ht="29" outlineLevel="1">
      <c r="A646" s="1499">
        <f t="shared" si="63"/>
        <v>18</v>
      </c>
      <c r="B646" s="1539" t="str">
        <f t="shared" si="63"/>
        <v>Asset Recived From Civil-U#8-WTP-Clarifier Water Storage Tank-10305</v>
      </c>
      <c r="C646" s="1491" t="str">
        <f t="shared" si="63"/>
        <v>N.A.</v>
      </c>
      <c r="D646" s="1531" t="str">
        <f t="shared" si="63"/>
        <v>-</v>
      </c>
      <c r="E646" s="1318">
        <f t="shared" si="63"/>
        <v>0</v>
      </c>
      <c r="F646" s="1437">
        <f t="shared" si="56"/>
        <v>1.9514200000000001E-4</v>
      </c>
      <c r="G646" s="1437">
        <f t="shared" si="57"/>
        <v>0</v>
      </c>
      <c r="H646" s="1437">
        <f t="shared" si="58"/>
        <v>1.9514200000000001E-4</v>
      </c>
      <c r="I646" s="1437">
        <v>0</v>
      </c>
      <c r="J646" s="1437">
        <v>0</v>
      </c>
      <c r="K646" s="1438"/>
      <c r="L646" s="1438"/>
      <c r="M646" s="1437">
        <f t="shared" si="60"/>
        <v>0</v>
      </c>
      <c r="N646" s="1437">
        <f t="shared" si="59"/>
        <v>1.9514200000000001E-4</v>
      </c>
    </row>
    <row r="647" spans="1:14" outlineLevel="1">
      <c r="A647" s="1499">
        <f t="shared" si="63"/>
        <v>19</v>
      </c>
      <c r="B647" s="1539" t="str">
        <f t="shared" si="63"/>
        <v>Asset Recived From Civil-U#8-C.W. pump house &amp; forebay-10310</v>
      </c>
      <c r="C647" s="1491" t="str">
        <f t="shared" si="63"/>
        <v>N.A.</v>
      </c>
      <c r="D647" s="1531" t="str">
        <f t="shared" si="63"/>
        <v>-</v>
      </c>
      <c r="E647" s="1318">
        <f t="shared" si="63"/>
        <v>0</v>
      </c>
      <c r="F647" s="1437">
        <f t="shared" si="56"/>
        <v>5.2946099999999995E-4</v>
      </c>
      <c r="G647" s="1437">
        <f t="shared" si="57"/>
        <v>0</v>
      </c>
      <c r="H647" s="1437">
        <f t="shared" si="58"/>
        <v>5.2946099999999995E-4</v>
      </c>
      <c r="I647" s="1437">
        <v>0</v>
      </c>
      <c r="J647" s="1437">
        <v>0</v>
      </c>
      <c r="K647" s="1438"/>
      <c r="L647" s="1438"/>
      <c r="M647" s="1437">
        <f t="shared" si="60"/>
        <v>0</v>
      </c>
      <c r="N647" s="1437">
        <f t="shared" si="59"/>
        <v>5.2946099999999995E-4</v>
      </c>
    </row>
    <row r="648" spans="1:14" outlineLevel="1">
      <c r="A648" s="1499">
        <f t="shared" si="63"/>
        <v>20</v>
      </c>
      <c r="B648" s="1539" t="str">
        <f t="shared" si="63"/>
        <v>Asset Recived From Civil-U#8-Construction of STP for Colony-10322</v>
      </c>
      <c r="C648" s="1491" t="str">
        <f t="shared" si="63"/>
        <v>N.A.</v>
      </c>
      <c r="D648" s="1531" t="str">
        <f t="shared" si="63"/>
        <v>-</v>
      </c>
      <c r="E648" s="1318">
        <f t="shared" si="63"/>
        <v>0</v>
      </c>
      <c r="F648" s="1437">
        <f t="shared" si="56"/>
        <v>1.79662E-4</v>
      </c>
      <c r="G648" s="1437">
        <f t="shared" si="57"/>
        <v>0</v>
      </c>
      <c r="H648" s="1437">
        <f t="shared" si="58"/>
        <v>1.79662E-4</v>
      </c>
      <c r="I648" s="1437">
        <v>0</v>
      </c>
      <c r="J648" s="1437">
        <v>0</v>
      </c>
      <c r="K648" s="1438"/>
      <c r="L648" s="1438"/>
      <c r="M648" s="1437">
        <f t="shared" si="60"/>
        <v>0</v>
      </c>
      <c r="N648" s="1437">
        <f t="shared" si="59"/>
        <v>1.79662E-4</v>
      </c>
    </row>
    <row r="649" spans="1:14" outlineLevel="1">
      <c r="A649" s="1499">
        <f t="shared" si="63"/>
        <v>21</v>
      </c>
      <c r="B649" s="1539" t="str">
        <f t="shared" si="63"/>
        <v>Asset Recived From Civil-U#8-Cooling Towers-10311</v>
      </c>
      <c r="C649" s="1491" t="str">
        <f t="shared" si="63"/>
        <v>N.A.</v>
      </c>
      <c r="D649" s="1531" t="str">
        <f t="shared" si="63"/>
        <v>-</v>
      </c>
      <c r="E649" s="1318">
        <f t="shared" si="63"/>
        <v>0</v>
      </c>
      <c r="F649" s="1437">
        <f t="shared" si="56"/>
        <v>0.37627639299999999</v>
      </c>
      <c r="G649" s="1437">
        <f t="shared" si="57"/>
        <v>0</v>
      </c>
      <c r="H649" s="1437">
        <f t="shared" si="58"/>
        <v>0.37627639299999999</v>
      </c>
      <c r="I649" s="1437">
        <v>0</v>
      </c>
      <c r="J649" s="1437">
        <v>0</v>
      </c>
      <c r="K649" s="1438"/>
      <c r="L649" s="1438"/>
      <c r="M649" s="1437">
        <f t="shared" si="60"/>
        <v>0</v>
      </c>
      <c r="N649" s="1437">
        <f t="shared" si="59"/>
        <v>0.37627639299999999</v>
      </c>
    </row>
    <row r="650" spans="1:14" outlineLevel="1">
      <c r="A650" s="1499">
        <f t="shared" si="63"/>
        <v>22</v>
      </c>
      <c r="B650" s="1539" t="str">
        <f t="shared" si="63"/>
        <v>Asset Recived From Civil-U#8-Railway sidings-10412</v>
      </c>
      <c r="C650" s="1491" t="str">
        <f t="shared" si="63"/>
        <v>N.A.</v>
      </c>
      <c r="D650" s="1531" t="str">
        <f t="shared" si="63"/>
        <v>-</v>
      </c>
      <c r="E650" s="1318">
        <f t="shared" si="63"/>
        <v>0</v>
      </c>
      <c r="F650" s="1437">
        <f t="shared" si="56"/>
        <v>0.13615478800000003</v>
      </c>
      <c r="G650" s="1437">
        <f t="shared" si="57"/>
        <v>0</v>
      </c>
      <c r="H650" s="1437">
        <f t="shared" si="58"/>
        <v>0.13615478800000003</v>
      </c>
      <c r="I650" s="1437">
        <v>0</v>
      </c>
      <c r="J650" s="1437">
        <v>0</v>
      </c>
      <c r="K650" s="1438"/>
      <c r="L650" s="1438"/>
      <c r="M650" s="1437">
        <f t="shared" si="60"/>
        <v>0</v>
      </c>
      <c r="N650" s="1437">
        <f t="shared" si="59"/>
        <v>0.13615478800000003</v>
      </c>
    </row>
    <row r="651" spans="1:14" outlineLevel="1">
      <c r="A651" s="1499">
        <f t="shared" si="63"/>
        <v>23</v>
      </c>
      <c r="B651" s="1539" t="str">
        <f t="shared" si="63"/>
        <v>Asset Recived From Civil-U#8-In plant Roads -10401</v>
      </c>
      <c r="C651" s="1491" t="str">
        <f t="shared" si="63"/>
        <v>N.A.</v>
      </c>
      <c r="D651" s="1531" t="str">
        <f t="shared" si="63"/>
        <v>-</v>
      </c>
      <c r="E651" s="1318">
        <f t="shared" si="63"/>
        <v>0</v>
      </c>
      <c r="F651" s="1437">
        <f t="shared" si="56"/>
        <v>9.1029900000000005E-4</v>
      </c>
      <c r="G651" s="1437">
        <f t="shared" si="57"/>
        <v>0</v>
      </c>
      <c r="H651" s="1437">
        <f t="shared" si="58"/>
        <v>9.1029900000000005E-4</v>
      </c>
      <c r="I651" s="1437">
        <v>0</v>
      </c>
      <c r="J651" s="1437">
        <v>0</v>
      </c>
      <c r="K651" s="1438"/>
      <c r="L651" s="1438"/>
      <c r="M651" s="1437">
        <f t="shared" si="60"/>
        <v>0</v>
      </c>
      <c r="N651" s="1437">
        <f t="shared" si="59"/>
        <v>9.1029900000000005E-4</v>
      </c>
    </row>
    <row r="652" spans="1:14" outlineLevel="1">
      <c r="A652" s="1499">
        <f t="shared" si="63"/>
        <v>24</v>
      </c>
      <c r="B652" s="1539" t="str">
        <f t="shared" si="63"/>
        <v>Asset Recived From Civil-U#8-Pipe Rack -10419</v>
      </c>
      <c r="C652" s="1491" t="str">
        <f t="shared" si="63"/>
        <v>N.A.</v>
      </c>
      <c r="D652" s="1531" t="str">
        <f t="shared" si="63"/>
        <v>-</v>
      </c>
      <c r="E652" s="1318">
        <f t="shared" si="63"/>
        <v>0</v>
      </c>
      <c r="F652" s="1437">
        <f t="shared" si="56"/>
        <v>4.1823400000000002E-4</v>
      </c>
      <c r="G652" s="1437">
        <f t="shared" si="57"/>
        <v>0</v>
      </c>
      <c r="H652" s="1437">
        <f t="shared" si="58"/>
        <v>4.1823400000000002E-4</v>
      </c>
      <c r="I652" s="1437">
        <v>0</v>
      </c>
      <c r="J652" s="1437">
        <v>0</v>
      </c>
      <c r="K652" s="1438"/>
      <c r="L652" s="1438"/>
      <c r="M652" s="1437">
        <f t="shared" si="60"/>
        <v>0</v>
      </c>
      <c r="N652" s="1437">
        <f t="shared" si="59"/>
        <v>4.1823400000000002E-4</v>
      </c>
    </row>
    <row r="653" spans="1:14" outlineLevel="1">
      <c r="A653" s="1499">
        <f t="shared" si="63"/>
        <v>25</v>
      </c>
      <c r="B653" s="1539" t="str">
        <f t="shared" si="63"/>
        <v>Asset Recived From Civil-U#8-Transformar yard area -10541</v>
      </c>
      <c r="C653" s="1491" t="str">
        <f t="shared" si="63"/>
        <v>N.A.</v>
      </c>
      <c r="D653" s="1531" t="str">
        <f t="shared" si="63"/>
        <v>-</v>
      </c>
      <c r="E653" s="1318">
        <f t="shared" si="63"/>
        <v>0</v>
      </c>
      <c r="F653" s="1437">
        <f t="shared" si="56"/>
        <v>5.31695E-4</v>
      </c>
      <c r="G653" s="1437">
        <f t="shared" si="57"/>
        <v>0</v>
      </c>
      <c r="H653" s="1437">
        <f t="shared" si="58"/>
        <v>5.31695E-4</v>
      </c>
      <c r="I653" s="1437">
        <v>0</v>
      </c>
      <c r="J653" s="1437">
        <v>0</v>
      </c>
      <c r="K653" s="1438"/>
      <c r="L653" s="1438"/>
      <c r="M653" s="1437">
        <f t="shared" si="60"/>
        <v>0</v>
      </c>
      <c r="N653" s="1437">
        <f t="shared" si="59"/>
        <v>5.31695E-4</v>
      </c>
    </row>
    <row r="654" spans="1:14" ht="29" outlineLevel="1">
      <c r="A654" s="1499">
        <f t="shared" si="63"/>
        <v>26</v>
      </c>
      <c r="B654" s="1539" t="str">
        <f t="shared" si="63"/>
        <v>Asset Recived From Civil-U#8-BA-Boiler and Auxilary foundation-10501</v>
      </c>
      <c r="C654" s="1491" t="str">
        <f t="shared" si="63"/>
        <v>N.A.</v>
      </c>
      <c r="D654" s="1531" t="str">
        <f t="shared" si="63"/>
        <v>-</v>
      </c>
      <c r="E654" s="1318">
        <f t="shared" si="63"/>
        <v>0</v>
      </c>
      <c r="F654" s="1437">
        <f t="shared" si="56"/>
        <v>6.1116199999999999E-3</v>
      </c>
      <c r="G654" s="1437">
        <f t="shared" si="57"/>
        <v>0</v>
      </c>
      <c r="H654" s="1437">
        <f t="shared" si="58"/>
        <v>6.1116199999999999E-3</v>
      </c>
      <c r="I654" s="1437">
        <v>0</v>
      </c>
      <c r="J654" s="1437">
        <v>0</v>
      </c>
      <c r="K654" s="1438"/>
      <c r="L654" s="1438"/>
      <c r="M654" s="1437">
        <f t="shared" si="60"/>
        <v>0</v>
      </c>
      <c r="N654" s="1437">
        <f t="shared" si="59"/>
        <v>6.1116199999999999E-3</v>
      </c>
    </row>
    <row r="655" spans="1:14" outlineLevel="1">
      <c r="A655" s="1499">
        <f t="shared" si="63"/>
        <v>27</v>
      </c>
      <c r="B655" s="1539" t="str">
        <f t="shared" si="63"/>
        <v>Asset Recived From Civil-U#8-BA-FD FAN FOUNDATIONS -10501</v>
      </c>
      <c r="C655" s="1491" t="str">
        <f t="shared" si="63"/>
        <v>N.A.</v>
      </c>
      <c r="D655" s="1531" t="str">
        <f t="shared" si="63"/>
        <v>-</v>
      </c>
      <c r="E655" s="1318">
        <f t="shared" si="63"/>
        <v>0</v>
      </c>
      <c r="F655" s="1437">
        <f t="shared" si="56"/>
        <v>1.11659E-4</v>
      </c>
      <c r="G655" s="1437">
        <f t="shared" si="57"/>
        <v>0</v>
      </c>
      <c r="H655" s="1437">
        <f t="shared" si="58"/>
        <v>1.11659E-4</v>
      </c>
      <c r="I655" s="1437">
        <v>0</v>
      </c>
      <c r="J655" s="1437">
        <v>0</v>
      </c>
      <c r="K655" s="1438"/>
      <c r="L655" s="1438"/>
      <c r="M655" s="1437">
        <f t="shared" si="60"/>
        <v>0</v>
      </c>
      <c r="N655" s="1437">
        <f t="shared" si="59"/>
        <v>1.11659E-4</v>
      </c>
    </row>
    <row r="656" spans="1:14" outlineLevel="1">
      <c r="A656" s="1499">
        <f t="shared" si="63"/>
        <v>28</v>
      </c>
      <c r="B656" s="1539" t="str">
        <f t="shared" si="63"/>
        <v>Asset Recived From Civil-U#8-BA-PA FAN FOUNDATION -10501</v>
      </c>
      <c r="C656" s="1491" t="str">
        <f t="shared" si="63"/>
        <v>N.A.</v>
      </c>
      <c r="D656" s="1531" t="str">
        <f t="shared" si="63"/>
        <v>-</v>
      </c>
      <c r="E656" s="1318">
        <f t="shared" si="63"/>
        <v>0</v>
      </c>
      <c r="F656" s="1437">
        <f t="shared" si="56"/>
        <v>1.11659E-4</v>
      </c>
      <c r="G656" s="1437">
        <f t="shared" si="57"/>
        <v>0</v>
      </c>
      <c r="H656" s="1437">
        <f t="shared" si="58"/>
        <v>1.11659E-4</v>
      </c>
      <c r="I656" s="1437">
        <v>0</v>
      </c>
      <c r="J656" s="1437">
        <v>0</v>
      </c>
      <c r="K656" s="1438"/>
      <c r="L656" s="1438"/>
      <c r="M656" s="1437">
        <f t="shared" si="60"/>
        <v>0</v>
      </c>
      <c r="N656" s="1437">
        <f t="shared" si="59"/>
        <v>1.11659E-4</v>
      </c>
    </row>
    <row r="657" spans="1:14" outlineLevel="1">
      <c r="A657" s="1499">
        <f t="shared" ref="A657:E672" si="64">A264</f>
        <v>29</v>
      </c>
      <c r="B657" s="1539" t="str">
        <f t="shared" si="64"/>
        <v>Asset Recived From Civil-U#8-BA-I.D. Fan foundation -10501</v>
      </c>
      <c r="C657" s="1491" t="str">
        <f t="shared" si="64"/>
        <v>N.A.</v>
      </c>
      <c r="D657" s="1531" t="str">
        <f t="shared" si="64"/>
        <v>-</v>
      </c>
      <c r="E657" s="1318">
        <f t="shared" si="64"/>
        <v>0</v>
      </c>
      <c r="F657" s="1437">
        <f t="shared" ref="F657:F720" si="65">F264+I264</f>
        <v>2.23317E-4</v>
      </c>
      <c r="G657" s="1437">
        <f t="shared" ref="G657:G720" si="66">G264+M264</f>
        <v>0</v>
      </c>
      <c r="H657" s="1437">
        <f t="shared" si="58"/>
        <v>2.23317E-4</v>
      </c>
      <c r="I657" s="1437">
        <v>0</v>
      </c>
      <c r="J657" s="1437">
        <v>0</v>
      </c>
      <c r="K657" s="1438"/>
      <c r="L657" s="1438"/>
      <c r="M657" s="1437">
        <f t="shared" si="60"/>
        <v>0</v>
      </c>
      <c r="N657" s="1437">
        <f t="shared" si="59"/>
        <v>2.23317E-4</v>
      </c>
    </row>
    <row r="658" spans="1:14" outlineLevel="1">
      <c r="A658" s="1499">
        <f t="shared" si="64"/>
        <v>30</v>
      </c>
      <c r="B658" s="1539" t="str">
        <f t="shared" si="64"/>
        <v>Asset Recived From Civil-U#8-BA-MILL FOUNDATION-10501</v>
      </c>
      <c r="C658" s="1491" t="str">
        <f t="shared" si="64"/>
        <v>N.A.</v>
      </c>
      <c r="D658" s="1531" t="str">
        <f t="shared" si="64"/>
        <v>-</v>
      </c>
      <c r="E658" s="1318">
        <f t="shared" si="64"/>
        <v>0</v>
      </c>
      <c r="F658" s="1437">
        <f t="shared" si="65"/>
        <v>1.98259E-4</v>
      </c>
      <c r="G658" s="1437">
        <f t="shared" si="66"/>
        <v>0</v>
      </c>
      <c r="H658" s="1437">
        <f t="shared" ref="H658:H721" si="67">F658-G658</f>
        <v>1.98259E-4</v>
      </c>
      <c r="I658" s="1437">
        <v>0</v>
      </c>
      <c r="J658" s="1437">
        <v>0</v>
      </c>
      <c r="K658" s="1438"/>
      <c r="L658" s="1438"/>
      <c r="M658" s="1437">
        <f t="shared" si="60"/>
        <v>0</v>
      </c>
      <c r="N658" s="1437">
        <f t="shared" ref="N658:N721" si="68">H658+I658-M658</f>
        <v>1.98259E-4</v>
      </c>
    </row>
    <row r="659" spans="1:14" ht="29" outlineLevel="1">
      <c r="A659" s="1499">
        <f t="shared" si="64"/>
        <v>31</v>
      </c>
      <c r="B659" s="1539" t="str">
        <f t="shared" si="64"/>
        <v>Asset Recived From Civil-U#8-BA-BUNKER FOUNDATION &amp; STRUCTURE-10515</v>
      </c>
      <c r="C659" s="1491" t="str">
        <f t="shared" si="64"/>
        <v>N.A.</v>
      </c>
      <c r="D659" s="1531" t="str">
        <f t="shared" si="64"/>
        <v>-</v>
      </c>
      <c r="E659" s="1318">
        <f t="shared" si="64"/>
        <v>0</v>
      </c>
      <c r="F659" s="1437">
        <f t="shared" si="65"/>
        <v>1.392536E-3</v>
      </c>
      <c r="G659" s="1437">
        <f t="shared" si="66"/>
        <v>0</v>
      </c>
      <c r="H659" s="1437">
        <f t="shared" si="67"/>
        <v>1.392536E-3</v>
      </c>
      <c r="I659" s="1437">
        <v>0</v>
      </c>
      <c r="J659" s="1437">
        <v>0</v>
      </c>
      <c r="K659" s="1438"/>
      <c r="L659" s="1438"/>
      <c r="M659" s="1437">
        <f t="shared" ref="M659:M722" si="69">SUM(J659:L659)</f>
        <v>0</v>
      </c>
      <c r="N659" s="1437">
        <f t="shared" si="68"/>
        <v>1.392536E-3</v>
      </c>
    </row>
    <row r="660" spans="1:14" outlineLevel="1">
      <c r="A660" s="1499">
        <f t="shared" si="64"/>
        <v>32</v>
      </c>
      <c r="B660" s="1539" t="str">
        <f t="shared" si="64"/>
        <v>Asset Recived From Civil-U#8-ESP-10501</v>
      </c>
      <c r="C660" s="1491" t="str">
        <f t="shared" si="64"/>
        <v>N.A.</v>
      </c>
      <c r="D660" s="1531" t="str">
        <f t="shared" si="64"/>
        <v>-</v>
      </c>
      <c r="E660" s="1318">
        <f t="shared" si="64"/>
        <v>0</v>
      </c>
      <c r="F660" s="1437">
        <f t="shared" si="65"/>
        <v>7.0722000000000005E-4</v>
      </c>
      <c r="G660" s="1437">
        <f t="shared" si="66"/>
        <v>0</v>
      </c>
      <c r="H660" s="1437">
        <f t="shared" si="67"/>
        <v>7.0722000000000005E-4</v>
      </c>
      <c r="I660" s="1437">
        <v>0</v>
      </c>
      <c r="J660" s="1437">
        <v>0</v>
      </c>
      <c r="K660" s="1438"/>
      <c r="L660" s="1438"/>
      <c r="M660" s="1437">
        <f t="shared" si="69"/>
        <v>0</v>
      </c>
      <c r="N660" s="1437">
        <f t="shared" si="68"/>
        <v>7.0722000000000005E-4</v>
      </c>
    </row>
    <row r="661" spans="1:14" outlineLevel="1">
      <c r="A661" s="1499">
        <f t="shared" si="64"/>
        <v>33</v>
      </c>
      <c r="B661" s="1539" t="str">
        <f t="shared" si="64"/>
        <v>Asset Recived From Civil-U#8-ESP Control Room-10501</v>
      </c>
      <c r="C661" s="1491" t="str">
        <f t="shared" si="64"/>
        <v>N.A.</v>
      </c>
      <c r="D661" s="1531" t="str">
        <f t="shared" si="64"/>
        <v>-</v>
      </c>
      <c r="E661" s="1318">
        <f t="shared" si="64"/>
        <v>0</v>
      </c>
      <c r="F661" s="1437">
        <f t="shared" si="65"/>
        <v>4.2763499999999999E-4</v>
      </c>
      <c r="G661" s="1437">
        <f t="shared" si="66"/>
        <v>0</v>
      </c>
      <c r="H661" s="1437">
        <f t="shared" si="67"/>
        <v>4.2763499999999999E-4</v>
      </c>
      <c r="I661" s="1437">
        <v>0</v>
      </c>
      <c r="J661" s="1437">
        <v>0</v>
      </c>
      <c r="K661" s="1438"/>
      <c r="L661" s="1438"/>
      <c r="M661" s="1437">
        <f t="shared" si="69"/>
        <v>0</v>
      </c>
      <c r="N661" s="1437">
        <f t="shared" si="68"/>
        <v>4.2763499999999999E-4</v>
      </c>
    </row>
    <row r="662" spans="1:14" outlineLevel="1">
      <c r="A662" s="1499">
        <f t="shared" si="64"/>
        <v>34</v>
      </c>
      <c r="B662" s="1539" t="str">
        <f t="shared" si="64"/>
        <v>Asset Recived From Civil-U#8-RCC Chimney -10501</v>
      </c>
      <c r="C662" s="1491" t="str">
        <f t="shared" si="64"/>
        <v>N.A.</v>
      </c>
      <c r="D662" s="1531" t="str">
        <f t="shared" si="64"/>
        <v>-</v>
      </c>
      <c r="E662" s="1318">
        <f t="shared" si="64"/>
        <v>0</v>
      </c>
      <c r="F662" s="1437">
        <f t="shared" si="65"/>
        <v>4.612672E-3</v>
      </c>
      <c r="G662" s="1437">
        <f t="shared" si="66"/>
        <v>0</v>
      </c>
      <c r="H662" s="1437">
        <f t="shared" si="67"/>
        <v>4.612672E-3</v>
      </c>
      <c r="I662" s="1437">
        <v>0</v>
      </c>
      <c r="J662" s="1437">
        <v>0</v>
      </c>
      <c r="K662" s="1438"/>
      <c r="L662" s="1438"/>
      <c r="M662" s="1437">
        <f t="shared" si="69"/>
        <v>0</v>
      </c>
      <c r="N662" s="1437">
        <f t="shared" si="68"/>
        <v>4.612672E-3</v>
      </c>
    </row>
    <row r="663" spans="1:14" ht="29" outlineLevel="1">
      <c r="A663" s="1499">
        <f t="shared" si="64"/>
        <v>35</v>
      </c>
      <c r="B663" s="1539" t="str">
        <f t="shared" si="64"/>
        <v>Asset Recived From Civil-U#8-WTP-D.M.Plant equipment fdn. etc.-10509</v>
      </c>
      <c r="C663" s="1491" t="str">
        <f t="shared" si="64"/>
        <v>N.A.</v>
      </c>
      <c r="D663" s="1531" t="str">
        <f t="shared" si="64"/>
        <v>-</v>
      </c>
      <c r="E663" s="1318">
        <f t="shared" si="64"/>
        <v>0</v>
      </c>
      <c r="F663" s="1437">
        <f t="shared" si="65"/>
        <v>6.3898000000000004E-5</v>
      </c>
      <c r="G663" s="1437">
        <f t="shared" si="66"/>
        <v>0</v>
      </c>
      <c r="H663" s="1437">
        <f t="shared" si="67"/>
        <v>6.3898000000000004E-5</v>
      </c>
      <c r="I663" s="1437">
        <v>0</v>
      </c>
      <c r="J663" s="1437">
        <v>0</v>
      </c>
      <c r="K663" s="1438"/>
      <c r="L663" s="1438"/>
      <c r="M663" s="1437">
        <f t="shared" si="69"/>
        <v>0</v>
      </c>
      <c r="N663" s="1437">
        <f t="shared" si="68"/>
        <v>6.3898000000000004E-5</v>
      </c>
    </row>
    <row r="664" spans="1:14" outlineLevel="1">
      <c r="A664" s="1499">
        <f t="shared" si="64"/>
        <v>36</v>
      </c>
      <c r="B664" s="1539" t="str">
        <f t="shared" si="64"/>
        <v>Asset Recived From Civil-U#8-CHP-Wagon Tippler-10515</v>
      </c>
      <c r="C664" s="1491" t="str">
        <f t="shared" si="64"/>
        <v>N.A.</v>
      </c>
      <c r="D664" s="1531" t="str">
        <f t="shared" si="64"/>
        <v>-</v>
      </c>
      <c r="E664" s="1318">
        <f t="shared" si="64"/>
        <v>0</v>
      </c>
      <c r="F664" s="1437">
        <f t="shared" si="65"/>
        <v>9.4041100000000005E-4</v>
      </c>
      <c r="G664" s="1437">
        <f t="shared" si="66"/>
        <v>0</v>
      </c>
      <c r="H664" s="1437">
        <f t="shared" si="67"/>
        <v>9.4041100000000005E-4</v>
      </c>
      <c r="I664" s="1437">
        <v>0</v>
      </c>
      <c r="J664" s="1437">
        <v>0</v>
      </c>
      <c r="K664" s="1438"/>
      <c r="L664" s="1438"/>
      <c r="M664" s="1437">
        <f t="shared" si="69"/>
        <v>0</v>
      </c>
      <c r="N664" s="1437">
        <f t="shared" si="68"/>
        <v>9.4041100000000005E-4</v>
      </c>
    </row>
    <row r="665" spans="1:14" outlineLevel="1">
      <c r="A665" s="1499">
        <f t="shared" si="64"/>
        <v>37</v>
      </c>
      <c r="B665" s="1539" t="str">
        <f t="shared" si="64"/>
        <v>Asset Recived From Civil-U#8-CHP-Crusher House -10515</v>
      </c>
      <c r="C665" s="1491" t="str">
        <f t="shared" si="64"/>
        <v>N.A.</v>
      </c>
      <c r="D665" s="1531" t="str">
        <f t="shared" si="64"/>
        <v>-</v>
      </c>
      <c r="E665" s="1318">
        <f t="shared" si="64"/>
        <v>0</v>
      </c>
      <c r="F665" s="1437">
        <f t="shared" si="65"/>
        <v>7.4704199999999995E-4</v>
      </c>
      <c r="G665" s="1437">
        <f t="shared" si="66"/>
        <v>0</v>
      </c>
      <c r="H665" s="1437">
        <f t="shared" si="67"/>
        <v>7.4704199999999995E-4</v>
      </c>
      <c r="I665" s="1437">
        <v>0</v>
      </c>
      <c r="J665" s="1437">
        <v>0</v>
      </c>
      <c r="K665" s="1438"/>
      <c r="L665" s="1438"/>
      <c r="M665" s="1437">
        <f t="shared" si="69"/>
        <v>0</v>
      </c>
      <c r="N665" s="1437">
        <f t="shared" si="68"/>
        <v>7.4704199999999995E-4</v>
      </c>
    </row>
    <row r="666" spans="1:14" outlineLevel="1">
      <c r="A666" s="1499">
        <f t="shared" si="64"/>
        <v>38</v>
      </c>
      <c r="B666" s="1539" t="str">
        <f t="shared" si="64"/>
        <v>Asset Recived From Civil-U#8-CHP-Stacker Reclaimer -10515</v>
      </c>
      <c r="C666" s="1491" t="str">
        <f t="shared" si="64"/>
        <v>N.A.</v>
      </c>
      <c r="D666" s="1531" t="str">
        <f t="shared" si="64"/>
        <v>-</v>
      </c>
      <c r="E666" s="1318">
        <f t="shared" si="64"/>
        <v>0</v>
      </c>
      <c r="F666" s="1437">
        <f t="shared" si="65"/>
        <v>2.8485300000000001E-4</v>
      </c>
      <c r="G666" s="1437">
        <f t="shared" si="66"/>
        <v>0</v>
      </c>
      <c r="H666" s="1437">
        <f t="shared" si="67"/>
        <v>2.8485300000000001E-4</v>
      </c>
      <c r="I666" s="1437">
        <v>0</v>
      </c>
      <c r="J666" s="1437">
        <v>0</v>
      </c>
      <c r="K666" s="1438"/>
      <c r="L666" s="1438"/>
      <c r="M666" s="1437">
        <f t="shared" si="69"/>
        <v>0</v>
      </c>
      <c r="N666" s="1437">
        <f t="shared" si="68"/>
        <v>2.8485300000000001E-4</v>
      </c>
    </row>
    <row r="667" spans="1:14" outlineLevel="1">
      <c r="A667" s="1499">
        <f t="shared" si="64"/>
        <v>39</v>
      </c>
      <c r="B667" s="1539" t="str">
        <f t="shared" si="64"/>
        <v>Asset Recived From Civil-U#8-CHP-Stock Yard-10515</v>
      </c>
      <c r="C667" s="1491" t="str">
        <f t="shared" si="64"/>
        <v>N.A.</v>
      </c>
      <c r="D667" s="1531" t="str">
        <f t="shared" si="64"/>
        <v>-</v>
      </c>
      <c r="E667" s="1318">
        <f t="shared" si="64"/>
        <v>0</v>
      </c>
      <c r="F667" s="1437">
        <f t="shared" si="65"/>
        <v>1.5851400000000001E-4</v>
      </c>
      <c r="G667" s="1437">
        <f t="shared" si="66"/>
        <v>0</v>
      </c>
      <c r="H667" s="1437">
        <f t="shared" si="67"/>
        <v>1.5851400000000001E-4</v>
      </c>
      <c r="I667" s="1437">
        <v>0</v>
      </c>
      <c r="J667" s="1437">
        <v>0</v>
      </c>
      <c r="K667" s="1438"/>
      <c r="L667" s="1438"/>
      <c r="M667" s="1437">
        <f t="shared" si="69"/>
        <v>0</v>
      </c>
      <c r="N667" s="1437">
        <f t="shared" si="68"/>
        <v>1.5851400000000001E-4</v>
      </c>
    </row>
    <row r="668" spans="1:14" ht="29" outlineLevel="1">
      <c r="A668" s="1499">
        <f t="shared" si="64"/>
        <v>40</v>
      </c>
      <c r="B668" s="1539" t="str">
        <f t="shared" si="64"/>
        <v>Asset Recived From Civil-U#8-CHP-ConveyorPedetals&amp;TransferPoint-10515</v>
      </c>
      <c r="C668" s="1491" t="str">
        <f t="shared" si="64"/>
        <v>N.A.</v>
      </c>
      <c r="D668" s="1531" t="str">
        <f t="shared" si="64"/>
        <v>-</v>
      </c>
      <c r="E668" s="1318">
        <f t="shared" si="64"/>
        <v>0</v>
      </c>
      <c r="F668" s="1437">
        <f t="shared" si="65"/>
        <v>5.5407899999999996E-4</v>
      </c>
      <c r="G668" s="1437">
        <f t="shared" si="66"/>
        <v>0</v>
      </c>
      <c r="H668" s="1437">
        <f t="shared" si="67"/>
        <v>5.5407899999999996E-4</v>
      </c>
      <c r="I668" s="1437">
        <v>0</v>
      </c>
      <c r="J668" s="1437">
        <v>0</v>
      </c>
      <c r="K668" s="1438"/>
      <c r="L668" s="1438"/>
      <c r="M668" s="1437">
        <f t="shared" si="69"/>
        <v>0</v>
      </c>
      <c r="N668" s="1437">
        <f t="shared" si="68"/>
        <v>5.5407899999999996E-4</v>
      </c>
    </row>
    <row r="669" spans="1:14" outlineLevel="1">
      <c r="A669" s="1499">
        <f t="shared" si="64"/>
        <v>41</v>
      </c>
      <c r="B669" s="1539" t="str">
        <f t="shared" si="64"/>
        <v>Asset Recived From Civil-U#8-CHP-MCC ROOM -10515</v>
      </c>
      <c r="C669" s="1491" t="str">
        <f t="shared" si="64"/>
        <v>N.A.</v>
      </c>
      <c r="D669" s="1531" t="str">
        <f t="shared" si="64"/>
        <v>-</v>
      </c>
      <c r="E669" s="1318">
        <f t="shared" si="64"/>
        <v>0</v>
      </c>
      <c r="F669" s="1437">
        <f t="shared" si="65"/>
        <v>2.6945000000000002E-4</v>
      </c>
      <c r="G669" s="1437">
        <f t="shared" si="66"/>
        <v>0</v>
      </c>
      <c r="H669" s="1437">
        <f t="shared" si="67"/>
        <v>2.6945000000000002E-4</v>
      </c>
      <c r="I669" s="1437">
        <v>0</v>
      </c>
      <c r="J669" s="1437">
        <v>0</v>
      </c>
      <c r="K669" s="1438"/>
      <c r="L669" s="1438"/>
      <c r="M669" s="1437">
        <f t="shared" si="69"/>
        <v>0</v>
      </c>
      <c r="N669" s="1437">
        <f t="shared" si="68"/>
        <v>2.6945000000000002E-4</v>
      </c>
    </row>
    <row r="670" spans="1:14" outlineLevel="1">
      <c r="A670" s="1499">
        <f t="shared" si="64"/>
        <v>42</v>
      </c>
      <c r="B670" s="1539" t="str">
        <f t="shared" si="64"/>
        <v>Asset Recived From Civil-U#8-AHP-RCC Ash Silo -10501</v>
      </c>
      <c r="C670" s="1491" t="str">
        <f t="shared" si="64"/>
        <v>N.A.</v>
      </c>
      <c r="D670" s="1531" t="str">
        <f t="shared" si="64"/>
        <v>-</v>
      </c>
      <c r="E670" s="1318">
        <f t="shared" si="64"/>
        <v>0</v>
      </c>
      <c r="F670" s="1437">
        <f t="shared" si="65"/>
        <v>1.64229E-4</v>
      </c>
      <c r="G670" s="1437">
        <f t="shared" si="66"/>
        <v>0</v>
      </c>
      <c r="H670" s="1437">
        <f t="shared" si="67"/>
        <v>1.64229E-4</v>
      </c>
      <c r="I670" s="1437">
        <v>0</v>
      </c>
      <c r="J670" s="1437">
        <v>0</v>
      </c>
      <c r="K670" s="1438"/>
      <c r="L670" s="1438"/>
      <c r="M670" s="1437">
        <f t="shared" si="69"/>
        <v>0</v>
      </c>
      <c r="N670" s="1437">
        <f t="shared" si="68"/>
        <v>1.64229E-4</v>
      </c>
    </row>
    <row r="671" spans="1:14" outlineLevel="1">
      <c r="A671" s="1499">
        <f t="shared" si="64"/>
        <v>43</v>
      </c>
      <c r="B671" s="1539" t="str">
        <f t="shared" si="64"/>
        <v>Asset Recived From Civil-U#8-AHP-Staicase near Silo-10501</v>
      </c>
      <c r="C671" s="1491" t="str">
        <f t="shared" si="64"/>
        <v>N.A.</v>
      </c>
      <c r="D671" s="1531" t="str">
        <f t="shared" si="64"/>
        <v>-</v>
      </c>
      <c r="E671" s="1318">
        <f t="shared" si="64"/>
        <v>0</v>
      </c>
      <c r="F671" s="1437">
        <f t="shared" si="65"/>
        <v>1.7302000000000001E-5</v>
      </c>
      <c r="G671" s="1437">
        <f t="shared" si="66"/>
        <v>0</v>
      </c>
      <c r="H671" s="1437">
        <f t="shared" si="67"/>
        <v>1.7302000000000001E-5</v>
      </c>
      <c r="I671" s="1437">
        <v>0</v>
      </c>
      <c r="J671" s="1437">
        <v>0</v>
      </c>
      <c r="K671" s="1438"/>
      <c r="L671" s="1438"/>
      <c r="M671" s="1437">
        <f t="shared" si="69"/>
        <v>0</v>
      </c>
      <c r="N671" s="1437">
        <f t="shared" si="68"/>
        <v>1.7302000000000001E-5</v>
      </c>
    </row>
    <row r="672" spans="1:14" outlineLevel="1">
      <c r="A672" s="1499">
        <f t="shared" si="64"/>
        <v>44</v>
      </c>
      <c r="B672" s="1539" t="str">
        <f t="shared" si="64"/>
        <v>Asset Recived From Civil-U#8-AHP-Drain sump in Silo Area -10501</v>
      </c>
      <c r="C672" s="1491" t="str">
        <f t="shared" si="64"/>
        <v>N.A.</v>
      </c>
      <c r="D672" s="1531" t="str">
        <f t="shared" si="64"/>
        <v>-</v>
      </c>
      <c r="E672" s="1318">
        <f t="shared" si="64"/>
        <v>0</v>
      </c>
      <c r="F672" s="1437">
        <f t="shared" si="65"/>
        <v>8.551E-6</v>
      </c>
      <c r="G672" s="1437">
        <f t="shared" si="66"/>
        <v>0</v>
      </c>
      <c r="H672" s="1437">
        <f t="shared" si="67"/>
        <v>8.551E-6</v>
      </c>
      <c r="I672" s="1437">
        <v>0</v>
      </c>
      <c r="J672" s="1437">
        <v>0</v>
      </c>
      <c r="K672" s="1438"/>
      <c r="L672" s="1438"/>
      <c r="M672" s="1437">
        <f t="shared" si="69"/>
        <v>0</v>
      </c>
      <c r="N672" s="1437">
        <f t="shared" si="68"/>
        <v>8.551E-6</v>
      </c>
    </row>
    <row r="673" spans="1:14" outlineLevel="1">
      <c r="A673" s="1499">
        <f t="shared" ref="A673:E688" si="70">A280</f>
        <v>45</v>
      </c>
      <c r="B673" s="1539" t="str">
        <f t="shared" si="70"/>
        <v>Asset Recived From Civil-U#8-AHP-Slurry Mixing Tank Fdn.-10501</v>
      </c>
      <c r="C673" s="1491" t="str">
        <f t="shared" si="70"/>
        <v>N.A.</v>
      </c>
      <c r="D673" s="1531" t="str">
        <f t="shared" si="70"/>
        <v>-</v>
      </c>
      <c r="E673" s="1318">
        <f t="shared" si="70"/>
        <v>0</v>
      </c>
      <c r="F673" s="1437">
        <f t="shared" si="65"/>
        <v>1.6923E-5</v>
      </c>
      <c r="G673" s="1437">
        <f t="shared" si="66"/>
        <v>0</v>
      </c>
      <c r="H673" s="1437">
        <f t="shared" si="67"/>
        <v>1.6923E-5</v>
      </c>
      <c r="I673" s="1437">
        <v>0</v>
      </c>
      <c r="J673" s="1437">
        <v>0</v>
      </c>
      <c r="K673" s="1438"/>
      <c r="L673" s="1438"/>
      <c r="M673" s="1437">
        <f t="shared" si="69"/>
        <v>0</v>
      </c>
      <c r="N673" s="1437">
        <f t="shared" si="68"/>
        <v>1.6923E-5</v>
      </c>
    </row>
    <row r="674" spans="1:14" outlineLevel="1">
      <c r="A674" s="1499">
        <f t="shared" si="70"/>
        <v>46</v>
      </c>
      <c r="B674" s="1539" t="str">
        <f t="shared" si="70"/>
        <v>Asset Recived From Civil-U#8-AHP-HCSD PUMP HOUSE-10501</v>
      </c>
      <c r="C674" s="1491" t="str">
        <f t="shared" si="70"/>
        <v>N.A.</v>
      </c>
      <c r="D674" s="1531" t="str">
        <f t="shared" si="70"/>
        <v>-</v>
      </c>
      <c r="E674" s="1318">
        <f t="shared" si="70"/>
        <v>0</v>
      </c>
      <c r="F674" s="1437">
        <f t="shared" si="65"/>
        <v>5.8934000000000002E-5</v>
      </c>
      <c r="G674" s="1437">
        <f t="shared" si="66"/>
        <v>0</v>
      </c>
      <c r="H674" s="1437">
        <f t="shared" si="67"/>
        <v>5.8934000000000002E-5</v>
      </c>
      <c r="I674" s="1437">
        <v>0</v>
      </c>
      <c r="J674" s="1437">
        <v>0</v>
      </c>
      <c r="K674" s="1438"/>
      <c r="L674" s="1438"/>
      <c r="M674" s="1437">
        <f t="shared" si="69"/>
        <v>0</v>
      </c>
      <c r="N674" s="1437">
        <f t="shared" si="68"/>
        <v>5.8934000000000002E-5</v>
      </c>
    </row>
    <row r="675" spans="1:14" outlineLevel="1">
      <c r="A675" s="1499">
        <f t="shared" si="70"/>
        <v>47</v>
      </c>
      <c r="B675" s="1539" t="str">
        <f t="shared" si="70"/>
        <v>Asset Recived From Civil-U#8-AHP-Ash Slurry Pump House -10501</v>
      </c>
      <c r="C675" s="1491" t="str">
        <f t="shared" si="70"/>
        <v>N.A.</v>
      </c>
      <c r="D675" s="1531" t="str">
        <f t="shared" si="70"/>
        <v>-</v>
      </c>
      <c r="E675" s="1318">
        <f t="shared" si="70"/>
        <v>0</v>
      </c>
      <c r="F675" s="1437">
        <f t="shared" si="65"/>
        <v>1.4947300000000001E-4</v>
      </c>
      <c r="G675" s="1437">
        <f t="shared" si="66"/>
        <v>0</v>
      </c>
      <c r="H675" s="1437">
        <f t="shared" si="67"/>
        <v>1.4947300000000001E-4</v>
      </c>
      <c r="I675" s="1437">
        <v>0</v>
      </c>
      <c r="J675" s="1437">
        <v>0</v>
      </c>
      <c r="K675" s="1438"/>
      <c r="L675" s="1438"/>
      <c r="M675" s="1437">
        <f t="shared" si="69"/>
        <v>0</v>
      </c>
      <c r="N675" s="1437">
        <f t="shared" si="68"/>
        <v>1.4947300000000001E-4</v>
      </c>
    </row>
    <row r="676" spans="1:14" outlineLevel="1">
      <c r="A676" s="1499">
        <f t="shared" si="70"/>
        <v>48</v>
      </c>
      <c r="B676" s="1539" t="str">
        <f t="shared" si="70"/>
        <v>Asset Recived From Civil-U#8-AHP-Ash Slurry Sump-10501</v>
      </c>
      <c r="C676" s="1491" t="str">
        <f t="shared" si="70"/>
        <v>N.A.</v>
      </c>
      <c r="D676" s="1531" t="str">
        <f t="shared" si="70"/>
        <v>-</v>
      </c>
      <c r="E676" s="1318">
        <f t="shared" si="70"/>
        <v>0</v>
      </c>
      <c r="F676" s="1437">
        <f t="shared" si="65"/>
        <v>4.5158999999999999E-5</v>
      </c>
      <c r="G676" s="1437">
        <f t="shared" si="66"/>
        <v>0</v>
      </c>
      <c r="H676" s="1437">
        <f t="shared" si="67"/>
        <v>4.5158999999999999E-5</v>
      </c>
      <c r="I676" s="1437">
        <v>0</v>
      </c>
      <c r="J676" s="1437">
        <v>0</v>
      </c>
      <c r="K676" s="1438"/>
      <c r="L676" s="1438"/>
      <c r="M676" s="1437">
        <f t="shared" si="69"/>
        <v>0</v>
      </c>
      <c r="N676" s="1437">
        <f t="shared" si="68"/>
        <v>4.5158999999999999E-5</v>
      </c>
    </row>
    <row r="677" spans="1:14" outlineLevel="1">
      <c r="A677" s="1499">
        <f t="shared" si="70"/>
        <v>49</v>
      </c>
      <c r="B677" s="1539" t="str">
        <f t="shared" si="70"/>
        <v>Asset Recived From Civil-U#8-AHP-Ash Water Tank-10501</v>
      </c>
      <c r="C677" s="1491" t="str">
        <f t="shared" si="70"/>
        <v>N.A.</v>
      </c>
      <c r="D677" s="1531" t="str">
        <f t="shared" si="70"/>
        <v>-</v>
      </c>
      <c r="E677" s="1318">
        <f t="shared" si="70"/>
        <v>0</v>
      </c>
      <c r="F677" s="1437">
        <f t="shared" si="65"/>
        <v>3.4220000000000001E-5</v>
      </c>
      <c r="G677" s="1437">
        <f t="shared" si="66"/>
        <v>0</v>
      </c>
      <c r="H677" s="1437">
        <f t="shared" si="67"/>
        <v>3.4220000000000001E-5</v>
      </c>
      <c r="I677" s="1437">
        <v>0</v>
      </c>
      <c r="J677" s="1437">
        <v>0</v>
      </c>
      <c r="K677" s="1438"/>
      <c r="L677" s="1438"/>
      <c r="M677" s="1437">
        <f t="shared" si="69"/>
        <v>0</v>
      </c>
      <c r="N677" s="1437">
        <f t="shared" si="68"/>
        <v>3.4220000000000001E-5</v>
      </c>
    </row>
    <row r="678" spans="1:14" outlineLevel="1">
      <c r="A678" s="1499">
        <f t="shared" si="70"/>
        <v>50</v>
      </c>
      <c r="B678" s="1539" t="str">
        <f t="shared" si="70"/>
        <v>Asset Recived From Civil-U#8-AHP-Bottom Ash Hopper-10501</v>
      </c>
      <c r="C678" s="1491" t="str">
        <f t="shared" si="70"/>
        <v>N.A.</v>
      </c>
      <c r="D678" s="1531" t="str">
        <f t="shared" si="70"/>
        <v>-</v>
      </c>
      <c r="E678" s="1318">
        <f t="shared" si="70"/>
        <v>0</v>
      </c>
      <c r="F678" s="1437">
        <f t="shared" si="65"/>
        <v>4.409E-5</v>
      </c>
      <c r="G678" s="1437">
        <f t="shared" si="66"/>
        <v>0</v>
      </c>
      <c r="H678" s="1437">
        <f t="shared" si="67"/>
        <v>4.409E-5</v>
      </c>
      <c r="I678" s="1437">
        <v>0</v>
      </c>
      <c r="J678" s="1437">
        <v>0</v>
      </c>
      <c r="K678" s="1438"/>
      <c r="L678" s="1438"/>
      <c r="M678" s="1437">
        <f t="shared" si="69"/>
        <v>0</v>
      </c>
      <c r="N678" s="1437">
        <f t="shared" si="68"/>
        <v>4.409E-5</v>
      </c>
    </row>
    <row r="679" spans="1:14" outlineLevel="1">
      <c r="A679" s="1499">
        <f t="shared" si="70"/>
        <v>51</v>
      </c>
      <c r="B679" s="1539" t="str">
        <f t="shared" si="70"/>
        <v>Asset Recived From Civil-U#8-AHP-Drain sump in BAH Area -10501</v>
      </c>
      <c r="C679" s="1491" t="str">
        <f t="shared" si="70"/>
        <v>N.A.</v>
      </c>
      <c r="D679" s="1531" t="str">
        <f t="shared" si="70"/>
        <v>-</v>
      </c>
      <c r="E679" s="1318">
        <f t="shared" si="70"/>
        <v>0</v>
      </c>
      <c r="F679" s="1437">
        <f t="shared" si="65"/>
        <v>8.5750000000000001E-6</v>
      </c>
      <c r="G679" s="1437">
        <f t="shared" si="66"/>
        <v>0</v>
      </c>
      <c r="H679" s="1437">
        <f t="shared" si="67"/>
        <v>8.5750000000000001E-6</v>
      </c>
      <c r="I679" s="1437">
        <v>0</v>
      </c>
      <c r="J679" s="1437">
        <v>0</v>
      </c>
      <c r="K679" s="1438"/>
      <c r="L679" s="1438"/>
      <c r="M679" s="1437">
        <f t="shared" si="69"/>
        <v>0</v>
      </c>
      <c r="N679" s="1437">
        <f t="shared" si="68"/>
        <v>8.5750000000000001E-6</v>
      </c>
    </row>
    <row r="680" spans="1:14" ht="29" outlineLevel="1">
      <c r="A680" s="1499">
        <f t="shared" si="70"/>
        <v>52</v>
      </c>
      <c r="B680" s="1539" t="str">
        <f t="shared" si="70"/>
        <v>Asset Recived From Civil-U#8-Ash Slurry Pipe Line AHP-Pedestals-10501</v>
      </c>
      <c r="C680" s="1491" t="str">
        <f t="shared" si="70"/>
        <v>N.A.</v>
      </c>
      <c r="D680" s="1531" t="str">
        <f t="shared" si="70"/>
        <v>-</v>
      </c>
      <c r="E680" s="1318">
        <f t="shared" si="70"/>
        <v>0</v>
      </c>
      <c r="F680" s="1437">
        <f t="shared" si="65"/>
        <v>1.38462E-4</v>
      </c>
      <c r="G680" s="1437">
        <f t="shared" si="66"/>
        <v>0</v>
      </c>
      <c r="H680" s="1437">
        <f t="shared" si="67"/>
        <v>1.38462E-4</v>
      </c>
      <c r="I680" s="1437">
        <v>0</v>
      </c>
      <c r="J680" s="1437">
        <v>0</v>
      </c>
      <c r="K680" s="1438"/>
      <c r="L680" s="1438"/>
      <c r="M680" s="1437">
        <f t="shared" si="69"/>
        <v>0</v>
      </c>
      <c r="N680" s="1437">
        <f t="shared" si="68"/>
        <v>1.38462E-4</v>
      </c>
    </row>
    <row r="681" spans="1:14" outlineLevel="1">
      <c r="A681" s="1499">
        <f t="shared" si="70"/>
        <v>53</v>
      </c>
      <c r="B681" s="1539" t="str">
        <f t="shared" si="70"/>
        <v>Asset Recived From Civil-U#8-AHP-Buffer Hopper Foundation-10501</v>
      </c>
      <c r="C681" s="1491" t="str">
        <f t="shared" si="70"/>
        <v>N.A.</v>
      </c>
      <c r="D681" s="1531" t="str">
        <f t="shared" si="70"/>
        <v>-</v>
      </c>
      <c r="E681" s="1318">
        <f t="shared" si="70"/>
        <v>0</v>
      </c>
      <c r="F681" s="1437">
        <f t="shared" si="65"/>
        <v>3.5627999999999998E-5</v>
      </c>
      <c r="G681" s="1437">
        <f t="shared" si="66"/>
        <v>0</v>
      </c>
      <c r="H681" s="1437">
        <f t="shared" si="67"/>
        <v>3.5627999999999998E-5</v>
      </c>
      <c r="I681" s="1437">
        <v>0</v>
      </c>
      <c r="J681" s="1437">
        <v>0</v>
      </c>
      <c r="K681" s="1438"/>
      <c r="L681" s="1438"/>
      <c r="M681" s="1437">
        <f t="shared" si="69"/>
        <v>0</v>
      </c>
      <c r="N681" s="1437">
        <f t="shared" si="68"/>
        <v>3.5627999999999998E-5</v>
      </c>
    </row>
    <row r="682" spans="1:14" ht="29" outlineLevel="1">
      <c r="A682" s="1499">
        <f t="shared" si="70"/>
        <v>54</v>
      </c>
      <c r="B682" s="1539" t="str">
        <f t="shared" si="70"/>
        <v>Asset Recived From Civil-U#8-AHP-Mill reject hopper foundation-10501</v>
      </c>
      <c r="C682" s="1491" t="str">
        <f t="shared" si="70"/>
        <v>N.A.</v>
      </c>
      <c r="D682" s="1531" t="str">
        <f t="shared" si="70"/>
        <v>-</v>
      </c>
      <c r="E682" s="1318">
        <f t="shared" si="70"/>
        <v>0</v>
      </c>
      <c r="F682" s="1437">
        <f t="shared" si="65"/>
        <v>1.7813999999999999E-5</v>
      </c>
      <c r="G682" s="1437">
        <f t="shared" si="66"/>
        <v>0</v>
      </c>
      <c r="H682" s="1437">
        <f t="shared" si="67"/>
        <v>1.7813999999999999E-5</v>
      </c>
      <c r="I682" s="1437">
        <v>0</v>
      </c>
      <c r="J682" s="1437">
        <v>0</v>
      </c>
      <c r="K682" s="1438"/>
      <c r="L682" s="1438"/>
      <c r="M682" s="1437">
        <f t="shared" si="69"/>
        <v>0</v>
      </c>
      <c r="N682" s="1437">
        <f t="shared" si="68"/>
        <v>1.7813999999999999E-5</v>
      </c>
    </row>
    <row r="683" spans="1:14" outlineLevel="1">
      <c r="A683" s="1499">
        <f t="shared" si="70"/>
        <v>55</v>
      </c>
      <c r="B683" s="1539" t="str">
        <f t="shared" si="70"/>
        <v>Asset Recived From Civil-U#8-FHP-Fuel Oil pump house-10516</v>
      </c>
      <c r="C683" s="1491" t="str">
        <f t="shared" si="70"/>
        <v>N.A.</v>
      </c>
      <c r="D683" s="1531" t="str">
        <f t="shared" si="70"/>
        <v>-</v>
      </c>
      <c r="E683" s="1318">
        <f t="shared" si="70"/>
        <v>0</v>
      </c>
      <c r="F683" s="1437">
        <f t="shared" si="65"/>
        <v>6.5769099999999996E-4</v>
      </c>
      <c r="G683" s="1437">
        <f t="shared" si="66"/>
        <v>0</v>
      </c>
      <c r="H683" s="1437">
        <f t="shared" si="67"/>
        <v>6.5769099999999996E-4</v>
      </c>
      <c r="I683" s="1437">
        <v>0</v>
      </c>
      <c r="J683" s="1437">
        <v>0</v>
      </c>
      <c r="K683" s="1438"/>
      <c r="L683" s="1438"/>
      <c r="M683" s="1437">
        <f t="shared" si="69"/>
        <v>0</v>
      </c>
      <c r="N683" s="1437">
        <f t="shared" si="68"/>
        <v>6.5769099999999996E-4</v>
      </c>
    </row>
    <row r="684" spans="1:14" outlineLevel="1">
      <c r="A684" s="1499">
        <f t="shared" si="70"/>
        <v>56</v>
      </c>
      <c r="B684" s="1539" t="str">
        <f t="shared" si="70"/>
        <v>Asset Recived From Civil-U#8-FHP-DYKE AREA -10516</v>
      </c>
      <c r="C684" s="1491" t="str">
        <f t="shared" si="70"/>
        <v>N.A.</v>
      </c>
      <c r="D684" s="1531" t="str">
        <f t="shared" si="70"/>
        <v>-</v>
      </c>
      <c r="E684" s="1318">
        <f t="shared" si="70"/>
        <v>0</v>
      </c>
      <c r="F684" s="1437">
        <f t="shared" si="65"/>
        <v>1.9338999999999999E-5</v>
      </c>
      <c r="G684" s="1437">
        <f t="shared" si="66"/>
        <v>0</v>
      </c>
      <c r="H684" s="1437">
        <f t="shared" si="67"/>
        <v>1.9338999999999999E-5</v>
      </c>
      <c r="I684" s="1437">
        <v>0</v>
      </c>
      <c r="J684" s="1437">
        <v>0</v>
      </c>
      <c r="K684" s="1438"/>
      <c r="L684" s="1438"/>
      <c r="M684" s="1437">
        <f t="shared" si="69"/>
        <v>0</v>
      </c>
      <c r="N684" s="1437">
        <f t="shared" si="68"/>
        <v>1.9338999999999999E-5</v>
      </c>
    </row>
    <row r="685" spans="1:14" outlineLevel="1">
      <c r="A685" s="1499">
        <f t="shared" si="70"/>
        <v>57</v>
      </c>
      <c r="B685" s="1539" t="str">
        <f t="shared" si="70"/>
        <v>Asset Recived From Civil-U#8-Effulent Treatment Plant -10509</v>
      </c>
      <c r="C685" s="1491" t="str">
        <f t="shared" si="70"/>
        <v>N.A.</v>
      </c>
      <c r="D685" s="1531" t="str">
        <f t="shared" si="70"/>
        <v>-</v>
      </c>
      <c r="E685" s="1318">
        <f t="shared" si="70"/>
        <v>0</v>
      </c>
      <c r="F685" s="1437">
        <f t="shared" si="65"/>
        <v>1.4134799999999999E-4</v>
      </c>
      <c r="G685" s="1437">
        <f t="shared" si="66"/>
        <v>0</v>
      </c>
      <c r="H685" s="1437">
        <f t="shared" si="67"/>
        <v>1.4134799999999999E-4</v>
      </c>
      <c r="I685" s="1437">
        <v>0</v>
      </c>
      <c r="J685" s="1437">
        <v>0</v>
      </c>
      <c r="K685" s="1438"/>
      <c r="L685" s="1438"/>
      <c r="M685" s="1437">
        <f t="shared" si="69"/>
        <v>0</v>
      </c>
      <c r="N685" s="1437">
        <f t="shared" si="68"/>
        <v>1.4134799999999999E-4</v>
      </c>
    </row>
    <row r="686" spans="1:14" outlineLevel="1">
      <c r="A686" s="1499">
        <f t="shared" si="70"/>
        <v>58</v>
      </c>
      <c r="B686" s="1539" t="str">
        <f t="shared" si="70"/>
        <v>Asset Recived From Project-U#8-Boiler Pressure parts-10501</v>
      </c>
      <c r="C686" s="1491" t="str">
        <f t="shared" si="70"/>
        <v>N.A.</v>
      </c>
      <c r="D686" s="1531" t="str">
        <f t="shared" si="70"/>
        <v>-</v>
      </c>
      <c r="E686" s="1318">
        <f t="shared" si="70"/>
        <v>0</v>
      </c>
      <c r="F686" s="1437">
        <f t="shared" si="65"/>
        <v>6.5490000000000007E-2</v>
      </c>
      <c r="G686" s="1437">
        <f t="shared" si="66"/>
        <v>0</v>
      </c>
      <c r="H686" s="1437">
        <f t="shared" si="67"/>
        <v>6.5490000000000007E-2</v>
      </c>
      <c r="I686" s="1437">
        <v>0</v>
      </c>
      <c r="J686" s="1437">
        <v>0</v>
      </c>
      <c r="K686" s="1438"/>
      <c r="L686" s="1438"/>
      <c r="M686" s="1437">
        <f t="shared" si="69"/>
        <v>0</v>
      </c>
      <c r="N686" s="1437">
        <f t="shared" si="68"/>
        <v>6.5490000000000007E-2</v>
      </c>
    </row>
    <row r="687" spans="1:14" outlineLevel="1">
      <c r="A687" s="1499">
        <f t="shared" si="70"/>
        <v>59</v>
      </c>
      <c r="B687" s="1539" t="str">
        <f t="shared" si="70"/>
        <v>Asset Recived From Project-U#8-Mandatory Spares from BHEL–Trichy</v>
      </c>
      <c r="C687" s="1491" t="str">
        <f t="shared" si="70"/>
        <v>N.A.</v>
      </c>
      <c r="D687" s="1531" t="str">
        <f t="shared" si="70"/>
        <v>-</v>
      </c>
      <c r="E687" s="1318">
        <f t="shared" si="70"/>
        <v>0</v>
      </c>
      <c r="F687" s="1437">
        <f t="shared" si="65"/>
        <v>7.4618999999999996E-3</v>
      </c>
      <c r="G687" s="1437">
        <f t="shared" si="66"/>
        <v>0</v>
      </c>
      <c r="H687" s="1437">
        <f t="shared" si="67"/>
        <v>7.4618999999999996E-3</v>
      </c>
      <c r="I687" s="1437">
        <v>0</v>
      </c>
      <c r="J687" s="1437">
        <v>0</v>
      </c>
      <c r="K687" s="1438"/>
      <c r="L687" s="1438"/>
      <c r="M687" s="1437">
        <f t="shared" si="69"/>
        <v>0</v>
      </c>
      <c r="N687" s="1437">
        <f t="shared" si="68"/>
        <v>7.4618999999999996E-3</v>
      </c>
    </row>
    <row r="688" spans="1:14" outlineLevel="1">
      <c r="A688" s="1499">
        <f t="shared" si="70"/>
        <v>60</v>
      </c>
      <c r="B688" s="1539" t="str">
        <f t="shared" si="70"/>
        <v>Asset Recived From Civil-U#8-Coal mill reject trench at coal mill D&amp;E</v>
      </c>
      <c r="C688" s="1491" t="str">
        <f t="shared" si="70"/>
        <v>N.A.</v>
      </c>
      <c r="D688" s="1531" t="str">
        <f t="shared" si="70"/>
        <v>-</v>
      </c>
      <c r="E688" s="1318">
        <f t="shared" si="70"/>
        <v>0</v>
      </c>
      <c r="F688" s="1437">
        <f t="shared" si="65"/>
        <v>4.6610299000000001E-2</v>
      </c>
      <c r="G688" s="1437">
        <f t="shared" si="66"/>
        <v>0</v>
      </c>
      <c r="H688" s="1437">
        <f t="shared" si="67"/>
        <v>4.6610299000000001E-2</v>
      </c>
      <c r="I688" s="1437">
        <v>0</v>
      </c>
      <c r="J688" s="1437">
        <v>0</v>
      </c>
      <c r="K688" s="1438"/>
      <c r="L688" s="1438"/>
      <c r="M688" s="1437">
        <f t="shared" si="69"/>
        <v>0</v>
      </c>
      <c r="N688" s="1437">
        <f t="shared" si="68"/>
        <v>4.6610299000000001E-2</v>
      </c>
    </row>
    <row r="689" spans="1:14" ht="29" outlineLevel="1">
      <c r="A689" s="1499">
        <f t="shared" ref="A689:E704" si="71">A296</f>
        <v>61</v>
      </c>
      <c r="B689" s="1539" t="str">
        <f t="shared" si="71"/>
        <v>Asset Recived From Project-U#8-Canteen Equipments &amp; kitchen Utensils</v>
      </c>
      <c r="C689" s="1491" t="str">
        <f t="shared" si="71"/>
        <v>N.A.</v>
      </c>
      <c r="D689" s="1531" t="str">
        <f t="shared" si="71"/>
        <v>-</v>
      </c>
      <c r="E689" s="1318">
        <f t="shared" si="71"/>
        <v>0</v>
      </c>
      <c r="F689" s="1437">
        <f t="shared" si="65"/>
        <v>0.21887515400000002</v>
      </c>
      <c r="G689" s="1437">
        <f t="shared" si="66"/>
        <v>0</v>
      </c>
      <c r="H689" s="1437">
        <f t="shared" si="67"/>
        <v>0.21887515400000002</v>
      </c>
      <c r="I689" s="1437">
        <v>0</v>
      </c>
      <c r="J689" s="1437">
        <v>0</v>
      </c>
      <c r="K689" s="1438"/>
      <c r="L689" s="1438"/>
      <c r="M689" s="1437">
        <f t="shared" si="69"/>
        <v>0</v>
      </c>
      <c r="N689" s="1437">
        <f t="shared" si="68"/>
        <v>0.21887515400000002</v>
      </c>
    </row>
    <row r="690" spans="1:14" ht="29" outlineLevel="1">
      <c r="A690" s="1499">
        <f t="shared" si="71"/>
        <v>62</v>
      </c>
      <c r="B690" s="1539" t="str">
        <f t="shared" si="71"/>
        <v>Asset Recived From Project-U#8-Supply &amp; Erection of ACW system-10310</v>
      </c>
      <c r="C690" s="1491" t="str">
        <f t="shared" si="71"/>
        <v>N.A.</v>
      </c>
      <c r="D690" s="1531" t="str">
        <f t="shared" si="71"/>
        <v>-</v>
      </c>
      <c r="E690" s="1318">
        <f t="shared" si="71"/>
        <v>0</v>
      </c>
      <c r="F690" s="1437">
        <f t="shared" si="65"/>
        <v>8.3684199999999997E-4</v>
      </c>
      <c r="G690" s="1437">
        <f t="shared" si="66"/>
        <v>0</v>
      </c>
      <c r="H690" s="1437">
        <f t="shared" si="67"/>
        <v>8.3684199999999997E-4</v>
      </c>
      <c r="I690" s="1437">
        <v>0</v>
      </c>
      <c r="J690" s="1437">
        <v>0</v>
      </c>
      <c r="K690" s="1438"/>
      <c r="L690" s="1438"/>
      <c r="M690" s="1437">
        <f t="shared" si="69"/>
        <v>0</v>
      </c>
      <c r="N690" s="1437">
        <f t="shared" si="68"/>
        <v>8.3684199999999997E-4</v>
      </c>
    </row>
    <row r="691" spans="1:14" ht="29" outlineLevel="1">
      <c r="A691" s="1499">
        <f t="shared" si="71"/>
        <v>63</v>
      </c>
      <c r="B691" s="1539" t="str">
        <f t="shared" si="71"/>
        <v>Asset Recived From Project-U#8-SUPPLY &amp; ERECTION OF CCW SYSTEM-10310</v>
      </c>
      <c r="C691" s="1491" t="str">
        <f t="shared" si="71"/>
        <v>N.A.</v>
      </c>
      <c r="D691" s="1531" t="str">
        <f t="shared" si="71"/>
        <v>-</v>
      </c>
      <c r="E691" s="1318">
        <f t="shared" si="71"/>
        <v>0</v>
      </c>
      <c r="F691" s="1437">
        <f t="shared" si="65"/>
        <v>4.8560299999999999E-3</v>
      </c>
      <c r="G691" s="1437">
        <f t="shared" si="66"/>
        <v>0</v>
      </c>
      <c r="H691" s="1437">
        <f t="shared" si="67"/>
        <v>4.8560299999999999E-3</v>
      </c>
      <c r="I691" s="1437">
        <v>0</v>
      </c>
      <c r="J691" s="1437">
        <v>0</v>
      </c>
      <c r="K691" s="1438"/>
      <c r="L691" s="1438"/>
      <c r="M691" s="1437">
        <f t="shared" si="69"/>
        <v>0</v>
      </c>
      <c r="N691" s="1437">
        <f t="shared" si="68"/>
        <v>4.8560299999999999E-3</v>
      </c>
    </row>
    <row r="692" spans="1:14" ht="29" outlineLevel="1">
      <c r="A692" s="1499">
        <f t="shared" si="71"/>
        <v>64</v>
      </c>
      <c r="B692" s="1539" t="str">
        <f t="shared" si="71"/>
        <v>Asset Recived From Project-U#8-TG set &amp; its auxilleries-HP/LPFeedWate</v>
      </c>
      <c r="C692" s="1491" t="str">
        <f t="shared" si="71"/>
        <v>N.A.</v>
      </c>
      <c r="D692" s="1531" t="str">
        <f t="shared" si="71"/>
        <v>-</v>
      </c>
      <c r="E692" s="1318">
        <f t="shared" si="71"/>
        <v>0</v>
      </c>
      <c r="F692" s="1437">
        <f t="shared" si="65"/>
        <v>1.6841648000000001E-2</v>
      </c>
      <c r="G692" s="1437">
        <f t="shared" si="66"/>
        <v>0</v>
      </c>
      <c r="H692" s="1437">
        <f t="shared" si="67"/>
        <v>1.6841648000000001E-2</v>
      </c>
      <c r="I692" s="1437">
        <v>0</v>
      </c>
      <c r="J692" s="1437">
        <v>0</v>
      </c>
      <c r="K692" s="1438"/>
      <c r="L692" s="1438"/>
      <c r="M692" s="1437">
        <f t="shared" si="69"/>
        <v>0</v>
      </c>
      <c r="N692" s="1437">
        <f t="shared" si="68"/>
        <v>1.6841648000000001E-2</v>
      </c>
    </row>
    <row r="693" spans="1:14" outlineLevel="1">
      <c r="A693" s="1499">
        <f t="shared" si="71"/>
        <v>65</v>
      </c>
      <c r="B693" s="1539" t="str">
        <f t="shared" si="71"/>
        <v>Asset Recived From Project-U#8-TG set and its auxilleries- Boilerfeed</v>
      </c>
      <c r="C693" s="1491" t="str">
        <f t="shared" si="71"/>
        <v>N.A.</v>
      </c>
      <c r="D693" s="1531" t="str">
        <f t="shared" si="71"/>
        <v>-</v>
      </c>
      <c r="E693" s="1318">
        <f t="shared" si="71"/>
        <v>0</v>
      </c>
      <c r="F693" s="1437">
        <f t="shared" si="65"/>
        <v>1.8479445000000001E-2</v>
      </c>
      <c r="G693" s="1437">
        <f t="shared" si="66"/>
        <v>0</v>
      </c>
      <c r="H693" s="1437">
        <f t="shared" si="67"/>
        <v>1.8479445000000001E-2</v>
      </c>
      <c r="I693" s="1437">
        <v>0</v>
      </c>
      <c r="J693" s="1437">
        <v>0</v>
      </c>
      <c r="K693" s="1438"/>
      <c r="L693" s="1438"/>
      <c r="M693" s="1437">
        <f t="shared" si="69"/>
        <v>0</v>
      </c>
      <c r="N693" s="1437">
        <f t="shared" si="68"/>
        <v>1.8479445000000001E-2</v>
      </c>
    </row>
    <row r="694" spans="1:14" ht="29" outlineLevel="1">
      <c r="A694" s="1499">
        <f t="shared" si="71"/>
        <v>66</v>
      </c>
      <c r="B694" s="1539" t="str">
        <f t="shared" si="71"/>
        <v>Asset Recived From Project-U#8-Air Conditioning-MandatorySpares-10576</v>
      </c>
      <c r="C694" s="1491" t="str">
        <f t="shared" si="71"/>
        <v>N.A.</v>
      </c>
      <c r="D694" s="1531" t="str">
        <f t="shared" si="71"/>
        <v>-</v>
      </c>
      <c r="E694" s="1318">
        <f t="shared" si="71"/>
        <v>0</v>
      </c>
      <c r="F694" s="1437">
        <f t="shared" si="65"/>
        <v>1.7255999999999999E-5</v>
      </c>
      <c r="G694" s="1437">
        <f t="shared" si="66"/>
        <v>0</v>
      </c>
      <c r="H694" s="1437">
        <f t="shared" si="67"/>
        <v>1.7255999999999999E-5</v>
      </c>
      <c r="I694" s="1437">
        <v>0</v>
      </c>
      <c r="J694" s="1437">
        <v>0</v>
      </c>
      <c r="K694" s="1438"/>
      <c r="L694" s="1438"/>
      <c r="M694" s="1437">
        <f t="shared" si="69"/>
        <v>0</v>
      </c>
      <c r="N694" s="1437">
        <f t="shared" si="68"/>
        <v>1.7255999999999999E-5</v>
      </c>
    </row>
    <row r="695" spans="1:14" outlineLevel="1">
      <c r="A695" s="1499">
        <f t="shared" si="71"/>
        <v>67</v>
      </c>
      <c r="B695" s="1539" t="str">
        <f t="shared" si="71"/>
        <v>Asset Recived From Project-U#8-Air Conditioning system-10576</v>
      </c>
      <c r="C695" s="1491" t="str">
        <f t="shared" si="71"/>
        <v>N.A.</v>
      </c>
      <c r="D695" s="1531" t="str">
        <f t="shared" si="71"/>
        <v>-</v>
      </c>
      <c r="E695" s="1318">
        <f t="shared" si="71"/>
        <v>0</v>
      </c>
      <c r="F695" s="1437">
        <f t="shared" si="65"/>
        <v>1.344619E-3</v>
      </c>
      <c r="G695" s="1437">
        <f t="shared" si="66"/>
        <v>0</v>
      </c>
      <c r="H695" s="1437">
        <f t="shared" si="67"/>
        <v>1.344619E-3</v>
      </c>
      <c r="I695" s="1437">
        <v>0</v>
      </c>
      <c r="J695" s="1437">
        <v>0</v>
      </c>
      <c r="K695" s="1438"/>
      <c r="L695" s="1438"/>
      <c r="M695" s="1437">
        <f t="shared" si="69"/>
        <v>0</v>
      </c>
      <c r="N695" s="1437">
        <f t="shared" si="68"/>
        <v>1.344619E-3</v>
      </c>
    </row>
    <row r="696" spans="1:14" outlineLevel="1">
      <c r="A696" s="1499">
        <f t="shared" si="71"/>
        <v>68</v>
      </c>
      <c r="B696" s="1539" t="str">
        <f t="shared" si="71"/>
        <v>Asset Recived From Project-U#8-AHP-FLY ASH &amp; HCSD-SYSTEM-10501</v>
      </c>
      <c r="C696" s="1491" t="str">
        <f t="shared" si="71"/>
        <v>N.A.</v>
      </c>
      <c r="D696" s="1531" t="str">
        <f t="shared" si="71"/>
        <v>-</v>
      </c>
      <c r="E696" s="1318">
        <f t="shared" si="71"/>
        <v>0</v>
      </c>
      <c r="F696" s="1437">
        <f t="shared" si="65"/>
        <v>2.1652109999999998E-3</v>
      </c>
      <c r="G696" s="1437">
        <f t="shared" si="66"/>
        <v>0</v>
      </c>
      <c r="H696" s="1437">
        <f t="shared" si="67"/>
        <v>2.1652109999999998E-3</v>
      </c>
      <c r="I696" s="1437">
        <v>0</v>
      </c>
      <c r="J696" s="1437">
        <v>0</v>
      </c>
      <c r="K696" s="1438"/>
      <c r="L696" s="1438"/>
      <c r="M696" s="1437">
        <f t="shared" si="69"/>
        <v>0</v>
      </c>
      <c r="N696" s="1437">
        <f t="shared" si="68"/>
        <v>2.1652109999999998E-3</v>
      </c>
    </row>
    <row r="697" spans="1:14" ht="29" outlineLevel="1">
      <c r="A697" s="1499">
        <f t="shared" si="71"/>
        <v>69</v>
      </c>
      <c r="B697" s="1539" t="str">
        <f t="shared" si="71"/>
        <v>Asset Recived From Project-U#8-AHP-FLYASH&amp;HCSD-SYSTEMBOUGHT OUT-10501</v>
      </c>
      <c r="C697" s="1491" t="str">
        <f t="shared" si="71"/>
        <v>N.A.</v>
      </c>
      <c r="D697" s="1531" t="str">
        <f t="shared" si="71"/>
        <v>-</v>
      </c>
      <c r="E697" s="1318">
        <f t="shared" si="71"/>
        <v>0</v>
      </c>
      <c r="F697" s="1437">
        <f t="shared" si="65"/>
        <v>7.0969070000000004E-3</v>
      </c>
      <c r="G697" s="1437">
        <f t="shared" si="66"/>
        <v>0</v>
      </c>
      <c r="H697" s="1437">
        <f t="shared" si="67"/>
        <v>7.0969070000000004E-3</v>
      </c>
      <c r="I697" s="1437">
        <v>0</v>
      </c>
      <c r="J697" s="1437">
        <v>0</v>
      </c>
      <c r="K697" s="1438"/>
      <c r="L697" s="1438"/>
      <c r="M697" s="1437">
        <f t="shared" si="69"/>
        <v>0</v>
      </c>
      <c r="N697" s="1437">
        <f t="shared" si="68"/>
        <v>7.0969070000000004E-3</v>
      </c>
    </row>
    <row r="698" spans="1:14" outlineLevel="1">
      <c r="A698" s="1499">
        <f t="shared" si="71"/>
        <v>70</v>
      </c>
      <c r="B698" s="1539" t="str">
        <f t="shared" si="71"/>
        <v>Asset Recived From Project-U#8-AHP-BOTTOM ASH SYSTEM-10501</v>
      </c>
      <c r="C698" s="1491" t="str">
        <f t="shared" si="71"/>
        <v>N.A.</v>
      </c>
      <c r="D698" s="1531" t="str">
        <f t="shared" si="71"/>
        <v>-</v>
      </c>
      <c r="E698" s="1318">
        <f t="shared" si="71"/>
        <v>0</v>
      </c>
      <c r="F698" s="1437">
        <f t="shared" si="65"/>
        <v>1.2125858999999999E-2</v>
      </c>
      <c r="G698" s="1437">
        <f t="shared" si="66"/>
        <v>0</v>
      </c>
      <c r="H698" s="1437">
        <f t="shared" si="67"/>
        <v>1.2125858999999999E-2</v>
      </c>
      <c r="I698" s="1437">
        <v>0</v>
      </c>
      <c r="J698" s="1437">
        <v>0</v>
      </c>
      <c r="K698" s="1438"/>
      <c r="L698" s="1438"/>
      <c r="M698" s="1437">
        <f t="shared" si="69"/>
        <v>0</v>
      </c>
      <c r="N698" s="1437">
        <f t="shared" si="68"/>
        <v>1.2125858999999999E-2</v>
      </c>
    </row>
    <row r="699" spans="1:14" outlineLevel="1">
      <c r="A699" s="1499">
        <f t="shared" si="71"/>
        <v>71</v>
      </c>
      <c r="B699" s="1539" t="str">
        <f t="shared" si="71"/>
        <v>Asset Recived From Project-U#8-AHP-ELECTRICAL C &amp; I-10501</v>
      </c>
      <c r="C699" s="1491" t="str">
        <f t="shared" si="71"/>
        <v>N.A.</v>
      </c>
      <c r="D699" s="1531" t="str">
        <f t="shared" si="71"/>
        <v>-</v>
      </c>
      <c r="E699" s="1318">
        <f t="shared" si="71"/>
        <v>0</v>
      </c>
      <c r="F699" s="1437">
        <f t="shared" si="65"/>
        <v>4.0530039999999998E-3</v>
      </c>
      <c r="G699" s="1437">
        <f t="shared" si="66"/>
        <v>0</v>
      </c>
      <c r="H699" s="1437">
        <f t="shared" si="67"/>
        <v>4.0530039999999998E-3</v>
      </c>
      <c r="I699" s="1437">
        <v>0</v>
      </c>
      <c r="J699" s="1437">
        <v>0</v>
      </c>
      <c r="K699" s="1438"/>
      <c r="L699" s="1438"/>
      <c r="M699" s="1437">
        <f t="shared" si="69"/>
        <v>0</v>
      </c>
      <c r="N699" s="1437">
        <f t="shared" si="68"/>
        <v>4.0530039999999998E-3</v>
      </c>
    </row>
    <row r="700" spans="1:14" outlineLevel="1">
      <c r="A700" s="1499">
        <f t="shared" si="71"/>
        <v>72</v>
      </c>
      <c r="B700" s="1539" t="str">
        <f t="shared" si="71"/>
        <v>Asset Recived From Project-U#8-AHP-GEHO PUMP-10501</v>
      </c>
      <c r="C700" s="1491" t="str">
        <f t="shared" si="71"/>
        <v>N.A.</v>
      </c>
      <c r="D700" s="1531" t="str">
        <f t="shared" si="71"/>
        <v>-</v>
      </c>
      <c r="E700" s="1318">
        <f t="shared" si="71"/>
        <v>0</v>
      </c>
      <c r="F700" s="1437">
        <f t="shared" si="65"/>
        <v>9.5127619999999993E-3</v>
      </c>
      <c r="G700" s="1437">
        <f t="shared" si="66"/>
        <v>0</v>
      </c>
      <c r="H700" s="1437">
        <f t="shared" si="67"/>
        <v>9.5127619999999993E-3</v>
      </c>
      <c r="I700" s="1437">
        <v>0</v>
      </c>
      <c r="J700" s="1437">
        <v>0</v>
      </c>
      <c r="K700" s="1438"/>
      <c r="L700" s="1438"/>
      <c r="M700" s="1437">
        <f t="shared" si="69"/>
        <v>0</v>
      </c>
      <c r="N700" s="1437">
        <f t="shared" si="68"/>
        <v>9.5127619999999993E-3</v>
      </c>
    </row>
    <row r="701" spans="1:14" ht="29" outlineLevel="1">
      <c r="A701" s="1499">
        <f t="shared" si="71"/>
        <v>73</v>
      </c>
      <c r="B701" s="1539" t="str">
        <f t="shared" si="71"/>
        <v>Asset Recived FromProject-U#8-Boiler&amp;Aux -Power Cycle Piping-10501</v>
      </c>
      <c r="C701" s="1491" t="str">
        <f t="shared" si="71"/>
        <v>N.A.</v>
      </c>
      <c r="D701" s="1531" t="str">
        <f t="shared" si="71"/>
        <v>-</v>
      </c>
      <c r="E701" s="1318">
        <f t="shared" si="71"/>
        <v>0</v>
      </c>
      <c r="F701" s="1437">
        <f t="shared" si="65"/>
        <v>4.1004594999999998E-2</v>
      </c>
      <c r="G701" s="1437">
        <f t="shared" si="66"/>
        <v>0</v>
      </c>
      <c r="H701" s="1437">
        <f t="shared" si="67"/>
        <v>4.1004594999999998E-2</v>
      </c>
      <c r="I701" s="1437">
        <v>0</v>
      </c>
      <c r="J701" s="1437">
        <v>0</v>
      </c>
      <c r="K701" s="1438"/>
      <c r="L701" s="1438"/>
      <c r="M701" s="1437">
        <f t="shared" si="69"/>
        <v>0</v>
      </c>
      <c r="N701" s="1437">
        <f t="shared" si="68"/>
        <v>4.1004594999999998E-2</v>
      </c>
    </row>
    <row r="702" spans="1:14" ht="29" outlineLevel="1">
      <c r="A702" s="1499">
        <f t="shared" si="71"/>
        <v>74</v>
      </c>
      <c r="B702" s="1539" t="str">
        <f t="shared" si="71"/>
        <v>Asset Recived From Project-U#8-Boiler&amp;Aux-SUIT BLOWER &amp; PIPING-10501</v>
      </c>
      <c r="C702" s="1491" t="str">
        <f t="shared" si="71"/>
        <v>N.A.</v>
      </c>
      <c r="D702" s="1531" t="str">
        <f t="shared" si="71"/>
        <v>-</v>
      </c>
      <c r="E702" s="1318">
        <f t="shared" si="71"/>
        <v>0</v>
      </c>
      <c r="F702" s="1437">
        <f t="shared" si="65"/>
        <v>8.3837327000000003E-2</v>
      </c>
      <c r="G702" s="1437">
        <f t="shared" si="66"/>
        <v>0</v>
      </c>
      <c r="H702" s="1437">
        <f t="shared" si="67"/>
        <v>8.3837327000000003E-2</v>
      </c>
      <c r="I702" s="1437">
        <v>0</v>
      </c>
      <c r="J702" s="1437">
        <v>0</v>
      </c>
      <c r="K702" s="1438"/>
      <c r="L702" s="1438"/>
      <c r="M702" s="1437">
        <f t="shared" si="69"/>
        <v>0</v>
      </c>
      <c r="N702" s="1437">
        <f t="shared" si="68"/>
        <v>8.3837327000000003E-2</v>
      </c>
    </row>
    <row r="703" spans="1:14" outlineLevel="1">
      <c r="A703" s="1499">
        <f t="shared" si="71"/>
        <v>75</v>
      </c>
      <c r="B703" s="1539" t="str">
        <f t="shared" si="71"/>
        <v>Asset Recived From Project-U#8-Boiler &amp; Auxillaries - PA FAN-10501</v>
      </c>
      <c r="C703" s="1491" t="str">
        <f t="shared" si="71"/>
        <v>N.A.</v>
      </c>
      <c r="D703" s="1531" t="str">
        <f t="shared" si="71"/>
        <v>-</v>
      </c>
      <c r="E703" s="1318">
        <f t="shared" si="71"/>
        <v>0</v>
      </c>
      <c r="F703" s="1437">
        <f t="shared" si="65"/>
        <v>1.022551E-3</v>
      </c>
      <c r="G703" s="1437">
        <f t="shared" si="66"/>
        <v>0</v>
      </c>
      <c r="H703" s="1437">
        <f t="shared" si="67"/>
        <v>1.022551E-3</v>
      </c>
      <c r="I703" s="1437">
        <v>0</v>
      </c>
      <c r="J703" s="1437">
        <v>0</v>
      </c>
      <c r="K703" s="1438"/>
      <c r="L703" s="1438"/>
      <c r="M703" s="1437">
        <f t="shared" si="69"/>
        <v>0</v>
      </c>
      <c r="N703" s="1437">
        <f t="shared" si="68"/>
        <v>1.022551E-3</v>
      </c>
    </row>
    <row r="704" spans="1:14" outlineLevel="1">
      <c r="A704" s="1499">
        <f t="shared" si="71"/>
        <v>76</v>
      </c>
      <c r="B704" s="1539" t="str">
        <f t="shared" si="71"/>
        <v>Asset Recived From Project-U#8-Boiler&amp;Aux-Air Preheaters-10501</v>
      </c>
      <c r="C704" s="1491" t="str">
        <f t="shared" si="71"/>
        <v>N.A.</v>
      </c>
      <c r="D704" s="1531" t="str">
        <f t="shared" si="71"/>
        <v>-</v>
      </c>
      <c r="E704" s="1318">
        <f t="shared" si="71"/>
        <v>0</v>
      </c>
      <c r="F704" s="1437">
        <f t="shared" si="65"/>
        <v>1.3280755999999999E-2</v>
      </c>
      <c r="G704" s="1437">
        <f t="shared" si="66"/>
        <v>0</v>
      </c>
      <c r="H704" s="1437">
        <f t="shared" si="67"/>
        <v>1.3280755999999999E-2</v>
      </c>
      <c r="I704" s="1437">
        <v>0</v>
      </c>
      <c r="J704" s="1437">
        <v>0</v>
      </c>
      <c r="K704" s="1438"/>
      <c r="L704" s="1438"/>
      <c r="M704" s="1437">
        <f t="shared" si="69"/>
        <v>0</v>
      </c>
      <c r="N704" s="1437">
        <f t="shared" si="68"/>
        <v>1.3280755999999999E-2</v>
      </c>
    </row>
    <row r="705" spans="1:14" ht="29" outlineLevel="1">
      <c r="A705" s="1499">
        <f t="shared" ref="A705:E720" si="72">A312</f>
        <v>77</v>
      </c>
      <c r="B705" s="1539" t="str">
        <f t="shared" si="72"/>
        <v>Asset Recived From Project-U#8-Boiler &amp; Auxillaries -COAL MILL-10501</v>
      </c>
      <c r="C705" s="1491" t="str">
        <f t="shared" si="72"/>
        <v>N.A.</v>
      </c>
      <c r="D705" s="1531" t="str">
        <f t="shared" si="72"/>
        <v>-</v>
      </c>
      <c r="E705" s="1318">
        <f t="shared" si="72"/>
        <v>0</v>
      </c>
      <c r="F705" s="1437">
        <f t="shared" si="65"/>
        <v>5.1243500999999997E-2</v>
      </c>
      <c r="G705" s="1437">
        <f t="shared" si="66"/>
        <v>0</v>
      </c>
      <c r="H705" s="1437">
        <f t="shared" si="67"/>
        <v>5.1243500999999997E-2</v>
      </c>
      <c r="I705" s="1437">
        <v>0</v>
      </c>
      <c r="J705" s="1437">
        <v>0</v>
      </c>
      <c r="K705" s="1438"/>
      <c r="L705" s="1438"/>
      <c r="M705" s="1437">
        <f t="shared" si="69"/>
        <v>0</v>
      </c>
      <c r="N705" s="1437">
        <f t="shared" si="68"/>
        <v>5.1243500999999997E-2</v>
      </c>
    </row>
    <row r="706" spans="1:14" outlineLevel="1">
      <c r="A706" s="1499">
        <f t="shared" si="72"/>
        <v>78</v>
      </c>
      <c r="B706" s="1539" t="str">
        <f t="shared" si="72"/>
        <v>Asset Recived From Project-U#8-Boiler &amp; Auxillaries -FD FAN-10501</v>
      </c>
      <c r="C706" s="1491" t="str">
        <f t="shared" si="72"/>
        <v>N.A.</v>
      </c>
      <c r="D706" s="1531" t="str">
        <f t="shared" si="72"/>
        <v>-</v>
      </c>
      <c r="E706" s="1318">
        <f t="shared" si="72"/>
        <v>0</v>
      </c>
      <c r="F706" s="1437">
        <f t="shared" si="65"/>
        <v>6.8170000000000004E-4</v>
      </c>
      <c r="G706" s="1437">
        <f t="shared" si="66"/>
        <v>0</v>
      </c>
      <c r="H706" s="1437">
        <f t="shared" si="67"/>
        <v>6.8170000000000004E-4</v>
      </c>
      <c r="I706" s="1437">
        <v>0</v>
      </c>
      <c r="J706" s="1437">
        <v>0</v>
      </c>
      <c r="K706" s="1438"/>
      <c r="L706" s="1438"/>
      <c r="M706" s="1437">
        <f t="shared" si="69"/>
        <v>0</v>
      </c>
      <c r="N706" s="1437">
        <f t="shared" si="68"/>
        <v>6.8170000000000004E-4</v>
      </c>
    </row>
    <row r="707" spans="1:14" outlineLevel="1">
      <c r="A707" s="1499">
        <f t="shared" si="72"/>
        <v>79</v>
      </c>
      <c r="B707" s="1539" t="str">
        <f t="shared" si="72"/>
        <v>Asset Recived From Project-U#8-Boiler &amp; Auxillaries- ID FAN-10501</v>
      </c>
      <c r="C707" s="1491" t="str">
        <f t="shared" si="72"/>
        <v>N.A.</v>
      </c>
      <c r="D707" s="1531" t="str">
        <f t="shared" si="72"/>
        <v>-</v>
      </c>
      <c r="E707" s="1318">
        <f t="shared" si="72"/>
        <v>0</v>
      </c>
      <c r="F707" s="1437">
        <f t="shared" si="65"/>
        <v>1.7042509999999999E-3</v>
      </c>
      <c r="G707" s="1437">
        <f t="shared" si="66"/>
        <v>0</v>
      </c>
      <c r="H707" s="1437">
        <f t="shared" si="67"/>
        <v>1.7042509999999999E-3</v>
      </c>
      <c r="I707" s="1437">
        <v>0</v>
      </c>
      <c r="J707" s="1437">
        <v>0</v>
      </c>
      <c r="K707" s="1438"/>
      <c r="L707" s="1438"/>
      <c r="M707" s="1437">
        <f t="shared" si="69"/>
        <v>0</v>
      </c>
      <c r="N707" s="1437">
        <f t="shared" si="68"/>
        <v>1.7042509999999999E-3</v>
      </c>
    </row>
    <row r="708" spans="1:14" ht="29" outlineLevel="1">
      <c r="A708" s="1499">
        <f t="shared" si="72"/>
        <v>80</v>
      </c>
      <c r="B708" s="1539" t="str">
        <f t="shared" si="72"/>
        <v>Asset Recived From Project-U#8-Boiler&amp;Aux-Mandatory Spares-10501</v>
      </c>
      <c r="C708" s="1491" t="str">
        <f t="shared" si="72"/>
        <v>N.A.</v>
      </c>
      <c r="D708" s="1531" t="str">
        <f t="shared" si="72"/>
        <v>-</v>
      </c>
      <c r="E708" s="1318">
        <f t="shared" si="72"/>
        <v>0</v>
      </c>
      <c r="F708" s="1437">
        <f t="shared" si="65"/>
        <v>9.7934579999999997E-3</v>
      </c>
      <c r="G708" s="1437">
        <f t="shared" si="66"/>
        <v>0</v>
      </c>
      <c r="H708" s="1437">
        <f t="shared" si="67"/>
        <v>9.7934579999999997E-3</v>
      </c>
      <c r="I708" s="1437">
        <v>0</v>
      </c>
      <c r="J708" s="1437">
        <v>0</v>
      </c>
      <c r="K708" s="1438"/>
      <c r="L708" s="1438"/>
      <c r="M708" s="1437">
        <f t="shared" si="69"/>
        <v>0</v>
      </c>
      <c r="N708" s="1437">
        <f t="shared" si="68"/>
        <v>9.7934579999999997E-3</v>
      </c>
    </row>
    <row r="709" spans="1:14" ht="29" outlineLevel="1">
      <c r="A709" s="1499">
        <f t="shared" si="72"/>
        <v>81</v>
      </c>
      <c r="B709" s="1539" t="str">
        <f t="shared" si="72"/>
        <v>Asset Recived From Project-U#8-Boiler&amp;Aux-PLATFORM,STAIRS,GRATINGS,</v>
      </c>
      <c r="C709" s="1491" t="str">
        <f t="shared" si="72"/>
        <v>N.A.</v>
      </c>
      <c r="D709" s="1531" t="str">
        <f t="shared" si="72"/>
        <v>-</v>
      </c>
      <c r="E709" s="1318">
        <f t="shared" si="72"/>
        <v>0</v>
      </c>
      <c r="F709" s="1437">
        <f t="shared" si="65"/>
        <v>3.0595908000000002E-2</v>
      </c>
      <c r="G709" s="1437">
        <f t="shared" si="66"/>
        <v>0</v>
      </c>
      <c r="H709" s="1437">
        <f t="shared" si="67"/>
        <v>3.0595908000000002E-2</v>
      </c>
      <c r="I709" s="1437">
        <v>0</v>
      </c>
      <c r="J709" s="1437">
        <v>0</v>
      </c>
      <c r="K709" s="1438"/>
      <c r="L709" s="1438"/>
      <c r="M709" s="1437">
        <f t="shared" si="69"/>
        <v>0</v>
      </c>
      <c r="N709" s="1437">
        <f t="shared" si="68"/>
        <v>3.0595908000000002E-2</v>
      </c>
    </row>
    <row r="710" spans="1:14" outlineLevel="1">
      <c r="A710" s="1499">
        <f t="shared" si="72"/>
        <v>82</v>
      </c>
      <c r="B710" s="1539" t="str">
        <f t="shared" si="72"/>
        <v>Asset Recived From Project-U#8-Boiler Pressure parts-10501</v>
      </c>
      <c r="C710" s="1491" t="str">
        <f t="shared" si="72"/>
        <v>N.A.</v>
      </c>
      <c r="D710" s="1531" t="str">
        <f t="shared" si="72"/>
        <v>-</v>
      </c>
      <c r="E710" s="1318">
        <f t="shared" si="72"/>
        <v>0</v>
      </c>
      <c r="F710" s="1437">
        <f t="shared" si="65"/>
        <v>0.17807421000000001</v>
      </c>
      <c r="G710" s="1437">
        <f t="shared" si="66"/>
        <v>0</v>
      </c>
      <c r="H710" s="1437">
        <f t="shared" si="67"/>
        <v>0.17807421000000001</v>
      </c>
      <c r="I710" s="1437">
        <v>0</v>
      </c>
      <c r="J710" s="1437">
        <v>0</v>
      </c>
      <c r="K710" s="1438"/>
      <c r="L710" s="1438"/>
      <c r="M710" s="1437">
        <f t="shared" si="69"/>
        <v>0</v>
      </c>
      <c r="N710" s="1437">
        <f t="shared" si="68"/>
        <v>0.17807421000000001</v>
      </c>
    </row>
    <row r="711" spans="1:14" ht="29" outlineLevel="1">
      <c r="A711" s="1499">
        <f t="shared" si="72"/>
        <v>83</v>
      </c>
      <c r="B711" s="1539" t="str">
        <f t="shared" si="72"/>
        <v>Asset Recived From Project-U#8-220V-BATTERY+CHARGERS-MAIN PLANT-10563</v>
      </c>
      <c r="C711" s="1491" t="str">
        <f t="shared" si="72"/>
        <v>N.A.</v>
      </c>
      <c r="D711" s="1531" t="str">
        <f t="shared" si="72"/>
        <v>-</v>
      </c>
      <c r="E711" s="1318">
        <f t="shared" si="72"/>
        <v>0</v>
      </c>
      <c r="F711" s="1437">
        <f t="shared" si="65"/>
        <v>2.0848189999999999E-3</v>
      </c>
      <c r="G711" s="1437">
        <f t="shared" si="66"/>
        <v>0</v>
      </c>
      <c r="H711" s="1437">
        <f t="shared" si="67"/>
        <v>2.0848189999999999E-3</v>
      </c>
      <c r="I711" s="1437">
        <v>0</v>
      </c>
      <c r="J711" s="1437">
        <v>0</v>
      </c>
      <c r="K711" s="1438"/>
      <c r="L711" s="1438"/>
      <c r="M711" s="1437">
        <f t="shared" si="69"/>
        <v>0</v>
      </c>
      <c r="N711" s="1437">
        <f t="shared" si="68"/>
        <v>2.0848189999999999E-3</v>
      </c>
    </row>
    <row r="712" spans="1:14" ht="29" outlineLevel="1">
      <c r="A712" s="1499">
        <f t="shared" si="72"/>
        <v>84</v>
      </c>
      <c r="B712" s="1539" t="str">
        <f t="shared" si="72"/>
        <v>Asset Recived From Project-U#8-220V -BATTERY WITH CHARGERS(CHP)-10563</v>
      </c>
      <c r="C712" s="1491" t="str">
        <f t="shared" si="72"/>
        <v>N.A.</v>
      </c>
      <c r="D712" s="1531" t="str">
        <f t="shared" si="72"/>
        <v>-</v>
      </c>
      <c r="E712" s="1318">
        <f t="shared" si="72"/>
        <v>0</v>
      </c>
      <c r="F712" s="1437">
        <f t="shared" si="65"/>
        <v>2.0745099999999999E-4</v>
      </c>
      <c r="G712" s="1437">
        <f t="shared" si="66"/>
        <v>0</v>
      </c>
      <c r="H712" s="1437">
        <f t="shared" si="67"/>
        <v>2.0745099999999999E-4</v>
      </c>
      <c r="I712" s="1437">
        <v>0</v>
      </c>
      <c r="J712" s="1437">
        <v>0</v>
      </c>
      <c r="K712" s="1438"/>
      <c r="L712" s="1438"/>
      <c r="M712" s="1437">
        <f t="shared" si="69"/>
        <v>0</v>
      </c>
      <c r="N712" s="1437">
        <f t="shared" si="68"/>
        <v>2.0745099999999999E-4</v>
      </c>
    </row>
    <row r="713" spans="1:14" ht="29" outlineLevel="1">
      <c r="A713" s="1499">
        <f t="shared" si="72"/>
        <v>85</v>
      </c>
      <c r="B713" s="1539" t="str">
        <f t="shared" si="72"/>
        <v>Asset Recived From Project-U#8-220V-BATTERY+CHARG-WAGON TRIP-2N-10563</v>
      </c>
      <c r="C713" s="1491" t="str">
        <f t="shared" si="72"/>
        <v>N.A.</v>
      </c>
      <c r="D713" s="1531" t="str">
        <f t="shared" si="72"/>
        <v>-</v>
      </c>
      <c r="E713" s="1318">
        <f t="shared" si="72"/>
        <v>0</v>
      </c>
      <c r="F713" s="1437">
        <f t="shared" si="65"/>
        <v>8.4673999999999996E-5</v>
      </c>
      <c r="G713" s="1437">
        <f t="shared" si="66"/>
        <v>0</v>
      </c>
      <c r="H713" s="1437">
        <f t="shared" si="67"/>
        <v>8.4673999999999996E-5</v>
      </c>
      <c r="I713" s="1437">
        <v>0</v>
      </c>
      <c r="J713" s="1437">
        <v>0</v>
      </c>
      <c r="K713" s="1438"/>
      <c r="L713" s="1438"/>
      <c r="M713" s="1437">
        <f t="shared" si="69"/>
        <v>0</v>
      </c>
      <c r="N713" s="1437">
        <f t="shared" si="68"/>
        <v>8.4673999999999996E-5</v>
      </c>
    </row>
    <row r="714" spans="1:14" ht="29" outlineLevel="1">
      <c r="A714" s="1499">
        <f t="shared" si="72"/>
        <v>86</v>
      </c>
      <c r="B714" s="1539" t="str">
        <f t="shared" si="72"/>
        <v>Asset Recived From Project-U#8-BOP-OTHER C&amp; i INSTRUMENTS-10509</v>
      </c>
      <c r="C714" s="1491" t="str">
        <f t="shared" si="72"/>
        <v>N.A.</v>
      </c>
      <c r="D714" s="1531" t="str">
        <f t="shared" si="72"/>
        <v>-</v>
      </c>
      <c r="E714" s="1318">
        <f t="shared" si="72"/>
        <v>0</v>
      </c>
      <c r="F714" s="1437">
        <f t="shared" si="65"/>
        <v>1.3440609999999999E-3</v>
      </c>
      <c r="G714" s="1437">
        <f t="shared" si="66"/>
        <v>0</v>
      </c>
      <c r="H714" s="1437">
        <f t="shared" si="67"/>
        <v>1.3440609999999999E-3</v>
      </c>
      <c r="I714" s="1437">
        <v>0</v>
      </c>
      <c r="J714" s="1437">
        <v>0</v>
      </c>
      <c r="K714" s="1438"/>
      <c r="L714" s="1438"/>
      <c r="M714" s="1437">
        <f t="shared" si="69"/>
        <v>0</v>
      </c>
      <c r="N714" s="1437">
        <f t="shared" si="68"/>
        <v>1.3440609999999999E-3</v>
      </c>
    </row>
    <row r="715" spans="1:14" outlineLevel="1">
      <c r="A715" s="1499">
        <f t="shared" si="72"/>
        <v>87</v>
      </c>
      <c r="B715" s="1539" t="str">
        <f t="shared" si="72"/>
        <v>Asset Recived From Project-U#8-CHP-CONVEYOR SYSTEM-10515</v>
      </c>
      <c r="C715" s="1491" t="str">
        <f t="shared" si="72"/>
        <v>N.A.</v>
      </c>
      <c r="D715" s="1531" t="str">
        <f t="shared" si="72"/>
        <v>-</v>
      </c>
      <c r="E715" s="1318">
        <f t="shared" si="72"/>
        <v>0</v>
      </c>
      <c r="F715" s="1437">
        <f t="shared" si="65"/>
        <v>1.540935E-2</v>
      </c>
      <c r="G715" s="1437">
        <f t="shared" si="66"/>
        <v>0</v>
      </c>
      <c r="H715" s="1437">
        <f t="shared" si="67"/>
        <v>1.540935E-2</v>
      </c>
      <c r="I715" s="1437">
        <v>0</v>
      </c>
      <c r="J715" s="1437">
        <v>0</v>
      </c>
      <c r="K715" s="1438"/>
      <c r="L715" s="1438"/>
      <c r="M715" s="1437">
        <f t="shared" si="69"/>
        <v>0</v>
      </c>
      <c r="N715" s="1437">
        <f t="shared" si="68"/>
        <v>1.540935E-2</v>
      </c>
    </row>
    <row r="716" spans="1:14" outlineLevel="1">
      <c r="A716" s="1499">
        <f t="shared" si="72"/>
        <v>88</v>
      </c>
      <c r="B716" s="1539" t="str">
        <f t="shared" si="72"/>
        <v>Asset Recived From Project-U#8-CHP-WOBLER FEEDER-10515</v>
      </c>
      <c r="C716" s="1491" t="str">
        <f t="shared" si="72"/>
        <v>N.A.</v>
      </c>
      <c r="D716" s="1531" t="str">
        <f t="shared" si="72"/>
        <v>-</v>
      </c>
      <c r="E716" s="1318">
        <f t="shared" si="72"/>
        <v>0</v>
      </c>
      <c r="F716" s="1437">
        <f t="shared" si="65"/>
        <v>5.4613100000000005E-4</v>
      </c>
      <c r="G716" s="1437">
        <f t="shared" si="66"/>
        <v>0</v>
      </c>
      <c r="H716" s="1437">
        <f t="shared" si="67"/>
        <v>5.4613100000000005E-4</v>
      </c>
      <c r="I716" s="1437">
        <v>0</v>
      </c>
      <c r="J716" s="1437">
        <v>0</v>
      </c>
      <c r="K716" s="1438"/>
      <c r="L716" s="1438"/>
      <c r="M716" s="1437">
        <f t="shared" si="69"/>
        <v>0</v>
      </c>
      <c r="N716" s="1437">
        <f t="shared" si="68"/>
        <v>5.4613100000000005E-4</v>
      </c>
    </row>
    <row r="717" spans="1:14" outlineLevel="1">
      <c r="A717" s="1499">
        <f t="shared" si="72"/>
        <v>89</v>
      </c>
      <c r="B717" s="1539" t="str">
        <f t="shared" si="72"/>
        <v>Asset Recived From Project-U#8-CHP-APRON FEEDER-10515</v>
      </c>
      <c r="C717" s="1491" t="str">
        <f t="shared" si="72"/>
        <v>N.A.</v>
      </c>
      <c r="D717" s="1531" t="str">
        <f t="shared" si="72"/>
        <v>-</v>
      </c>
      <c r="E717" s="1318">
        <f t="shared" si="72"/>
        <v>0</v>
      </c>
      <c r="F717" s="1437">
        <f t="shared" si="65"/>
        <v>2.8149E-3</v>
      </c>
      <c r="G717" s="1437">
        <f t="shared" si="66"/>
        <v>0</v>
      </c>
      <c r="H717" s="1437">
        <f t="shared" si="67"/>
        <v>2.8149E-3</v>
      </c>
      <c r="I717" s="1437">
        <v>0</v>
      </c>
      <c r="J717" s="1437">
        <v>0</v>
      </c>
      <c r="K717" s="1438"/>
      <c r="L717" s="1438"/>
      <c r="M717" s="1437">
        <f t="shared" si="69"/>
        <v>0</v>
      </c>
      <c r="N717" s="1437">
        <f t="shared" si="68"/>
        <v>2.8149E-3</v>
      </c>
    </row>
    <row r="718" spans="1:14" ht="29" outlineLevel="1">
      <c r="A718" s="1499">
        <f t="shared" si="72"/>
        <v>90</v>
      </c>
      <c r="B718" s="1539" t="str">
        <f t="shared" si="72"/>
        <v>Asset Recived From Project-U#8-CHP-ILMS,METAL DETECTOR,BELT WEIGHER</v>
      </c>
      <c r="C718" s="1491" t="str">
        <f t="shared" si="72"/>
        <v>N.A.</v>
      </c>
      <c r="D718" s="1531" t="str">
        <f t="shared" si="72"/>
        <v>-</v>
      </c>
      <c r="E718" s="1318">
        <f t="shared" si="72"/>
        <v>0</v>
      </c>
      <c r="F718" s="1437">
        <f t="shared" si="65"/>
        <v>1.170412E-3</v>
      </c>
      <c r="G718" s="1437">
        <f t="shared" si="66"/>
        <v>0</v>
      </c>
      <c r="H718" s="1437">
        <f t="shared" si="67"/>
        <v>1.170412E-3</v>
      </c>
      <c r="I718" s="1437">
        <v>0</v>
      </c>
      <c r="J718" s="1437">
        <v>0</v>
      </c>
      <c r="K718" s="1438"/>
      <c r="L718" s="1438"/>
      <c r="M718" s="1437">
        <f t="shared" si="69"/>
        <v>0</v>
      </c>
      <c r="N718" s="1437">
        <f t="shared" si="68"/>
        <v>1.170412E-3</v>
      </c>
    </row>
    <row r="719" spans="1:14" outlineLevel="1">
      <c r="A719" s="1499">
        <f t="shared" si="72"/>
        <v>91</v>
      </c>
      <c r="B719" s="1539" t="str">
        <f t="shared" si="72"/>
        <v>Asset Recived From Project-U#8-CHP-IMPACT CRUSHER-10515</v>
      </c>
      <c r="C719" s="1491" t="str">
        <f t="shared" si="72"/>
        <v>N.A.</v>
      </c>
      <c r="D719" s="1531" t="str">
        <f t="shared" si="72"/>
        <v>-</v>
      </c>
      <c r="E719" s="1318">
        <f t="shared" si="72"/>
        <v>0</v>
      </c>
      <c r="F719" s="1437">
        <f t="shared" si="65"/>
        <v>2.0637770000000001E-3</v>
      </c>
      <c r="G719" s="1437">
        <f t="shared" si="66"/>
        <v>0</v>
      </c>
      <c r="H719" s="1437">
        <f t="shared" si="67"/>
        <v>2.0637770000000001E-3</v>
      </c>
      <c r="I719" s="1437">
        <v>0</v>
      </c>
      <c r="J719" s="1437">
        <v>0</v>
      </c>
      <c r="K719" s="1438"/>
      <c r="L719" s="1438"/>
      <c r="M719" s="1437">
        <f t="shared" si="69"/>
        <v>0</v>
      </c>
      <c r="N719" s="1437">
        <f t="shared" si="68"/>
        <v>2.0637770000000001E-3</v>
      </c>
    </row>
    <row r="720" spans="1:14" outlineLevel="1">
      <c r="A720" s="1499">
        <f t="shared" si="72"/>
        <v>92</v>
      </c>
      <c r="B720" s="1539" t="str">
        <f t="shared" si="72"/>
        <v>Project-U#8-CHP-STRACKER CUM RECLAIMER-10515</v>
      </c>
      <c r="C720" s="1491" t="str">
        <f t="shared" si="72"/>
        <v>N.A.</v>
      </c>
      <c r="D720" s="1531" t="str">
        <f t="shared" si="72"/>
        <v>-</v>
      </c>
      <c r="E720" s="1318">
        <f t="shared" si="72"/>
        <v>0</v>
      </c>
      <c r="F720" s="1437">
        <f t="shared" si="65"/>
        <v>8.2014210000000004E-3</v>
      </c>
      <c r="G720" s="1437">
        <f t="shared" si="66"/>
        <v>0</v>
      </c>
      <c r="H720" s="1437">
        <f t="shared" si="67"/>
        <v>8.2014210000000004E-3</v>
      </c>
      <c r="I720" s="1437">
        <v>0</v>
      </c>
      <c r="J720" s="1437">
        <v>0</v>
      </c>
      <c r="K720" s="1438"/>
      <c r="L720" s="1438"/>
      <c r="M720" s="1437">
        <f t="shared" si="69"/>
        <v>0</v>
      </c>
      <c r="N720" s="1437">
        <f t="shared" si="68"/>
        <v>8.2014210000000004E-3</v>
      </c>
    </row>
    <row r="721" spans="1:14" outlineLevel="1">
      <c r="A721" s="1499">
        <f t="shared" ref="A721:E736" si="73">A328</f>
        <v>93</v>
      </c>
      <c r="B721" s="1539" t="str">
        <f t="shared" si="73"/>
        <v>Project-U#8-CHP-SIDE DISCHARGE TYPE WAGON TRIPPLER</v>
      </c>
      <c r="C721" s="1491" t="str">
        <f t="shared" si="73"/>
        <v>N.A.</v>
      </c>
      <c r="D721" s="1531" t="str">
        <f t="shared" si="73"/>
        <v>-</v>
      </c>
      <c r="E721" s="1318">
        <f t="shared" si="73"/>
        <v>0</v>
      </c>
      <c r="F721" s="1437">
        <f t="shared" ref="F721:F784" si="74">F328+I328</f>
        <v>7.783575E-3</v>
      </c>
      <c r="G721" s="1437">
        <f t="shared" ref="G721:G784" si="75">G328+M328</f>
        <v>0</v>
      </c>
      <c r="H721" s="1437">
        <f t="shared" si="67"/>
        <v>7.783575E-3</v>
      </c>
      <c r="I721" s="1437">
        <v>0</v>
      </c>
      <c r="J721" s="1437">
        <v>0</v>
      </c>
      <c r="K721" s="1438"/>
      <c r="L721" s="1438"/>
      <c r="M721" s="1437">
        <f t="shared" si="69"/>
        <v>0</v>
      </c>
      <c r="N721" s="1437">
        <f t="shared" si="68"/>
        <v>7.783575E-3</v>
      </c>
    </row>
    <row r="722" spans="1:14" outlineLevel="1">
      <c r="A722" s="1499">
        <f t="shared" si="73"/>
        <v>94</v>
      </c>
      <c r="B722" s="1539" t="str">
        <f t="shared" si="73"/>
        <v>Project-U#8-Coal Handling Plant-M.S.-10515</v>
      </c>
      <c r="C722" s="1491" t="str">
        <f t="shared" si="73"/>
        <v>N.A.</v>
      </c>
      <c r="D722" s="1531" t="str">
        <f t="shared" si="73"/>
        <v>-</v>
      </c>
      <c r="E722" s="1318">
        <f t="shared" si="73"/>
        <v>0</v>
      </c>
      <c r="F722" s="1437">
        <f t="shared" si="74"/>
        <v>3.4267400000000001E-4</v>
      </c>
      <c r="G722" s="1437">
        <f t="shared" si="75"/>
        <v>0</v>
      </c>
      <c r="H722" s="1437">
        <f t="shared" ref="H722:H785" si="76">F722-G722</f>
        <v>3.4267400000000001E-4</v>
      </c>
      <c r="I722" s="1437">
        <v>0</v>
      </c>
      <c r="J722" s="1437">
        <v>0</v>
      </c>
      <c r="K722" s="1438"/>
      <c r="L722" s="1438"/>
      <c r="M722" s="1437">
        <f t="shared" si="69"/>
        <v>0</v>
      </c>
      <c r="N722" s="1437">
        <f t="shared" ref="N722:N785" si="77">H722+I722-M722</f>
        <v>3.4267400000000001E-4</v>
      </c>
    </row>
    <row r="723" spans="1:14" outlineLevel="1">
      <c r="A723" s="1499">
        <f t="shared" si="73"/>
        <v>95</v>
      </c>
      <c r="B723" s="1539" t="str">
        <f t="shared" si="73"/>
        <v>Project-U#8-communication system-10572</v>
      </c>
      <c r="C723" s="1491" t="str">
        <f t="shared" si="73"/>
        <v>N.A.</v>
      </c>
      <c r="D723" s="1531" t="str">
        <f t="shared" si="73"/>
        <v>-</v>
      </c>
      <c r="E723" s="1318">
        <f t="shared" si="73"/>
        <v>0</v>
      </c>
      <c r="F723" s="1437">
        <f t="shared" si="74"/>
        <v>1.92531E-3</v>
      </c>
      <c r="G723" s="1437">
        <f t="shared" si="75"/>
        <v>0</v>
      </c>
      <c r="H723" s="1437">
        <f t="shared" si="76"/>
        <v>1.92531E-3</v>
      </c>
      <c r="I723" s="1437">
        <v>0</v>
      </c>
      <c r="J723" s="1437">
        <v>0</v>
      </c>
      <c r="K723" s="1438"/>
      <c r="L723" s="1438"/>
      <c r="M723" s="1437">
        <f t="shared" ref="M723:M786" si="78">SUM(J723:L723)</f>
        <v>0</v>
      </c>
      <c r="N723" s="1437">
        <f t="shared" si="77"/>
        <v>1.92531E-3</v>
      </c>
    </row>
    <row r="724" spans="1:14" outlineLevel="1">
      <c r="A724" s="1499">
        <f t="shared" si="73"/>
        <v>96</v>
      </c>
      <c r="B724" s="1539" t="str">
        <f t="shared" si="73"/>
        <v>Project-U#8-UPS INVERTORS-10563</v>
      </c>
      <c r="C724" s="1491" t="str">
        <f t="shared" si="73"/>
        <v>N.A.</v>
      </c>
      <c r="D724" s="1531" t="str">
        <f t="shared" si="73"/>
        <v>-</v>
      </c>
      <c r="E724" s="1318">
        <f t="shared" si="73"/>
        <v>0</v>
      </c>
      <c r="F724" s="1437">
        <f t="shared" si="74"/>
        <v>5.1465199999999999E-4</v>
      </c>
      <c r="G724" s="1437">
        <f t="shared" si="75"/>
        <v>0</v>
      </c>
      <c r="H724" s="1437">
        <f t="shared" si="76"/>
        <v>5.1465199999999999E-4</v>
      </c>
      <c r="I724" s="1437">
        <v>0</v>
      </c>
      <c r="J724" s="1437">
        <v>0</v>
      </c>
      <c r="K724" s="1438"/>
      <c r="L724" s="1438"/>
      <c r="M724" s="1437">
        <f t="shared" si="78"/>
        <v>0</v>
      </c>
      <c r="N724" s="1437">
        <f t="shared" si="77"/>
        <v>5.1465199999999999E-4</v>
      </c>
    </row>
    <row r="725" spans="1:14" outlineLevel="1">
      <c r="A725" s="1499">
        <f t="shared" si="73"/>
        <v>97</v>
      </c>
      <c r="B725" s="1539" t="str">
        <f t="shared" si="73"/>
        <v>Project-U#8-UPS ACDS-10563</v>
      </c>
      <c r="C725" s="1491" t="str">
        <f t="shared" si="73"/>
        <v>N.A.</v>
      </c>
      <c r="D725" s="1531" t="str">
        <f t="shared" si="73"/>
        <v>-</v>
      </c>
      <c r="E725" s="1318">
        <f t="shared" si="73"/>
        <v>0</v>
      </c>
      <c r="F725" s="1437">
        <f t="shared" si="74"/>
        <v>8.9956000000000004E-5</v>
      </c>
      <c r="G725" s="1437">
        <f t="shared" si="75"/>
        <v>0</v>
      </c>
      <c r="H725" s="1437">
        <f t="shared" si="76"/>
        <v>8.9956000000000004E-5</v>
      </c>
      <c r="I725" s="1437">
        <v>0</v>
      </c>
      <c r="J725" s="1437">
        <v>0</v>
      </c>
      <c r="K725" s="1438"/>
      <c r="L725" s="1438"/>
      <c r="M725" s="1437">
        <f t="shared" si="78"/>
        <v>0</v>
      </c>
      <c r="N725" s="1437">
        <f t="shared" si="77"/>
        <v>8.9956000000000004E-5</v>
      </c>
    </row>
    <row r="726" spans="1:14" outlineLevel="1">
      <c r="A726" s="1499">
        <f t="shared" si="73"/>
        <v>98</v>
      </c>
      <c r="B726" s="1539" t="str">
        <f t="shared" si="73"/>
        <v>Project-U#8-UPS BATTERIRERS-10563</v>
      </c>
      <c r="C726" s="1491" t="str">
        <f t="shared" si="73"/>
        <v>N.A.</v>
      </c>
      <c r="D726" s="1531" t="str">
        <f t="shared" si="73"/>
        <v>-</v>
      </c>
      <c r="E726" s="1318">
        <f t="shared" si="73"/>
        <v>0</v>
      </c>
      <c r="F726" s="1437">
        <f t="shared" si="74"/>
        <v>5.1465199999999999E-4</v>
      </c>
      <c r="G726" s="1437">
        <f t="shared" si="75"/>
        <v>0</v>
      </c>
      <c r="H726" s="1437">
        <f t="shared" si="76"/>
        <v>5.1465199999999999E-4</v>
      </c>
      <c r="I726" s="1437">
        <v>0</v>
      </c>
      <c r="J726" s="1437">
        <v>0</v>
      </c>
      <c r="K726" s="1438"/>
      <c r="L726" s="1438"/>
      <c r="M726" s="1437">
        <f t="shared" si="78"/>
        <v>0</v>
      </c>
      <c r="N726" s="1437">
        <f t="shared" si="77"/>
        <v>5.1465199999999999E-4</v>
      </c>
    </row>
    <row r="727" spans="1:14" outlineLevel="1">
      <c r="A727" s="1499">
        <f t="shared" si="73"/>
        <v>99</v>
      </c>
      <c r="B727" s="1539" t="str">
        <f t="shared" si="73"/>
        <v>Project-U#8-24V BATTERY CHARGERS (SGTG)-10563</v>
      </c>
      <c r="C727" s="1491" t="str">
        <f t="shared" si="73"/>
        <v>N.A.</v>
      </c>
      <c r="D727" s="1531" t="str">
        <f t="shared" si="73"/>
        <v>-</v>
      </c>
      <c r="E727" s="1318">
        <f t="shared" si="73"/>
        <v>0</v>
      </c>
      <c r="F727" s="1437">
        <f t="shared" si="74"/>
        <v>2.28734E-4</v>
      </c>
      <c r="G727" s="1437">
        <f t="shared" si="75"/>
        <v>0</v>
      </c>
      <c r="H727" s="1437">
        <f t="shared" si="76"/>
        <v>2.28734E-4</v>
      </c>
      <c r="I727" s="1437">
        <v>0</v>
      </c>
      <c r="J727" s="1437">
        <v>0</v>
      </c>
      <c r="K727" s="1438"/>
      <c r="L727" s="1438"/>
      <c r="M727" s="1437">
        <f t="shared" si="78"/>
        <v>0</v>
      </c>
      <c r="N727" s="1437">
        <f t="shared" si="77"/>
        <v>2.28734E-4</v>
      </c>
    </row>
    <row r="728" spans="1:14" outlineLevel="1">
      <c r="A728" s="1499">
        <f t="shared" si="73"/>
        <v>100</v>
      </c>
      <c r="B728" s="1539" t="str">
        <f t="shared" si="73"/>
        <v>Project-U#8-24V BATTERY CHARGERS (BOP)-10563</v>
      </c>
      <c r="C728" s="1491" t="str">
        <f t="shared" si="73"/>
        <v>N.A.</v>
      </c>
      <c r="D728" s="1531" t="str">
        <f t="shared" si="73"/>
        <v>-</v>
      </c>
      <c r="E728" s="1318">
        <f t="shared" si="73"/>
        <v>0</v>
      </c>
      <c r="F728" s="1437">
        <f t="shared" si="74"/>
        <v>2.28734E-4</v>
      </c>
      <c r="G728" s="1437">
        <f t="shared" si="75"/>
        <v>0</v>
      </c>
      <c r="H728" s="1437">
        <f t="shared" si="76"/>
        <v>2.28734E-4</v>
      </c>
      <c r="I728" s="1437">
        <v>0</v>
      </c>
      <c r="J728" s="1437">
        <v>0</v>
      </c>
      <c r="K728" s="1438"/>
      <c r="L728" s="1438"/>
      <c r="M728" s="1437">
        <f t="shared" si="78"/>
        <v>0</v>
      </c>
      <c r="N728" s="1437">
        <f t="shared" si="77"/>
        <v>2.28734E-4</v>
      </c>
    </row>
    <row r="729" spans="1:14" outlineLevel="1">
      <c r="A729" s="1499">
        <f t="shared" si="73"/>
        <v>101</v>
      </c>
      <c r="B729" s="1539" t="str">
        <f t="shared" si="73"/>
        <v>Project-U#8-BATTERIS FOR (SGTG)-10563</v>
      </c>
      <c r="C729" s="1491" t="str">
        <f t="shared" si="73"/>
        <v>N.A.</v>
      </c>
      <c r="D729" s="1531" t="str">
        <f t="shared" si="73"/>
        <v>-</v>
      </c>
      <c r="E729" s="1318">
        <f t="shared" si="73"/>
        <v>0</v>
      </c>
      <c r="F729" s="1437">
        <f t="shared" si="74"/>
        <v>2.28734E-4</v>
      </c>
      <c r="G729" s="1437">
        <f t="shared" si="75"/>
        <v>0</v>
      </c>
      <c r="H729" s="1437">
        <f t="shared" si="76"/>
        <v>2.28734E-4</v>
      </c>
      <c r="I729" s="1437">
        <v>0</v>
      </c>
      <c r="J729" s="1437">
        <v>0</v>
      </c>
      <c r="K729" s="1438"/>
      <c r="L729" s="1438"/>
      <c r="M729" s="1437">
        <f t="shared" si="78"/>
        <v>0</v>
      </c>
      <c r="N729" s="1437">
        <f t="shared" si="77"/>
        <v>2.28734E-4</v>
      </c>
    </row>
    <row r="730" spans="1:14" outlineLevel="1">
      <c r="A730" s="1499">
        <f t="shared" si="73"/>
        <v>102</v>
      </c>
      <c r="B730" s="1539" t="str">
        <f t="shared" si="73"/>
        <v>Project-U#8-BATTERIS FOR (BOP)-10563</v>
      </c>
      <c r="C730" s="1491" t="str">
        <f t="shared" si="73"/>
        <v>N.A.</v>
      </c>
      <c r="D730" s="1531" t="str">
        <f t="shared" si="73"/>
        <v>-</v>
      </c>
      <c r="E730" s="1318">
        <f t="shared" si="73"/>
        <v>0</v>
      </c>
      <c r="F730" s="1437">
        <f t="shared" si="74"/>
        <v>2.28734E-4</v>
      </c>
      <c r="G730" s="1437">
        <f t="shared" si="75"/>
        <v>0</v>
      </c>
      <c r="H730" s="1437">
        <f t="shared" si="76"/>
        <v>2.28734E-4</v>
      </c>
      <c r="I730" s="1437">
        <v>0</v>
      </c>
      <c r="J730" s="1437">
        <v>0</v>
      </c>
      <c r="K730" s="1438"/>
      <c r="L730" s="1438"/>
      <c r="M730" s="1437">
        <f t="shared" si="78"/>
        <v>0</v>
      </c>
      <c r="N730" s="1437">
        <f t="shared" si="77"/>
        <v>2.28734E-4</v>
      </c>
    </row>
    <row r="731" spans="1:14" outlineLevel="1">
      <c r="A731" s="1499">
        <f t="shared" si="73"/>
        <v>103</v>
      </c>
      <c r="B731" s="1539" t="str">
        <f t="shared" si="73"/>
        <v>Project-U#8-DCDB(SGTG)-10563</v>
      </c>
      <c r="C731" s="1491" t="str">
        <f t="shared" si="73"/>
        <v>N.A.</v>
      </c>
      <c r="D731" s="1531" t="str">
        <f t="shared" si="73"/>
        <v>-</v>
      </c>
      <c r="E731" s="1318">
        <f t="shared" si="73"/>
        <v>0</v>
      </c>
      <c r="F731" s="1437">
        <f t="shared" si="74"/>
        <v>5.7182999999999998E-5</v>
      </c>
      <c r="G731" s="1437">
        <f t="shared" si="75"/>
        <v>0</v>
      </c>
      <c r="H731" s="1437">
        <f t="shared" si="76"/>
        <v>5.7182999999999998E-5</v>
      </c>
      <c r="I731" s="1437">
        <v>0</v>
      </c>
      <c r="J731" s="1437">
        <v>0</v>
      </c>
      <c r="K731" s="1438"/>
      <c r="L731" s="1438"/>
      <c r="M731" s="1437">
        <f t="shared" si="78"/>
        <v>0</v>
      </c>
      <c r="N731" s="1437">
        <f t="shared" si="77"/>
        <v>5.7182999999999998E-5</v>
      </c>
    </row>
    <row r="732" spans="1:14" outlineLevel="1">
      <c r="A732" s="1499">
        <f t="shared" si="73"/>
        <v>104</v>
      </c>
      <c r="B732" s="1539" t="str">
        <f t="shared" si="73"/>
        <v>Project-U#8-DCDB(BOP)-10563</v>
      </c>
      <c r="C732" s="1491" t="str">
        <f t="shared" si="73"/>
        <v>N.A.</v>
      </c>
      <c r="D732" s="1531" t="str">
        <f t="shared" si="73"/>
        <v>-</v>
      </c>
      <c r="E732" s="1318">
        <f t="shared" si="73"/>
        <v>0</v>
      </c>
      <c r="F732" s="1437">
        <f t="shared" si="74"/>
        <v>5.7182999999999998E-5</v>
      </c>
      <c r="G732" s="1437">
        <f t="shared" si="75"/>
        <v>0</v>
      </c>
      <c r="H732" s="1437">
        <f t="shared" si="76"/>
        <v>5.7182999999999998E-5</v>
      </c>
      <c r="I732" s="1437">
        <v>0</v>
      </c>
      <c r="J732" s="1437">
        <v>0</v>
      </c>
      <c r="K732" s="1438"/>
      <c r="L732" s="1438"/>
      <c r="M732" s="1437">
        <f t="shared" si="78"/>
        <v>0</v>
      </c>
      <c r="N732" s="1437">
        <f t="shared" si="77"/>
        <v>5.7182999999999998E-5</v>
      </c>
    </row>
    <row r="733" spans="1:14" outlineLevel="1">
      <c r="A733" s="1499">
        <f t="shared" si="73"/>
        <v>105</v>
      </c>
      <c r="B733" s="1539" t="str">
        <f t="shared" si="73"/>
        <v>Project-U#8-Controls &amp; Instru. for Main Plant(BTG)</v>
      </c>
      <c r="C733" s="1491" t="str">
        <f t="shared" si="73"/>
        <v>N.A.</v>
      </c>
      <c r="D733" s="1531" t="str">
        <f t="shared" si="73"/>
        <v>-</v>
      </c>
      <c r="E733" s="1318">
        <f t="shared" si="73"/>
        <v>0</v>
      </c>
      <c r="F733" s="1437">
        <f t="shared" si="74"/>
        <v>4.4292073000000001E-2</v>
      </c>
      <c r="G733" s="1437">
        <f t="shared" si="75"/>
        <v>0</v>
      </c>
      <c r="H733" s="1437">
        <f t="shared" si="76"/>
        <v>4.4292073000000001E-2</v>
      </c>
      <c r="I733" s="1437">
        <v>0</v>
      </c>
      <c r="J733" s="1437">
        <v>0</v>
      </c>
      <c r="K733" s="1438"/>
      <c r="L733" s="1438"/>
      <c r="M733" s="1437">
        <f t="shared" si="78"/>
        <v>0</v>
      </c>
      <c r="N733" s="1437">
        <f t="shared" si="77"/>
        <v>4.4292073000000001E-2</v>
      </c>
    </row>
    <row r="734" spans="1:14" outlineLevel="1">
      <c r="A734" s="1499">
        <f t="shared" si="73"/>
        <v>106</v>
      </c>
      <c r="B734" s="1539" t="str">
        <f t="shared" si="73"/>
        <v>Project-U#8-CW Chlorination system-10509</v>
      </c>
      <c r="C734" s="1491" t="str">
        <f t="shared" si="73"/>
        <v>N.A.</v>
      </c>
      <c r="D734" s="1531" t="str">
        <f t="shared" si="73"/>
        <v>-</v>
      </c>
      <c r="E734" s="1318">
        <f t="shared" si="73"/>
        <v>0</v>
      </c>
      <c r="F734" s="1437">
        <f t="shared" si="74"/>
        <v>1.1973800000000001E-3</v>
      </c>
      <c r="G734" s="1437">
        <f t="shared" si="75"/>
        <v>0</v>
      </c>
      <c r="H734" s="1437">
        <f t="shared" si="76"/>
        <v>1.1973800000000001E-3</v>
      </c>
      <c r="I734" s="1437">
        <v>0</v>
      </c>
      <c r="J734" s="1437">
        <v>0</v>
      </c>
      <c r="K734" s="1438"/>
      <c r="L734" s="1438"/>
      <c r="M734" s="1437">
        <f t="shared" si="78"/>
        <v>0</v>
      </c>
      <c r="N734" s="1437">
        <f t="shared" si="77"/>
        <v>1.1973800000000001E-3</v>
      </c>
    </row>
    <row r="735" spans="1:14" outlineLevel="1">
      <c r="A735" s="1499">
        <f t="shared" si="73"/>
        <v>107</v>
      </c>
      <c r="B735" s="1539" t="str">
        <f t="shared" si="73"/>
        <v>Project-U#8-D.G.SET-10509</v>
      </c>
      <c r="C735" s="1491" t="str">
        <f t="shared" si="73"/>
        <v>N.A.</v>
      </c>
      <c r="D735" s="1531" t="str">
        <f t="shared" si="73"/>
        <v>-</v>
      </c>
      <c r="E735" s="1318">
        <f t="shared" si="73"/>
        <v>0</v>
      </c>
      <c r="F735" s="1437">
        <f t="shared" si="74"/>
        <v>3.7894E-5</v>
      </c>
      <c r="G735" s="1437">
        <f t="shared" si="75"/>
        <v>0</v>
      </c>
      <c r="H735" s="1437">
        <f t="shared" si="76"/>
        <v>3.7894E-5</v>
      </c>
      <c r="I735" s="1437">
        <v>0</v>
      </c>
      <c r="J735" s="1437">
        <v>0</v>
      </c>
      <c r="K735" s="1438"/>
      <c r="L735" s="1438"/>
      <c r="M735" s="1437">
        <f t="shared" si="78"/>
        <v>0</v>
      </c>
      <c r="N735" s="1437">
        <f t="shared" si="77"/>
        <v>3.7894E-5</v>
      </c>
    </row>
    <row r="736" spans="1:14" outlineLevel="1">
      <c r="A736" s="1499">
        <f t="shared" si="73"/>
        <v>108</v>
      </c>
      <c r="B736" s="1539" t="str">
        <f t="shared" si="73"/>
        <v>Project-U#8-D.M.Water System-10509</v>
      </c>
      <c r="C736" s="1491" t="str">
        <f t="shared" si="73"/>
        <v>N.A.</v>
      </c>
      <c r="D736" s="1531" t="str">
        <f t="shared" si="73"/>
        <v>-</v>
      </c>
      <c r="E736" s="1318">
        <f t="shared" si="73"/>
        <v>0</v>
      </c>
      <c r="F736" s="1437">
        <f t="shared" si="74"/>
        <v>5.7850250000000001E-3</v>
      </c>
      <c r="G736" s="1437">
        <f t="shared" si="75"/>
        <v>0</v>
      </c>
      <c r="H736" s="1437">
        <f t="shared" si="76"/>
        <v>5.7850250000000001E-3</v>
      </c>
      <c r="I736" s="1437">
        <v>0</v>
      </c>
      <c r="J736" s="1437">
        <v>0</v>
      </c>
      <c r="K736" s="1438"/>
      <c r="L736" s="1438"/>
      <c r="M736" s="1437">
        <f t="shared" si="78"/>
        <v>0</v>
      </c>
      <c r="N736" s="1437">
        <f t="shared" si="77"/>
        <v>5.7850250000000001E-3</v>
      </c>
    </row>
    <row r="737" spans="1:14" outlineLevel="1">
      <c r="A737" s="1499">
        <f t="shared" ref="A737:E752" si="79">A344</f>
        <v>109</v>
      </c>
      <c r="B737" s="1539" t="str">
        <f t="shared" si="79"/>
        <v>Project-U#8-DG set- Manadatory Spares-10509</v>
      </c>
      <c r="C737" s="1491" t="str">
        <f t="shared" si="79"/>
        <v>N.A.</v>
      </c>
      <c r="D737" s="1531" t="str">
        <f t="shared" si="79"/>
        <v>-</v>
      </c>
      <c r="E737" s="1318">
        <f t="shared" si="79"/>
        <v>0</v>
      </c>
      <c r="F737" s="1437">
        <f t="shared" si="74"/>
        <v>2.5003999999999998E-4</v>
      </c>
      <c r="G737" s="1437">
        <f t="shared" si="75"/>
        <v>0</v>
      </c>
      <c r="H737" s="1437">
        <f t="shared" si="76"/>
        <v>2.5003999999999998E-4</v>
      </c>
      <c r="I737" s="1437">
        <v>0</v>
      </c>
      <c r="J737" s="1437">
        <v>0</v>
      </c>
      <c r="K737" s="1438"/>
      <c r="L737" s="1438"/>
      <c r="M737" s="1437">
        <f t="shared" si="78"/>
        <v>0</v>
      </c>
      <c r="N737" s="1437">
        <f t="shared" si="77"/>
        <v>2.5003999999999998E-4</v>
      </c>
    </row>
    <row r="738" spans="1:14" outlineLevel="1">
      <c r="A738" s="1499">
        <f t="shared" si="79"/>
        <v>110</v>
      </c>
      <c r="B738" s="1539" t="str">
        <f t="shared" si="79"/>
        <v>Project-U#8-DG Set Room cum Air Compressor House</v>
      </c>
      <c r="C738" s="1491" t="str">
        <f t="shared" si="79"/>
        <v>N.A.</v>
      </c>
      <c r="D738" s="1531" t="str">
        <f t="shared" si="79"/>
        <v>-</v>
      </c>
      <c r="E738" s="1318">
        <f t="shared" si="79"/>
        <v>0</v>
      </c>
      <c r="F738" s="1437">
        <f t="shared" si="74"/>
        <v>5.5794089999999996E-3</v>
      </c>
      <c r="G738" s="1437">
        <f t="shared" si="75"/>
        <v>0</v>
      </c>
      <c r="H738" s="1437">
        <f t="shared" si="76"/>
        <v>5.5794089999999996E-3</v>
      </c>
      <c r="I738" s="1437">
        <v>0</v>
      </c>
      <c r="J738" s="1437">
        <v>0</v>
      </c>
      <c r="K738" s="1438"/>
      <c r="L738" s="1438"/>
      <c r="M738" s="1437">
        <f t="shared" si="78"/>
        <v>0</v>
      </c>
      <c r="N738" s="1437">
        <f t="shared" si="77"/>
        <v>5.5794089999999996E-3</v>
      </c>
    </row>
    <row r="739" spans="1:14" outlineLevel="1">
      <c r="A739" s="1499">
        <f t="shared" si="79"/>
        <v>111</v>
      </c>
      <c r="B739" s="1539" t="str">
        <f t="shared" si="79"/>
        <v>Project-U#8-Steel for TechnologicalStructure-10501</v>
      </c>
      <c r="C739" s="1491" t="str">
        <f t="shared" si="79"/>
        <v>N.A.</v>
      </c>
      <c r="D739" s="1531" t="str">
        <f t="shared" si="79"/>
        <v>-</v>
      </c>
      <c r="E739" s="1318">
        <f t="shared" si="79"/>
        <v>0</v>
      </c>
      <c r="F739" s="1437">
        <f t="shared" si="74"/>
        <v>0.14835727600000001</v>
      </c>
      <c r="G739" s="1437">
        <f t="shared" si="75"/>
        <v>0</v>
      </c>
      <c r="H739" s="1437">
        <f t="shared" si="76"/>
        <v>0.14835727600000001</v>
      </c>
      <c r="I739" s="1437">
        <v>0</v>
      </c>
      <c r="J739" s="1437">
        <v>0</v>
      </c>
      <c r="K739" s="1438"/>
      <c r="L739" s="1438"/>
      <c r="M739" s="1437">
        <f t="shared" si="78"/>
        <v>0</v>
      </c>
      <c r="N739" s="1437">
        <f t="shared" si="77"/>
        <v>0.14835727600000001</v>
      </c>
    </row>
    <row r="740" spans="1:14" outlineLevel="1">
      <c r="A740" s="1499">
        <f t="shared" si="79"/>
        <v>112</v>
      </c>
      <c r="B740" s="1539" t="str">
        <f t="shared" si="79"/>
        <v>Project-U#8-Electrical Package for BOP-10509</v>
      </c>
      <c r="C740" s="1491" t="str">
        <f t="shared" si="79"/>
        <v>N.A.</v>
      </c>
      <c r="D740" s="1531" t="str">
        <f t="shared" si="79"/>
        <v>-</v>
      </c>
      <c r="E740" s="1318">
        <f t="shared" si="79"/>
        <v>0</v>
      </c>
      <c r="F740" s="1437">
        <f t="shared" si="74"/>
        <v>2.4904469999999998E-3</v>
      </c>
      <c r="G740" s="1437">
        <f t="shared" si="75"/>
        <v>0</v>
      </c>
      <c r="H740" s="1437">
        <f t="shared" si="76"/>
        <v>2.4904469999999998E-3</v>
      </c>
      <c r="I740" s="1437">
        <v>0</v>
      </c>
      <c r="J740" s="1437">
        <v>0</v>
      </c>
      <c r="K740" s="1438"/>
      <c r="L740" s="1438"/>
      <c r="M740" s="1437">
        <f t="shared" si="78"/>
        <v>0</v>
      </c>
      <c r="N740" s="1437">
        <f t="shared" si="77"/>
        <v>2.4904469999999998E-3</v>
      </c>
    </row>
    <row r="741" spans="1:14" outlineLevel="1">
      <c r="A741" s="1499">
        <f t="shared" si="79"/>
        <v>113</v>
      </c>
      <c r="B741" s="1539" t="str">
        <f t="shared" si="79"/>
        <v>Project-U#8-Electrical CHARGES-10509</v>
      </c>
      <c r="C741" s="1491" t="str">
        <f t="shared" si="79"/>
        <v>N.A.</v>
      </c>
      <c r="D741" s="1531" t="str">
        <f t="shared" si="79"/>
        <v>-</v>
      </c>
      <c r="E741" s="1318">
        <f t="shared" si="79"/>
        <v>0</v>
      </c>
      <c r="F741" s="1437">
        <f t="shared" si="74"/>
        <v>4.1155000000000002E-5</v>
      </c>
      <c r="G741" s="1437">
        <f t="shared" si="75"/>
        <v>0</v>
      </c>
      <c r="H741" s="1437">
        <f t="shared" si="76"/>
        <v>4.1155000000000002E-5</v>
      </c>
      <c r="I741" s="1437">
        <v>0</v>
      </c>
      <c r="J741" s="1437">
        <v>0</v>
      </c>
      <c r="K741" s="1438"/>
      <c r="L741" s="1438"/>
      <c r="M741" s="1437">
        <f t="shared" si="78"/>
        <v>0</v>
      </c>
      <c r="N741" s="1437">
        <f t="shared" si="77"/>
        <v>4.1155000000000002E-5</v>
      </c>
    </row>
    <row r="742" spans="1:14" outlineLevel="1">
      <c r="A742" s="1499">
        <f t="shared" si="79"/>
        <v>114</v>
      </c>
      <c r="B742" s="1539" t="str">
        <f t="shared" si="79"/>
        <v>Project-U#8-Electrical Package for BOP-Mandatory</v>
      </c>
      <c r="C742" s="1491" t="str">
        <f t="shared" si="79"/>
        <v>N.A.</v>
      </c>
      <c r="D742" s="1531" t="str">
        <f t="shared" si="79"/>
        <v>-</v>
      </c>
      <c r="E742" s="1318">
        <f t="shared" si="79"/>
        <v>0</v>
      </c>
      <c r="F742" s="1437">
        <f t="shared" si="74"/>
        <v>2.7569600000000002E-4</v>
      </c>
      <c r="G742" s="1437">
        <f t="shared" si="75"/>
        <v>0</v>
      </c>
      <c r="H742" s="1437">
        <f t="shared" si="76"/>
        <v>2.7569600000000002E-4</v>
      </c>
      <c r="I742" s="1437">
        <v>0</v>
      </c>
      <c r="J742" s="1437">
        <v>0</v>
      </c>
      <c r="K742" s="1438"/>
      <c r="L742" s="1438"/>
      <c r="M742" s="1437">
        <f t="shared" si="78"/>
        <v>0</v>
      </c>
      <c r="N742" s="1437">
        <f t="shared" si="77"/>
        <v>2.7569600000000002E-4</v>
      </c>
    </row>
    <row r="743" spans="1:14" outlineLevel="1">
      <c r="A743" s="1499">
        <f t="shared" si="79"/>
        <v>115</v>
      </c>
      <c r="B743" s="1539" t="str">
        <f t="shared" si="79"/>
        <v>Project-U#8-Fire Protection, Alarm &amp; Detection</v>
      </c>
      <c r="C743" s="1491" t="str">
        <f t="shared" si="79"/>
        <v>N.A.</v>
      </c>
      <c r="D743" s="1531" t="str">
        <f t="shared" si="79"/>
        <v>-</v>
      </c>
      <c r="E743" s="1318">
        <f t="shared" si="79"/>
        <v>0</v>
      </c>
      <c r="F743" s="1437">
        <f t="shared" si="74"/>
        <v>7.1787910000000003E-3</v>
      </c>
      <c r="G743" s="1437">
        <f t="shared" si="75"/>
        <v>0</v>
      </c>
      <c r="H743" s="1437">
        <f t="shared" si="76"/>
        <v>7.1787910000000003E-3</v>
      </c>
      <c r="I743" s="1437">
        <v>0</v>
      </c>
      <c r="J743" s="1437">
        <v>0</v>
      </c>
      <c r="K743" s="1438"/>
      <c r="L743" s="1438"/>
      <c r="M743" s="1437">
        <f t="shared" si="78"/>
        <v>0</v>
      </c>
      <c r="N743" s="1437">
        <f t="shared" si="77"/>
        <v>7.1787910000000003E-3</v>
      </c>
    </row>
    <row r="744" spans="1:14" outlineLevel="1">
      <c r="A744" s="1499">
        <f t="shared" si="79"/>
        <v>116</v>
      </c>
      <c r="B744" s="1539" t="str">
        <f t="shared" si="79"/>
        <v>Project-U#8-Fuel Oil Pump House-10516</v>
      </c>
      <c r="C744" s="1491" t="str">
        <f t="shared" si="79"/>
        <v>N.A.</v>
      </c>
      <c r="D744" s="1531" t="str">
        <f t="shared" si="79"/>
        <v>-</v>
      </c>
      <c r="E744" s="1318">
        <f t="shared" si="79"/>
        <v>0</v>
      </c>
      <c r="F744" s="1437">
        <f t="shared" si="74"/>
        <v>4.0925400000000004E-3</v>
      </c>
      <c r="G744" s="1437">
        <f t="shared" si="75"/>
        <v>0</v>
      </c>
      <c r="H744" s="1437">
        <f t="shared" si="76"/>
        <v>4.0925400000000004E-3</v>
      </c>
      <c r="I744" s="1437">
        <v>0</v>
      </c>
      <c r="J744" s="1437">
        <v>0</v>
      </c>
      <c r="K744" s="1438"/>
      <c r="L744" s="1438"/>
      <c r="M744" s="1437">
        <f t="shared" si="78"/>
        <v>0</v>
      </c>
      <c r="N744" s="1437">
        <f t="shared" si="77"/>
        <v>4.0925400000000004E-3</v>
      </c>
    </row>
    <row r="745" spans="1:14" outlineLevel="1">
      <c r="A745" s="1499">
        <f t="shared" si="79"/>
        <v>117</v>
      </c>
      <c r="B745" s="1539" t="str">
        <f t="shared" si="79"/>
        <v>Project-U#8-Generator Transformer-10541</v>
      </c>
      <c r="C745" s="1491" t="str">
        <f t="shared" si="79"/>
        <v>N.A.</v>
      </c>
      <c r="D745" s="1531" t="str">
        <f t="shared" si="79"/>
        <v>-</v>
      </c>
      <c r="E745" s="1318">
        <f t="shared" si="79"/>
        <v>0</v>
      </c>
      <c r="F745" s="1437">
        <f t="shared" si="74"/>
        <v>1.2655415999999999E-2</v>
      </c>
      <c r="G745" s="1437">
        <f t="shared" si="75"/>
        <v>0</v>
      </c>
      <c r="H745" s="1437">
        <f t="shared" si="76"/>
        <v>1.2655415999999999E-2</v>
      </c>
      <c r="I745" s="1437">
        <v>0</v>
      </c>
      <c r="J745" s="1437">
        <v>0</v>
      </c>
      <c r="K745" s="1438"/>
      <c r="L745" s="1438"/>
      <c r="M745" s="1437">
        <f t="shared" si="78"/>
        <v>0</v>
      </c>
      <c r="N745" s="1437">
        <f t="shared" si="77"/>
        <v>1.2655415999999999E-2</v>
      </c>
    </row>
    <row r="746" spans="1:14" outlineLevel="1">
      <c r="A746" s="1499">
        <f t="shared" si="79"/>
        <v>118</v>
      </c>
      <c r="B746" s="1539" t="str">
        <f t="shared" si="79"/>
        <v>Project-U#8-Generator/Transformer protection</v>
      </c>
      <c r="C746" s="1491" t="str">
        <f t="shared" si="79"/>
        <v>N.A.</v>
      </c>
      <c r="D746" s="1531" t="str">
        <f t="shared" si="79"/>
        <v>-</v>
      </c>
      <c r="E746" s="1318">
        <f t="shared" si="79"/>
        <v>0</v>
      </c>
      <c r="F746" s="1437">
        <f t="shared" si="74"/>
        <v>2.45393E-4</v>
      </c>
      <c r="G746" s="1437">
        <f t="shared" si="75"/>
        <v>0</v>
      </c>
      <c r="H746" s="1437">
        <f t="shared" si="76"/>
        <v>2.45393E-4</v>
      </c>
      <c r="I746" s="1437">
        <v>0</v>
      </c>
      <c r="J746" s="1437">
        <v>0</v>
      </c>
      <c r="K746" s="1438"/>
      <c r="L746" s="1438"/>
      <c r="M746" s="1437">
        <f t="shared" si="78"/>
        <v>0</v>
      </c>
      <c r="N746" s="1437">
        <f t="shared" si="77"/>
        <v>2.45393E-4</v>
      </c>
    </row>
    <row r="747" spans="1:14" outlineLevel="1">
      <c r="A747" s="1499">
        <f t="shared" si="79"/>
        <v>119</v>
      </c>
      <c r="B747" s="1539" t="str">
        <f t="shared" si="79"/>
        <v>Project-U#8-H.T.Switchgear for main plant-10561</v>
      </c>
      <c r="C747" s="1491" t="str">
        <f t="shared" si="79"/>
        <v>N.A.</v>
      </c>
      <c r="D747" s="1531" t="str">
        <f t="shared" si="79"/>
        <v>-</v>
      </c>
      <c r="E747" s="1318">
        <f t="shared" si="79"/>
        <v>0</v>
      </c>
      <c r="F747" s="1437">
        <f t="shared" si="74"/>
        <v>2.5188164999999998E-2</v>
      </c>
      <c r="G747" s="1437">
        <f t="shared" si="75"/>
        <v>0</v>
      </c>
      <c r="H747" s="1437">
        <f t="shared" si="76"/>
        <v>2.5188164999999998E-2</v>
      </c>
      <c r="I747" s="1437">
        <v>0</v>
      </c>
      <c r="J747" s="1437">
        <v>0</v>
      </c>
      <c r="K747" s="1438"/>
      <c r="L747" s="1438"/>
      <c r="M747" s="1437">
        <f t="shared" si="78"/>
        <v>0</v>
      </c>
      <c r="N747" s="1437">
        <f t="shared" si="77"/>
        <v>2.5188164999999998E-2</v>
      </c>
    </row>
    <row r="748" spans="1:14" outlineLevel="1">
      <c r="A748" s="1499">
        <f t="shared" si="79"/>
        <v>120</v>
      </c>
      <c r="B748" s="1539" t="str">
        <f t="shared" si="79"/>
        <v>Project-U#8-Indoor &amp; Outdoor plant lighting-10599</v>
      </c>
      <c r="C748" s="1491" t="str">
        <f t="shared" si="79"/>
        <v>N.A.</v>
      </c>
      <c r="D748" s="1531" t="str">
        <f t="shared" si="79"/>
        <v>-</v>
      </c>
      <c r="E748" s="1318">
        <f t="shared" si="79"/>
        <v>0</v>
      </c>
      <c r="F748" s="1437">
        <f t="shared" si="74"/>
        <v>4.0770299999999998E-4</v>
      </c>
      <c r="G748" s="1437">
        <f t="shared" si="75"/>
        <v>0</v>
      </c>
      <c r="H748" s="1437">
        <f t="shared" si="76"/>
        <v>4.0770299999999998E-4</v>
      </c>
      <c r="I748" s="1437">
        <v>0</v>
      </c>
      <c r="J748" s="1437">
        <v>0</v>
      </c>
      <c r="K748" s="1438"/>
      <c r="L748" s="1438"/>
      <c r="M748" s="1437">
        <f t="shared" si="78"/>
        <v>0</v>
      </c>
      <c r="N748" s="1437">
        <f t="shared" si="77"/>
        <v>4.0770299999999998E-4</v>
      </c>
    </row>
    <row r="749" spans="1:14" outlineLevel="1">
      <c r="A749" s="1499">
        <f t="shared" si="79"/>
        <v>121</v>
      </c>
      <c r="B749" s="1539" t="str">
        <f t="shared" si="79"/>
        <v>Project-U#8-L.P.Piping including valves-10509</v>
      </c>
      <c r="C749" s="1491" t="str">
        <f t="shared" si="79"/>
        <v>N.A.</v>
      </c>
      <c r="D749" s="1531" t="str">
        <f t="shared" si="79"/>
        <v>-</v>
      </c>
      <c r="E749" s="1318">
        <f t="shared" si="79"/>
        <v>0</v>
      </c>
      <c r="F749" s="1437">
        <f t="shared" si="74"/>
        <v>3.8246069999999998E-3</v>
      </c>
      <c r="G749" s="1437">
        <f t="shared" si="75"/>
        <v>0</v>
      </c>
      <c r="H749" s="1437">
        <f t="shared" si="76"/>
        <v>3.8246069999999998E-3</v>
      </c>
      <c r="I749" s="1437">
        <v>0</v>
      </c>
      <c r="J749" s="1437">
        <v>0</v>
      </c>
      <c r="K749" s="1438"/>
      <c r="L749" s="1438"/>
      <c r="M749" s="1437">
        <f t="shared" si="78"/>
        <v>0</v>
      </c>
      <c r="N749" s="1437">
        <f t="shared" si="77"/>
        <v>3.8246069999999998E-3</v>
      </c>
    </row>
    <row r="750" spans="1:14" outlineLevel="1">
      <c r="A750" s="1499">
        <f t="shared" si="79"/>
        <v>122</v>
      </c>
      <c r="B750" s="1539" t="str">
        <f t="shared" si="79"/>
        <v>Project-U#8-L.T. Electrical for main plant.-10561</v>
      </c>
      <c r="C750" s="1491" t="str">
        <f t="shared" si="79"/>
        <v>N.A.</v>
      </c>
      <c r="D750" s="1531" t="str">
        <f t="shared" si="79"/>
        <v>-</v>
      </c>
      <c r="E750" s="1318">
        <f t="shared" si="79"/>
        <v>0</v>
      </c>
      <c r="F750" s="1437">
        <f t="shared" si="74"/>
        <v>8.7066999999999998E-5</v>
      </c>
      <c r="G750" s="1437">
        <f t="shared" si="75"/>
        <v>0</v>
      </c>
      <c r="H750" s="1437">
        <f t="shared" si="76"/>
        <v>8.7066999999999998E-5</v>
      </c>
      <c r="I750" s="1437">
        <v>0</v>
      </c>
      <c r="J750" s="1437">
        <v>0</v>
      </c>
      <c r="K750" s="1438"/>
      <c r="L750" s="1438"/>
      <c r="M750" s="1437">
        <f t="shared" si="78"/>
        <v>0</v>
      </c>
      <c r="N750" s="1437">
        <f t="shared" si="77"/>
        <v>8.7066999999999998E-5</v>
      </c>
    </row>
    <row r="751" spans="1:14" outlineLevel="1">
      <c r="A751" s="1499">
        <f t="shared" si="79"/>
        <v>123</v>
      </c>
      <c r="B751" s="1539" t="str">
        <f t="shared" si="79"/>
        <v>Project-U#8-Laying&amp;Termination of HT cables-10561</v>
      </c>
      <c r="C751" s="1491" t="str">
        <f t="shared" si="79"/>
        <v>N.A.</v>
      </c>
      <c r="D751" s="1531" t="str">
        <f t="shared" si="79"/>
        <v>-</v>
      </c>
      <c r="E751" s="1318">
        <f t="shared" si="79"/>
        <v>0</v>
      </c>
      <c r="F751" s="1437">
        <f t="shared" si="74"/>
        <v>8.2310499999999997E-4</v>
      </c>
      <c r="G751" s="1437">
        <f t="shared" si="75"/>
        <v>0</v>
      </c>
      <c r="H751" s="1437">
        <f t="shared" si="76"/>
        <v>8.2310499999999997E-4</v>
      </c>
      <c r="I751" s="1437">
        <v>0</v>
      </c>
      <c r="J751" s="1437">
        <v>0</v>
      </c>
      <c r="K751" s="1438"/>
      <c r="L751" s="1438"/>
      <c r="M751" s="1437">
        <f t="shared" si="78"/>
        <v>0</v>
      </c>
      <c r="N751" s="1437">
        <f t="shared" si="77"/>
        <v>8.2310499999999997E-4</v>
      </c>
    </row>
    <row r="752" spans="1:14" outlineLevel="1">
      <c r="A752" s="1499">
        <f t="shared" si="79"/>
        <v>124</v>
      </c>
      <c r="B752" s="1539" t="str">
        <f t="shared" si="79"/>
        <v>Project-U#8-MainBoiler Structure&amp;foundations-10501</v>
      </c>
      <c r="C752" s="1491" t="str">
        <f t="shared" si="79"/>
        <v>N.A.</v>
      </c>
      <c r="D752" s="1531" t="str">
        <f t="shared" si="79"/>
        <v>-</v>
      </c>
      <c r="E752" s="1318">
        <f t="shared" si="79"/>
        <v>0</v>
      </c>
      <c r="F752" s="1437">
        <f t="shared" si="74"/>
        <v>9.9409977999999996E-2</v>
      </c>
      <c r="G752" s="1437">
        <f t="shared" si="75"/>
        <v>0</v>
      </c>
      <c r="H752" s="1437">
        <f t="shared" si="76"/>
        <v>9.9409977999999996E-2</v>
      </c>
      <c r="I752" s="1437">
        <v>0</v>
      </c>
      <c r="J752" s="1437">
        <v>0</v>
      </c>
      <c r="K752" s="1438"/>
      <c r="L752" s="1438"/>
      <c r="M752" s="1437">
        <f t="shared" si="78"/>
        <v>0</v>
      </c>
      <c r="N752" s="1437">
        <f t="shared" si="77"/>
        <v>9.9409977999999996E-2</v>
      </c>
    </row>
    <row r="753" spans="1:14" outlineLevel="1">
      <c r="A753" s="1499">
        <f t="shared" ref="A753:E768" si="80">A360</f>
        <v>125</v>
      </c>
      <c r="B753" s="1539" t="str">
        <f t="shared" si="80"/>
        <v>Project-U#8-Mandatory Spares for Ash HandlingPlant</v>
      </c>
      <c r="C753" s="1491" t="str">
        <f t="shared" si="80"/>
        <v>N.A.</v>
      </c>
      <c r="D753" s="1531" t="str">
        <f t="shared" si="80"/>
        <v>-</v>
      </c>
      <c r="E753" s="1318">
        <f t="shared" si="80"/>
        <v>0</v>
      </c>
      <c r="F753" s="1437">
        <f t="shared" si="74"/>
        <v>1.561633E-3</v>
      </c>
      <c r="G753" s="1437">
        <f t="shared" si="75"/>
        <v>0</v>
      </c>
      <c r="H753" s="1437">
        <f t="shared" si="76"/>
        <v>1.561633E-3</v>
      </c>
      <c r="I753" s="1437">
        <v>0</v>
      </c>
      <c r="J753" s="1437">
        <v>0</v>
      </c>
      <c r="K753" s="1438"/>
      <c r="L753" s="1438"/>
      <c r="M753" s="1437">
        <f t="shared" si="78"/>
        <v>0</v>
      </c>
      <c r="N753" s="1437">
        <f t="shared" si="77"/>
        <v>1.561633E-3</v>
      </c>
    </row>
    <row r="754" spans="1:14" outlineLevel="1">
      <c r="A754" s="1499">
        <f t="shared" si="80"/>
        <v>126</v>
      </c>
      <c r="B754" s="1539" t="str">
        <f t="shared" si="80"/>
        <v>Project-U#8-Mandatory spares for C&amp;I of Main Plant</v>
      </c>
      <c r="C754" s="1491" t="str">
        <f t="shared" si="80"/>
        <v>N.A.</v>
      </c>
      <c r="D754" s="1531" t="str">
        <f t="shared" si="80"/>
        <v>-</v>
      </c>
      <c r="E754" s="1318">
        <f t="shared" si="80"/>
        <v>0</v>
      </c>
      <c r="F754" s="1437">
        <f t="shared" si="74"/>
        <v>5.0294800000000002E-3</v>
      </c>
      <c r="G754" s="1437">
        <f t="shared" si="75"/>
        <v>0</v>
      </c>
      <c r="H754" s="1437">
        <f t="shared" si="76"/>
        <v>5.0294800000000002E-3</v>
      </c>
      <c r="I754" s="1437">
        <v>0</v>
      </c>
      <c r="J754" s="1437">
        <v>0</v>
      </c>
      <c r="K754" s="1438"/>
      <c r="L754" s="1438"/>
      <c r="M754" s="1437">
        <f t="shared" si="78"/>
        <v>0</v>
      </c>
      <c r="N754" s="1437">
        <f t="shared" si="77"/>
        <v>5.0294800000000002E-3</v>
      </c>
    </row>
    <row r="755" spans="1:14" outlineLevel="1">
      <c r="A755" s="1499">
        <f t="shared" si="80"/>
        <v>127</v>
      </c>
      <c r="B755" s="1539" t="str">
        <f t="shared" si="80"/>
        <v>Project-U#8-Mandatory Spares for Electrical MainPa</v>
      </c>
      <c r="C755" s="1491" t="str">
        <f t="shared" si="80"/>
        <v>N.A.</v>
      </c>
      <c r="D755" s="1531" t="str">
        <f t="shared" si="80"/>
        <v>-</v>
      </c>
      <c r="E755" s="1318">
        <f t="shared" si="80"/>
        <v>0</v>
      </c>
      <c r="F755" s="1437">
        <f t="shared" si="74"/>
        <v>1.5600531000000001E-2</v>
      </c>
      <c r="G755" s="1437">
        <f t="shared" si="75"/>
        <v>0</v>
      </c>
      <c r="H755" s="1437">
        <f t="shared" si="76"/>
        <v>1.5600531000000001E-2</v>
      </c>
      <c r="I755" s="1437">
        <v>0</v>
      </c>
      <c r="J755" s="1437">
        <v>0</v>
      </c>
      <c r="K755" s="1438"/>
      <c r="L755" s="1438"/>
      <c r="M755" s="1437">
        <f t="shared" si="78"/>
        <v>0</v>
      </c>
      <c r="N755" s="1437">
        <f t="shared" si="77"/>
        <v>1.5600531000000001E-2</v>
      </c>
    </row>
    <row r="756" spans="1:14" outlineLevel="1">
      <c r="A756" s="1499">
        <f t="shared" si="80"/>
        <v>128</v>
      </c>
      <c r="B756" s="1539" t="str">
        <f t="shared" si="80"/>
        <v>Project-U#8-Mandatory Spares For TG &amp; Auxilliaries</v>
      </c>
      <c r="C756" s="1491" t="str">
        <f t="shared" si="80"/>
        <v>N.A.</v>
      </c>
      <c r="D756" s="1531" t="str">
        <f t="shared" si="80"/>
        <v>-</v>
      </c>
      <c r="E756" s="1318">
        <f t="shared" si="80"/>
        <v>0</v>
      </c>
      <c r="F756" s="1437">
        <f t="shared" si="74"/>
        <v>6.2588310000000003E-3</v>
      </c>
      <c r="G756" s="1437">
        <f t="shared" si="75"/>
        <v>0</v>
      </c>
      <c r="H756" s="1437">
        <f t="shared" si="76"/>
        <v>6.2588310000000003E-3</v>
      </c>
      <c r="I756" s="1437">
        <v>0</v>
      </c>
      <c r="J756" s="1437">
        <v>0</v>
      </c>
      <c r="K756" s="1438"/>
      <c r="L756" s="1438"/>
      <c r="M756" s="1437">
        <f t="shared" si="78"/>
        <v>0</v>
      </c>
      <c r="N756" s="1437">
        <f t="shared" si="77"/>
        <v>6.2588310000000003E-3</v>
      </c>
    </row>
    <row r="757" spans="1:14" outlineLevel="1">
      <c r="A757" s="1499">
        <f t="shared" si="80"/>
        <v>129</v>
      </c>
      <c r="B757" s="1539" t="str">
        <f t="shared" si="80"/>
        <v>Project-U#8-Misc. Cranes &amp; hoists-10553</v>
      </c>
      <c r="C757" s="1491" t="str">
        <f t="shared" si="80"/>
        <v>N.A.</v>
      </c>
      <c r="D757" s="1531" t="str">
        <f t="shared" si="80"/>
        <v>-</v>
      </c>
      <c r="E757" s="1318">
        <f t="shared" si="80"/>
        <v>0</v>
      </c>
      <c r="F757" s="1437">
        <f t="shared" si="74"/>
        <v>2.353651E-3</v>
      </c>
      <c r="G757" s="1437">
        <f t="shared" si="75"/>
        <v>0</v>
      </c>
      <c r="H757" s="1437">
        <f t="shared" si="76"/>
        <v>2.353651E-3</v>
      </c>
      <c r="I757" s="1437">
        <v>0</v>
      </c>
      <c r="J757" s="1437">
        <v>0</v>
      </c>
      <c r="K757" s="1438"/>
      <c r="L757" s="1438"/>
      <c r="M757" s="1437">
        <f t="shared" si="78"/>
        <v>0</v>
      </c>
      <c r="N757" s="1437">
        <f t="shared" si="77"/>
        <v>2.353651E-3</v>
      </c>
    </row>
    <row r="758" spans="1:14" outlineLevel="1">
      <c r="A758" s="1499">
        <f t="shared" si="80"/>
        <v>130</v>
      </c>
      <c r="B758" s="1539" t="str">
        <f t="shared" si="80"/>
        <v>Project-U#8-Miscellaneous Pumps -10599</v>
      </c>
      <c r="C758" s="1491" t="str">
        <f t="shared" si="80"/>
        <v>N.A.</v>
      </c>
      <c r="D758" s="1531" t="str">
        <f t="shared" si="80"/>
        <v>-</v>
      </c>
      <c r="E758" s="1318">
        <f t="shared" si="80"/>
        <v>0</v>
      </c>
      <c r="F758" s="1437">
        <f t="shared" si="74"/>
        <v>1.5672209999999999E-3</v>
      </c>
      <c r="G758" s="1437">
        <f t="shared" si="75"/>
        <v>0</v>
      </c>
      <c r="H758" s="1437">
        <f t="shared" si="76"/>
        <v>1.5672209999999999E-3</v>
      </c>
      <c r="I758" s="1437">
        <v>0</v>
      </c>
      <c r="J758" s="1437">
        <v>0</v>
      </c>
      <c r="K758" s="1438"/>
      <c r="L758" s="1438"/>
      <c r="M758" s="1437">
        <f t="shared" si="78"/>
        <v>0</v>
      </c>
      <c r="N758" s="1437">
        <f t="shared" si="77"/>
        <v>1.5672209999999999E-3</v>
      </c>
    </row>
    <row r="759" spans="1:14" outlineLevel="1">
      <c r="A759" s="1499">
        <f t="shared" si="80"/>
        <v>131</v>
      </c>
      <c r="B759" s="1539" t="str">
        <f t="shared" si="80"/>
        <v>Project-U#8-Passanger lift for TG Building-10599</v>
      </c>
      <c r="C759" s="1491" t="str">
        <f t="shared" si="80"/>
        <v>N.A.</v>
      </c>
      <c r="D759" s="1531" t="str">
        <f t="shared" si="80"/>
        <v>-</v>
      </c>
      <c r="E759" s="1318">
        <f t="shared" si="80"/>
        <v>0</v>
      </c>
      <c r="F759" s="1437">
        <f t="shared" si="74"/>
        <v>1.635811E-3</v>
      </c>
      <c r="G759" s="1437">
        <f t="shared" si="75"/>
        <v>0</v>
      </c>
      <c r="H759" s="1437">
        <f t="shared" si="76"/>
        <v>1.635811E-3</v>
      </c>
      <c r="I759" s="1437">
        <v>0</v>
      </c>
      <c r="J759" s="1437">
        <v>0</v>
      </c>
      <c r="K759" s="1438"/>
      <c r="L759" s="1438"/>
      <c r="M759" s="1437">
        <f t="shared" si="78"/>
        <v>0</v>
      </c>
      <c r="N759" s="1437">
        <f t="shared" si="77"/>
        <v>1.635811E-3</v>
      </c>
    </row>
    <row r="760" spans="1:14" outlineLevel="1">
      <c r="A760" s="1499">
        <f t="shared" si="80"/>
        <v>132</v>
      </c>
      <c r="B760" s="1539" t="str">
        <f t="shared" si="80"/>
        <v>Project-U#8-Passanger/Material Lift at boiler side</v>
      </c>
      <c r="C760" s="1491" t="str">
        <f t="shared" si="80"/>
        <v>N.A.</v>
      </c>
      <c r="D760" s="1531" t="str">
        <f t="shared" si="80"/>
        <v>-</v>
      </c>
      <c r="E760" s="1318">
        <f t="shared" si="80"/>
        <v>0</v>
      </c>
      <c r="F760" s="1437">
        <f t="shared" si="74"/>
        <v>8.4731499999999996E-4</v>
      </c>
      <c r="G760" s="1437">
        <f t="shared" si="75"/>
        <v>0</v>
      </c>
      <c r="H760" s="1437">
        <f t="shared" si="76"/>
        <v>8.4731499999999996E-4</v>
      </c>
      <c r="I760" s="1437">
        <v>0</v>
      </c>
      <c r="J760" s="1437">
        <v>0</v>
      </c>
      <c r="K760" s="1438"/>
      <c r="L760" s="1438"/>
      <c r="M760" s="1437">
        <f t="shared" si="78"/>
        <v>0</v>
      </c>
      <c r="N760" s="1437">
        <f t="shared" si="77"/>
        <v>8.4731499999999996E-4</v>
      </c>
    </row>
    <row r="761" spans="1:14" outlineLevel="1">
      <c r="A761" s="1499">
        <f t="shared" si="80"/>
        <v>133</v>
      </c>
      <c r="B761" s="1539" t="str">
        <f t="shared" si="80"/>
        <v>Project-U#8-Chemical Laboratory -10509</v>
      </c>
      <c r="C761" s="1491" t="str">
        <f t="shared" si="80"/>
        <v>N.A.</v>
      </c>
      <c r="D761" s="1531" t="str">
        <f t="shared" si="80"/>
        <v>-</v>
      </c>
      <c r="E761" s="1318">
        <f t="shared" si="80"/>
        <v>0</v>
      </c>
      <c r="F761" s="1437">
        <f t="shared" si="74"/>
        <v>1.1647579999999999E-3</v>
      </c>
      <c r="G761" s="1437">
        <f t="shared" si="75"/>
        <v>0</v>
      </c>
      <c r="H761" s="1437">
        <f t="shared" si="76"/>
        <v>1.1647579999999999E-3</v>
      </c>
      <c r="I761" s="1437">
        <v>0</v>
      </c>
      <c r="J761" s="1437">
        <v>0</v>
      </c>
      <c r="K761" s="1438"/>
      <c r="L761" s="1438"/>
      <c r="M761" s="1437">
        <f t="shared" si="78"/>
        <v>0</v>
      </c>
      <c r="N761" s="1437">
        <f t="shared" si="77"/>
        <v>1.1647579999999999E-3</v>
      </c>
    </row>
    <row r="762" spans="1:14" outlineLevel="1">
      <c r="A762" s="1499">
        <f t="shared" si="80"/>
        <v>134</v>
      </c>
      <c r="B762" s="1539" t="str">
        <f t="shared" si="80"/>
        <v>Project-U#8-Sewage Treatment Plant-10509</v>
      </c>
      <c r="C762" s="1491" t="str">
        <f t="shared" si="80"/>
        <v>N.A.</v>
      </c>
      <c r="D762" s="1531" t="str">
        <f t="shared" si="80"/>
        <v>-</v>
      </c>
      <c r="E762" s="1318">
        <f t="shared" si="80"/>
        <v>0</v>
      </c>
      <c r="F762" s="1437">
        <f t="shared" si="74"/>
        <v>1.90058E-3</v>
      </c>
      <c r="G762" s="1437">
        <f t="shared" si="75"/>
        <v>0</v>
      </c>
      <c r="H762" s="1437">
        <f t="shared" si="76"/>
        <v>1.90058E-3</v>
      </c>
      <c r="I762" s="1437">
        <v>0</v>
      </c>
      <c r="J762" s="1437">
        <v>0</v>
      </c>
      <c r="K762" s="1438"/>
      <c r="L762" s="1438"/>
      <c r="M762" s="1437">
        <f t="shared" si="78"/>
        <v>0</v>
      </c>
      <c r="N762" s="1437">
        <f t="shared" si="77"/>
        <v>1.90058E-3</v>
      </c>
    </row>
    <row r="763" spans="1:14" outlineLevel="1">
      <c r="A763" s="1499">
        <f t="shared" si="80"/>
        <v>135</v>
      </c>
      <c r="B763" s="1539" t="str">
        <f t="shared" si="80"/>
        <v>Project-U#8-Station Transformer-10541</v>
      </c>
      <c r="C763" s="1491" t="str">
        <f t="shared" si="80"/>
        <v>N.A.</v>
      </c>
      <c r="D763" s="1531" t="str">
        <f t="shared" si="80"/>
        <v>-</v>
      </c>
      <c r="E763" s="1318">
        <f t="shared" si="80"/>
        <v>0</v>
      </c>
      <c r="F763" s="1437">
        <f t="shared" si="74"/>
        <v>2.6575694E-2</v>
      </c>
      <c r="G763" s="1437">
        <f t="shared" si="75"/>
        <v>0</v>
      </c>
      <c r="H763" s="1437">
        <f t="shared" si="76"/>
        <v>2.6575694E-2</v>
      </c>
      <c r="I763" s="1437">
        <v>0</v>
      </c>
      <c r="J763" s="1437">
        <v>0</v>
      </c>
      <c r="K763" s="1438"/>
      <c r="L763" s="1438"/>
      <c r="M763" s="1437">
        <f t="shared" si="78"/>
        <v>0</v>
      </c>
      <c r="N763" s="1437">
        <f t="shared" si="77"/>
        <v>2.6575694E-2</v>
      </c>
    </row>
    <row r="764" spans="1:14" outlineLevel="1">
      <c r="A764" s="1499">
        <f t="shared" si="80"/>
        <v>136</v>
      </c>
      <c r="B764" s="1539" t="str">
        <f t="shared" si="80"/>
        <v>Project-U#8-Steam Turbine set-10503</v>
      </c>
      <c r="C764" s="1491" t="str">
        <f t="shared" si="80"/>
        <v>N.A.</v>
      </c>
      <c r="D764" s="1531" t="str">
        <f t="shared" si="80"/>
        <v>-</v>
      </c>
      <c r="E764" s="1318">
        <f t="shared" si="80"/>
        <v>0</v>
      </c>
      <c r="F764" s="1437">
        <f t="shared" si="74"/>
        <v>0.138637134</v>
      </c>
      <c r="G764" s="1437">
        <f t="shared" si="75"/>
        <v>0</v>
      </c>
      <c r="H764" s="1437">
        <f t="shared" si="76"/>
        <v>0.138637134</v>
      </c>
      <c r="I764" s="1437">
        <v>0</v>
      </c>
      <c r="J764" s="1437">
        <v>0</v>
      </c>
      <c r="K764" s="1438"/>
      <c r="L764" s="1438"/>
      <c r="M764" s="1437">
        <f t="shared" si="78"/>
        <v>0</v>
      </c>
      <c r="N764" s="1437">
        <f t="shared" si="77"/>
        <v>0.138637134</v>
      </c>
    </row>
    <row r="765" spans="1:14" outlineLevel="1">
      <c r="A765" s="1499">
        <f t="shared" si="80"/>
        <v>137</v>
      </c>
      <c r="B765" s="1539" t="str">
        <f t="shared" si="80"/>
        <v>Project-U#8-TG set and its auxilleries- Condensor</v>
      </c>
      <c r="C765" s="1491" t="str">
        <f t="shared" si="80"/>
        <v>N.A.</v>
      </c>
      <c r="D765" s="1531" t="str">
        <f t="shared" si="80"/>
        <v>-</v>
      </c>
      <c r="E765" s="1318">
        <f t="shared" si="80"/>
        <v>0</v>
      </c>
      <c r="F765" s="1437">
        <f t="shared" si="74"/>
        <v>1.2702985999999999E-2</v>
      </c>
      <c r="G765" s="1437">
        <f t="shared" si="75"/>
        <v>0</v>
      </c>
      <c r="H765" s="1437">
        <f t="shared" si="76"/>
        <v>1.2702985999999999E-2</v>
      </c>
      <c r="I765" s="1437">
        <v>0</v>
      </c>
      <c r="J765" s="1437">
        <v>0</v>
      </c>
      <c r="K765" s="1438"/>
      <c r="L765" s="1438"/>
      <c r="M765" s="1437">
        <f t="shared" si="78"/>
        <v>0</v>
      </c>
      <c r="N765" s="1437">
        <f t="shared" si="77"/>
        <v>1.2702985999999999E-2</v>
      </c>
    </row>
    <row r="766" spans="1:14" outlineLevel="1">
      <c r="A766" s="1499">
        <f t="shared" si="80"/>
        <v>138</v>
      </c>
      <c r="B766" s="1539" t="str">
        <f t="shared" si="80"/>
        <v>Project-U#8-TG set and its auxilleries -Generator</v>
      </c>
      <c r="C766" s="1491" t="str">
        <f t="shared" si="80"/>
        <v>N.A.</v>
      </c>
      <c r="D766" s="1531" t="str">
        <f t="shared" si="80"/>
        <v>-</v>
      </c>
      <c r="E766" s="1318">
        <f t="shared" si="80"/>
        <v>0</v>
      </c>
      <c r="F766" s="1437">
        <f t="shared" si="74"/>
        <v>3.2544958999999998E-2</v>
      </c>
      <c r="G766" s="1437">
        <f t="shared" si="75"/>
        <v>0</v>
      </c>
      <c r="H766" s="1437">
        <f t="shared" si="76"/>
        <v>3.2544958999999998E-2</v>
      </c>
      <c r="I766" s="1437">
        <v>0</v>
      </c>
      <c r="J766" s="1437">
        <v>0</v>
      </c>
      <c r="K766" s="1438"/>
      <c r="L766" s="1438"/>
      <c r="M766" s="1437">
        <f t="shared" si="78"/>
        <v>0</v>
      </c>
      <c r="N766" s="1437">
        <f t="shared" si="77"/>
        <v>3.2544958999999998E-2</v>
      </c>
    </row>
    <row r="767" spans="1:14" outlineLevel="1">
      <c r="A767" s="1499">
        <f t="shared" si="80"/>
        <v>139</v>
      </c>
      <c r="B767" s="1539" t="str">
        <f t="shared" si="80"/>
        <v>Project-U#8-TG set and its auxilleries-Condensor</v>
      </c>
      <c r="C767" s="1491" t="str">
        <f t="shared" si="80"/>
        <v>N.A.</v>
      </c>
      <c r="D767" s="1531" t="str">
        <f t="shared" si="80"/>
        <v>-</v>
      </c>
      <c r="E767" s="1318">
        <f t="shared" si="80"/>
        <v>0</v>
      </c>
      <c r="F767" s="1437">
        <f t="shared" si="74"/>
        <v>2.9272968E-2</v>
      </c>
      <c r="G767" s="1437">
        <f t="shared" si="75"/>
        <v>0</v>
      </c>
      <c r="H767" s="1437">
        <f t="shared" si="76"/>
        <v>2.9272968E-2</v>
      </c>
      <c r="I767" s="1437">
        <v>0</v>
      </c>
      <c r="J767" s="1437">
        <v>0</v>
      </c>
      <c r="K767" s="1438"/>
      <c r="L767" s="1438"/>
      <c r="M767" s="1437">
        <f t="shared" si="78"/>
        <v>0</v>
      </c>
      <c r="N767" s="1437">
        <f t="shared" si="77"/>
        <v>2.9272968E-2</v>
      </c>
    </row>
    <row r="768" spans="1:14" outlineLevel="1">
      <c r="A768" s="1499">
        <f t="shared" si="80"/>
        <v>140</v>
      </c>
      <c r="B768" s="1539" t="str">
        <f t="shared" si="80"/>
        <v>Project-U#8-TG set &amp; its auxilleries-Derator-10503</v>
      </c>
      <c r="C768" s="1491" t="str">
        <f t="shared" si="80"/>
        <v>N.A.</v>
      </c>
      <c r="D768" s="1531" t="str">
        <f t="shared" si="80"/>
        <v>-</v>
      </c>
      <c r="E768" s="1318">
        <f t="shared" si="80"/>
        <v>0</v>
      </c>
      <c r="F768" s="1437">
        <f t="shared" si="74"/>
        <v>2.7579689999999999E-3</v>
      </c>
      <c r="G768" s="1437">
        <f t="shared" si="75"/>
        <v>0</v>
      </c>
      <c r="H768" s="1437">
        <f t="shared" si="76"/>
        <v>2.7579689999999999E-3</v>
      </c>
      <c r="I768" s="1437">
        <v>0</v>
      </c>
      <c r="J768" s="1437">
        <v>0</v>
      </c>
      <c r="K768" s="1438"/>
      <c r="L768" s="1438"/>
      <c r="M768" s="1437">
        <f t="shared" si="78"/>
        <v>0</v>
      </c>
      <c r="N768" s="1437">
        <f t="shared" si="77"/>
        <v>2.7579689999999999E-3</v>
      </c>
    </row>
    <row r="769" spans="1:14" outlineLevel="1">
      <c r="A769" s="1499">
        <f t="shared" ref="A769:E784" si="81">A376</f>
        <v>141</v>
      </c>
      <c r="B769" s="1539" t="str">
        <f t="shared" si="81"/>
        <v>Project-U#8-TG set and its auxilleries-DMMakeUpSys</v>
      </c>
      <c r="C769" s="1491" t="str">
        <f t="shared" si="81"/>
        <v>N.A.</v>
      </c>
      <c r="D769" s="1531" t="str">
        <f t="shared" si="81"/>
        <v>-</v>
      </c>
      <c r="E769" s="1318">
        <f t="shared" si="81"/>
        <v>0</v>
      </c>
      <c r="F769" s="1437">
        <f t="shared" si="74"/>
        <v>1.049073E-3</v>
      </c>
      <c r="G769" s="1437">
        <f t="shared" si="75"/>
        <v>0</v>
      </c>
      <c r="H769" s="1437">
        <f t="shared" si="76"/>
        <v>1.049073E-3</v>
      </c>
      <c r="I769" s="1437">
        <v>0</v>
      </c>
      <c r="J769" s="1437">
        <v>0</v>
      </c>
      <c r="K769" s="1438"/>
      <c r="L769" s="1438"/>
      <c r="M769" s="1437">
        <f t="shared" si="78"/>
        <v>0</v>
      </c>
      <c r="N769" s="1437">
        <f t="shared" si="77"/>
        <v>1.049073E-3</v>
      </c>
    </row>
    <row r="770" spans="1:14" outlineLevel="1">
      <c r="A770" s="1499">
        <f t="shared" si="81"/>
        <v>142</v>
      </c>
      <c r="B770" s="1539" t="str">
        <f t="shared" si="81"/>
        <v>Project-U#8-TG set and its auxilleries-Gas System</v>
      </c>
      <c r="C770" s="1491" t="str">
        <f t="shared" si="81"/>
        <v>N.A.</v>
      </c>
      <c r="D770" s="1531" t="str">
        <f t="shared" si="81"/>
        <v>-</v>
      </c>
      <c r="E770" s="1318">
        <f t="shared" si="81"/>
        <v>0</v>
      </c>
      <c r="F770" s="1437">
        <f t="shared" si="74"/>
        <v>5.6178390000000003E-3</v>
      </c>
      <c r="G770" s="1437">
        <f t="shared" si="75"/>
        <v>0</v>
      </c>
      <c r="H770" s="1437">
        <f t="shared" si="76"/>
        <v>5.6178390000000003E-3</v>
      </c>
      <c r="I770" s="1437">
        <v>0</v>
      </c>
      <c r="J770" s="1437">
        <v>0</v>
      </c>
      <c r="K770" s="1438"/>
      <c r="L770" s="1438"/>
      <c r="M770" s="1437">
        <f t="shared" si="78"/>
        <v>0</v>
      </c>
      <c r="N770" s="1437">
        <f t="shared" si="77"/>
        <v>5.6178390000000003E-3</v>
      </c>
    </row>
    <row r="771" spans="1:14" outlineLevel="1">
      <c r="A771" s="1499">
        <f t="shared" si="81"/>
        <v>143</v>
      </c>
      <c r="B771" s="1539" t="str">
        <f t="shared" si="81"/>
        <v>Project-U#8-TG set and its auxilleries-GoveringSys</v>
      </c>
      <c r="C771" s="1491" t="str">
        <f t="shared" si="81"/>
        <v>N.A.</v>
      </c>
      <c r="D771" s="1531" t="str">
        <f t="shared" si="81"/>
        <v>-</v>
      </c>
      <c r="E771" s="1318">
        <f t="shared" si="81"/>
        <v>0</v>
      </c>
      <c r="F771" s="1437">
        <f t="shared" si="74"/>
        <v>4.9465999999999997E-5</v>
      </c>
      <c r="G771" s="1437">
        <f t="shared" si="75"/>
        <v>0</v>
      </c>
      <c r="H771" s="1437">
        <f t="shared" si="76"/>
        <v>4.9465999999999997E-5</v>
      </c>
      <c r="I771" s="1437">
        <v>0</v>
      </c>
      <c r="J771" s="1437">
        <v>0</v>
      </c>
      <c r="K771" s="1438"/>
      <c r="L771" s="1438"/>
      <c r="M771" s="1437">
        <f t="shared" si="78"/>
        <v>0</v>
      </c>
      <c r="N771" s="1437">
        <f t="shared" si="77"/>
        <v>4.9465999999999997E-5</v>
      </c>
    </row>
    <row r="772" spans="1:14" outlineLevel="1">
      <c r="A772" s="1499">
        <f t="shared" si="81"/>
        <v>144</v>
      </c>
      <c r="B772" s="1539" t="str">
        <f t="shared" si="81"/>
        <v>Project-U#8-TG set and its auxilleries-HP/LP By-pa</v>
      </c>
      <c r="C772" s="1491" t="str">
        <f t="shared" si="81"/>
        <v>N.A.</v>
      </c>
      <c r="D772" s="1531" t="str">
        <f t="shared" si="81"/>
        <v>-</v>
      </c>
      <c r="E772" s="1318">
        <f t="shared" si="81"/>
        <v>0</v>
      </c>
      <c r="F772" s="1437">
        <f t="shared" si="74"/>
        <v>1.0752108999999999E-2</v>
      </c>
      <c r="G772" s="1437">
        <f t="shared" si="75"/>
        <v>0</v>
      </c>
      <c r="H772" s="1437">
        <f t="shared" si="76"/>
        <v>1.0752108999999999E-2</v>
      </c>
      <c r="I772" s="1437">
        <v>0</v>
      </c>
      <c r="J772" s="1437">
        <v>0</v>
      </c>
      <c r="K772" s="1438"/>
      <c r="L772" s="1438"/>
      <c r="M772" s="1437">
        <f t="shared" si="78"/>
        <v>0</v>
      </c>
      <c r="N772" s="1437">
        <f t="shared" si="77"/>
        <v>1.0752108999999999E-2</v>
      </c>
    </row>
    <row r="773" spans="1:14" outlineLevel="1">
      <c r="A773" s="1499">
        <f t="shared" si="81"/>
        <v>145</v>
      </c>
      <c r="B773" s="1539" t="str">
        <f t="shared" si="81"/>
        <v>Project-U#8-TG set and its auxilleries-HP/LP Dozin</v>
      </c>
      <c r="C773" s="1491" t="str">
        <f t="shared" si="81"/>
        <v>N.A.</v>
      </c>
      <c r="D773" s="1531" t="str">
        <f t="shared" si="81"/>
        <v>-</v>
      </c>
      <c r="E773" s="1318">
        <f t="shared" si="81"/>
        <v>0</v>
      </c>
      <c r="F773" s="1437">
        <f t="shared" si="74"/>
        <v>3.9941100000000002E-4</v>
      </c>
      <c r="G773" s="1437">
        <f t="shared" si="75"/>
        <v>0</v>
      </c>
      <c r="H773" s="1437">
        <f t="shared" si="76"/>
        <v>3.9941100000000002E-4</v>
      </c>
      <c r="I773" s="1437">
        <v>0</v>
      </c>
      <c r="J773" s="1437">
        <v>0</v>
      </c>
      <c r="K773" s="1438"/>
      <c r="L773" s="1438"/>
      <c r="M773" s="1437">
        <f t="shared" si="78"/>
        <v>0</v>
      </c>
      <c r="N773" s="1437">
        <f t="shared" si="77"/>
        <v>3.9941100000000002E-4</v>
      </c>
    </row>
    <row r="774" spans="1:14" outlineLevel="1">
      <c r="A774" s="1499">
        <f t="shared" si="81"/>
        <v>146</v>
      </c>
      <c r="B774" s="1539" t="str">
        <f t="shared" si="81"/>
        <v>Project-U#8-TG set and its auxilleries-SealOilPump</v>
      </c>
      <c r="C774" s="1491" t="str">
        <f t="shared" si="81"/>
        <v>N.A.</v>
      </c>
      <c r="D774" s="1531" t="str">
        <f t="shared" si="81"/>
        <v>-</v>
      </c>
      <c r="E774" s="1318">
        <f t="shared" si="81"/>
        <v>0</v>
      </c>
      <c r="F774" s="1437">
        <f t="shared" si="74"/>
        <v>9.8566000000000005E-5</v>
      </c>
      <c r="G774" s="1437">
        <f t="shared" si="75"/>
        <v>0</v>
      </c>
      <c r="H774" s="1437">
        <f t="shared" si="76"/>
        <v>9.8566000000000005E-5</v>
      </c>
      <c r="I774" s="1437">
        <v>0</v>
      </c>
      <c r="J774" s="1437">
        <v>0</v>
      </c>
      <c r="K774" s="1438"/>
      <c r="L774" s="1438"/>
      <c r="M774" s="1437">
        <f t="shared" si="78"/>
        <v>0</v>
      </c>
      <c r="N774" s="1437">
        <f t="shared" si="77"/>
        <v>9.8566000000000005E-5</v>
      </c>
    </row>
    <row r="775" spans="1:14" outlineLevel="1">
      <c r="A775" s="1499">
        <f t="shared" si="81"/>
        <v>147</v>
      </c>
      <c r="B775" s="1539" t="str">
        <f t="shared" si="81"/>
        <v>Project-U#8-TG set and its auxilleries-Vaccum Syst</v>
      </c>
      <c r="C775" s="1491" t="str">
        <f t="shared" si="81"/>
        <v>N.A.</v>
      </c>
      <c r="D775" s="1531" t="str">
        <f t="shared" si="81"/>
        <v>-</v>
      </c>
      <c r="E775" s="1318">
        <f t="shared" si="81"/>
        <v>0</v>
      </c>
      <c r="F775" s="1437">
        <f t="shared" si="74"/>
        <v>1.0304429E-2</v>
      </c>
      <c r="G775" s="1437">
        <f t="shared" si="75"/>
        <v>0</v>
      </c>
      <c r="H775" s="1437">
        <f t="shared" si="76"/>
        <v>1.0304429E-2</v>
      </c>
      <c r="I775" s="1437">
        <v>0</v>
      </c>
      <c r="J775" s="1437">
        <v>0</v>
      </c>
      <c r="K775" s="1438"/>
      <c r="L775" s="1438"/>
      <c r="M775" s="1437">
        <f t="shared" si="78"/>
        <v>0</v>
      </c>
      <c r="N775" s="1437">
        <f t="shared" si="77"/>
        <v>1.0304429E-2</v>
      </c>
    </row>
    <row r="776" spans="1:14" outlineLevel="1">
      <c r="A776" s="1499">
        <f t="shared" si="81"/>
        <v>148</v>
      </c>
      <c r="B776" s="1539" t="str">
        <f t="shared" si="81"/>
        <v>Project-U#8-Turbine Lub. Oil System With Purifier</v>
      </c>
      <c r="C776" s="1491" t="str">
        <f t="shared" si="81"/>
        <v>N.A.</v>
      </c>
      <c r="D776" s="1531" t="str">
        <f t="shared" si="81"/>
        <v>-</v>
      </c>
      <c r="E776" s="1318">
        <f t="shared" si="81"/>
        <v>0</v>
      </c>
      <c r="F776" s="1437">
        <f t="shared" si="74"/>
        <v>2.2363740000000002E-3</v>
      </c>
      <c r="G776" s="1437">
        <f t="shared" si="75"/>
        <v>0</v>
      </c>
      <c r="H776" s="1437">
        <f t="shared" si="76"/>
        <v>2.2363740000000002E-3</v>
      </c>
      <c r="I776" s="1437">
        <v>0</v>
      </c>
      <c r="J776" s="1437">
        <v>0</v>
      </c>
      <c r="K776" s="1438"/>
      <c r="L776" s="1438"/>
      <c r="M776" s="1437">
        <f t="shared" si="78"/>
        <v>0</v>
      </c>
      <c r="N776" s="1437">
        <f t="shared" si="77"/>
        <v>2.2363740000000002E-3</v>
      </c>
    </row>
    <row r="777" spans="1:14" outlineLevel="1">
      <c r="A777" s="1499">
        <f t="shared" si="81"/>
        <v>149</v>
      </c>
      <c r="B777" s="1539" t="str">
        <f t="shared" si="81"/>
        <v>Project-U#8-Ventillation system-10599</v>
      </c>
      <c r="C777" s="1491" t="str">
        <f t="shared" si="81"/>
        <v>N.A.</v>
      </c>
      <c r="D777" s="1531" t="str">
        <f t="shared" si="81"/>
        <v>-</v>
      </c>
      <c r="E777" s="1318">
        <f t="shared" si="81"/>
        <v>0</v>
      </c>
      <c r="F777" s="1437">
        <f t="shared" si="74"/>
        <v>1.438855E-3</v>
      </c>
      <c r="G777" s="1437">
        <f t="shared" si="75"/>
        <v>0</v>
      </c>
      <c r="H777" s="1437">
        <f t="shared" si="76"/>
        <v>1.438855E-3</v>
      </c>
      <c r="I777" s="1437">
        <v>0</v>
      </c>
      <c r="J777" s="1437">
        <v>0</v>
      </c>
      <c r="K777" s="1438"/>
      <c r="L777" s="1438"/>
      <c r="M777" s="1437">
        <f t="shared" si="78"/>
        <v>0</v>
      </c>
      <c r="N777" s="1437">
        <f t="shared" si="77"/>
        <v>1.438855E-3</v>
      </c>
    </row>
    <row r="778" spans="1:14" outlineLevel="1">
      <c r="A778" s="1499">
        <f t="shared" si="81"/>
        <v>150</v>
      </c>
      <c r="B778" s="1539" t="str">
        <f t="shared" si="81"/>
        <v>Asset Recived From Project-U#8-M.SPARE_Ventillation system-10599</v>
      </c>
      <c r="C778" s="1491" t="str">
        <f t="shared" si="81"/>
        <v>N.A.</v>
      </c>
      <c r="D778" s="1531" t="str">
        <f t="shared" si="81"/>
        <v>-</v>
      </c>
      <c r="E778" s="1318">
        <f t="shared" si="81"/>
        <v>0</v>
      </c>
      <c r="F778" s="1437">
        <f t="shared" si="74"/>
        <v>8.5482000000000006E-5</v>
      </c>
      <c r="G778" s="1437">
        <f t="shared" si="75"/>
        <v>0</v>
      </c>
      <c r="H778" s="1437">
        <f t="shared" si="76"/>
        <v>8.5482000000000006E-5</v>
      </c>
      <c r="I778" s="1437">
        <v>0</v>
      </c>
      <c r="J778" s="1437">
        <v>0</v>
      </c>
      <c r="K778" s="1438"/>
      <c r="L778" s="1438"/>
      <c r="M778" s="1437">
        <f t="shared" si="78"/>
        <v>0</v>
      </c>
      <c r="N778" s="1437">
        <f t="shared" si="77"/>
        <v>8.5482000000000006E-5</v>
      </c>
    </row>
    <row r="779" spans="1:14" outlineLevel="1">
      <c r="A779" s="1499">
        <f t="shared" si="81"/>
        <v>151</v>
      </c>
      <c r="B779" s="1539" t="str">
        <f t="shared" si="81"/>
        <v>Asset Recived From Project-U#8-Water Treatment Plant-10509</v>
      </c>
      <c r="C779" s="1491" t="str">
        <f t="shared" si="81"/>
        <v>N.A.</v>
      </c>
      <c r="D779" s="1531" t="str">
        <f t="shared" si="81"/>
        <v>-</v>
      </c>
      <c r="E779" s="1318">
        <f t="shared" si="81"/>
        <v>0</v>
      </c>
      <c r="F779" s="1437">
        <f t="shared" si="74"/>
        <v>4.2384409999999999E-3</v>
      </c>
      <c r="G779" s="1437">
        <f t="shared" si="75"/>
        <v>0</v>
      </c>
      <c r="H779" s="1437">
        <f t="shared" si="76"/>
        <v>4.2384409999999999E-3</v>
      </c>
      <c r="I779" s="1437">
        <v>0</v>
      </c>
      <c r="J779" s="1437">
        <v>0</v>
      </c>
      <c r="K779" s="1438"/>
      <c r="L779" s="1438"/>
      <c r="M779" s="1437">
        <f t="shared" si="78"/>
        <v>0</v>
      </c>
      <c r="N779" s="1437">
        <f t="shared" si="77"/>
        <v>4.2384409999999999E-3</v>
      </c>
    </row>
    <row r="780" spans="1:14" outlineLevel="1">
      <c r="A780" s="1499">
        <f t="shared" si="81"/>
        <v>152</v>
      </c>
      <c r="B780" s="1539" t="str">
        <f t="shared" si="81"/>
        <v>Asset Recived From Project-U#8-WORK SHOP MAD_SPARE-10565</v>
      </c>
      <c r="C780" s="1491" t="str">
        <f t="shared" si="81"/>
        <v>N.A.</v>
      </c>
      <c r="D780" s="1531" t="str">
        <f t="shared" si="81"/>
        <v>-</v>
      </c>
      <c r="E780" s="1318">
        <f t="shared" si="81"/>
        <v>0</v>
      </c>
      <c r="F780" s="1437">
        <f t="shared" si="74"/>
        <v>3.0444899999999998E-4</v>
      </c>
      <c r="G780" s="1437">
        <f t="shared" si="75"/>
        <v>0</v>
      </c>
      <c r="H780" s="1437">
        <f t="shared" si="76"/>
        <v>3.0444899999999998E-4</v>
      </c>
      <c r="I780" s="1437">
        <v>0</v>
      </c>
      <c r="J780" s="1437">
        <v>0</v>
      </c>
      <c r="K780" s="1438"/>
      <c r="L780" s="1438"/>
      <c r="M780" s="1437">
        <f t="shared" si="78"/>
        <v>0</v>
      </c>
      <c r="N780" s="1437">
        <f t="shared" si="77"/>
        <v>3.0444899999999998E-4</v>
      </c>
    </row>
    <row r="781" spans="1:14" outlineLevel="1">
      <c r="A781" s="1499">
        <f t="shared" si="81"/>
        <v>153</v>
      </c>
      <c r="B781" s="1539" t="str">
        <f t="shared" si="81"/>
        <v>Asset Recived From Project-U#8-Workshop-10565</v>
      </c>
      <c r="C781" s="1491" t="str">
        <f t="shared" si="81"/>
        <v>N.A.</v>
      </c>
      <c r="D781" s="1531" t="str">
        <f t="shared" si="81"/>
        <v>-</v>
      </c>
      <c r="E781" s="1318">
        <f t="shared" si="81"/>
        <v>0</v>
      </c>
      <c r="F781" s="1437">
        <f t="shared" si="74"/>
        <v>1.3285770000000001E-3</v>
      </c>
      <c r="G781" s="1437">
        <f t="shared" si="75"/>
        <v>0</v>
      </c>
      <c r="H781" s="1437">
        <f t="shared" si="76"/>
        <v>1.3285770000000001E-3</v>
      </c>
      <c r="I781" s="1437">
        <v>0</v>
      </c>
      <c r="J781" s="1437">
        <v>0</v>
      </c>
      <c r="K781" s="1438"/>
      <c r="L781" s="1438"/>
      <c r="M781" s="1437">
        <f t="shared" si="78"/>
        <v>0</v>
      </c>
      <c r="N781" s="1437">
        <f t="shared" si="77"/>
        <v>1.3285770000000001E-3</v>
      </c>
    </row>
    <row r="782" spans="1:14" outlineLevel="1">
      <c r="A782" s="1499">
        <f t="shared" si="81"/>
        <v>154</v>
      </c>
      <c r="B782" s="1539" t="str">
        <f t="shared" si="81"/>
        <v>Asset Recived From Project-U#8-CMR SYSTEM-10501</v>
      </c>
      <c r="C782" s="1491" t="str">
        <f t="shared" si="81"/>
        <v>N.A.</v>
      </c>
      <c r="D782" s="1531" t="str">
        <f t="shared" si="81"/>
        <v>-</v>
      </c>
      <c r="E782" s="1318">
        <f t="shared" si="81"/>
        <v>0</v>
      </c>
      <c r="F782" s="1437">
        <f t="shared" si="74"/>
        <v>2.0736180000000002E-3</v>
      </c>
      <c r="G782" s="1437">
        <f t="shared" si="75"/>
        <v>0</v>
      </c>
      <c r="H782" s="1437">
        <f t="shared" si="76"/>
        <v>2.0736180000000002E-3</v>
      </c>
      <c r="I782" s="1437">
        <v>0</v>
      </c>
      <c r="J782" s="1437">
        <v>0</v>
      </c>
      <c r="K782" s="1438"/>
      <c r="L782" s="1438"/>
      <c r="M782" s="1437">
        <f t="shared" si="78"/>
        <v>0</v>
      </c>
      <c r="N782" s="1437">
        <f t="shared" si="77"/>
        <v>2.0736180000000002E-3</v>
      </c>
    </row>
    <row r="783" spans="1:14" outlineLevel="1">
      <c r="A783" s="1499">
        <f t="shared" si="81"/>
        <v>155</v>
      </c>
      <c r="B783" s="1539" t="str">
        <f t="shared" si="81"/>
        <v>Asset Recived From Project-U#8-MandatorySpares-WTP-10.509</v>
      </c>
      <c r="C783" s="1491" t="str">
        <f t="shared" si="81"/>
        <v>N.A.</v>
      </c>
      <c r="D783" s="1531" t="str">
        <f t="shared" si="81"/>
        <v>-</v>
      </c>
      <c r="E783" s="1318">
        <f t="shared" si="81"/>
        <v>0</v>
      </c>
      <c r="F783" s="1437">
        <f t="shared" si="74"/>
        <v>8.1516999999999999E-5</v>
      </c>
      <c r="G783" s="1437">
        <f t="shared" si="75"/>
        <v>0</v>
      </c>
      <c r="H783" s="1437">
        <f t="shared" si="76"/>
        <v>8.1516999999999999E-5</v>
      </c>
      <c r="I783" s="1437">
        <v>0</v>
      </c>
      <c r="J783" s="1437">
        <v>0</v>
      </c>
      <c r="K783" s="1438"/>
      <c r="L783" s="1438"/>
      <c r="M783" s="1437">
        <f t="shared" si="78"/>
        <v>0</v>
      </c>
      <c r="N783" s="1437">
        <f t="shared" si="77"/>
        <v>8.1516999999999999E-5</v>
      </c>
    </row>
    <row r="784" spans="1:14" ht="29" outlineLevel="1">
      <c r="A784" s="1499">
        <f t="shared" si="81"/>
        <v>156</v>
      </c>
      <c r="B784" s="1539" t="str">
        <f t="shared" si="81"/>
        <v>Asset Recived From Project-U#8-E.1.07_MandSpar 4 C&amp;I MS 4MeasuringIns E.1.07_M S for C&amp;I_ MS For Measuring Ins</v>
      </c>
      <c r="C784" s="1491" t="str">
        <f t="shared" si="81"/>
        <v>N.A.</v>
      </c>
      <c r="D784" s="1531" t="str">
        <f t="shared" si="81"/>
        <v>-</v>
      </c>
      <c r="E784" s="1318">
        <f t="shared" si="81"/>
        <v>0</v>
      </c>
      <c r="F784" s="1437">
        <f t="shared" si="74"/>
        <v>7.8696799999999997E-2</v>
      </c>
      <c r="G784" s="1437">
        <f t="shared" si="75"/>
        <v>0</v>
      </c>
      <c r="H784" s="1437">
        <f t="shared" si="76"/>
        <v>7.8696799999999997E-2</v>
      </c>
      <c r="I784" s="1437">
        <v>0</v>
      </c>
      <c r="J784" s="1437">
        <v>0</v>
      </c>
      <c r="K784" s="1438"/>
      <c r="L784" s="1438"/>
      <c r="M784" s="1437">
        <f t="shared" si="78"/>
        <v>0</v>
      </c>
      <c r="N784" s="1437">
        <f t="shared" si="77"/>
        <v>7.8696799999999997E-2</v>
      </c>
    </row>
    <row r="785" spans="1:15" outlineLevel="1">
      <c r="A785" s="1499">
        <f t="shared" ref="A785:E790" si="82">A392</f>
        <v>157</v>
      </c>
      <c r="B785" s="1539" t="str">
        <f t="shared" si="82"/>
        <v>Asset Recived From Project-U#8-BOP_ELECTRICAL-10612</v>
      </c>
      <c r="C785" s="1491" t="str">
        <f t="shared" si="82"/>
        <v>N.A.</v>
      </c>
      <c r="D785" s="1531" t="str">
        <f t="shared" si="82"/>
        <v>-</v>
      </c>
      <c r="E785" s="1318">
        <f t="shared" si="82"/>
        <v>0</v>
      </c>
      <c r="F785" s="1437">
        <f t="shared" ref="F785:F790" si="83">F392+I392</f>
        <v>1.6370498000000001E-2</v>
      </c>
      <c r="G785" s="1437">
        <f t="shared" ref="G785:G790" si="84">G392+M392</f>
        <v>0</v>
      </c>
      <c r="H785" s="1437">
        <f t="shared" si="76"/>
        <v>1.6370498000000001E-2</v>
      </c>
      <c r="I785" s="1437">
        <v>0</v>
      </c>
      <c r="J785" s="1437">
        <v>0</v>
      </c>
      <c r="K785" s="1438"/>
      <c r="L785" s="1438"/>
      <c r="M785" s="1437">
        <f t="shared" si="78"/>
        <v>0</v>
      </c>
      <c r="N785" s="1437">
        <f t="shared" si="77"/>
        <v>1.6370498000000001E-2</v>
      </c>
    </row>
    <row r="786" spans="1:15" outlineLevel="1">
      <c r="A786" s="1499">
        <f t="shared" si="82"/>
        <v>158</v>
      </c>
      <c r="B786" s="1539" t="str">
        <f t="shared" si="82"/>
        <v>Asset Recived From Project-U#8-Bus Ducts-10612</v>
      </c>
      <c r="C786" s="1491" t="str">
        <f t="shared" si="82"/>
        <v>N.A.</v>
      </c>
      <c r="D786" s="1531" t="str">
        <f t="shared" si="82"/>
        <v>-</v>
      </c>
      <c r="E786" s="1318">
        <f t="shared" si="82"/>
        <v>0</v>
      </c>
      <c r="F786" s="1437">
        <f t="shared" si="83"/>
        <v>1.2547599E-2</v>
      </c>
      <c r="G786" s="1437">
        <f t="shared" si="84"/>
        <v>0</v>
      </c>
      <c r="H786" s="1437">
        <f t="shared" ref="H786:H790" si="85">F786-G786</f>
        <v>1.2547599E-2</v>
      </c>
      <c r="I786" s="1437">
        <v>0</v>
      </c>
      <c r="J786" s="1437">
        <v>0</v>
      </c>
      <c r="K786" s="1438"/>
      <c r="L786" s="1438"/>
      <c r="M786" s="1437">
        <f t="shared" si="78"/>
        <v>0</v>
      </c>
      <c r="N786" s="1437">
        <f t="shared" ref="N786:N790" si="86">H786+I786-M786</f>
        <v>1.2547599E-2</v>
      </c>
    </row>
    <row r="787" spans="1:15" outlineLevel="1">
      <c r="A787" s="1499">
        <f t="shared" si="82"/>
        <v>159</v>
      </c>
      <c r="B787" s="1539" t="str">
        <f t="shared" si="82"/>
        <v>Asset Recived From Project-U#8-Cable trays &amp; supports-10612</v>
      </c>
      <c r="C787" s="1491" t="str">
        <f t="shared" si="82"/>
        <v>N.A.</v>
      </c>
      <c r="D787" s="1531" t="str">
        <f t="shared" si="82"/>
        <v>-</v>
      </c>
      <c r="E787" s="1318">
        <f t="shared" si="82"/>
        <v>0</v>
      </c>
      <c r="F787" s="1437">
        <f t="shared" si="83"/>
        <v>3.6008699999999998E-4</v>
      </c>
      <c r="G787" s="1437">
        <f t="shared" si="84"/>
        <v>0</v>
      </c>
      <c r="H787" s="1437">
        <f t="shared" si="85"/>
        <v>3.6008699999999998E-4</v>
      </c>
      <c r="I787" s="1437">
        <v>0</v>
      </c>
      <c r="J787" s="1437">
        <v>0</v>
      </c>
      <c r="K787" s="1438"/>
      <c r="L787" s="1438"/>
      <c r="M787" s="1437">
        <f t="shared" ref="M787:M790" si="87">SUM(J787:L787)</f>
        <v>0</v>
      </c>
      <c r="N787" s="1437">
        <f t="shared" si="86"/>
        <v>3.6008699999999998E-4</v>
      </c>
    </row>
    <row r="788" spans="1:15" outlineLevel="1">
      <c r="A788" s="1499">
        <f t="shared" si="82"/>
        <v>160</v>
      </c>
      <c r="B788" s="1539" t="str">
        <f t="shared" si="82"/>
        <v>Project-U#8-PCR FURNITURE-10810</v>
      </c>
      <c r="C788" s="1491" t="str">
        <f t="shared" si="82"/>
        <v>N.A.</v>
      </c>
      <c r="D788" s="1531" t="str">
        <f t="shared" si="82"/>
        <v>-</v>
      </c>
      <c r="E788" s="1318">
        <f t="shared" si="82"/>
        <v>0</v>
      </c>
      <c r="F788" s="1437">
        <f t="shared" si="83"/>
        <v>3.0684199999999999E-4</v>
      </c>
      <c r="G788" s="1437">
        <f t="shared" si="84"/>
        <v>0</v>
      </c>
      <c r="H788" s="1437">
        <f t="shared" si="85"/>
        <v>3.0684199999999999E-4</v>
      </c>
      <c r="I788" s="1437">
        <v>0</v>
      </c>
      <c r="J788" s="1437">
        <v>0</v>
      </c>
      <c r="K788" s="1438"/>
      <c r="L788" s="1438"/>
      <c r="M788" s="1437">
        <f t="shared" si="87"/>
        <v>0</v>
      </c>
      <c r="N788" s="1437">
        <f t="shared" si="86"/>
        <v>3.0684199999999999E-4</v>
      </c>
    </row>
    <row r="789" spans="1:15" outlineLevel="1">
      <c r="A789" s="1499">
        <f t="shared" si="82"/>
        <v>161</v>
      </c>
      <c r="B789" s="1539" t="str">
        <f t="shared" si="82"/>
        <v>Project-U#8 Server Intel QUAD CORE 02No. HP Office Server</v>
      </c>
      <c r="C789" s="1491" t="str">
        <f t="shared" si="82"/>
        <v>N.A.</v>
      </c>
      <c r="D789" s="1531" t="str">
        <f t="shared" si="82"/>
        <v>-</v>
      </c>
      <c r="E789" s="1318">
        <f t="shared" si="82"/>
        <v>0</v>
      </c>
      <c r="F789" s="1437">
        <f t="shared" si="83"/>
        <v>0.11917999999999999</v>
      </c>
      <c r="G789" s="1437">
        <f t="shared" si="84"/>
        <v>0.11917999999999999</v>
      </c>
      <c r="H789" s="1437">
        <f t="shared" si="85"/>
        <v>0</v>
      </c>
      <c r="I789" s="1437">
        <v>0</v>
      </c>
      <c r="J789" s="1437">
        <v>0</v>
      </c>
      <c r="K789" s="1438"/>
      <c r="L789" s="1438"/>
      <c r="M789" s="1437">
        <f t="shared" si="87"/>
        <v>0</v>
      </c>
      <c r="N789" s="1437">
        <f t="shared" si="86"/>
        <v>0</v>
      </c>
    </row>
    <row r="790" spans="1:15" ht="15" outlineLevel="1" thickBot="1">
      <c r="A790" s="1499">
        <f t="shared" si="82"/>
        <v>162</v>
      </c>
      <c r="B790" s="1539" t="str">
        <f t="shared" si="82"/>
        <v>Supply Erection testing and commissining of 1000 m3 ETP Civil works</v>
      </c>
      <c r="C790" s="1491" t="str">
        <f t="shared" si="82"/>
        <v>N.A.</v>
      </c>
      <c r="D790" s="1531" t="str">
        <f t="shared" si="82"/>
        <v>-</v>
      </c>
      <c r="E790" s="1318">
        <f t="shared" si="82"/>
        <v>0</v>
      </c>
      <c r="F790" s="1437">
        <f t="shared" si="83"/>
        <v>0.68323680199999992</v>
      </c>
      <c r="G790" s="1437">
        <f t="shared" si="84"/>
        <v>0.68323680199999992</v>
      </c>
      <c r="H790" s="1437">
        <f t="shared" si="85"/>
        <v>0</v>
      </c>
      <c r="I790" s="1437">
        <v>0</v>
      </c>
      <c r="J790" s="1437">
        <v>0</v>
      </c>
      <c r="K790" s="1438"/>
      <c r="L790" s="1438"/>
      <c r="M790" s="1437">
        <f t="shared" si="87"/>
        <v>0</v>
      </c>
      <c r="N790" s="1437">
        <f t="shared" si="86"/>
        <v>0</v>
      </c>
    </row>
    <row r="791" spans="1:15" ht="15" thickBot="1">
      <c r="A791" s="1311"/>
      <c r="B791" s="1431" t="s">
        <v>271</v>
      </c>
      <c r="C791" s="1311"/>
      <c r="D791" s="1432"/>
      <c r="E791" s="1431"/>
      <c r="F791" s="1543">
        <f>SUM(F401:F790)</f>
        <v>118.46015742499998</v>
      </c>
      <c r="G791" s="1543">
        <f t="shared" ref="G791:N791" si="88">SUM(G401:G790)</f>
        <v>56.508955166000028</v>
      </c>
      <c r="H791" s="1543">
        <f t="shared" si="88"/>
        <v>61.951202258999963</v>
      </c>
      <c r="I791" s="1543">
        <f t="shared" si="88"/>
        <v>28.293387726000002</v>
      </c>
      <c r="J791" s="1543">
        <f t="shared" si="88"/>
        <v>78.833673265000002</v>
      </c>
      <c r="K791" s="1543">
        <f t="shared" si="88"/>
        <v>0</v>
      </c>
      <c r="L791" s="1543">
        <f t="shared" si="88"/>
        <v>0</v>
      </c>
      <c r="M791" s="1543">
        <f t="shared" si="88"/>
        <v>78.833673265000002</v>
      </c>
      <c r="N791" s="1543">
        <f t="shared" si="88"/>
        <v>11.410916719999998</v>
      </c>
      <c r="O791" s="1439"/>
    </row>
    <row r="792" spans="1:15">
      <c r="F792" s="1544"/>
      <c r="G792" s="1544"/>
      <c r="H792" s="1544"/>
      <c r="I792" s="1544"/>
      <c r="J792" s="1544"/>
      <c r="K792" s="1544"/>
      <c r="L792" s="1544"/>
      <c r="M792" s="1544"/>
      <c r="N792" s="1544"/>
    </row>
    <row r="793" spans="1:15">
      <c r="A793" s="1486"/>
      <c r="B793" s="1433" t="s">
        <v>510</v>
      </c>
      <c r="C793" s="1309"/>
      <c r="D793" s="1432"/>
      <c r="E793" s="1309"/>
      <c r="F793" s="1433"/>
      <c r="G793" s="1433"/>
      <c r="H793" s="1433"/>
      <c r="I793" s="1433"/>
      <c r="J793" s="1433"/>
      <c r="K793" s="1433"/>
      <c r="L793" s="1433"/>
      <c r="M793" s="1433"/>
      <c r="N793" s="1433"/>
    </row>
    <row r="794" spans="1:15" outlineLevel="1">
      <c r="A794" s="1487">
        <f t="shared" ref="A794:E809" si="89">A401</f>
        <v>0</v>
      </c>
      <c r="B794" s="1332" t="str">
        <f t="shared" si="89"/>
        <v>Add Cap (As per 296 of 2019)</v>
      </c>
      <c r="C794" s="1488"/>
      <c r="D794" s="1489"/>
      <c r="E794" s="1490"/>
      <c r="F794" s="1437"/>
      <c r="G794" s="1437"/>
      <c r="H794" s="1437"/>
      <c r="I794" s="1437"/>
      <c r="J794" s="1437"/>
      <c r="K794" s="1438"/>
      <c r="L794" s="1438"/>
      <c r="M794" s="1437"/>
      <c r="N794" s="1437"/>
    </row>
    <row r="795" spans="1:15" ht="17.5" outlineLevel="1">
      <c r="A795" s="1491" t="str">
        <f t="shared" si="89"/>
        <v>A</v>
      </c>
      <c r="B795" s="1333" t="str">
        <f t="shared" si="89"/>
        <v xml:space="preserve">Initial spares </v>
      </c>
      <c r="C795" s="1492" t="str">
        <f t="shared" si="89"/>
        <v>Add Cap (As per 296 of 2019)</v>
      </c>
      <c r="D795" s="1334" t="str">
        <f t="shared" si="89"/>
        <v>-</v>
      </c>
      <c r="E795" s="1335">
        <f t="shared" si="89"/>
        <v>0</v>
      </c>
      <c r="F795" s="1437"/>
      <c r="G795" s="1437"/>
      <c r="H795" s="1437"/>
      <c r="I795" s="1437"/>
      <c r="J795" s="1437"/>
      <c r="K795" s="1438"/>
      <c r="L795" s="1438"/>
      <c r="M795" s="1437"/>
      <c r="N795" s="1437"/>
    </row>
    <row r="796" spans="1:15" ht="15.5" outlineLevel="1">
      <c r="A796" s="1493">
        <f t="shared" si="89"/>
        <v>1</v>
      </c>
      <c r="B796" s="1494" t="str">
        <f t="shared" si="89"/>
        <v>Boiler and Auxiliaries</v>
      </c>
      <c r="C796" s="1495" t="str">
        <f t="shared" si="89"/>
        <v>Add Cap (As per 296 of 2019)</v>
      </c>
      <c r="D796" s="1341" t="str">
        <f t="shared" si="89"/>
        <v>-</v>
      </c>
      <c r="E796" s="1496">
        <f t="shared" si="89"/>
        <v>7.2</v>
      </c>
      <c r="F796" s="1437"/>
      <c r="G796" s="1437"/>
      <c r="H796" s="1437"/>
      <c r="I796" s="1437"/>
      <c r="J796" s="1437"/>
      <c r="K796" s="1438"/>
      <c r="L796" s="1438"/>
      <c r="M796" s="1437"/>
      <c r="N796" s="1437"/>
    </row>
    <row r="797" spans="1:15" ht="31" outlineLevel="1">
      <c r="A797" s="1491">
        <f t="shared" si="89"/>
        <v>1</v>
      </c>
      <c r="B797" s="1497" t="str">
        <f t="shared" si="89"/>
        <v>Procurement of Coal Mill XRP-903 Gear Box Type KMP-280 Spares of Unit # 8 at BM-NPTPS Parli-Vaijnath</v>
      </c>
      <c r="C797" s="1492" t="str">
        <f t="shared" si="89"/>
        <v>Add Cap (As per 296 of 2019)</v>
      </c>
      <c r="D797" s="1334" t="str">
        <f t="shared" si="89"/>
        <v>-</v>
      </c>
      <c r="E797" s="1498">
        <f t="shared" si="89"/>
        <v>0</v>
      </c>
      <c r="F797" s="1437">
        <f t="shared" ref="F797:F860" si="90">F404+I404</f>
        <v>1.35</v>
      </c>
      <c r="G797" s="1437">
        <f t="shared" ref="G797:G860" si="91">G404+M404</f>
        <v>1.35</v>
      </c>
      <c r="H797" s="1437">
        <f t="shared" ref="H797:H860" si="92">F797-G797</f>
        <v>0</v>
      </c>
      <c r="I797" s="1437">
        <v>0</v>
      </c>
      <c r="J797" s="1437">
        <v>0</v>
      </c>
      <c r="K797" s="1438"/>
      <c r="L797" s="1438"/>
      <c r="M797" s="1437">
        <f t="shared" ref="M797:M860" si="93">SUM(J797:L797)</f>
        <v>0</v>
      </c>
      <c r="N797" s="1437">
        <f t="shared" ref="N797:N860" si="94">H797+I797-M797</f>
        <v>0</v>
      </c>
    </row>
    <row r="798" spans="1:15" ht="31" outlineLevel="1">
      <c r="A798" s="1491">
        <f t="shared" si="89"/>
        <v>2</v>
      </c>
      <c r="B798" s="1497" t="str">
        <f t="shared" si="89"/>
        <v>Supply of Labyrinth Seal Rings with replaceable Inner liners for Coal Mill XRP-903 required for BM Unit-8, NPTPS, Parli-V.</v>
      </c>
      <c r="C798" s="1492" t="str">
        <f t="shared" si="89"/>
        <v>Add Cap (As per 296 of 2019)</v>
      </c>
      <c r="D798" s="1334" t="str">
        <f t="shared" si="89"/>
        <v>-</v>
      </c>
      <c r="E798" s="1498">
        <f t="shared" si="89"/>
        <v>0</v>
      </c>
      <c r="F798" s="1437">
        <f t="shared" si="90"/>
        <v>0.33134400000000003</v>
      </c>
      <c r="G798" s="1437">
        <f t="shared" si="91"/>
        <v>0.33134400000000003</v>
      </c>
      <c r="H798" s="1437">
        <f t="shared" si="92"/>
        <v>0</v>
      </c>
      <c r="I798" s="1437">
        <v>0</v>
      </c>
      <c r="J798" s="1437">
        <v>0</v>
      </c>
      <c r="K798" s="1438"/>
      <c r="L798" s="1438"/>
      <c r="M798" s="1437">
        <f t="shared" si="93"/>
        <v>0</v>
      </c>
      <c r="N798" s="1437">
        <f t="shared" si="94"/>
        <v>0</v>
      </c>
    </row>
    <row r="799" spans="1:15" ht="31" outlineLevel="1">
      <c r="A799" s="1491">
        <f t="shared" si="89"/>
        <v>3</v>
      </c>
      <c r="B799" s="1497" t="str">
        <f t="shared" si="89"/>
        <v>Supply and Installation of coal mill  liners(weld overlay) of XRP-903 Coal Mill in BM U-8, NPTPS,Parli-V.</v>
      </c>
      <c r="C799" s="1492" t="str">
        <f t="shared" si="89"/>
        <v>Add Cap (As per 296 of 2019)</v>
      </c>
      <c r="D799" s="1334" t="str">
        <f t="shared" si="89"/>
        <v>-</v>
      </c>
      <c r="E799" s="1498">
        <f t="shared" si="89"/>
        <v>0</v>
      </c>
      <c r="F799" s="1437">
        <f t="shared" si="90"/>
        <v>0.33134400000000003</v>
      </c>
      <c r="G799" s="1437">
        <f t="shared" si="91"/>
        <v>0.33134400000000003</v>
      </c>
      <c r="H799" s="1437">
        <f t="shared" si="92"/>
        <v>0</v>
      </c>
      <c r="I799" s="1437">
        <v>0</v>
      </c>
      <c r="J799" s="1437">
        <v>0</v>
      </c>
      <c r="K799" s="1438"/>
      <c r="L799" s="1438"/>
      <c r="M799" s="1437">
        <f t="shared" si="93"/>
        <v>0</v>
      </c>
      <c r="N799" s="1437">
        <f t="shared" si="94"/>
        <v>0</v>
      </c>
    </row>
    <row r="800" spans="1:15" ht="31" outlineLevel="1">
      <c r="A800" s="1491">
        <f t="shared" si="89"/>
        <v>4</v>
      </c>
      <c r="B800" s="1497" t="str">
        <f t="shared" si="89"/>
        <v>Procurement of Coal Mill XRP-903 Bowl &amp; Bowl Hub of Unit # 8 at BM-NPTPS Parli-Vaijnath</v>
      </c>
      <c r="C800" s="1492" t="str">
        <f t="shared" si="89"/>
        <v>Add Cap (As per 296 of 2019)</v>
      </c>
      <c r="D800" s="1334" t="str">
        <f t="shared" si="89"/>
        <v>-</v>
      </c>
      <c r="E800" s="1498">
        <f t="shared" si="89"/>
        <v>0</v>
      </c>
      <c r="F800" s="1437">
        <f t="shared" si="90"/>
        <v>0.73326380000000002</v>
      </c>
      <c r="G800" s="1437">
        <f t="shared" si="91"/>
        <v>0.73326380000000002</v>
      </c>
      <c r="H800" s="1437">
        <f t="shared" si="92"/>
        <v>0</v>
      </c>
      <c r="I800" s="1437">
        <v>0</v>
      </c>
      <c r="J800" s="1437">
        <v>0</v>
      </c>
      <c r="K800" s="1438"/>
      <c r="L800" s="1438"/>
      <c r="M800" s="1437">
        <f t="shared" si="93"/>
        <v>0</v>
      </c>
      <c r="N800" s="1437">
        <f t="shared" si="94"/>
        <v>0</v>
      </c>
    </row>
    <row r="801" spans="1:14" ht="15.5" outlineLevel="1">
      <c r="A801" s="1491">
        <f t="shared" si="89"/>
        <v>5</v>
      </c>
      <c r="B801" s="1497" t="str">
        <f t="shared" si="89"/>
        <v>Supply of impeller assembly for ID fan</v>
      </c>
      <c r="C801" s="1492" t="str">
        <f t="shared" si="89"/>
        <v>Add Cap (As per 296 of 2019)</v>
      </c>
      <c r="D801" s="1334" t="str">
        <f t="shared" si="89"/>
        <v>-</v>
      </c>
      <c r="E801" s="1358">
        <f t="shared" si="89"/>
        <v>0</v>
      </c>
      <c r="F801" s="1437">
        <f t="shared" si="90"/>
        <v>0.52329999999999999</v>
      </c>
      <c r="G801" s="1437">
        <f t="shared" si="91"/>
        <v>0.52329999999999999</v>
      </c>
      <c r="H801" s="1437">
        <f t="shared" si="92"/>
        <v>0</v>
      </c>
      <c r="I801" s="1437">
        <v>0</v>
      </c>
      <c r="J801" s="1437">
        <v>0</v>
      </c>
      <c r="K801" s="1438"/>
      <c r="L801" s="1438"/>
      <c r="M801" s="1437">
        <f t="shared" si="93"/>
        <v>0</v>
      </c>
      <c r="N801" s="1437">
        <f t="shared" si="94"/>
        <v>0</v>
      </c>
    </row>
    <row r="802" spans="1:14" ht="31" outlineLevel="1">
      <c r="A802" s="1491">
        <f t="shared" si="89"/>
        <v>6</v>
      </c>
      <c r="B802" s="1497" t="str">
        <f t="shared" si="89"/>
        <v>Procurement of Primary Air Fan &amp; Forced Draught Fan Drive Coupling on OEM basis required at BM U-8, NPTPS, Parli-V</v>
      </c>
      <c r="C802" s="1492" t="str">
        <f t="shared" si="89"/>
        <v>Add Cap (As per 296 of 2019)</v>
      </c>
      <c r="D802" s="1334" t="str">
        <f t="shared" si="89"/>
        <v>-</v>
      </c>
      <c r="E802" s="1358">
        <f t="shared" si="89"/>
        <v>0</v>
      </c>
      <c r="F802" s="1437">
        <f t="shared" si="90"/>
        <v>0.19409999999999999</v>
      </c>
      <c r="G802" s="1437">
        <f t="shared" si="91"/>
        <v>0.19409999999999999</v>
      </c>
      <c r="H802" s="1437">
        <f t="shared" si="92"/>
        <v>0</v>
      </c>
      <c r="I802" s="1437">
        <v>0</v>
      </c>
      <c r="J802" s="1437">
        <v>0</v>
      </c>
      <c r="K802" s="1438"/>
      <c r="L802" s="1438"/>
      <c r="M802" s="1437">
        <f t="shared" si="93"/>
        <v>0</v>
      </c>
      <c r="N802" s="1437">
        <f t="shared" si="94"/>
        <v>0</v>
      </c>
    </row>
    <row r="803" spans="1:14" ht="46.5" outlineLevel="1">
      <c r="A803" s="1491">
        <f t="shared" si="89"/>
        <v>7</v>
      </c>
      <c r="B803" s="1497" t="str">
        <f t="shared" si="89"/>
        <v>Procurement of  Primary Air Fan PAF 17/11.8-2 Hydraulic Adjustment Device on OEM basis required at BM U-8 NPTPS Parli-V</v>
      </c>
      <c r="C803" s="1492" t="str">
        <f t="shared" si="89"/>
        <v>Add Cap (As per 296 of 2019)</v>
      </c>
      <c r="D803" s="1334" t="str">
        <f t="shared" si="89"/>
        <v>-</v>
      </c>
      <c r="E803" s="1359">
        <f t="shared" si="89"/>
        <v>0</v>
      </c>
      <c r="F803" s="1437">
        <f t="shared" si="90"/>
        <v>0.53521083000000003</v>
      </c>
      <c r="G803" s="1437">
        <f t="shared" si="91"/>
        <v>0.53521083000000003</v>
      </c>
      <c r="H803" s="1437">
        <f t="shared" si="92"/>
        <v>0</v>
      </c>
      <c r="I803" s="1437">
        <v>0</v>
      </c>
      <c r="J803" s="1437">
        <v>0</v>
      </c>
      <c r="K803" s="1438"/>
      <c r="L803" s="1438"/>
      <c r="M803" s="1437">
        <f t="shared" si="93"/>
        <v>0</v>
      </c>
      <c r="N803" s="1437">
        <f t="shared" si="94"/>
        <v>0</v>
      </c>
    </row>
    <row r="804" spans="1:14" ht="31" outlineLevel="1">
      <c r="A804" s="1491">
        <f t="shared" si="89"/>
        <v>8</v>
      </c>
      <c r="B804" s="1497" t="str">
        <f t="shared" si="89"/>
        <v>Proc of spares for fabric expansion joints required at BM U-8, NPTPS, Parli-V.</v>
      </c>
      <c r="C804" s="1492" t="str">
        <f t="shared" si="89"/>
        <v>Add Cap (As per 296 of 2019)</v>
      </c>
      <c r="D804" s="1334" t="str">
        <f t="shared" si="89"/>
        <v>-</v>
      </c>
      <c r="E804" s="1358">
        <f t="shared" si="89"/>
        <v>0</v>
      </c>
      <c r="F804" s="1437">
        <f t="shared" si="90"/>
        <v>0.56971689999999997</v>
      </c>
      <c r="G804" s="1437">
        <f t="shared" si="91"/>
        <v>0.56971689999999997</v>
      </c>
      <c r="H804" s="1437">
        <f t="shared" si="92"/>
        <v>0</v>
      </c>
      <c r="I804" s="1437">
        <v>0</v>
      </c>
      <c r="J804" s="1437">
        <v>0</v>
      </c>
      <c r="K804" s="1438"/>
      <c r="L804" s="1438"/>
      <c r="M804" s="1437">
        <f t="shared" si="93"/>
        <v>0</v>
      </c>
      <c r="N804" s="1437">
        <f t="shared" si="94"/>
        <v>0</v>
      </c>
    </row>
    <row r="805" spans="1:14" ht="31" outlineLevel="1">
      <c r="A805" s="1491">
        <f t="shared" si="89"/>
        <v>9</v>
      </c>
      <c r="B805" s="1497" t="str">
        <f t="shared" si="89"/>
        <v>Proc of separator body and seperator top spares for coal mill XRP-903 at BM U-8, NPTPS Parli-V.</v>
      </c>
      <c r="C805" s="1492" t="str">
        <f t="shared" si="89"/>
        <v>Add Cap (As per 296 of 2019)</v>
      </c>
      <c r="D805" s="1334" t="str">
        <f t="shared" si="89"/>
        <v>-</v>
      </c>
      <c r="E805" s="1358">
        <f t="shared" si="89"/>
        <v>0</v>
      </c>
      <c r="F805" s="1437">
        <f t="shared" si="90"/>
        <v>0.42568995599999998</v>
      </c>
      <c r="G805" s="1437">
        <f t="shared" si="91"/>
        <v>0.42568995599999998</v>
      </c>
      <c r="H805" s="1437">
        <f t="shared" si="92"/>
        <v>0</v>
      </c>
      <c r="I805" s="1437">
        <v>0</v>
      </c>
      <c r="J805" s="1437">
        <v>0</v>
      </c>
      <c r="K805" s="1438"/>
      <c r="L805" s="1438"/>
      <c r="M805" s="1437">
        <f t="shared" si="93"/>
        <v>0</v>
      </c>
      <c r="N805" s="1437">
        <f t="shared" si="94"/>
        <v>0</v>
      </c>
    </row>
    <row r="806" spans="1:14" ht="31" outlineLevel="1">
      <c r="A806" s="1491">
        <f t="shared" si="89"/>
        <v>10</v>
      </c>
      <c r="B806" s="1497" t="str">
        <f t="shared" si="89"/>
        <v>Proc of scrapper area &amp; reject system spares for coal mill XRP-903 at BM U-8, NPTPS Parli-V.</v>
      </c>
      <c r="C806" s="1492" t="str">
        <f t="shared" si="89"/>
        <v>Add Cap (As per 296 of 2019)</v>
      </c>
      <c r="D806" s="1334" t="str">
        <f t="shared" si="89"/>
        <v>-</v>
      </c>
      <c r="E806" s="1358">
        <f t="shared" si="89"/>
        <v>0</v>
      </c>
      <c r="F806" s="1437">
        <f t="shared" si="90"/>
        <v>0.27832896000000001</v>
      </c>
      <c r="G806" s="1437">
        <f t="shared" si="91"/>
        <v>0.27832896000000001</v>
      </c>
      <c r="H806" s="1437">
        <f t="shared" si="92"/>
        <v>0</v>
      </c>
      <c r="I806" s="1437">
        <v>0</v>
      </c>
      <c r="J806" s="1437">
        <v>0</v>
      </c>
      <c r="K806" s="1438"/>
      <c r="L806" s="1438"/>
      <c r="M806" s="1437">
        <f t="shared" si="93"/>
        <v>0</v>
      </c>
      <c r="N806" s="1437">
        <f t="shared" si="94"/>
        <v>0</v>
      </c>
    </row>
    <row r="807" spans="1:14" ht="15.5" outlineLevel="1">
      <c r="A807" s="1491">
        <f t="shared" si="89"/>
        <v>11</v>
      </c>
      <c r="B807" s="1497" t="str">
        <f t="shared" si="89"/>
        <v>Proc of seal air fan spares at BM-8 NPTPS, Parli-V.</v>
      </c>
      <c r="C807" s="1492" t="str">
        <f t="shared" si="89"/>
        <v>Add Cap (As per 296 of 2019)</v>
      </c>
      <c r="D807" s="1334" t="str">
        <f t="shared" si="89"/>
        <v>-</v>
      </c>
      <c r="E807" s="1359">
        <f t="shared" si="89"/>
        <v>0</v>
      </c>
      <c r="F807" s="1437">
        <f t="shared" si="90"/>
        <v>0.26431690000000002</v>
      </c>
      <c r="G807" s="1437">
        <f t="shared" si="91"/>
        <v>0.26431690000000002</v>
      </c>
      <c r="H807" s="1437">
        <f t="shared" si="92"/>
        <v>0</v>
      </c>
      <c r="I807" s="1437">
        <v>0</v>
      </c>
      <c r="J807" s="1437">
        <v>0</v>
      </c>
      <c r="K807" s="1438"/>
      <c r="L807" s="1438"/>
      <c r="M807" s="1437">
        <f t="shared" si="93"/>
        <v>0</v>
      </c>
      <c r="N807" s="1437">
        <f t="shared" si="94"/>
        <v>0</v>
      </c>
    </row>
    <row r="808" spans="1:14" ht="31" outlineLevel="1">
      <c r="A808" s="1491">
        <f t="shared" si="89"/>
        <v>12</v>
      </c>
      <c r="B808" s="1497" t="str">
        <f t="shared" si="89"/>
        <v>Procurement of  FD Fan Type FAF 17/9.5-1 Drive Coupling required at BM U-8 NPTPS Parli-V</v>
      </c>
      <c r="C808" s="1492" t="str">
        <f t="shared" si="89"/>
        <v>Add Cap (As per 296 of 2019)</v>
      </c>
      <c r="D808" s="1334" t="str">
        <f t="shared" si="89"/>
        <v>-</v>
      </c>
      <c r="E808" s="1358">
        <f t="shared" si="89"/>
        <v>0</v>
      </c>
      <c r="F808" s="1437">
        <f t="shared" si="90"/>
        <v>0</v>
      </c>
      <c r="G808" s="1437">
        <f t="shared" si="91"/>
        <v>0</v>
      </c>
      <c r="H808" s="1437">
        <f t="shared" si="92"/>
        <v>0</v>
      </c>
      <c r="I808" s="1437">
        <v>0</v>
      </c>
      <c r="J808" s="1437">
        <v>0</v>
      </c>
      <c r="K808" s="1438"/>
      <c r="L808" s="1438"/>
      <c r="M808" s="1437">
        <f t="shared" si="93"/>
        <v>0</v>
      </c>
      <c r="N808" s="1437">
        <f t="shared" si="94"/>
        <v>0</v>
      </c>
    </row>
    <row r="809" spans="1:14" ht="31" outlineLevel="1">
      <c r="A809" s="1491">
        <f t="shared" si="89"/>
        <v>13</v>
      </c>
      <c r="B809" s="1497" t="str">
        <f t="shared" si="89"/>
        <v>Procurement of complete planatary gear box-KMP -280/300 for coal mill XRP-903 at BM U-8 NPTPS Parli-V</v>
      </c>
      <c r="C809" s="1492" t="str">
        <f t="shared" si="89"/>
        <v>Add Cap (As per 296 of 2019)</v>
      </c>
      <c r="D809" s="1334" t="str">
        <f t="shared" si="89"/>
        <v>-</v>
      </c>
      <c r="E809" s="1358">
        <f t="shared" si="89"/>
        <v>0</v>
      </c>
      <c r="F809" s="1437">
        <f t="shared" si="90"/>
        <v>0</v>
      </c>
      <c r="G809" s="1437">
        <f t="shared" si="91"/>
        <v>0</v>
      </c>
      <c r="H809" s="1437">
        <f t="shared" si="92"/>
        <v>0</v>
      </c>
      <c r="I809" s="1437">
        <v>0</v>
      </c>
      <c r="J809" s="1437">
        <v>0</v>
      </c>
      <c r="K809" s="1438"/>
      <c r="L809" s="1438"/>
      <c r="M809" s="1437">
        <f t="shared" si="93"/>
        <v>0</v>
      </c>
      <c r="N809" s="1437">
        <f t="shared" si="94"/>
        <v>0</v>
      </c>
    </row>
    <row r="810" spans="1:14" ht="15.5" outlineLevel="1">
      <c r="A810" s="1493">
        <f t="shared" ref="A810:E825" si="95">A417</f>
        <v>2</v>
      </c>
      <c r="B810" s="1494" t="str">
        <f t="shared" si="95"/>
        <v>Turbine and Auxiliaries</v>
      </c>
      <c r="C810" s="1495" t="str">
        <f t="shared" si="95"/>
        <v>Add Cap (As per 296 of 2019)</v>
      </c>
      <c r="D810" s="1341" t="str">
        <f t="shared" si="95"/>
        <v>-</v>
      </c>
      <c r="E810" s="1496">
        <f t="shared" si="95"/>
        <v>4.3</v>
      </c>
      <c r="F810" s="1437">
        <f t="shared" si="90"/>
        <v>0</v>
      </c>
      <c r="G810" s="1437">
        <f t="shared" si="91"/>
        <v>0</v>
      </c>
      <c r="H810" s="1437">
        <f t="shared" si="92"/>
        <v>0</v>
      </c>
      <c r="I810" s="1437">
        <v>0</v>
      </c>
      <c r="J810" s="1437">
        <v>0</v>
      </c>
      <c r="K810" s="1438"/>
      <c r="L810" s="1438"/>
      <c r="M810" s="1437">
        <f t="shared" si="93"/>
        <v>0</v>
      </c>
      <c r="N810" s="1437">
        <f t="shared" si="94"/>
        <v>0</v>
      </c>
    </row>
    <row r="811" spans="1:14" ht="46.5" outlineLevel="1">
      <c r="A811" s="1499">
        <f t="shared" si="95"/>
        <v>1</v>
      </c>
      <c r="B811" s="1497" t="str">
        <f t="shared" si="95"/>
        <v>Procurement of spares for Equipment Cooling Water Pumps (Make-FLOWMORE) of model FIG-5824 (SG Side) and FIG-5822 (TG side) at Unit-8 NPTPS Parli-V</v>
      </c>
      <c r="C811" s="1492" t="str">
        <f t="shared" si="95"/>
        <v>Add Cap (As per 296 of 2019)</v>
      </c>
      <c r="D811" s="1334" t="str">
        <f t="shared" si="95"/>
        <v>-</v>
      </c>
      <c r="E811" s="1358">
        <f t="shared" si="95"/>
        <v>0</v>
      </c>
      <c r="F811" s="1437">
        <f t="shared" si="90"/>
        <v>0.51811829399999998</v>
      </c>
      <c r="G811" s="1437">
        <f t="shared" si="91"/>
        <v>0.51811829399999998</v>
      </c>
      <c r="H811" s="1437">
        <f t="shared" si="92"/>
        <v>0</v>
      </c>
      <c r="I811" s="1437">
        <v>0</v>
      </c>
      <c r="J811" s="1437">
        <v>0</v>
      </c>
      <c r="K811" s="1438"/>
      <c r="L811" s="1438"/>
      <c r="M811" s="1437">
        <f t="shared" si="93"/>
        <v>0</v>
      </c>
      <c r="N811" s="1437">
        <f t="shared" si="94"/>
        <v>0</v>
      </c>
    </row>
    <row r="812" spans="1:14" ht="15.5" outlineLevel="1">
      <c r="A812" s="1499">
        <f t="shared" si="95"/>
        <v>2</v>
      </c>
      <c r="B812" s="1497" t="str">
        <f t="shared" si="95"/>
        <v>Supply of spars for recovery &amp; FF Pumps along with work  at U#8</v>
      </c>
      <c r="C812" s="1492" t="str">
        <f t="shared" si="95"/>
        <v>Add Cap (As per 296 of 2019)</v>
      </c>
      <c r="D812" s="1334" t="str">
        <f t="shared" si="95"/>
        <v>-</v>
      </c>
      <c r="E812" s="1359">
        <f t="shared" si="95"/>
        <v>0</v>
      </c>
      <c r="F812" s="1437">
        <f t="shared" si="90"/>
        <v>0.37712800000000002</v>
      </c>
      <c r="G812" s="1437">
        <f t="shared" si="91"/>
        <v>0.37712800000000002</v>
      </c>
      <c r="H812" s="1437">
        <f t="shared" si="92"/>
        <v>0</v>
      </c>
      <c r="I812" s="1437">
        <v>0</v>
      </c>
      <c r="J812" s="1437">
        <v>0</v>
      </c>
      <c r="K812" s="1438"/>
      <c r="L812" s="1438"/>
      <c r="M812" s="1437">
        <f t="shared" si="93"/>
        <v>0</v>
      </c>
      <c r="N812" s="1437">
        <f t="shared" si="94"/>
        <v>0</v>
      </c>
    </row>
    <row r="813" spans="1:14" ht="15.5" outlineLevel="1">
      <c r="A813" s="1499">
        <f t="shared" si="95"/>
        <v>3</v>
      </c>
      <c r="B813" s="1497" t="str">
        <f t="shared" si="95"/>
        <v>Supply of seal oil vacuum pump  in unit 08</v>
      </c>
      <c r="C813" s="1492" t="str">
        <f t="shared" si="95"/>
        <v>Add Cap (As per 296 of 2019)</v>
      </c>
      <c r="D813" s="1334" t="str">
        <f t="shared" si="95"/>
        <v>-</v>
      </c>
      <c r="E813" s="1358">
        <f t="shared" si="95"/>
        <v>0</v>
      </c>
      <c r="F813" s="1437">
        <f t="shared" si="90"/>
        <v>0.27501740000000002</v>
      </c>
      <c r="G813" s="1437">
        <f t="shared" si="91"/>
        <v>0.27501740000000002</v>
      </c>
      <c r="H813" s="1437">
        <f t="shared" si="92"/>
        <v>0</v>
      </c>
      <c r="I813" s="1437">
        <v>0</v>
      </c>
      <c r="J813" s="1437">
        <v>0</v>
      </c>
      <c r="K813" s="1438"/>
      <c r="L813" s="1438"/>
      <c r="M813" s="1437">
        <f t="shared" si="93"/>
        <v>0</v>
      </c>
      <c r="N813" s="1437">
        <f t="shared" si="94"/>
        <v>0</v>
      </c>
    </row>
    <row r="814" spans="1:14" ht="46.5" outlineLevel="1">
      <c r="A814" s="1499">
        <f t="shared" si="95"/>
        <v>4</v>
      </c>
      <c r="B814" s="1497" t="str">
        <f t="shared" si="95"/>
        <v>Procurement of AC pressure pipes (235MM OD, 200MM ID, 4.5M Length) for NDCT hot spray water distribution system in Unit-8 NPTPS Parli-Vaijnath</v>
      </c>
      <c r="C814" s="1492" t="str">
        <f t="shared" si="95"/>
        <v>Add Cap (As per 296 of 2019)</v>
      </c>
      <c r="D814" s="1334" t="str">
        <f t="shared" si="95"/>
        <v>-</v>
      </c>
      <c r="E814" s="1358">
        <f t="shared" si="95"/>
        <v>0</v>
      </c>
      <c r="F814" s="1437">
        <f t="shared" si="90"/>
        <v>0.42522480000000001</v>
      </c>
      <c r="G814" s="1437">
        <f t="shared" si="91"/>
        <v>0.42522480000000001</v>
      </c>
      <c r="H814" s="1437">
        <f t="shared" si="92"/>
        <v>0</v>
      </c>
      <c r="I814" s="1437">
        <v>0</v>
      </c>
      <c r="J814" s="1437">
        <v>0</v>
      </c>
      <c r="K814" s="1438"/>
      <c r="L814" s="1438"/>
      <c r="M814" s="1437">
        <f t="shared" si="93"/>
        <v>0</v>
      </c>
      <c r="N814" s="1437">
        <f t="shared" si="94"/>
        <v>0</v>
      </c>
    </row>
    <row r="815" spans="1:14" ht="31" outlineLevel="1">
      <c r="A815" s="1499">
        <f t="shared" si="95"/>
        <v>5</v>
      </c>
      <c r="B815" s="1497" t="str">
        <f t="shared" si="95"/>
        <v>Supply of M/s Summits make Instrument Air Dryer &amp; spares at U # 8 TM, Parli-V</v>
      </c>
      <c r="C815" s="1492" t="str">
        <f t="shared" si="95"/>
        <v>Add Cap (As per 296 of 2019)</v>
      </c>
      <c r="D815" s="1334" t="str">
        <f t="shared" si="95"/>
        <v>-</v>
      </c>
      <c r="E815" s="1358">
        <f t="shared" si="95"/>
        <v>0</v>
      </c>
      <c r="F815" s="1437">
        <f t="shared" si="90"/>
        <v>0.54787163999999999</v>
      </c>
      <c r="G815" s="1437">
        <f t="shared" si="91"/>
        <v>0.54787163999999999</v>
      </c>
      <c r="H815" s="1437">
        <f t="shared" si="92"/>
        <v>0</v>
      </c>
      <c r="I815" s="1437">
        <v>0</v>
      </c>
      <c r="J815" s="1437">
        <v>0</v>
      </c>
      <c r="K815" s="1438"/>
      <c r="L815" s="1438"/>
      <c r="M815" s="1437">
        <f t="shared" si="93"/>
        <v>0</v>
      </c>
      <c r="N815" s="1437">
        <f t="shared" si="94"/>
        <v>0</v>
      </c>
    </row>
    <row r="816" spans="1:14" ht="15.5" outlineLevel="1">
      <c r="A816" s="1499">
        <f t="shared" si="95"/>
        <v>6</v>
      </c>
      <c r="B816" s="1497" t="str">
        <f t="shared" si="95"/>
        <v>Supply of PVC fills for NDCTs at U # 8 TM, Parli-V</v>
      </c>
      <c r="C816" s="1492" t="str">
        <f t="shared" si="95"/>
        <v>Add Cap (As per 296 of 2019)</v>
      </c>
      <c r="D816" s="1334" t="str">
        <f t="shared" si="95"/>
        <v>-</v>
      </c>
      <c r="E816" s="1358">
        <f t="shared" si="95"/>
        <v>0</v>
      </c>
      <c r="F816" s="1437">
        <f t="shared" si="90"/>
        <v>0.58244799999999997</v>
      </c>
      <c r="G816" s="1437">
        <f t="shared" si="91"/>
        <v>0.58244799999999997</v>
      </c>
      <c r="H816" s="1437">
        <f t="shared" si="92"/>
        <v>0</v>
      </c>
      <c r="I816" s="1437">
        <v>0</v>
      </c>
      <c r="J816" s="1437">
        <v>0</v>
      </c>
      <c r="K816" s="1438"/>
      <c r="L816" s="1438"/>
      <c r="M816" s="1437">
        <f t="shared" si="93"/>
        <v>0</v>
      </c>
      <c r="N816" s="1437">
        <f t="shared" si="94"/>
        <v>0</v>
      </c>
    </row>
    <row r="817" spans="1:14" ht="31" outlineLevel="1">
      <c r="A817" s="1499">
        <f t="shared" si="95"/>
        <v>7</v>
      </c>
      <c r="B817" s="1497" t="str">
        <f t="shared" si="95"/>
        <v>Procurement of NB 600MM Gate valves for ACW self cleaning strainers in U#8 TM NPTPS Parli-V</v>
      </c>
      <c r="C817" s="1492" t="str">
        <f t="shared" si="95"/>
        <v>Add Cap (As per 296 of 2019)</v>
      </c>
      <c r="D817" s="1334" t="str">
        <f t="shared" si="95"/>
        <v>-</v>
      </c>
      <c r="E817" s="1358">
        <f t="shared" si="95"/>
        <v>0</v>
      </c>
      <c r="F817" s="1437">
        <f t="shared" si="90"/>
        <v>0.42338399999999998</v>
      </c>
      <c r="G817" s="1437">
        <f t="shared" si="91"/>
        <v>0.42338399999999998</v>
      </c>
      <c r="H817" s="1437">
        <f t="shared" si="92"/>
        <v>0</v>
      </c>
      <c r="I817" s="1437">
        <v>0</v>
      </c>
      <c r="J817" s="1437">
        <v>0</v>
      </c>
      <c r="K817" s="1438"/>
      <c r="L817" s="1438"/>
      <c r="M817" s="1437">
        <f t="shared" si="93"/>
        <v>0</v>
      </c>
      <c r="N817" s="1437">
        <f t="shared" si="94"/>
        <v>0</v>
      </c>
    </row>
    <row r="818" spans="1:14" ht="31" outlineLevel="1">
      <c r="A818" s="1499">
        <f t="shared" si="95"/>
        <v>8</v>
      </c>
      <c r="B818" s="1497" t="str">
        <f t="shared" si="95"/>
        <v>Procurement of Mechanical seals ( Make Leak-Proof) for various pumps in TM Unit-8 NPTPS Parli.</v>
      </c>
      <c r="C818" s="1492" t="str">
        <f t="shared" si="95"/>
        <v>Add Cap (As per 296 of 2019)</v>
      </c>
      <c r="D818" s="1334" t="str">
        <f t="shared" si="95"/>
        <v>-</v>
      </c>
      <c r="E818" s="1359">
        <f t="shared" si="95"/>
        <v>0</v>
      </c>
      <c r="F818" s="1437">
        <f t="shared" si="90"/>
        <v>0.49233139999999997</v>
      </c>
      <c r="G818" s="1437">
        <f t="shared" si="91"/>
        <v>0.49233139999999997</v>
      </c>
      <c r="H818" s="1437">
        <f t="shared" si="92"/>
        <v>0</v>
      </c>
      <c r="I818" s="1437">
        <v>0</v>
      </c>
      <c r="J818" s="1437">
        <v>0</v>
      </c>
      <c r="K818" s="1438"/>
      <c r="L818" s="1438"/>
      <c r="M818" s="1437">
        <f t="shared" si="93"/>
        <v>0</v>
      </c>
      <c r="N818" s="1437">
        <f t="shared" si="94"/>
        <v>0</v>
      </c>
    </row>
    <row r="819" spans="1:14" ht="15.5" outlineLevel="1">
      <c r="A819" s="1499">
        <f t="shared" si="95"/>
        <v>9</v>
      </c>
      <c r="B819" s="1497" t="str">
        <f t="shared" si="95"/>
        <v>Supply of SS 304 pipes &amp; others at U # 8 TM, Parli-V.</v>
      </c>
      <c r="C819" s="1492" t="str">
        <f t="shared" si="95"/>
        <v>Add Cap (As per 296 of 2019)</v>
      </c>
      <c r="D819" s="1334" t="str">
        <f t="shared" si="95"/>
        <v>-</v>
      </c>
      <c r="E819" s="1366">
        <f t="shared" si="95"/>
        <v>0</v>
      </c>
      <c r="F819" s="1437">
        <f t="shared" si="90"/>
        <v>0.52905441600000003</v>
      </c>
      <c r="G819" s="1437">
        <f t="shared" si="91"/>
        <v>0.52905441600000003</v>
      </c>
      <c r="H819" s="1437">
        <f t="shared" si="92"/>
        <v>0</v>
      </c>
      <c r="I819" s="1437">
        <v>0</v>
      </c>
      <c r="J819" s="1437">
        <v>0</v>
      </c>
      <c r="K819" s="1438"/>
      <c r="L819" s="1438"/>
      <c r="M819" s="1437">
        <f t="shared" si="93"/>
        <v>0</v>
      </c>
      <c r="N819" s="1437">
        <f t="shared" si="94"/>
        <v>0</v>
      </c>
    </row>
    <row r="820" spans="1:14" ht="15.5" outlineLevel="1">
      <c r="A820" s="1493">
        <f t="shared" si="95"/>
        <v>3</v>
      </c>
      <c r="B820" s="1494" t="str">
        <f t="shared" si="95"/>
        <v xml:space="preserve">Electrical and Instrumentation </v>
      </c>
      <c r="C820" s="1495" t="str">
        <f t="shared" si="95"/>
        <v>Add Cap (As per 296 of 2019)</v>
      </c>
      <c r="D820" s="1341" t="str">
        <f t="shared" si="95"/>
        <v>-</v>
      </c>
      <c r="E820" s="1496">
        <f t="shared" si="95"/>
        <v>6.1</v>
      </c>
      <c r="F820" s="1437">
        <f t="shared" si="90"/>
        <v>0</v>
      </c>
      <c r="G820" s="1437">
        <f t="shared" si="91"/>
        <v>0</v>
      </c>
      <c r="H820" s="1437">
        <f t="shared" si="92"/>
        <v>0</v>
      </c>
      <c r="I820" s="1437">
        <v>0</v>
      </c>
      <c r="J820" s="1437">
        <v>0</v>
      </c>
      <c r="K820" s="1438"/>
      <c r="L820" s="1438"/>
      <c r="M820" s="1437">
        <f t="shared" si="93"/>
        <v>0</v>
      </c>
      <c r="N820" s="1437">
        <f t="shared" si="94"/>
        <v>0</v>
      </c>
    </row>
    <row r="821" spans="1:14" ht="31" outlineLevel="1">
      <c r="A821" s="1499">
        <f t="shared" si="95"/>
        <v>1</v>
      </c>
      <c r="B821" s="1500" t="str">
        <f t="shared" si="95"/>
        <v>Supply of Instrumentation Spares of LP Bypass System at Unit-8.</v>
      </c>
      <c r="C821" s="1492" t="str">
        <f t="shared" si="95"/>
        <v>Add Cap (As per 296 of 2019)</v>
      </c>
      <c r="D821" s="1334" t="str">
        <f t="shared" si="95"/>
        <v>-</v>
      </c>
      <c r="E821" s="1366">
        <f t="shared" si="95"/>
        <v>0</v>
      </c>
      <c r="F821" s="1437">
        <f t="shared" si="90"/>
        <v>1.9614571240000001</v>
      </c>
      <c r="G821" s="1437">
        <f t="shared" si="91"/>
        <v>1.9614571240000001</v>
      </c>
      <c r="H821" s="1437">
        <f t="shared" si="92"/>
        <v>0</v>
      </c>
      <c r="I821" s="1437">
        <v>0</v>
      </c>
      <c r="J821" s="1437">
        <v>0</v>
      </c>
      <c r="K821" s="1438"/>
      <c r="L821" s="1438"/>
      <c r="M821" s="1437">
        <f t="shared" si="93"/>
        <v>0</v>
      </c>
      <c r="N821" s="1437">
        <f t="shared" si="94"/>
        <v>0</v>
      </c>
    </row>
    <row r="822" spans="1:14" ht="31" outlineLevel="1">
      <c r="A822" s="1499">
        <f t="shared" si="95"/>
        <v>2</v>
      </c>
      <c r="B822" s="1501" t="str">
        <f t="shared" si="95"/>
        <v>Procurement of Schneider MICOM Numerical Relays for GRP and STPR swithcgear at NPTPS Unit-8 Testing</v>
      </c>
      <c r="C822" s="1492" t="str">
        <f t="shared" si="95"/>
        <v>Add Cap (As per 296 of 2019)</v>
      </c>
      <c r="D822" s="1334" t="str">
        <f t="shared" si="95"/>
        <v>-</v>
      </c>
      <c r="E822" s="1366">
        <f t="shared" si="95"/>
        <v>0</v>
      </c>
      <c r="F822" s="1437">
        <f t="shared" si="90"/>
        <v>0.47613</v>
      </c>
      <c r="G822" s="1437">
        <f t="shared" si="91"/>
        <v>0.47613</v>
      </c>
      <c r="H822" s="1437">
        <f t="shared" si="92"/>
        <v>0</v>
      </c>
      <c r="I822" s="1437">
        <v>0</v>
      </c>
      <c r="J822" s="1437">
        <v>0</v>
      </c>
      <c r="K822" s="1438"/>
      <c r="L822" s="1438"/>
      <c r="M822" s="1437">
        <f t="shared" si="93"/>
        <v>0</v>
      </c>
      <c r="N822" s="1437">
        <f t="shared" si="94"/>
        <v>0</v>
      </c>
    </row>
    <row r="823" spans="1:14" ht="31" outlineLevel="1">
      <c r="A823" s="1502">
        <f t="shared" si="95"/>
        <v>3</v>
      </c>
      <c r="B823" s="1501" t="str">
        <f t="shared" si="95"/>
        <v xml:space="preserve">Procurement of 220V DC Chloride make (formally caldyne) make battery chargers Spre of Unit 8 NPTPS Parli-V                           </v>
      </c>
      <c r="C823" s="1492" t="str">
        <f t="shared" si="95"/>
        <v>Add Cap (As per 296 of 2019)</v>
      </c>
      <c r="D823" s="1334" t="str">
        <f t="shared" si="95"/>
        <v>-</v>
      </c>
      <c r="E823" s="1359">
        <f t="shared" si="95"/>
        <v>0</v>
      </c>
      <c r="F823" s="1437">
        <f t="shared" si="90"/>
        <v>0.23365298000000001</v>
      </c>
      <c r="G823" s="1437">
        <f t="shared" si="91"/>
        <v>0.23365298000000001</v>
      </c>
      <c r="H823" s="1437">
        <f t="shared" si="92"/>
        <v>0</v>
      </c>
      <c r="I823" s="1437">
        <v>0</v>
      </c>
      <c r="J823" s="1437">
        <v>0</v>
      </c>
      <c r="K823" s="1438"/>
      <c r="L823" s="1438"/>
      <c r="M823" s="1437">
        <f t="shared" si="93"/>
        <v>0</v>
      </c>
      <c r="N823" s="1437">
        <f t="shared" si="94"/>
        <v>0</v>
      </c>
    </row>
    <row r="824" spans="1:14" ht="31" outlineLevel="1">
      <c r="A824" s="1502">
        <f t="shared" si="95"/>
        <v>4</v>
      </c>
      <c r="B824" s="1501" t="str">
        <f t="shared" si="95"/>
        <v>Procurement of 24V DC Chhabi make make battery chargers Spare of Unit 8 NPTPS Parli-V</v>
      </c>
      <c r="C824" s="1492" t="str">
        <f t="shared" si="95"/>
        <v>Add Cap (As per 296 of 2019)</v>
      </c>
      <c r="D824" s="1334" t="str">
        <f t="shared" si="95"/>
        <v>-</v>
      </c>
      <c r="E824" s="1358">
        <f t="shared" si="95"/>
        <v>0</v>
      </c>
      <c r="F824" s="1437">
        <f t="shared" si="90"/>
        <v>0.22464893999999999</v>
      </c>
      <c r="G824" s="1437">
        <f t="shared" si="91"/>
        <v>0.22464893999999999</v>
      </c>
      <c r="H824" s="1437">
        <f t="shared" si="92"/>
        <v>0</v>
      </c>
      <c r="I824" s="1437">
        <v>0</v>
      </c>
      <c r="J824" s="1437">
        <v>0</v>
      </c>
      <c r="K824" s="1438"/>
      <c r="L824" s="1438"/>
      <c r="M824" s="1437">
        <f t="shared" si="93"/>
        <v>0</v>
      </c>
      <c r="N824" s="1437">
        <f t="shared" si="94"/>
        <v>0</v>
      </c>
    </row>
    <row r="825" spans="1:14" ht="31" outlineLevel="1">
      <c r="A825" s="1499">
        <f t="shared" si="95"/>
        <v>5</v>
      </c>
      <c r="B825" s="1501" t="str">
        <f t="shared" si="95"/>
        <v xml:space="preserve"> Procurement of Spare for Hitachi Hi-Rel make UPS systems installed at Unit-8 NPTPS Parli Vaijnath.</v>
      </c>
      <c r="C825" s="1492" t="str">
        <f t="shared" si="95"/>
        <v>Add Cap (As per 296 of 2019)</v>
      </c>
      <c r="D825" s="1334" t="str">
        <f t="shared" si="95"/>
        <v>-</v>
      </c>
      <c r="E825" s="1358">
        <f t="shared" si="95"/>
        <v>0</v>
      </c>
      <c r="F825" s="1437">
        <f t="shared" si="90"/>
        <v>0.19186271399999999</v>
      </c>
      <c r="G825" s="1437">
        <f t="shared" si="91"/>
        <v>0.19186271399999999</v>
      </c>
      <c r="H825" s="1437">
        <f t="shared" si="92"/>
        <v>0</v>
      </c>
      <c r="I825" s="1437">
        <v>0</v>
      </c>
      <c r="J825" s="1437">
        <v>0</v>
      </c>
      <c r="K825" s="1438"/>
      <c r="L825" s="1438"/>
      <c r="M825" s="1437">
        <f t="shared" si="93"/>
        <v>0</v>
      </c>
      <c r="N825" s="1437">
        <f t="shared" si="94"/>
        <v>0</v>
      </c>
    </row>
    <row r="826" spans="1:14" ht="62" outlineLevel="1">
      <c r="A826" s="1502">
        <f t="shared" ref="A826:E841" si="96">A433</f>
        <v>6</v>
      </c>
      <c r="B826" s="1501" t="str">
        <f t="shared" si="96"/>
        <v>Procurement of various test kit for testing U#8 such as energy meter calibration kit, DC earth faulth locator kit, promary current injection kit, breaker time measurement kit, numeric relay test kit and other testing instruments.</v>
      </c>
      <c r="C826" s="1492" t="str">
        <f t="shared" si="96"/>
        <v>Add Cap (As per 296 of 2019)</v>
      </c>
      <c r="D826" s="1334" t="str">
        <f t="shared" si="96"/>
        <v>-</v>
      </c>
      <c r="E826" s="1359">
        <f t="shared" si="96"/>
        <v>0</v>
      </c>
      <c r="F826" s="1437">
        <f t="shared" si="90"/>
        <v>0.6734502</v>
      </c>
      <c r="G826" s="1437">
        <f t="shared" si="91"/>
        <v>0.6734502</v>
      </c>
      <c r="H826" s="1437">
        <f t="shared" si="92"/>
        <v>0</v>
      </c>
      <c r="I826" s="1437">
        <v>0</v>
      </c>
      <c r="J826" s="1437">
        <v>0</v>
      </c>
      <c r="K826" s="1438"/>
      <c r="L826" s="1438"/>
      <c r="M826" s="1437">
        <f t="shared" si="93"/>
        <v>0</v>
      </c>
      <c r="N826" s="1437">
        <f t="shared" si="94"/>
        <v>0</v>
      </c>
    </row>
    <row r="827" spans="1:14" ht="46.5" outlineLevel="1">
      <c r="A827" s="1499">
        <f t="shared" si="96"/>
        <v>7</v>
      </c>
      <c r="B827" s="1501" t="str">
        <f t="shared" si="96"/>
        <v>Procurement of   Energymeter Caliberation Software Module and hardware for upgrading Numeric Relay Test kit at Unit -8 Testing.</v>
      </c>
      <c r="C827" s="1492" t="str">
        <f t="shared" si="96"/>
        <v>Add Cap (As per 296 of 2019)</v>
      </c>
      <c r="D827" s="1334" t="str">
        <f t="shared" si="96"/>
        <v>-</v>
      </c>
      <c r="E827" s="1367">
        <f t="shared" si="96"/>
        <v>0</v>
      </c>
      <c r="F827" s="1437">
        <f t="shared" si="90"/>
        <v>0.118629766</v>
      </c>
      <c r="G827" s="1437">
        <f t="shared" si="91"/>
        <v>0.118629766</v>
      </c>
      <c r="H827" s="1437">
        <f t="shared" si="92"/>
        <v>0</v>
      </c>
      <c r="I827" s="1437">
        <v>0</v>
      </c>
      <c r="J827" s="1437">
        <v>0</v>
      </c>
      <c r="K827" s="1438"/>
      <c r="L827" s="1438"/>
      <c r="M827" s="1437">
        <f t="shared" si="93"/>
        <v>0</v>
      </c>
      <c r="N827" s="1437">
        <f t="shared" si="94"/>
        <v>0</v>
      </c>
    </row>
    <row r="828" spans="1:14" ht="15.5" outlineLevel="1">
      <c r="A828" s="1502">
        <f t="shared" si="96"/>
        <v>8</v>
      </c>
      <c r="B828" s="1503" t="str">
        <f t="shared" si="96"/>
        <v>Procurement of H T Motors.</v>
      </c>
      <c r="C828" s="1492" t="str">
        <f t="shared" si="96"/>
        <v>Add Cap (As per 296 of 2019)</v>
      </c>
      <c r="D828" s="1334" t="str">
        <f t="shared" si="96"/>
        <v>-</v>
      </c>
      <c r="E828" s="1359">
        <f t="shared" si="96"/>
        <v>0</v>
      </c>
      <c r="F828" s="1437">
        <f t="shared" si="90"/>
        <v>0</v>
      </c>
      <c r="G828" s="1437">
        <f t="shared" si="91"/>
        <v>0</v>
      </c>
      <c r="H828" s="1437">
        <f t="shared" si="92"/>
        <v>0</v>
      </c>
      <c r="I828" s="1437">
        <v>0</v>
      </c>
      <c r="J828" s="1437">
        <v>0</v>
      </c>
      <c r="K828" s="1438"/>
      <c r="L828" s="1438"/>
      <c r="M828" s="1437">
        <f t="shared" si="93"/>
        <v>0</v>
      </c>
      <c r="N828" s="1437">
        <f t="shared" si="94"/>
        <v>0</v>
      </c>
    </row>
    <row r="829" spans="1:14" ht="15.5" outlineLevel="1">
      <c r="A829" s="1499">
        <f t="shared" si="96"/>
        <v>9</v>
      </c>
      <c r="B829" s="1503" t="str">
        <f t="shared" si="96"/>
        <v>Procurement of critical L T Motors</v>
      </c>
      <c r="C829" s="1492" t="str">
        <f t="shared" si="96"/>
        <v>Add Cap (As per 296 of 2019)</v>
      </c>
      <c r="D829" s="1334" t="str">
        <f t="shared" si="96"/>
        <v>-</v>
      </c>
      <c r="E829" s="1368">
        <f t="shared" si="96"/>
        <v>0</v>
      </c>
      <c r="F829" s="1437">
        <f t="shared" si="90"/>
        <v>0</v>
      </c>
      <c r="G829" s="1437">
        <f t="shared" si="91"/>
        <v>0</v>
      </c>
      <c r="H829" s="1437">
        <f t="shared" si="92"/>
        <v>0</v>
      </c>
      <c r="I829" s="1437">
        <v>0</v>
      </c>
      <c r="J829" s="1437">
        <v>0</v>
      </c>
      <c r="K829" s="1438"/>
      <c r="L829" s="1438"/>
      <c r="M829" s="1437">
        <f t="shared" si="93"/>
        <v>0</v>
      </c>
      <c r="N829" s="1437">
        <f t="shared" si="94"/>
        <v>0</v>
      </c>
    </row>
    <row r="830" spans="1:14" ht="62" outlineLevel="1">
      <c r="A830" s="1502">
        <f t="shared" si="96"/>
        <v>10</v>
      </c>
      <c r="B830" s="1501" t="str">
        <f t="shared" si="96"/>
        <v xml:space="preserve">Procurement  of ESP Hopper heaters (As a initial spares) Installed at EM U-8, NPTPS, Parli-Vaijnath under add cap scheme.
</v>
      </c>
      <c r="C830" s="1492" t="str">
        <f t="shared" si="96"/>
        <v>Add Cap (As per 296 of 2019)</v>
      </c>
      <c r="D830" s="1334" t="str">
        <f t="shared" si="96"/>
        <v>-</v>
      </c>
      <c r="E830" s="1359">
        <f t="shared" si="96"/>
        <v>0</v>
      </c>
      <c r="F830" s="1437">
        <f t="shared" si="90"/>
        <v>0.38585999999999998</v>
      </c>
      <c r="G830" s="1437">
        <f t="shared" si="91"/>
        <v>0.38585999999999998</v>
      </c>
      <c r="H830" s="1437">
        <f t="shared" si="92"/>
        <v>0</v>
      </c>
      <c r="I830" s="1437">
        <v>0</v>
      </c>
      <c r="J830" s="1437">
        <v>0</v>
      </c>
      <c r="K830" s="1438"/>
      <c r="L830" s="1438"/>
      <c r="M830" s="1437">
        <f t="shared" si="93"/>
        <v>0</v>
      </c>
      <c r="N830" s="1437">
        <f t="shared" si="94"/>
        <v>0</v>
      </c>
    </row>
    <row r="831" spans="1:14" ht="15.5" outlineLevel="1">
      <c r="A831" s="1493">
        <f t="shared" si="96"/>
        <v>4</v>
      </c>
      <c r="B831" s="1494" t="str">
        <f t="shared" si="96"/>
        <v>Outdoor Plant(CHP/AHP/WTP)</v>
      </c>
      <c r="C831" s="1495" t="str">
        <f t="shared" si="96"/>
        <v>Add Cap (As per 296 of 2019)</v>
      </c>
      <c r="D831" s="1341" t="str">
        <f t="shared" si="96"/>
        <v>-</v>
      </c>
      <c r="E831" s="1496">
        <f t="shared" si="96"/>
        <v>6.64</v>
      </c>
      <c r="F831" s="1437">
        <f t="shared" si="90"/>
        <v>0</v>
      </c>
      <c r="G831" s="1437">
        <f t="shared" si="91"/>
        <v>0</v>
      </c>
      <c r="H831" s="1437">
        <f t="shared" si="92"/>
        <v>0</v>
      </c>
      <c r="I831" s="1437">
        <v>0</v>
      </c>
      <c r="J831" s="1437">
        <v>0</v>
      </c>
      <c r="K831" s="1438"/>
      <c r="L831" s="1438"/>
      <c r="M831" s="1437">
        <f t="shared" si="93"/>
        <v>0</v>
      </c>
      <c r="N831" s="1437">
        <f t="shared" si="94"/>
        <v>0</v>
      </c>
    </row>
    <row r="832" spans="1:14" ht="15.5" outlineLevel="1">
      <c r="A832" s="1504">
        <f t="shared" si="96"/>
        <v>1</v>
      </c>
      <c r="B832" s="1497" t="str">
        <f t="shared" si="96"/>
        <v>Supply of Apron Feeder spares installed at CHP NPTPS Parli-V</v>
      </c>
      <c r="C832" s="1492" t="str">
        <f t="shared" si="96"/>
        <v>Add Cap (As per 296 of 2019)</v>
      </c>
      <c r="D832" s="1334" t="str">
        <f t="shared" si="96"/>
        <v>-</v>
      </c>
      <c r="E832" s="1359">
        <f t="shared" si="96"/>
        <v>0</v>
      </c>
      <c r="F832" s="1437">
        <f t="shared" si="90"/>
        <v>1.6232788</v>
      </c>
      <c r="G832" s="1437">
        <f t="shared" si="91"/>
        <v>1.6232788</v>
      </c>
      <c r="H832" s="1437">
        <f t="shared" si="92"/>
        <v>0</v>
      </c>
      <c r="I832" s="1437">
        <v>0</v>
      </c>
      <c r="J832" s="1437">
        <v>0</v>
      </c>
      <c r="K832" s="1438"/>
      <c r="L832" s="1438"/>
      <c r="M832" s="1437">
        <f t="shared" si="93"/>
        <v>0</v>
      </c>
      <c r="N832" s="1437">
        <f t="shared" si="94"/>
        <v>0</v>
      </c>
    </row>
    <row r="833" spans="1:14" ht="15.5" outlineLevel="1">
      <c r="A833" s="1504">
        <f t="shared" si="96"/>
        <v>2</v>
      </c>
      <c r="B833" s="1497" t="str">
        <f t="shared" si="96"/>
        <v>Supply of various drive and non drive pulleys for CHP U-8.</v>
      </c>
      <c r="C833" s="1492" t="str">
        <f t="shared" si="96"/>
        <v>Add Cap (As per 296 of 2019)</v>
      </c>
      <c r="D833" s="1334" t="str">
        <f t="shared" si="96"/>
        <v>-</v>
      </c>
      <c r="E833" s="1368">
        <f t="shared" si="96"/>
        <v>0</v>
      </c>
      <c r="F833" s="1437">
        <f t="shared" si="90"/>
        <v>0.54529209999999995</v>
      </c>
      <c r="G833" s="1437">
        <f t="shared" si="91"/>
        <v>0.54529209999999995</v>
      </c>
      <c r="H833" s="1437">
        <f t="shared" si="92"/>
        <v>0</v>
      </c>
      <c r="I833" s="1437">
        <v>0</v>
      </c>
      <c r="J833" s="1437">
        <v>0</v>
      </c>
      <c r="K833" s="1438"/>
      <c r="L833" s="1438"/>
      <c r="M833" s="1437">
        <f t="shared" si="93"/>
        <v>0</v>
      </c>
      <c r="N833" s="1437">
        <f t="shared" si="94"/>
        <v>0</v>
      </c>
    </row>
    <row r="834" spans="1:14" ht="31" outlineLevel="1">
      <c r="A834" s="1504">
        <f t="shared" si="96"/>
        <v>3</v>
      </c>
      <c r="B834" s="1497" t="str">
        <f t="shared" si="96"/>
        <v>Supply and installation of clamp pads &amp; resting pads for Side Beam of Wagon Tippler for CHP U-8</v>
      </c>
      <c r="C834" s="1492" t="str">
        <f t="shared" si="96"/>
        <v>Add Cap (As per 296 of 2019)</v>
      </c>
      <c r="D834" s="1334" t="str">
        <f t="shared" si="96"/>
        <v>-</v>
      </c>
      <c r="E834" s="1368">
        <f t="shared" si="96"/>
        <v>0</v>
      </c>
      <c r="F834" s="1437">
        <f t="shared" si="90"/>
        <v>0.54801796000000003</v>
      </c>
      <c r="G834" s="1437">
        <f t="shared" si="91"/>
        <v>0.54801796000000003</v>
      </c>
      <c r="H834" s="1437">
        <f t="shared" si="92"/>
        <v>0</v>
      </c>
      <c r="I834" s="1437">
        <v>0</v>
      </c>
      <c r="J834" s="1437">
        <v>0</v>
      </c>
      <c r="K834" s="1438"/>
      <c r="L834" s="1438"/>
      <c r="M834" s="1437">
        <f t="shared" si="93"/>
        <v>0</v>
      </c>
      <c r="N834" s="1437">
        <f t="shared" si="94"/>
        <v>0</v>
      </c>
    </row>
    <row r="835" spans="1:14" ht="31" outlineLevel="1">
      <c r="A835" s="1504">
        <f t="shared" si="96"/>
        <v>4</v>
      </c>
      <c r="B835" s="1497" t="str">
        <f t="shared" si="96"/>
        <v>Supply of unbalance motorozied vibrating feeder for S/R of U-7/8 CHP NPTPS Parli-V.</v>
      </c>
      <c r="C835" s="1492" t="str">
        <f t="shared" si="96"/>
        <v>Add Cap (As per 296 of 2019)</v>
      </c>
      <c r="D835" s="1334" t="str">
        <f t="shared" si="96"/>
        <v>-</v>
      </c>
      <c r="E835" s="1318">
        <f t="shared" si="96"/>
        <v>0</v>
      </c>
      <c r="F835" s="1437">
        <f t="shared" si="90"/>
        <v>0.39579560000000003</v>
      </c>
      <c r="G835" s="1437">
        <f t="shared" si="91"/>
        <v>0.39579560000000003</v>
      </c>
      <c r="H835" s="1437">
        <f t="shared" si="92"/>
        <v>0</v>
      </c>
      <c r="I835" s="1437">
        <v>0</v>
      </c>
      <c r="J835" s="1437">
        <v>0</v>
      </c>
      <c r="K835" s="1438"/>
      <c r="L835" s="1438"/>
      <c r="M835" s="1437">
        <f t="shared" si="93"/>
        <v>0</v>
      </c>
      <c r="N835" s="1437">
        <f t="shared" si="94"/>
        <v>0</v>
      </c>
    </row>
    <row r="836" spans="1:14" ht="31" outlineLevel="1">
      <c r="A836" s="1504">
        <f t="shared" si="96"/>
        <v>5</v>
      </c>
      <c r="B836" s="1501" t="str">
        <f t="shared" si="96"/>
        <v>Procurement of conveying and Instrument air compressor spares at AHP U#8</v>
      </c>
      <c r="C836" s="1492" t="str">
        <f t="shared" si="96"/>
        <v>Add Cap (As per 296 of 2019)</v>
      </c>
      <c r="D836" s="1334" t="str">
        <f t="shared" si="96"/>
        <v>-</v>
      </c>
      <c r="E836" s="1359">
        <f t="shared" si="96"/>
        <v>0</v>
      </c>
      <c r="F836" s="1437">
        <f t="shared" si="90"/>
        <v>1.769983804</v>
      </c>
      <c r="G836" s="1437">
        <f t="shared" si="91"/>
        <v>1.769983804</v>
      </c>
      <c r="H836" s="1437">
        <f t="shared" si="92"/>
        <v>0</v>
      </c>
      <c r="I836" s="1437">
        <v>0</v>
      </c>
      <c r="J836" s="1437">
        <v>0</v>
      </c>
      <c r="K836" s="1438"/>
      <c r="L836" s="1438"/>
      <c r="M836" s="1437">
        <f t="shared" si="93"/>
        <v>0</v>
      </c>
      <c r="N836" s="1437">
        <f t="shared" si="94"/>
        <v>0</v>
      </c>
    </row>
    <row r="837" spans="1:14" ht="15.5" outlineLevel="1">
      <c r="A837" s="1504">
        <f t="shared" si="96"/>
        <v>6</v>
      </c>
      <c r="B837" s="1501" t="str">
        <f t="shared" si="96"/>
        <v>Procurement of vacuum pump spares at AHP U#8</v>
      </c>
      <c r="C837" s="1492" t="str">
        <f t="shared" si="96"/>
        <v>Add Cap (As per 296 of 2019)</v>
      </c>
      <c r="D837" s="1334" t="str">
        <f t="shared" si="96"/>
        <v>-</v>
      </c>
      <c r="E837" s="1368">
        <f t="shared" si="96"/>
        <v>0</v>
      </c>
      <c r="F837" s="1437">
        <f t="shared" si="90"/>
        <v>0.229104904</v>
      </c>
      <c r="G837" s="1437">
        <f t="shared" si="91"/>
        <v>0.229104904</v>
      </c>
      <c r="H837" s="1437">
        <f t="shared" si="92"/>
        <v>0</v>
      </c>
      <c r="I837" s="1437">
        <v>0</v>
      </c>
      <c r="J837" s="1437">
        <v>0</v>
      </c>
      <c r="K837" s="1438"/>
      <c r="L837" s="1438"/>
      <c r="M837" s="1437">
        <f t="shared" si="93"/>
        <v>0</v>
      </c>
      <c r="N837" s="1437">
        <f t="shared" si="94"/>
        <v>0</v>
      </c>
    </row>
    <row r="838" spans="1:14" ht="15.5" outlineLevel="1">
      <c r="A838" s="1504">
        <f t="shared" si="96"/>
        <v>7</v>
      </c>
      <c r="B838" s="1501" t="str">
        <f t="shared" si="96"/>
        <v>Procurement of fluidizing blower spares at AHP U#8</v>
      </c>
      <c r="C838" s="1492" t="str">
        <f t="shared" si="96"/>
        <v>Add Cap (As per 296 of 2019)</v>
      </c>
      <c r="D838" s="1334" t="str">
        <f t="shared" si="96"/>
        <v>-</v>
      </c>
      <c r="E838" s="1359">
        <f t="shared" si="96"/>
        <v>0</v>
      </c>
      <c r="F838" s="1437">
        <f t="shared" si="90"/>
        <v>0.11795988</v>
      </c>
      <c r="G838" s="1437">
        <f t="shared" si="91"/>
        <v>0.11795988</v>
      </c>
      <c r="H838" s="1437">
        <f t="shared" si="92"/>
        <v>0</v>
      </c>
      <c r="I838" s="1437">
        <v>0</v>
      </c>
      <c r="J838" s="1437">
        <v>0</v>
      </c>
      <c r="K838" s="1438"/>
      <c r="L838" s="1438"/>
      <c r="M838" s="1437">
        <f t="shared" si="93"/>
        <v>0</v>
      </c>
      <c r="N838" s="1437">
        <f t="shared" si="94"/>
        <v>0</v>
      </c>
    </row>
    <row r="839" spans="1:14" ht="15.5" outlineLevel="1">
      <c r="A839" s="1504">
        <f t="shared" si="96"/>
        <v>8</v>
      </c>
      <c r="B839" s="1501" t="str">
        <f t="shared" si="96"/>
        <v>Procurement of slurry pump spares at AHP U#8</v>
      </c>
      <c r="C839" s="1492" t="str">
        <f t="shared" si="96"/>
        <v>Add Cap (As per 296 of 2019)</v>
      </c>
      <c r="D839" s="1334" t="str">
        <f t="shared" si="96"/>
        <v>-</v>
      </c>
      <c r="E839" s="1368">
        <f t="shared" si="96"/>
        <v>0</v>
      </c>
      <c r="F839" s="1437">
        <f t="shared" si="90"/>
        <v>0</v>
      </c>
      <c r="G839" s="1437">
        <f t="shared" si="91"/>
        <v>0</v>
      </c>
      <c r="H839" s="1437">
        <f t="shared" si="92"/>
        <v>0</v>
      </c>
      <c r="I839" s="1437">
        <v>0</v>
      </c>
      <c r="J839" s="1437">
        <v>0</v>
      </c>
      <c r="K839" s="1438"/>
      <c r="L839" s="1438"/>
      <c r="M839" s="1437">
        <f t="shared" si="93"/>
        <v>0</v>
      </c>
      <c r="N839" s="1437">
        <f t="shared" si="94"/>
        <v>0</v>
      </c>
    </row>
    <row r="840" spans="1:14" ht="15.5" outlineLevel="1">
      <c r="A840" s="1504">
        <f t="shared" si="96"/>
        <v>9</v>
      </c>
      <c r="B840" s="1501" t="str">
        <f t="shared" si="96"/>
        <v>Procurement of Clinker grinder spares at AHP U#8</v>
      </c>
      <c r="C840" s="1492" t="str">
        <f t="shared" si="96"/>
        <v>Add Cap (As per 296 of 2019)</v>
      </c>
      <c r="D840" s="1334" t="str">
        <f t="shared" si="96"/>
        <v>-</v>
      </c>
      <c r="E840" s="1368">
        <f t="shared" si="96"/>
        <v>0</v>
      </c>
      <c r="F840" s="1437">
        <f t="shared" si="90"/>
        <v>0.1233369</v>
      </c>
      <c r="G840" s="1437">
        <f t="shared" si="91"/>
        <v>0.1233369</v>
      </c>
      <c r="H840" s="1437">
        <f t="shared" si="92"/>
        <v>0</v>
      </c>
      <c r="I840" s="1437">
        <v>0</v>
      </c>
      <c r="J840" s="1437">
        <v>0</v>
      </c>
      <c r="K840" s="1438"/>
      <c r="L840" s="1438"/>
      <c r="M840" s="1437">
        <f t="shared" si="93"/>
        <v>0</v>
      </c>
      <c r="N840" s="1437">
        <f t="shared" si="94"/>
        <v>0</v>
      </c>
    </row>
    <row r="841" spans="1:14" outlineLevel="1">
      <c r="A841" s="1505">
        <f t="shared" si="96"/>
        <v>0</v>
      </c>
      <c r="B841" s="1506">
        <f t="shared" si="96"/>
        <v>0</v>
      </c>
      <c r="C841" s="1507">
        <f t="shared" si="96"/>
        <v>0</v>
      </c>
      <c r="D841" s="1508" t="str">
        <f t="shared" si="96"/>
        <v>-</v>
      </c>
      <c r="E841" s="1359">
        <f t="shared" si="96"/>
        <v>0</v>
      </c>
      <c r="F841" s="1437">
        <f t="shared" si="90"/>
        <v>0</v>
      </c>
      <c r="G841" s="1437">
        <f t="shared" si="91"/>
        <v>0</v>
      </c>
      <c r="H841" s="1437">
        <f t="shared" si="92"/>
        <v>0</v>
      </c>
      <c r="I841" s="1437">
        <v>0</v>
      </c>
      <c r="J841" s="1437">
        <v>0</v>
      </c>
      <c r="K841" s="1438"/>
      <c r="L841" s="1438"/>
      <c r="M841" s="1437">
        <f t="shared" si="93"/>
        <v>0</v>
      </c>
      <c r="N841" s="1437">
        <f t="shared" si="94"/>
        <v>0</v>
      </c>
    </row>
    <row r="842" spans="1:14" ht="31" outlineLevel="1">
      <c r="A842" s="1493" t="str">
        <f t="shared" ref="A842:E857" si="97">A449</f>
        <v>B</v>
      </c>
      <c r="B842" s="1494" t="str">
        <f t="shared" si="97"/>
        <v>Reassessment of remaining BOP work after insolvency of M/s Sunil Hi-Tech</v>
      </c>
      <c r="C842" s="1495">
        <f t="shared" si="97"/>
        <v>0</v>
      </c>
      <c r="D842" s="1341" t="str">
        <f t="shared" si="97"/>
        <v>-</v>
      </c>
      <c r="E842" s="1496">
        <f t="shared" si="97"/>
        <v>0</v>
      </c>
      <c r="F842" s="1437">
        <f t="shared" si="90"/>
        <v>0</v>
      </c>
      <c r="G842" s="1437">
        <f t="shared" si="91"/>
        <v>0</v>
      </c>
      <c r="H842" s="1437">
        <f t="shared" si="92"/>
        <v>0</v>
      </c>
      <c r="I842" s="1437">
        <v>0</v>
      </c>
      <c r="J842" s="1437">
        <v>0</v>
      </c>
      <c r="K842" s="1438"/>
      <c r="L842" s="1438"/>
      <c r="M842" s="1437">
        <f t="shared" si="93"/>
        <v>0</v>
      </c>
      <c r="N842" s="1437">
        <f t="shared" si="94"/>
        <v>0</v>
      </c>
    </row>
    <row r="843" spans="1:14" ht="31" outlineLevel="1">
      <c r="A843" s="1493">
        <f t="shared" si="97"/>
        <v>0</v>
      </c>
      <c r="B843" s="1494" t="str">
        <f t="shared" si="97"/>
        <v>Project balance E&amp;M  and procurement of mandetory spares</v>
      </c>
      <c r="C843" s="1495" t="str">
        <f t="shared" si="97"/>
        <v>MERC CAPEX Approval in MTR Order 296 of 2019</v>
      </c>
      <c r="D843" s="1341" t="str">
        <f t="shared" si="97"/>
        <v>Order 296 of 2019</v>
      </c>
      <c r="E843" s="1509">
        <f t="shared" si="97"/>
        <v>41.453400000000002</v>
      </c>
      <c r="F843" s="1437">
        <f t="shared" si="90"/>
        <v>0</v>
      </c>
      <c r="G843" s="1437">
        <f t="shared" si="91"/>
        <v>0</v>
      </c>
      <c r="H843" s="1437">
        <f t="shared" si="92"/>
        <v>0</v>
      </c>
      <c r="I843" s="1437">
        <v>0</v>
      </c>
      <c r="J843" s="1437">
        <v>0</v>
      </c>
      <c r="K843" s="1438"/>
      <c r="L843" s="1438"/>
      <c r="M843" s="1437">
        <f t="shared" si="93"/>
        <v>0</v>
      </c>
      <c r="N843" s="1437">
        <f t="shared" si="94"/>
        <v>0</v>
      </c>
    </row>
    <row r="844" spans="1:14" ht="43.5" outlineLevel="1">
      <c r="A844" s="1499">
        <f t="shared" si="97"/>
        <v>1</v>
      </c>
      <c r="B844" s="1510" t="str">
        <f t="shared" si="97"/>
        <v>Work order for Contract of Supply and application of Fire Stop Mortar Seal and Fire Retardant Cable Coating Compound at NPTP U-8 Parli Project</v>
      </c>
      <c r="C844" s="1511" t="str">
        <f t="shared" si="97"/>
        <v>MERC CAPEX Approval in MTR Order 296 of 2019</v>
      </c>
      <c r="D844" s="1334" t="str">
        <f t="shared" si="97"/>
        <v>-</v>
      </c>
      <c r="E844" s="1430">
        <f t="shared" si="97"/>
        <v>0</v>
      </c>
      <c r="F844" s="1437">
        <f t="shared" si="90"/>
        <v>3.4589155919999999</v>
      </c>
      <c r="G844" s="1437">
        <f t="shared" si="91"/>
        <v>3.4589155919999999</v>
      </c>
      <c r="H844" s="1437">
        <f t="shared" si="92"/>
        <v>0</v>
      </c>
      <c r="I844" s="1437">
        <v>0</v>
      </c>
      <c r="J844" s="1437">
        <v>0</v>
      </c>
      <c r="K844" s="1438"/>
      <c r="L844" s="1438"/>
      <c r="M844" s="1437">
        <f t="shared" si="93"/>
        <v>0</v>
      </c>
      <c r="N844" s="1437">
        <f t="shared" si="94"/>
        <v>0</v>
      </c>
    </row>
    <row r="845" spans="1:14" ht="29" outlineLevel="1">
      <c r="A845" s="1499">
        <f t="shared" si="97"/>
        <v>2</v>
      </c>
      <c r="B845" s="1510" t="str">
        <f t="shared" si="97"/>
        <v>Work order for contract for Supply Installaion Testing &amp; Commissioning Smoke Detection &amp; alaram system</v>
      </c>
      <c r="C845" s="1511" t="str">
        <f t="shared" si="97"/>
        <v>MERC CAPEX Approval in MTR Order 296 of 2019</v>
      </c>
      <c r="D845" s="1334" t="str">
        <f t="shared" si="97"/>
        <v>-</v>
      </c>
      <c r="E845" s="1430">
        <f t="shared" si="97"/>
        <v>0</v>
      </c>
      <c r="F845" s="1437">
        <f t="shared" si="90"/>
        <v>2.5606</v>
      </c>
      <c r="G845" s="1437">
        <f t="shared" si="91"/>
        <v>2.5606</v>
      </c>
      <c r="H845" s="1437">
        <f t="shared" si="92"/>
        <v>0</v>
      </c>
      <c r="I845" s="1437">
        <v>0</v>
      </c>
      <c r="J845" s="1437">
        <v>0</v>
      </c>
      <c r="K845" s="1438"/>
      <c r="L845" s="1438"/>
      <c r="M845" s="1437">
        <f t="shared" si="93"/>
        <v>0</v>
      </c>
      <c r="N845" s="1437">
        <f t="shared" si="94"/>
        <v>0</v>
      </c>
    </row>
    <row r="846" spans="1:14" ht="43.5" outlineLevel="1">
      <c r="A846" s="1499">
        <f t="shared" si="97"/>
        <v>3</v>
      </c>
      <c r="B846" s="1510" t="str">
        <f t="shared" si="97"/>
        <v>Work order for contract for Supply Installaion Testing &amp; Commissioning of Balance Fire Fighting System at NPTP U-8 Parli Project</v>
      </c>
      <c r="C846" s="1511" t="str">
        <f t="shared" si="97"/>
        <v>MERC CAPEX Approval in MTR Order 296 of 2019</v>
      </c>
      <c r="D846" s="1334" t="str">
        <f t="shared" si="97"/>
        <v>-</v>
      </c>
      <c r="E846" s="1430">
        <f t="shared" si="97"/>
        <v>0</v>
      </c>
      <c r="F846" s="1437">
        <f t="shared" si="90"/>
        <v>1.0502</v>
      </c>
      <c r="G846" s="1437">
        <f t="shared" si="91"/>
        <v>1.0502</v>
      </c>
      <c r="H846" s="1437">
        <f t="shared" si="92"/>
        <v>0</v>
      </c>
      <c r="I846" s="1437">
        <v>0</v>
      </c>
      <c r="J846" s="1437">
        <v>0</v>
      </c>
      <c r="K846" s="1438"/>
      <c r="L846" s="1438"/>
      <c r="M846" s="1437">
        <f t="shared" si="93"/>
        <v>0</v>
      </c>
      <c r="N846" s="1437">
        <f t="shared" si="94"/>
        <v>0</v>
      </c>
    </row>
    <row r="847" spans="1:14" ht="58" outlineLevel="1">
      <c r="A847" s="1499">
        <f t="shared" si="97"/>
        <v>4</v>
      </c>
      <c r="B847" s="1510" t="str">
        <f t="shared" si="97"/>
        <v>Supply, Errection, testing &amp; commissioning works of RWP, PT potable chlorination system, ETP system control panel, automation of LDO, HFO tank foam system Hose boxes with RRL hoses and branch pipe and allied system at NPTP</v>
      </c>
      <c r="C847" s="1511" t="str">
        <f t="shared" si="97"/>
        <v>MERC CAPEX Approval in MTR Order 296 of 2019</v>
      </c>
      <c r="D847" s="1334" t="str">
        <f t="shared" si="97"/>
        <v>-</v>
      </c>
      <c r="E847" s="1430">
        <f t="shared" si="97"/>
        <v>0</v>
      </c>
      <c r="F847" s="1437">
        <f t="shared" si="90"/>
        <v>0.84960000000000002</v>
      </c>
      <c r="G847" s="1437">
        <f t="shared" si="91"/>
        <v>0.84960000000000002</v>
      </c>
      <c r="H847" s="1437">
        <f t="shared" si="92"/>
        <v>0</v>
      </c>
      <c r="I847" s="1437">
        <v>0</v>
      </c>
      <c r="J847" s="1437">
        <v>0</v>
      </c>
      <c r="K847" s="1438"/>
      <c r="L847" s="1438"/>
      <c r="M847" s="1437">
        <f t="shared" si="93"/>
        <v>0</v>
      </c>
      <c r="N847" s="1437">
        <f t="shared" si="94"/>
        <v>0</v>
      </c>
    </row>
    <row r="848" spans="1:14" ht="43.5" outlineLevel="1">
      <c r="A848" s="1499">
        <f t="shared" si="97"/>
        <v>5</v>
      </c>
      <c r="B848" s="1510" t="str">
        <f t="shared" si="97"/>
        <v xml:space="preserve">Work Order contract for supply, installation Testing &amp; Commissioning of telephone exchange (EPBAX) &amp; Telephone System at NPTP U-8 Parli project  </v>
      </c>
      <c r="C848" s="1511" t="str">
        <f t="shared" si="97"/>
        <v>MERC CAPEX Approval in MTR Order 296 of 2019</v>
      </c>
      <c r="D848" s="1334" t="str">
        <f t="shared" si="97"/>
        <v>-</v>
      </c>
      <c r="E848" s="1430">
        <f t="shared" si="97"/>
        <v>0</v>
      </c>
      <c r="F848" s="1437">
        <f t="shared" si="90"/>
        <v>0.91256150000000003</v>
      </c>
      <c r="G848" s="1437">
        <f t="shared" si="91"/>
        <v>0.91256150000000003</v>
      </c>
      <c r="H848" s="1437">
        <f t="shared" si="92"/>
        <v>0</v>
      </c>
      <c r="I848" s="1437">
        <v>0</v>
      </c>
      <c r="J848" s="1437">
        <v>0</v>
      </c>
      <c r="K848" s="1438"/>
      <c r="L848" s="1438"/>
      <c r="M848" s="1437">
        <f t="shared" si="93"/>
        <v>0</v>
      </c>
      <c r="N848" s="1437">
        <f t="shared" si="94"/>
        <v>0</v>
      </c>
    </row>
    <row r="849" spans="1:14" ht="29" outlineLevel="1">
      <c r="A849" s="1499">
        <f t="shared" si="97"/>
        <v>6</v>
      </c>
      <c r="B849" s="1510" t="str">
        <f t="shared" si="97"/>
        <v>Balance Supply of Electrical Lab Equipment  at NPTP parli-V</v>
      </c>
      <c r="C849" s="1511" t="str">
        <f t="shared" si="97"/>
        <v>MERC CAPEX Approval in MTR Order 296 of 2019</v>
      </c>
      <c r="D849" s="1334" t="str">
        <f t="shared" si="97"/>
        <v>-</v>
      </c>
      <c r="E849" s="1430">
        <f t="shared" si="97"/>
        <v>0</v>
      </c>
      <c r="F849" s="1437">
        <f t="shared" si="90"/>
        <v>0.60826469999999999</v>
      </c>
      <c r="G849" s="1437">
        <f t="shared" si="91"/>
        <v>0.60826469999999999</v>
      </c>
      <c r="H849" s="1437">
        <f t="shared" si="92"/>
        <v>0</v>
      </c>
      <c r="I849" s="1437">
        <v>0</v>
      </c>
      <c r="J849" s="1437">
        <v>0</v>
      </c>
      <c r="K849" s="1438"/>
      <c r="L849" s="1438"/>
      <c r="M849" s="1437">
        <f t="shared" si="93"/>
        <v>0</v>
      </c>
      <c r="N849" s="1437">
        <f t="shared" si="94"/>
        <v>0</v>
      </c>
    </row>
    <row r="850" spans="1:14" ht="43.5" outlineLevel="1">
      <c r="A850" s="1499">
        <f t="shared" si="97"/>
        <v>7</v>
      </c>
      <c r="B850" s="1510" t="str">
        <f t="shared" si="97"/>
        <v>Work order for contract for Supply Installaion Testing &amp; Commissioning with required material to complete  Balance CHP work at NPTP U-8 Parli Project</v>
      </c>
      <c r="C850" s="1511" t="str">
        <f t="shared" si="97"/>
        <v>MERC CAPEX Approval in MTR Order 296 of 2019</v>
      </c>
      <c r="D850" s="1334" t="str">
        <f t="shared" si="97"/>
        <v>-</v>
      </c>
      <c r="E850" s="1430">
        <f t="shared" si="97"/>
        <v>0</v>
      </c>
      <c r="F850" s="1437">
        <f t="shared" si="90"/>
        <v>0.41</v>
      </c>
      <c r="G850" s="1437">
        <f t="shared" si="91"/>
        <v>0.41</v>
      </c>
      <c r="H850" s="1437">
        <f t="shared" si="92"/>
        <v>0</v>
      </c>
      <c r="I850" s="1437">
        <v>0</v>
      </c>
      <c r="J850" s="1437">
        <v>0</v>
      </c>
      <c r="K850" s="1438"/>
      <c r="L850" s="1438"/>
      <c r="M850" s="1437">
        <f t="shared" si="93"/>
        <v>0</v>
      </c>
      <c r="N850" s="1437">
        <f t="shared" si="94"/>
        <v>0</v>
      </c>
    </row>
    <row r="851" spans="1:14" ht="43.5" outlineLevel="1">
      <c r="A851" s="1499">
        <f t="shared" si="97"/>
        <v>8</v>
      </c>
      <c r="B851" s="1510" t="str">
        <f t="shared" si="97"/>
        <v>Supply, Errection, testing &amp; commissioning of Interconnecting Conveyor no.9 &amp; 10 from U-8 to U-6&amp;7 of CHP at NPTP U-8, Parli-V</v>
      </c>
      <c r="C851" s="1511" t="str">
        <f t="shared" si="97"/>
        <v>MERC CAPEX Approval in MTR Order 296 of 2019</v>
      </c>
      <c r="D851" s="1334" t="str">
        <f t="shared" si="97"/>
        <v>-</v>
      </c>
      <c r="E851" s="1430">
        <f t="shared" si="97"/>
        <v>0</v>
      </c>
      <c r="F851" s="1437">
        <f t="shared" si="90"/>
        <v>5.3318899999999996</v>
      </c>
      <c r="G851" s="1437">
        <f t="shared" si="91"/>
        <v>5.3262307</v>
      </c>
      <c r="H851" s="1437">
        <f t="shared" si="92"/>
        <v>5.6592999999995897E-3</v>
      </c>
      <c r="I851" s="1437">
        <v>0</v>
      </c>
      <c r="J851" s="1437">
        <v>0</v>
      </c>
      <c r="K851" s="1438"/>
      <c r="L851" s="1438"/>
      <c r="M851" s="1437">
        <f t="shared" si="93"/>
        <v>0</v>
      </c>
      <c r="N851" s="1437">
        <f t="shared" si="94"/>
        <v>5.6592999999995897E-3</v>
      </c>
    </row>
    <row r="852" spans="1:14" ht="29" outlineLevel="1">
      <c r="A852" s="1499">
        <f t="shared" si="97"/>
        <v>9</v>
      </c>
      <c r="B852" s="1510" t="str">
        <f t="shared" si="97"/>
        <v>SUPPLY ,INSTA,TEST ,COMM ELECTRICAL SYS</v>
      </c>
      <c r="C852" s="1511" t="str">
        <f t="shared" si="97"/>
        <v>MERC CAPEX Approval in MTR Order 296 of 2019</v>
      </c>
      <c r="D852" s="1334" t="str">
        <f t="shared" si="97"/>
        <v>-</v>
      </c>
      <c r="E852" s="1430">
        <f t="shared" si="97"/>
        <v>0</v>
      </c>
      <c r="F852" s="1437">
        <f t="shared" si="90"/>
        <v>0</v>
      </c>
      <c r="G852" s="1437">
        <f t="shared" si="91"/>
        <v>0</v>
      </c>
      <c r="H852" s="1437">
        <f t="shared" si="92"/>
        <v>0</v>
      </c>
      <c r="I852" s="1437">
        <v>0</v>
      </c>
      <c r="J852" s="1437">
        <v>0</v>
      </c>
      <c r="K852" s="1438"/>
      <c r="L852" s="1438"/>
      <c r="M852" s="1437">
        <f t="shared" si="93"/>
        <v>0</v>
      </c>
      <c r="N852" s="1437">
        <f t="shared" si="94"/>
        <v>0</v>
      </c>
    </row>
    <row r="853" spans="1:14" ht="29" outlineLevel="1">
      <c r="A853" s="1499">
        <f t="shared" si="97"/>
        <v>10</v>
      </c>
      <c r="B853" s="1510" t="str">
        <f t="shared" si="97"/>
        <v>SUPPLY,INSTAL,TEST,COMM OF  CRANS&amp;HOIST</v>
      </c>
      <c r="C853" s="1511" t="str">
        <f t="shared" si="97"/>
        <v>MERC CAPEX Approval in MTR Order 296 of 2019</v>
      </c>
      <c r="D853" s="1334" t="str">
        <f t="shared" si="97"/>
        <v>-</v>
      </c>
      <c r="E853" s="1430">
        <f t="shared" si="97"/>
        <v>0</v>
      </c>
      <c r="F853" s="1437">
        <f t="shared" si="90"/>
        <v>1.8104819999999999</v>
      </c>
      <c r="G853" s="1437">
        <f t="shared" si="91"/>
        <v>3.6223049999999999</v>
      </c>
      <c r="H853" s="1437">
        <f t="shared" si="92"/>
        <v>-1.811823</v>
      </c>
      <c r="I853" s="1437">
        <v>0</v>
      </c>
      <c r="J853" s="1437">
        <v>0</v>
      </c>
      <c r="K853" s="1438"/>
      <c r="L853" s="1438"/>
      <c r="M853" s="1437">
        <f t="shared" si="93"/>
        <v>0</v>
      </c>
      <c r="N853" s="1437">
        <f t="shared" si="94"/>
        <v>-1.811823</v>
      </c>
    </row>
    <row r="854" spans="1:14" ht="29" outlineLevel="1">
      <c r="A854" s="1499">
        <f t="shared" si="97"/>
        <v>11</v>
      </c>
      <c r="B854" s="1510" t="str">
        <f t="shared" si="97"/>
        <v>Supply, Errection, testing &amp; commissioning of Dust Extraction system at NPTP U-8, Parli-V</v>
      </c>
      <c r="C854" s="1511" t="str">
        <f t="shared" si="97"/>
        <v>MERC CAPEX Approval in MTR Order 296 of 2019</v>
      </c>
      <c r="D854" s="1334" t="str">
        <f t="shared" si="97"/>
        <v>-</v>
      </c>
      <c r="E854" s="1430">
        <f t="shared" si="97"/>
        <v>0</v>
      </c>
      <c r="F854" s="1437">
        <f t="shared" si="90"/>
        <v>1.8060844</v>
      </c>
      <c r="G854" s="1437">
        <f t="shared" si="91"/>
        <v>0</v>
      </c>
      <c r="H854" s="1437">
        <f t="shared" si="92"/>
        <v>1.8060844</v>
      </c>
      <c r="I854" s="1437">
        <v>0</v>
      </c>
      <c r="J854" s="1437">
        <v>0</v>
      </c>
      <c r="K854" s="1438"/>
      <c r="L854" s="1438"/>
      <c r="M854" s="1437">
        <f t="shared" si="93"/>
        <v>0</v>
      </c>
      <c r="N854" s="1437">
        <f t="shared" si="94"/>
        <v>1.8060844</v>
      </c>
    </row>
    <row r="855" spans="1:14" ht="29" outlineLevel="1">
      <c r="A855" s="1499">
        <f t="shared" si="97"/>
        <v>12</v>
      </c>
      <c r="B855" s="1510" t="str">
        <f t="shared" si="97"/>
        <v>Supply, Errection, testing &amp; commissioning of DSS &amp; DFDS at NPTP U-8, Parli-V</v>
      </c>
      <c r="C855" s="1511" t="str">
        <f t="shared" si="97"/>
        <v>MERC CAPEX Approval in MTR Order 296 of 2019</v>
      </c>
      <c r="D855" s="1334" t="str">
        <f t="shared" si="97"/>
        <v>-</v>
      </c>
      <c r="E855" s="1430">
        <f t="shared" si="97"/>
        <v>0</v>
      </c>
      <c r="F855" s="1437">
        <f t="shared" si="90"/>
        <v>2.8091143999999999</v>
      </c>
      <c r="G855" s="1437">
        <f t="shared" si="91"/>
        <v>0</v>
      </c>
      <c r="H855" s="1437">
        <f t="shared" si="92"/>
        <v>2.8091143999999999</v>
      </c>
      <c r="I855" s="1437">
        <v>1.53</v>
      </c>
      <c r="J855" s="1437">
        <v>4.34</v>
      </c>
      <c r="K855" s="1438"/>
      <c r="L855" s="1438"/>
      <c r="M855" s="1437">
        <f t="shared" si="93"/>
        <v>4.34</v>
      </c>
      <c r="N855" s="1437">
        <f t="shared" si="94"/>
        <v>-8.8560000000015293E-4</v>
      </c>
    </row>
    <row r="856" spans="1:14" ht="29" outlineLevel="1">
      <c r="A856" s="1499">
        <f t="shared" si="97"/>
        <v>13</v>
      </c>
      <c r="B856" s="1510" t="str">
        <f t="shared" si="97"/>
        <v>Supply, Errection, testing &amp; commissioning of Monorail at NPTP U-8, Parli-V</v>
      </c>
      <c r="C856" s="1511" t="str">
        <f t="shared" si="97"/>
        <v>MERC CAPEX Approval in MTR Order 296 of 2019</v>
      </c>
      <c r="D856" s="1334" t="str">
        <f t="shared" si="97"/>
        <v>-</v>
      </c>
      <c r="E856" s="1430">
        <f t="shared" si="97"/>
        <v>0</v>
      </c>
      <c r="F856" s="1437">
        <f t="shared" si="90"/>
        <v>1.1891777000000001</v>
      </c>
      <c r="G856" s="1437">
        <f t="shared" si="91"/>
        <v>1.1891</v>
      </c>
      <c r="H856" s="1437">
        <f t="shared" si="92"/>
        <v>7.770000000006938E-5</v>
      </c>
      <c r="I856" s="1437">
        <v>0</v>
      </c>
      <c r="J856" s="1437">
        <v>0</v>
      </c>
      <c r="K856" s="1438"/>
      <c r="L856" s="1438"/>
      <c r="M856" s="1437">
        <f t="shared" si="93"/>
        <v>0</v>
      </c>
      <c r="N856" s="1437">
        <f t="shared" si="94"/>
        <v>7.770000000006938E-5</v>
      </c>
    </row>
    <row r="857" spans="1:14" ht="29" outlineLevel="1">
      <c r="A857" s="1499">
        <f t="shared" si="97"/>
        <v>14</v>
      </c>
      <c r="B857" s="1510" t="str">
        <f t="shared" si="97"/>
        <v>Supply, Errection, testing &amp; commissioning of various Control &amp; Instrumentation equipments at NPTP U-8, Parli-V</v>
      </c>
      <c r="C857" s="1511" t="str">
        <f t="shared" si="97"/>
        <v>MERC CAPEX Approval in MTR Order 296 of 2019</v>
      </c>
      <c r="D857" s="1334" t="str">
        <f t="shared" si="97"/>
        <v>-</v>
      </c>
      <c r="E857" s="1430">
        <f t="shared" si="97"/>
        <v>0</v>
      </c>
      <c r="F857" s="1437">
        <f t="shared" si="90"/>
        <v>0.72225269999999997</v>
      </c>
      <c r="G857" s="1437">
        <f t="shared" si="91"/>
        <v>0.72225269999999997</v>
      </c>
      <c r="H857" s="1437">
        <f t="shared" si="92"/>
        <v>0</v>
      </c>
      <c r="I857" s="1437">
        <v>0</v>
      </c>
      <c r="J857" s="1437">
        <v>0</v>
      </c>
      <c r="K857" s="1438"/>
      <c r="L857" s="1438"/>
      <c r="M857" s="1437">
        <f t="shared" si="93"/>
        <v>0</v>
      </c>
      <c r="N857" s="1437">
        <f t="shared" si="94"/>
        <v>0</v>
      </c>
    </row>
    <row r="858" spans="1:14" ht="29" outlineLevel="1">
      <c r="A858" s="1499">
        <f t="shared" ref="A858:E873" si="98">A465</f>
        <v>15</v>
      </c>
      <c r="B858" s="1510" t="str">
        <f t="shared" si="98"/>
        <v>Supply, Errection, testing &amp; commissioning of Air Conditioning System at NPTP U-8, Parli-V</v>
      </c>
      <c r="C858" s="1511" t="str">
        <f t="shared" si="98"/>
        <v>MERC CAPEX Approval in MTR Order 296 of 2019</v>
      </c>
      <c r="D858" s="1334" t="str">
        <f t="shared" si="98"/>
        <v>-</v>
      </c>
      <c r="E858" s="1430">
        <f t="shared" si="98"/>
        <v>0</v>
      </c>
      <c r="F858" s="1437">
        <f t="shared" si="90"/>
        <v>0.15304309999999999</v>
      </c>
      <c r="G858" s="1437">
        <f t="shared" si="91"/>
        <v>0.44729429999999998</v>
      </c>
      <c r="H858" s="1437">
        <f t="shared" si="92"/>
        <v>-0.29425119999999999</v>
      </c>
      <c r="I858" s="1437">
        <v>0</v>
      </c>
      <c r="J858" s="1437">
        <v>0</v>
      </c>
      <c r="K858" s="1438"/>
      <c r="L858" s="1438"/>
      <c r="M858" s="1437">
        <f t="shared" si="93"/>
        <v>0</v>
      </c>
      <c r="N858" s="1437">
        <f t="shared" si="94"/>
        <v>-0.29425119999999999</v>
      </c>
    </row>
    <row r="859" spans="1:14" ht="29" outlineLevel="1">
      <c r="A859" s="1499">
        <f t="shared" si="98"/>
        <v>16</v>
      </c>
      <c r="B859" s="1510" t="str">
        <f t="shared" si="98"/>
        <v>Supply, Errection, testing &amp; commissioning of Ventilation  System at NPTP U-8, Parli-V</v>
      </c>
      <c r="C859" s="1511" t="str">
        <f t="shared" si="98"/>
        <v>MERC CAPEX Approval in MTR Order 296 of 2019</v>
      </c>
      <c r="D859" s="1334" t="str">
        <f t="shared" si="98"/>
        <v>-</v>
      </c>
      <c r="E859" s="1430">
        <f t="shared" si="98"/>
        <v>0</v>
      </c>
      <c r="F859" s="1437">
        <f t="shared" si="90"/>
        <v>2.1135999999999999</v>
      </c>
      <c r="G859" s="1437">
        <f t="shared" si="91"/>
        <v>1.2036</v>
      </c>
      <c r="H859" s="1437">
        <f t="shared" si="92"/>
        <v>0.90999999999999992</v>
      </c>
      <c r="I859" s="1437">
        <v>0</v>
      </c>
      <c r="J859" s="1437">
        <v>0</v>
      </c>
      <c r="K859" s="1438"/>
      <c r="L859" s="1438"/>
      <c r="M859" s="1437">
        <f t="shared" si="93"/>
        <v>0</v>
      </c>
      <c r="N859" s="1437">
        <f t="shared" si="94"/>
        <v>0.90999999999999992</v>
      </c>
    </row>
    <row r="860" spans="1:14" ht="29" outlineLevel="1">
      <c r="A860" s="1499">
        <f t="shared" si="98"/>
        <v>17</v>
      </c>
      <c r="B860" s="1510" t="str">
        <f t="shared" si="98"/>
        <v>Supply, Errection, testing &amp; commissioning of Elevator works.</v>
      </c>
      <c r="C860" s="1511" t="str">
        <f t="shared" si="98"/>
        <v>MERC CAPEX Approval in MTR Order 296 of 2019</v>
      </c>
      <c r="D860" s="1334" t="str">
        <f t="shared" si="98"/>
        <v>-</v>
      </c>
      <c r="E860" s="1430">
        <f t="shared" si="98"/>
        <v>0</v>
      </c>
      <c r="F860" s="1437">
        <f t="shared" si="90"/>
        <v>3.5173187000000001</v>
      </c>
      <c r="G860" s="1437">
        <f t="shared" si="91"/>
        <v>3.5173187000000001</v>
      </c>
      <c r="H860" s="1437">
        <f t="shared" si="92"/>
        <v>0</v>
      </c>
      <c r="I860" s="1437">
        <v>0</v>
      </c>
      <c r="J860" s="1437">
        <v>0.91</v>
      </c>
      <c r="K860" s="1438"/>
      <c r="L860" s="1438"/>
      <c r="M860" s="1437">
        <f t="shared" si="93"/>
        <v>0.91</v>
      </c>
      <c r="N860" s="1437">
        <f t="shared" si="94"/>
        <v>-0.91</v>
      </c>
    </row>
    <row r="861" spans="1:14" ht="29" outlineLevel="1">
      <c r="A861" s="1499">
        <f t="shared" si="98"/>
        <v>18</v>
      </c>
      <c r="B861" s="1510" t="str">
        <f t="shared" si="98"/>
        <v>Work contract for dismentaling, supply, erection &amp; commissioning of MRHS</v>
      </c>
      <c r="C861" s="1511" t="str">
        <f t="shared" si="98"/>
        <v>MERC CAPEX Approval in MTR Order 296 of 2019</v>
      </c>
      <c r="D861" s="1334" t="str">
        <f t="shared" si="98"/>
        <v>-</v>
      </c>
      <c r="E861" s="1430">
        <f t="shared" si="98"/>
        <v>0</v>
      </c>
      <c r="F861" s="1437">
        <f t="shared" ref="F861:F924" si="99">F468+I468</f>
        <v>2.2335039999999999</v>
      </c>
      <c r="G861" s="1437">
        <f t="shared" ref="G861:G924" si="100">G468+M468</f>
        <v>2.2335039999999999</v>
      </c>
      <c r="H861" s="1437">
        <f t="shared" ref="H861:H924" si="101">F861-G861</f>
        <v>0</v>
      </c>
      <c r="I861" s="1437">
        <v>0</v>
      </c>
      <c r="J861" s="1437">
        <v>0</v>
      </c>
      <c r="K861" s="1438"/>
      <c r="L861" s="1438"/>
      <c r="M861" s="1437">
        <f t="shared" ref="M861:M921" si="102">SUM(J861:L861)</f>
        <v>0</v>
      </c>
      <c r="N861" s="1437">
        <f t="shared" ref="N861:N924" si="103">H861+I861-M861</f>
        <v>0</v>
      </c>
    </row>
    <row r="862" spans="1:14" ht="43.5" outlineLevel="1">
      <c r="A862" s="1499">
        <f t="shared" si="98"/>
        <v>19</v>
      </c>
      <c r="B862" s="1510" t="str">
        <f t="shared" si="98"/>
        <v>Supply, Errection, testing &amp; commissioning of FF System, Smoke detection &amp; Fire stop mortar &amp; Fire retradant cable coating for conveyor 09 &amp; 10</v>
      </c>
      <c r="C862" s="1511" t="str">
        <f t="shared" si="98"/>
        <v>MERC CAPEX Approval in MTR Order 296 of 2019</v>
      </c>
      <c r="D862" s="1334" t="str">
        <f t="shared" si="98"/>
        <v>-</v>
      </c>
      <c r="E862" s="1430">
        <f t="shared" si="98"/>
        <v>0</v>
      </c>
      <c r="F862" s="1437">
        <f t="shared" si="99"/>
        <v>0.22170519999999999</v>
      </c>
      <c r="G862" s="1437">
        <f t="shared" si="100"/>
        <v>0.51866310000000004</v>
      </c>
      <c r="H862" s="1437">
        <f t="shared" si="101"/>
        <v>-0.29695790000000005</v>
      </c>
      <c r="I862" s="1437">
        <v>0</v>
      </c>
      <c r="J862" s="1437">
        <v>0</v>
      </c>
      <c r="K862" s="1438"/>
      <c r="L862" s="1438"/>
      <c r="M862" s="1437">
        <f t="shared" si="102"/>
        <v>0</v>
      </c>
      <c r="N862" s="1437">
        <f t="shared" si="103"/>
        <v>-0.29695790000000005</v>
      </c>
    </row>
    <row r="863" spans="1:14" ht="29" outlineLevel="1">
      <c r="A863" s="1499">
        <f t="shared" si="98"/>
        <v>20</v>
      </c>
      <c r="B863" s="1510" t="str">
        <f t="shared" si="98"/>
        <v>Supply, Errection, testing &amp; commissioning of Chimney Elevator</v>
      </c>
      <c r="C863" s="1511" t="str">
        <f t="shared" si="98"/>
        <v>MERC CAPEX Approval in MTR Order 296 of 2019</v>
      </c>
      <c r="D863" s="1334" t="str">
        <f t="shared" si="98"/>
        <v>-</v>
      </c>
      <c r="E863" s="1430">
        <f t="shared" si="98"/>
        <v>0</v>
      </c>
      <c r="F863" s="1437">
        <f t="shared" si="99"/>
        <v>1.060802</v>
      </c>
      <c r="G863" s="1437">
        <f t="shared" si="100"/>
        <v>0</v>
      </c>
      <c r="H863" s="1437">
        <f t="shared" si="101"/>
        <v>1.060802</v>
      </c>
      <c r="I863" s="1437">
        <v>0</v>
      </c>
      <c r="J863" s="1437">
        <v>0</v>
      </c>
      <c r="K863" s="1438"/>
      <c r="L863" s="1438"/>
      <c r="M863" s="1437">
        <f t="shared" si="102"/>
        <v>0</v>
      </c>
      <c r="N863" s="1437">
        <f t="shared" si="103"/>
        <v>1.060802</v>
      </c>
    </row>
    <row r="864" spans="1:14" ht="29" outlineLevel="1">
      <c r="A864" s="1499">
        <f t="shared" si="98"/>
        <v>21</v>
      </c>
      <c r="B864" s="1510" t="str">
        <f t="shared" si="98"/>
        <v>Supply, Errection, testing &amp; commissioning work of GEHO Pumps.</v>
      </c>
      <c r="C864" s="1511" t="str">
        <f t="shared" si="98"/>
        <v>MERC CAPEX Approval in MTR Order 296 of 2019</v>
      </c>
      <c r="D864" s="1334" t="str">
        <f t="shared" si="98"/>
        <v>-</v>
      </c>
      <c r="E864" s="1430">
        <f t="shared" si="98"/>
        <v>0</v>
      </c>
      <c r="F864" s="1437">
        <f t="shared" si="99"/>
        <v>0</v>
      </c>
      <c r="G864" s="1437">
        <f t="shared" si="100"/>
        <v>0</v>
      </c>
      <c r="H864" s="1437">
        <f t="shared" si="101"/>
        <v>0</v>
      </c>
      <c r="I864" s="1437">
        <v>0</v>
      </c>
      <c r="J864" s="1437">
        <v>1.06</v>
      </c>
      <c r="K864" s="1438"/>
      <c r="L864" s="1438"/>
      <c r="M864" s="1437">
        <f t="shared" si="102"/>
        <v>1.06</v>
      </c>
      <c r="N864" s="1437">
        <f t="shared" si="103"/>
        <v>-1.06</v>
      </c>
    </row>
    <row r="865" spans="1:14" ht="29" outlineLevel="1">
      <c r="A865" s="1499">
        <f t="shared" si="98"/>
        <v>22</v>
      </c>
      <c r="B865" s="1510" t="str">
        <f t="shared" si="98"/>
        <v>Procurement of various Mandetory spares of BOP packages</v>
      </c>
      <c r="C865" s="1511" t="str">
        <f t="shared" si="98"/>
        <v>MERC CAPEX Approval in MTR Order 296 of 2019</v>
      </c>
      <c r="D865" s="1334" t="str">
        <f t="shared" si="98"/>
        <v>-</v>
      </c>
      <c r="E865" s="1430">
        <f t="shared" si="98"/>
        <v>0</v>
      </c>
      <c r="F865" s="1437">
        <f t="shared" si="99"/>
        <v>0</v>
      </c>
      <c r="G865" s="1437">
        <f t="shared" si="100"/>
        <v>0</v>
      </c>
      <c r="H865" s="1437">
        <f t="shared" si="101"/>
        <v>0</v>
      </c>
      <c r="I865" s="1437">
        <v>5.47</v>
      </c>
      <c r="J865" s="1437">
        <v>6.54</v>
      </c>
      <c r="K865" s="1438"/>
      <c r="L865" s="1438"/>
      <c r="M865" s="1437">
        <f t="shared" si="102"/>
        <v>6.54</v>
      </c>
      <c r="N865" s="1437">
        <f t="shared" si="103"/>
        <v>-1.0700000000000003</v>
      </c>
    </row>
    <row r="866" spans="1:14" ht="31" outlineLevel="1">
      <c r="A866" s="1493">
        <f t="shared" si="98"/>
        <v>0</v>
      </c>
      <c r="B866" s="1494" t="str">
        <f t="shared" si="98"/>
        <v>Balance civil work of BOP scope at 250 MW Parli-V</v>
      </c>
      <c r="C866" s="1495" t="str">
        <f t="shared" si="98"/>
        <v>MERC CAPEX Approval in MTR Order 296 of 2019</v>
      </c>
      <c r="D866" s="1341" t="str">
        <f t="shared" si="98"/>
        <v>-</v>
      </c>
      <c r="E866" s="1509">
        <f t="shared" si="98"/>
        <v>45.323799999999991</v>
      </c>
      <c r="F866" s="1437">
        <f t="shared" si="99"/>
        <v>0.55711806000000097</v>
      </c>
      <c r="G866" s="1437">
        <f t="shared" si="100"/>
        <v>16.720000000000002</v>
      </c>
      <c r="H866" s="1437">
        <f t="shared" si="101"/>
        <v>-16.162881940000002</v>
      </c>
      <c r="I866" s="1437">
        <v>0</v>
      </c>
      <c r="J866" s="1437">
        <v>0</v>
      </c>
      <c r="K866" s="1438"/>
      <c r="L866" s="1438"/>
      <c r="M866" s="1437">
        <f t="shared" si="102"/>
        <v>0</v>
      </c>
      <c r="N866" s="1437">
        <f t="shared" si="103"/>
        <v>-16.162881940000002</v>
      </c>
    </row>
    <row r="867" spans="1:14" ht="29" outlineLevel="1">
      <c r="A867" s="1499">
        <f t="shared" si="98"/>
        <v>1</v>
      </c>
      <c r="B867" s="1512" t="str">
        <f t="shared" si="98"/>
        <v>Area grading</v>
      </c>
      <c r="C867" s="1511" t="str">
        <f t="shared" si="98"/>
        <v>MERC CAPEX Approval in MTR Order 296 of 2019</v>
      </c>
      <c r="D867" s="1334" t="str">
        <f t="shared" si="98"/>
        <v>-</v>
      </c>
      <c r="E867" s="1430">
        <f t="shared" si="98"/>
        <v>0</v>
      </c>
      <c r="F867" s="1437">
        <f t="shared" si="99"/>
        <v>6.9866406799999998</v>
      </c>
      <c r="G867" s="1437">
        <f t="shared" si="100"/>
        <v>0.89</v>
      </c>
      <c r="H867" s="1437">
        <f t="shared" si="101"/>
        <v>6.0966406800000001</v>
      </c>
      <c r="I867" s="1437">
        <v>0</v>
      </c>
      <c r="J867" s="1437">
        <v>0</v>
      </c>
      <c r="K867" s="1438"/>
      <c r="L867" s="1438"/>
      <c r="M867" s="1437">
        <f t="shared" si="102"/>
        <v>0</v>
      </c>
      <c r="N867" s="1437">
        <f t="shared" si="103"/>
        <v>6.0966406800000001</v>
      </c>
    </row>
    <row r="868" spans="1:14" ht="29" outlineLevel="1">
      <c r="A868" s="1499">
        <f t="shared" si="98"/>
        <v>2</v>
      </c>
      <c r="B868" s="1512" t="str">
        <f t="shared" si="98"/>
        <v>CMD</v>
      </c>
      <c r="C868" s="1511" t="str">
        <f t="shared" si="98"/>
        <v>MERC CAPEX Approval in MTR Order 296 of 2019</v>
      </c>
      <c r="D868" s="1334" t="str">
        <f t="shared" si="98"/>
        <v>-</v>
      </c>
      <c r="E868" s="1430">
        <f t="shared" si="98"/>
        <v>0</v>
      </c>
      <c r="F868" s="1437">
        <f t="shared" si="99"/>
        <v>1.2410745000000012</v>
      </c>
      <c r="G868" s="1437">
        <f t="shared" si="100"/>
        <v>1.3549000000000009</v>
      </c>
      <c r="H868" s="1437">
        <f t="shared" si="101"/>
        <v>-0.11382549999999969</v>
      </c>
      <c r="I868" s="1437">
        <v>0</v>
      </c>
      <c r="J868" s="1437">
        <v>0</v>
      </c>
      <c r="K868" s="1438"/>
      <c r="L868" s="1438"/>
      <c r="M868" s="1437">
        <f t="shared" si="102"/>
        <v>0</v>
      </c>
      <c r="N868" s="1437">
        <f t="shared" si="103"/>
        <v>-0.11382549999999969</v>
      </c>
    </row>
    <row r="869" spans="1:14" ht="29" outlineLevel="1">
      <c r="A869" s="1499">
        <f t="shared" si="98"/>
        <v>3</v>
      </c>
      <c r="B869" s="1512" t="str">
        <f t="shared" si="98"/>
        <v>Conveyor 09, 10 &amp; TP 06</v>
      </c>
      <c r="C869" s="1511" t="str">
        <f t="shared" si="98"/>
        <v>MERC CAPEX Approval in MTR Order 296 of 2019</v>
      </c>
      <c r="D869" s="1334" t="str">
        <f t="shared" si="98"/>
        <v>-</v>
      </c>
      <c r="E869" s="1430">
        <f t="shared" si="98"/>
        <v>0</v>
      </c>
      <c r="F869" s="1437">
        <f t="shared" si="99"/>
        <v>14.560539259999999</v>
      </c>
      <c r="G869" s="1437">
        <f t="shared" si="100"/>
        <v>10.1</v>
      </c>
      <c r="H869" s="1437">
        <f t="shared" si="101"/>
        <v>4.4605392599999991</v>
      </c>
      <c r="I869" s="1437">
        <v>0</v>
      </c>
      <c r="J869" s="1437">
        <v>2.0299999999999998</v>
      </c>
      <c r="K869" s="1438"/>
      <c r="L869" s="1438"/>
      <c r="M869" s="1437">
        <f t="shared" si="102"/>
        <v>2.0299999999999998</v>
      </c>
      <c r="N869" s="1437">
        <f t="shared" si="103"/>
        <v>2.4305392599999993</v>
      </c>
    </row>
    <row r="870" spans="1:14" ht="29" outlineLevel="1">
      <c r="A870" s="1499">
        <f t="shared" si="98"/>
        <v>4</v>
      </c>
      <c r="B870" s="1512" t="str">
        <f t="shared" si="98"/>
        <v>Finishing item</v>
      </c>
      <c r="C870" s="1511" t="str">
        <f t="shared" si="98"/>
        <v>MERC CAPEX Approval in MTR Order 296 of 2019</v>
      </c>
      <c r="D870" s="1334" t="str">
        <f t="shared" si="98"/>
        <v>-</v>
      </c>
      <c r="E870" s="1430">
        <f t="shared" si="98"/>
        <v>0</v>
      </c>
      <c r="F870" s="1437">
        <f t="shared" si="99"/>
        <v>8.0849650400000002</v>
      </c>
      <c r="G870" s="1437">
        <f t="shared" si="100"/>
        <v>4.6505999999999998</v>
      </c>
      <c r="H870" s="1437">
        <f t="shared" si="101"/>
        <v>3.4343650400000003</v>
      </c>
      <c r="I870" s="1437">
        <v>0</v>
      </c>
      <c r="J870" s="1437">
        <v>0</v>
      </c>
      <c r="K870" s="1438"/>
      <c r="L870" s="1438"/>
      <c r="M870" s="1437">
        <f t="shared" si="102"/>
        <v>0</v>
      </c>
      <c r="N870" s="1437">
        <f t="shared" si="103"/>
        <v>3.4343650400000003</v>
      </c>
    </row>
    <row r="871" spans="1:14" ht="29" outlineLevel="1">
      <c r="A871" s="1499">
        <f t="shared" si="98"/>
        <v>5</v>
      </c>
      <c r="B871" s="1512" t="str">
        <f t="shared" si="98"/>
        <v>Drain &amp; nala</v>
      </c>
      <c r="C871" s="1511" t="str">
        <f t="shared" si="98"/>
        <v>MERC CAPEX Approval in MTR Order 296 of 2019</v>
      </c>
      <c r="D871" s="1334" t="str">
        <f t="shared" si="98"/>
        <v>-</v>
      </c>
      <c r="E871" s="1430">
        <f t="shared" si="98"/>
        <v>0</v>
      </c>
      <c r="F871" s="1437">
        <f t="shared" si="99"/>
        <v>5.08483324</v>
      </c>
      <c r="G871" s="1437">
        <f t="shared" si="100"/>
        <v>11.79</v>
      </c>
      <c r="H871" s="1437">
        <f t="shared" si="101"/>
        <v>-6.7051667599999991</v>
      </c>
      <c r="I871" s="1437">
        <v>0</v>
      </c>
      <c r="J871" s="1437">
        <v>0</v>
      </c>
      <c r="K871" s="1438"/>
      <c r="L871" s="1438"/>
      <c r="M871" s="1437">
        <f t="shared" si="102"/>
        <v>0</v>
      </c>
      <c r="N871" s="1437">
        <f t="shared" si="103"/>
        <v>-6.7051667599999991</v>
      </c>
    </row>
    <row r="872" spans="1:14" ht="29" outlineLevel="1">
      <c r="A872" s="1499">
        <f t="shared" si="98"/>
        <v>6</v>
      </c>
      <c r="B872" s="1512" t="str">
        <f t="shared" si="98"/>
        <v>Internal roads</v>
      </c>
      <c r="C872" s="1511" t="str">
        <f t="shared" si="98"/>
        <v>MERC CAPEX Approval in MTR Order 296 of 2019</v>
      </c>
      <c r="D872" s="1334" t="str">
        <f t="shared" si="98"/>
        <v>-</v>
      </c>
      <c r="E872" s="1430">
        <f t="shared" si="98"/>
        <v>0</v>
      </c>
      <c r="F872" s="1437">
        <f t="shared" si="99"/>
        <v>9.7521449799999989</v>
      </c>
      <c r="G872" s="1437">
        <f t="shared" si="100"/>
        <v>1.5</v>
      </c>
      <c r="H872" s="1437">
        <f t="shared" si="101"/>
        <v>8.2521449799999989</v>
      </c>
      <c r="I872" s="1437">
        <v>0</v>
      </c>
      <c r="J872" s="1437">
        <v>0</v>
      </c>
      <c r="K872" s="1438"/>
      <c r="L872" s="1438"/>
      <c r="M872" s="1437">
        <f t="shared" si="102"/>
        <v>0</v>
      </c>
      <c r="N872" s="1437">
        <f t="shared" si="103"/>
        <v>8.2521449799999989</v>
      </c>
    </row>
    <row r="873" spans="1:14" ht="29" outlineLevel="1">
      <c r="A873" s="1499">
        <f t="shared" si="98"/>
        <v>7</v>
      </c>
      <c r="B873" s="1512" t="str">
        <f t="shared" si="98"/>
        <v>Stacker &amp; reclaimer</v>
      </c>
      <c r="C873" s="1511" t="str">
        <f t="shared" si="98"/>
        <v>MERC CAPEX Approval in MTR Order 296 of 2019</v>
      </c>
      <c r="D873" s="1334" t="str">
        <f t="shared" si="98"/>
        <v>-</v>
      </c>
      <c r="E873" s="1430">
        <f t="shared" si="98"/>
        <v>0</v>
      </c>
      <c r="F873" s="1437">
        <f t="shared" si="99"/>
        <v>1.1626842399999999</v>
      </c>
      <c r="G873" s="1437">
        <f t="shared" si="100"/>
        <v>0</v>
      </c>
      <c r="H873" s="1437">
        <f t="shared" si="101"/>
        <v>1.1626842399999999</v>
      </c>
      <c r="I873" s="1437">
        <v>0</v>
      </c>
      <c r="J873" s="1437">
        <v>0</v>
      </c>
      <c r="K873" s="1438"/>
      <c r="L873" s="1438"/>
      <c r="M873" s="1437">
        <f t="shared" si="102"/>
        <v>0</v>
      </c>
      <c r="N873" s="1437">
        <f t="shared" si="103"/>
        <v>1.1626842399999999</v>
      </c>
    </row>
    <row r="874" spans="1:14" ht="15.5" outlineLevel="1">
      <c r="A874" s="1493">
        <f t="shared" ref="A874:E889" si="104">A481</f>
        <v>0</v>
      </c>
      <c r="B874" s="1494" t="str">
        <f t="shared" si="104"/>
        <v>Other Add Cap</v>
      </c>
      <c r="C874" s="1495">
        <f t="shared" si="104"/>
        <v>0</v>
      </c>
      <c r="D874" s="1341" t="str">
        <f t="shared" si="104"/>
        <v>-</v>
      </c>
      <c r="E874" s="1496">
        <f t="shared" si="104"/>
        <v>0</v>
      </c>
      <c r="F874" s="1437">
        <f t="shared" si="99"/>
        <v>0</v>
      </c>
      <c r="G874" s="1437">
        <f t="shared" si="100"/>
        <v>0</v>
      </c>
      <c r="H874" s="1437">
        <f t="shared" si="101"/>
        <v>0</v>
      </c>
      <c r="I874" s="1437">
        <v>0</v>
      </c>
      <c r="J874" s="1437">
        <v>0</v>
      </c>
      <c r="K874" s="1438"/>
      <c r="L874" s="1438"/>
      <c r="M874" s="1437">
        <f t="shared" si="102"/>
        <v>0</v>
      </c>
      <c r="N874" s="1437">
        <f t="shared" si="103"/>
        <v>0</v>
      </c>
    </row>
    <row r="875" spans="1:14" ht="15.5" outlineLevel="1">
      <c r="A875" s="1491">
        <f t="shared" si="104"/>
        <v>0</v>
      </c>
      <c r="B875" s="1377" t="str">
        <f t="shared" si="104"/>
        <v>Laboratory set up</v>
      </c>
      <c r="C875" s="1492" t="str">
        <f t="shared" si="104"/>
        <v>Add Cap (As per 296 of 2019)</v>
      </c>
      <c r="D875" s="1334" t="str">
        <f t="shared" si="104"/>
        <v>-</v>
      </c>
      <c r="E875" s="1378">
        <f t="shared" si="104"/>
        <v>0</v>
      </c>
      <c r="F875" s="1437">
        <f t="shared" si="99"/>
        <v>0</v>
      </c>
      <c r="G875" s="1437">
        <f t="shared" si="100"/>
        <v>0</v>
      </c>
      <c r="H875" s="1437">
        <f t="shared" si="101"/>
        <v>0</v>
      </c>
      <c r="I875" s="1437">
        <v>0</v>
      </c>
      <c r="J875" s="1437">
        <v>0</v>
      </c>
      <c r="K875" s="1438"/>
      <c r="L875" s="1438"/>
      <c r="M875" s="1437">
        <f t="shared" si="102"/>
        <v>0</v>
      </c>
      <c r="N875" s="1437">
        <f t="shared" si="103"/>
        <v>0</v>
      </c>
    </row>
    <row r="876" spans="1:14" ht="31" outlineLevel="1">
      <c r="A876" s="1491">
        <f t="shared" si="104"/>
        <v>1</v>
      </c>
      <c r="B876" s="1513" t="str">
        <f t="shared" si="104"/>
        <v>Supply of Analytical Instruments for condition monitoring Laboratory for 1X250 MW of   NPTPS, Parli-V.</v>
      </c>
      <c r="C876" s="1492" t="str">
        <f t="shared" si="104"/>
        <v>Add Cap (As per 296 of 2019)</v>
      </c>
      <c r="D876" s="1514" t="str">
        <f t="shared" si="104"/>
        <v>-</v>
      </c>
      <c r="E876" s="1382">
        <f t="shared" si="104"/>
        <v>0.5</v>
      </c>
      <c r="F876" s="1437">
        <f t="shared" si="99"/>
        <v>0.49655460000000001</v>
      </c>
      <c r="G876" s="1437">
        <f t="shared" si="100"/>
        <v>0.49655460000000001</v>
      </c>
      <c r="H876" s="1437">
        <f t="shared" si="101"/>
        <v>0</v>
      </c>
      <c r="I876" s="1437">
        <v>0</v>
      </c>
      <c r="J876" s="1437">
        <v>0</v>
      </c>
      <c r="K876" s="1438"/>
      <c r="L876" s="1438"/>
      <c r="M876" s="1437">
        <f t="shared" si="102"/>
        <v>0</v>
      </c>
      <c r="N876" s="1437">
        <f t="shared" si="103"/>
        <v>0</v>
      </c>
    </row>
    <row r="877" spans="1:14" ht="31" outlineLevel="1">
      <c r="A877" s="1491">
        <f t="shared" si="104"/>
        <v>2</v>
      </c>
      <c r="B877" s="1513" t="str">
        <f t="shared" si="104"/>
        <v>Supply of Analytical Instruments for Water Analysis Laboratory for 1X250 MW of   NPTPS, Parli-V</v>
      </c>
      <c r="C877" s="1492" t="str">
        <f t="shared" si="104"/>
        <v>Add Cap (As per 296 of 2019)</v>
      </c>
      <c r="D877" s="1334" t="str">
        <f t="shared" si="104"/>
        <v>-</v>
      </c>
      <c r="E877" s="1382">
        <f t="shared" si="104"/>
        <v>1.23</v>
      </c>
      <c r="F877" s="1437">
        <f t="shared" si="99"/>
        <v>0.29846889999999998</v>
      </c>
      <c r="G877" s="1437">
        <f t="shared" si="100"/>
        <v>0.29846889999999998</v>
      </c>
      <c r="H877" s="1437">
        <f t="shared" si="101"/>
        <v>0</v>
      </c>
      <c r="I877" s="1437">
        <v>0</v>
      </c>
      <c r="J877" s="1437">
        <v>0</v>
      </c>
      <c r="K877" s="1438"/>
      <c r="L877" s="1438"/>
      <c r="M877" s="1437">
        <f t="shared" si="102"/>
        <v>0</v>
      </c>
      <c r="N877" s="1437">
        <f t="shared" si="103"/>
        <v>0</v>
      </c>
    </row>
    <row r="878" spans="1:14" ht="31" outlineLevel="1">
      <c r="A878" s="1491">
        <f t="shared" si="104"/>
        <v>3</v>
      </c>
      <c r="B878" s="1513" t="str">
        <f t="shared" si="104"/>
        <v>Supply of Analytical Instruments for Environment Laboratory for 1 x 250 MW, NPTPS, Parli-V.</v>
      </c>
      <c r="C878" s="1492" t="str">
        <f t="shared" si="104"/>
        <v>Add Cap (As per 296 of 2019)</v>
      </c>
      <c r="D878" s="1514" t="str">
        <f t="shared" si="104"/>
        <v>-</v>
      </c>
      <c r="E878" s="1382">
        <f t="shared" si="104"/>
        <v>0.39</v>
      </c>
      <c r="F878" s="1437">
        <f t="shared" si="99"/>
        <v>0.36579919999999999</v>
      </c>
      <c r="G878" s="1437">
        <f t="shared" si="100"/>
        <v>0.36579919999999999</v>
      </c>
      <c r="H878" s="1437">
        <f t="shared" si="101"/>
        <v>0</v>
      </c>
      <c r="I878" s="1437">
        <v>0</v>
      </c>
      <c r="J878" s="1437">
        <v>0</v>
      </c>
      <c r="K878" s="1438"/>
      <c r="L878" s="1438"/>
      <c r="M878" s="1437">
        <f t="shared" si="102"/>
        <v>0</v>
      </c>
      <c r="N878" s="1437">
        <f t="shared" si="103"/>
        <v>0</v>
      </c>
    </row>
    <row r="879" spans="1:14" ht="31" outlineLevel="1">
      <c r="A879" s="1491">
        <f t="shared" si="104"/>
        <v>4</v>
      </c>
      <c r="B879" s="1513" t="str">
        <f t="shared" si="104"/>
        <v>Supply of Analytical Instruments for Precision Laboratory for 1 x 250 MW, NPTPS, Parli-V.</v>
      </c>
      <c r="C879" s="1492" t="str">
        <f t="shared" si="104"/>
        <v>Add Cap (As per 296 of 2019)</v>
      </c>
      <c r="D879" s="1334" t="str">
        <f t="shared" si="104"/>
        <v>-</v>
      </c>
      <c r="E879" s="1382">
        <f t="shared" si="104"/>
        <v>1</v>
      </c>
      <c r="F879" s="1437">
        <f t="shared" si="99"/>
        <v>0</v>
      </c>
      <c r="G879" s="1437">
        <f t="shared" si="100"/>
        <v>0</v>
      </c>
      <c r="H879" s="1437">
        <f t="shared" si="101"/>
        <v>0</v>
      </c>
      <c r="I879" s="1437">
        <v>0</v>
      </c>
      <c r="J879" s="1437">
        <v>0</v>
      </c>
      <c r="K879" s="1438"/>
      <c r="L879" s="1438"/>
      <c r="M879" s="1437">
        <f t="shared" si="102"/>
        <v>0</v>
      </c>
      <c r="N879" s="1437">
        <f t="shared" si="103"/>
        <v>0</v>
      </c>
    </row>
    <row r="880" spans="1:14" ht="31" outlineLevel="1">
      <c r="A880" s="1491">
        <f t="shared" si="104"/>
        <v>5</v>
      </c>
      <c r="B880" s="1513" t="str">
        <f t="shared" si="104"/>
        <v>Supply of Analytical Instruments for General Laboratory of Water Treatment Plant of 1 x 250 MW, NPTPS, Parli-V.</v>
      </c>
      <c r="C880" s="1492" t="str">
        <f t="shared" si="104"/>
        <v>Add Cap (As per 296 of 2019)</v>
      </c>
      <c r="D880" s="1334" t="str">
        <f t="shared" si="104"/>
        <v>-</v>
      </c>
      <c r="E880" s="1382">
        <f t="shared" si="104"/>
        <v>0.93</v>
      </c>
      <c r="F880" s="1437">
        <f t="shared" si="99"/>
        <v>0</v>
      </c>
      <c r="G880" s="1437">
        <f t="shared" si="100"/>
        <v>0</v>
      </c>
      <c r="H880" s="1437">
        <f t="shared" si="101"/>
        <v>0</v>
      </c>
      <c r="I880" s="1437">
        <v>0</v>
      </c>
      <c r="J880" s="1437">
        <v>0</v>
      </c>
      <c r="K880" s="1438"/>
      <c r="L880" s="1438"/>
      <c r="M880" s="1437">
        <f t="shared" si="102"/>
        <v>0</v>
      </c>
      <c r="N880" s="1437">
        <f t="shared" si="103"/>
        <v>0</v>
      </c>
    </row>
    <row r="881" spans="1:16" ht="31" outlineLevel="1">
      <c r="A881" s="1491">
        <f t="shared" si="104"/>
        <v>6</v>
      </c>
      <c r="B881" s="1513" t="str">
        <f t="shared" si="104"/>
        <v>Supply of Corrosion Monitor/Meter, Corrosion Coupon &amp; Coupon Rack for 1X250 MW of   NPTPS, Parli-V.</v>
      </c>
      <c r="C881" s="1492" t="str">
        <f t="shared" si="104"/>
        <v>Add Cap (As per 296 of 2019)</v>
      </c>
      <c r="D881" s="1334" t="str">
        <f t="shared" si="104"/>
        <v>-</v>
      </c>
      <c r="E881" s="1382">
        <f t="shared" si="104"/>
        <v>0.34</v>
      </c>
      <c r="F881" s="1437">
        <f t="shared" si="99"/>
        <v>0.347356836</v>
      </c>
      <c r="G881" s="1437">
        <f t="shared" si="100"/>
        <v>0.347356836</v>
      </c>
      <c r="H881" s="1437">
        <f t="shared" si="101"/>
        <v>0</v>
      </c>
      <c r="I881" s="1437">
        <v>0</v>
      </c>
      <c r="J881" s="1437">
        <v>0</v>
      </c>
      <c r="K881" s="1438"/>
      <c r="L881" s="1438"/>
      <c r="M881" s="1437">
        <f t="shared" si="102"/>
        <v>0</v>
      </c>
      <c r="N881" s="1437">
        <f t="shared" si="103"/>
        <v>0</v>
      </c>
    </row>
    <row r="882" spans="1:16" ht="31" outlineLevel="1">
      <c r="A882" s="1491">
        <f t="shared" si="104"/>
        <v>7</v>
      </c>
      <c r="B882" s="1515" t="str">
        <f t="shared" si="104"/>
        <v>Supply of Analytical Instruments for Coal Analysis Laboratory for 1X250 MW of   NPTPS, Parli-V</v>
      </c>
      <c r="C882" s="1492" t="str">
        <f t="shared" si="104"/>
        <v>Add Cap (As per 296 of 2019)</v>
      </c>
      <c r="D882" s="1334" t="str">
        <f t="shared" si="104"/>
        <v>-</v>
      </c>
      <c r="E882" s="1382">
        <f t="shared" si="104"/>
        <v>1.65</v>
      </c>
      <c r="F882" s="1437">
        <f t="shared" si="99"/>
        <v>0.39444410000000002</v>
      </c>
      <c r="G882" s="1437">
        <f t="shared" si="100"/>
        <v>0.39444410000000002</v>
      </c>
      <c r="H882" s="1437">
        <f t="shared" si="101"/>
        <v>0</v>
      </c>
      <c r="I882" s="1437">
        <v>0</v>
      </c>
      <c r="J882" s="1437">
        <v>0</v>
      </c>
      <c r="K882" s="1438"/>
      <c r="L882" s="1438"/>
      <c r="M882" s="1437">
        <f t="shared" si="102"/>
        <v>0</v>
      </c>
      <c r="N882" s="1437">
        <f t="shared" si="103"/>
        <v>0</v>
      </c>
      <c r="O882" s="1529">
        <f t="shared" ref="O882:O884" si="105">MAX(0,IF(M882=0,0,IF(G882+M882&lt;E882,M882,E882-G882)))</f>
        <v>0</v>
      </c>
      <c r="P882" s="1439">
        <f t="shared" ref="P882:P884" si="106">M882-O882</f>
        <v>0</v>
      </c>
    </row>
    <row r="883" spans="1:16" ht="15.5" outlineLevel="1">
      <c r="A883" s="1491">
        <f t="shared" si="104"/>
        <v>9</v>
      </c>
      <c r="B883" s="1377" t="str">
        <f t="shared" si="104"/>
        <v>Grade slab (WTP Area)</v>
      </c>
      <c r="C883" s="1492" t="str">
        <f t="shared" si="104"/>
        <v>Add Cap (As per 296 of 2019)</v>
      </c>
      <c r="D883" s="1334" t="str">
        <f t="shared" si="104"/>
        <v>-</v>
      </c>
      <c r="E883" s="1378">
        <f t="shared" si="104"/>
        <v>1</v>
      </c>
      <c r="F883" s="1437">
        <f t="shared" si="99"/>
        <v>0.99752063400000002</v>
      </c>
      <c r="G883" s="1437">
        <f t="shared" si="100"/>
        <v>0.99752063400000002</v>
      </c>
      <c r="H883" s="1437">
        <f t="shared" si="101"/>
        <v>0</v>
      </c>
      <c r="I883" s="1437">
        <v>0</v>
      </c>
      <c r="J883" s="1437">
        <v>0</v>
      </c>
      <c r="K883" s="1438"/>
      <c r="L883" s="1438"/>
      <c r="M883" s="1437">
        <f t="shared" si="102"/>
        <v>0</v>
      </c>
      <c r="N883" s="1437">
        <f t="shared" si="103"/>
        <v>0</v>
      </c>
      <c r="O883" s="1529">
        <f t="shared" si="105"/>
        <v>0</v>
      </c>
      <c r="P883" s="1439">
        <f t="shared" si="106"/>
        <v>0</v>
      </c>
    </row>
    <row r="884" spans="1:16" ht="15.5" outlineLevel="1">
      <c r="A884" s="1491">
        <f t="shared" si="104"/>
        <v>10</v>
      </c>
      <c r="B884" s="1377" t="str">
        <f t="shared" si="104"/>
        <v>Grade slab (Near AHP Building)</v>
      </c>
      <c r="C884" s="1492" t="str">
        <f t="shared" si="104"/>
        <v>Add Cap (As per 296 of 2019)</v>
      </c>
      <c r="D884" s="1334" t="str">
        <f t="shared" si="104"/>
        <v>-</v>
      </c>
      <c r="E884" s="1384">
        <f t="shared" si="104"/>
        <v>0.75</v>
      </c>
      <c r="F884" s="1437">
        <f t="shared" si="99"/>
        <v>0.74556261000000001</v>
      </c>
      <c r="G884" s="1437">
        <f t="shared" si="100"/>
        <v>0.74556261000000001</v>
      </c>
      <c r="H884" s="1437">
        <f t="shared" si="101"/>
        <v>0</v>
      </c>
      <c r="I884" s="1437">
        <v>0</v>
      </c>
      <c r="J884" s="1437">
        <v>0</v>
      </c>
      <c r="K884" s="1438"/>
      <c r="L884" s="1438"/>
      <c r="M884" s="1437">
        <f t="shared" si="102"/>
        <v>0</v>
      </c>
      <c r="N884" s="1437">
        <f t="shared" si="103"/>
        <v>0</v>
      </c>
      <c r="O884" s="1529">
        <f t="shared" si="105"/>
        <v>0</v>
      </c>
      <c r="P884" s="1439">
        <f t="shared" si="106"/>
        <v>0</v>
      </c>
    </row>
    <row r="885" spans="1:16" ht="15.5" outlineLevel="1">
      <c r="A885" s="1516">
        <f t="shared" si="104"/>
        <v>11</v>
      </c>
      <c r="B885" s="1385" t="str">
        <f t="shared" si="104"/>
        <v>Temporary shed for empty barrles &amp; filled barrles</v>
      </c>
      <c r="C885" s="1492" t="str">
        <f t="shared" si="104"/>
        <v>Add Cap (As per 296 of 2019)</v>
      </c>
      <c r="D885" s="1514" t="str">
        <f t="shared" si="104"/>
        <v>-</v>
      </c>
      <c r="E885" s="1384">
        <f t="shared" si="104"/>
        <v>0.5</v>
      </c>
      <c r="F885" s="1437">
        <f t="shared" si="99"/>
        <v>0.45635233799999997</v>
      </c>
      <c r="G885" s="1437">
        <f t="shared" si="100"/>
        <v>0.45635233799999997</v>
      </c>
      <c r="H885" s="1437">
        <f t="shared" si="101"/>
        <v>0</v>
      </c>
      <c r="I885" s="1437">
        <v>0</v>
      </c>
      <c r="J885" s="1437">
        <v>0</v>
      </c>
      <c r="K885" s="1438"/>
      <c r="L885" s="1438"/>
      <c r="M885" s="1437">
        <f t="shared" si="102"/>
        <v>0</v>
      </c>
      <c r="N885" s="1437">
        <f t="shared" si="103"/>
        <v>0</v>
      </c>
    </row>
    <row r="886" spans="1:16" ht="15.5" outlineLevel="1">
      <c r="A886" s="1491">
        <f t="shared" si="104"/>
        <v>12</v>
      </c>
      <c r="B886" s="1386" t="str">
        <f t="shared" si="104"/>
        <v>Cabins for operators at TP.</v>
      </c>
      <c r="C886" s="1492" t="str">
        <f t="shared" si="104"/>
        <v>Add Cap (As per 296 of 2019)</v>
      </c>
      <c r="D886" s="1334" t="str">
        <f t="shared" si="104"/>
        <v>-</v>
      </c>
      <c r="E886" s="1384">
        <f t="shared" si="104"/>
        <v>0.2</v>
      </c>
      <c r="F886" s="1437">
        <f t="shared" si="99"/>
        <v>0.18583111099999999</v>
      </c>
      <c r="G886" s="1437">
        <f t="shared" si="100"/>
        <v>0.18583111099999999</v>
      </c>
      <c r="H886" s="1437">
        <f t="shared" si="101"/>
        <v>0</v>
      </c>
      <c r="I886" s="1437">
        <v>0</v>
      </c>
      <c r="J886" s="1437">
        <v>0</v>
      </c>
      <c r="K886" s="1438"/>
      <c r="L886" s="1438"/>
      <c r="M886" s="1437">
        <f t="shared" si="102"/>
        <v>0</v>
      </c>
      <c r="N886" s="1437">
        <f t="shared" si="103"/>
        <v>0</v>
      </c>
    </row>
    <row r="887" spans="1:16" ht="15.5" outlineLevel="1">
      <c r="A887" s="1491">
        <f t="shared" si="104"/>
        <v>13</v>
      </c>
      <c r="B887" s="1385" t="str">
        <f t="shared" si="104"/>
        <v>Compound wall for isolation of administrative building.</v>
      </c>
      <c r="C887" s="1492" t="str">
        <f t="shared" si="104"/>
        <v>Add Cap (As per 296 of 2019)</v>
      </c>
      <c r="D887" s="1334" t="str">
        <f t="shared" si="104"/>
        <v>-</v>
      </c>
      <c r="E887" s="1384">
        <f t="shared" si="104"/>
        <v>0.5</v>
      </c>
      <c r="F887" s="1437">
        <f t="shared" si="99"/>
        <v>0</v>
      </c>
      <c r="G887" s="1437">
        <f t="shared" si="100"/>
        <v>0</v>
      </c>
      <c r="H887" s="1437">
        <f t="shared" si="101"/>
        <v>0</v>
      </c>
      <c r="I887" s="1437">
        <v>0</v>
      </c>
      <c r="J887" s="1437">
        <v>0</v>
      </c>
      <c r="K887" s="1438"/>
      <c r="L887" s="1438"/>
      <c r="M887" s="1437">
        <f t="shared" si="102"/>
        <v>0</v>
      </c>
      <c r="N887" s="1437">
        <f t="shared" si="103"/>
        <v>0</v>
      </c>
    </row>
    <row r="888" spans="1:16" ht="46.5" outlineLevel="1">
      <c r="A888" s="1491">
        <f t="shared" si="104"/>
        <v>14</v>
      </c>
      <c r="B888" s="1386" t="str">
        <f t="shared" si="104"/>
        <v>Work of providing/ fixing of internal partitions of aluminium/Nova palm/glass/wooden for Unit 8 service building &amp; other allied builings in the premises.</v>
      </c>
      <c r="C888" s="1492" t="str">
        <f t="shared" si="104"/>
        <v>Add Cap (As per 296 of 2019)</v>
      </c>
      <c r="D888" s="1334" t="str">
        <f t="shared" si="104"/>
        <v>-</v>
      </c>
      <c r="E888" s="1378">
        <f t="shared" si="104"/>
        <v>0.7</v>
      </c>
      <c r="F888" s="1437">
        <f t="shared" si="99"/>
        <v>0.67356391299999996</v>
      </c>
      <c r="G888" s="1437">
        <f t="shared" si="100"/>
        <v>0.67356391299999996</v>
      </c>
      <c r="H888" s="1437">
        <f t="shared" si="101"/>
        <v>0</v>
      </c>
      <c r="I888" s="1437">
        <v>0</v>
      </c>
      <c r="J888" s="1437">
        <v>0</v>
      </c>
      <c r="K888" s="1438"/>
      <c r="L888" s="1438"/>
      <c r="M888" s="1437">
        <f t="shared" si="102"/>
        <v>0</v>
      </c>
      <c r="N888" s="1437">
        <f t="shared" si="103"/>
        <v>0</v>
      </c>
    </row>
    <row r="889" spans="1:16" ht="46.5" outlineLevel="1">
      <c r="A889" s="1517">
        <f t="shared" si="104"/>
        <v>15</v>
      </c>
      <c r="B889" s="1518" t="str">
        <f t="shared" si="104"/>
        <v>Provision of DM and softening water line interconnection from u-6,7 to u-8 &amp; Provision of recovery of waste water from sandava pump house,NDCT.</v>
      </c>
      <c r="C889" s="1492" t="str">
        <f t="shared" si="104"/>
        <v>Add Cap (As per 296 of 2019)</v>
      </c>
      <c r="D889" s="1334" t="str">
        <f t="shared" si="104"/>
        <v>-</v>
      </c>
      <c r="E889" s="1378">
        <f t="shared" si="104"/>
        <v>3</v>
      </c>
      <c r="F889" s="1437">
        <f t="shared" si="99"/>
        <v>1.0266339840000001</v>
      </c>
      <c r="G889" s="1437">
        <f t="shared" si="100"/>
        <v>1.0266339840000001</v>
      </c>
      <c r="H889" s="1437">
        <f t="shared" si="101"/>
        <v>0</v>
      </c>
      <c r="I889" s="1437">
        <v>0</v>
      </c>
      <c r="J889" s="1437">
        <v>0</v>
      </c>
      <c r="K889" s="1438"/>
      <c r="L889" s="1438"/>
      <c r="M889" s="1437">
        <f t="shared" si="102"/>
        <v>0</v>
      </c>
      <c r="N889" s="1437">
        <f t="shared" si="103"/>
        <v>0</v>
      </c>
    </row>
    <row r="890" spans="1:16" ht="15.5" outlineLevel="1">
      <c r="A890" s="1519">
        <f t="shared" ref="A890:E905" si="107">A497</f>
        <v>0</v>
      </c>
      <c r="B890" s="1520">
        <f t="shared" si="107"/>
        <v>0</v>
      </c>
      <c r="C890" s="1492" t="str">
        <f t="shared" si="107"/>
        <v>Add Cap (As per 296 of 2019)</v>
      </c>
      <c r="D890" s="1334" t="str">
        <f t="shared" si="107"/>
        <v>-</v>
      </c>
      <c r="E890" s="1378">
        <f t="shared" si="107"/>
        <v>0</v>
      </c>
      <c r="F890" s="1437">
        <f t="shared" si="99"/>
        <v>1.8371300820000001</v>
      </c>
      <c r="G890" s="1437">
        <f t="shared" si="100"/>
        <v>1.8371300820000001</v>
      </c>
      <c r="H890" s="1437">
        <f t="shared" si="101"/>
        <v>0</v>
      </c>
      <c r="I890" s="1437">
        <v>0</v>
      </c>
      <c r="J890" s="1437">
        <v>0</v>
      </c>
      <c r="K890" s="1438"/>
      <c r="L890" s="1438"/>
      <c r="M890" s="1437">
        <f t="shared" si="102"/>
        <v>0</v>
      </c>
      <c r="N890" s="1437">
        <f t="shared" si="103"/>
        <v>0</v>
      </c>
    </row>
    <row r="891" spans="1:16" ht="15.5" outlineLevel="1">
      <c r="A891" s="1491">
        <f t="shared" si="107"/>
        <v>16</v>
      </c>
      <c r="B891" s="1513" t="str">
        <f t="shared" si="107"/>
        <v xml:space="preserve"> Hydraulic drive system modification.    </v>
      </c>
      <c r="C891" s="1492" t="str">
        <f t="shared" si="107"/>
        <v>Add Cap (As per 296 of 2019)</v>
      </c>
      <c r="D891" s="1334" t="str">
        <f t="shared" si="107"/>
        <v>-</v>
      </c>
      <c r="E891" s="1521">
        <f t="shared" si="107"/>
        <v>2.5</v>
      </c>
      <c r="F891" s="1437">
        <f t="shared" si="99"/>
        <v>2.4383865259999999</v>
      </c>
      <c r="G891" s="1437">
        <f t="shared" si="100"/>
        <v>2.4383865259999999</v>
      </c>
      <c r="H891" s="1437">
        <f t="shared" si="101"/>
        <v>0</v>
      </c>
      <c r="I891" s="1437">
        <v>0</v>
      </c>
      <c r="J891" s="1437">
        <v>0</v>
      </c>
      <c r="K891" s="1438"/>
      <c r="L891" s="1438"/>
      <c r="M891" s="1437">
        <f t="shared" si="102"/>
        <v>0</v>
      </c>
      <c r="N891" s="1437">
        <f t="shared" si="103"/>
        <v>0</v>
      </c>
    </row>
    <row r="892" spans="1:16" ht="15.5" outlineLevel="1">
      <c r="A892" s="1491">
        <f t="shared" si="107"/>
        <v>17</v>
      </c>
      <c r="B892" s="1513" t="str">
        <f t="shared" si="107"/>
        <v xml:space="preserve">Link conveyor from Con-2 of U-6/7 to Con.-2AB of U-8. </v>
      </c>
      <c r="C892" s="1492" t="str">
        <f t="shared" si="107"/>
        <v>Add Cap (As per 296 of 2019)</v>
      </c>
      <c r="D892" s="1334" t="str">
        <f t="shared" si="107"/>
        <v>-</v>
      </c>
      <c r="E892" s="1521">
        <f t="shared" si="107"/>
        <v>3.7</v>
      </c>
      <c r="F892" s="1437">
        <f t="shared" si="99"/>
        <v>4.6434434319999998</v>
      </c>
      <c r="G892" s="1437">
        <f t="shared" si="100"/>
        <v>22.656371991</v>
      </c>
      <c r="H892" s="1437">
        <f t="shared" si="101"/>
        <v>-18.012928559000002</v>
      </c>
      <c r="I892" s="1437">
        <v>0</v>
      </c>
      <c r="J892" s="1437">
        <v>0</v>
      </c>
      <c r="K892" s="1438"/>
      <c r="L892" s="1438"/>
      <c r="M892" s="1437">
        <f t="shared" si="102"/>
        <v>0</v>
      </c>
      <c r="N892" s="1437">
        <f t="shared" si="103"/>
        <v>-18.012928559000002</v>
      </c>
    </row>
    <row r="893" spans="1:16" ht="15.5" outlineLevel="1">
      <c r="A893" s="1491">
        <f t="shared" si="107"/>
        <v>18</v>
      </c>
      <c r="B893" s="1513" t="str">
        <f t="shared" si="107"/>
        <v>Ozone plant for Unit -8</v>
      </c>
      <c r="C893" s="1492" t="str">
        <f t="shared" si="107"/>
        <v>Add Cap (As per 296 of 2019)</v>
      </c>
      <c r="D893" s="1334" t="str">
        <f t="shared" si="107"/>
        <v>-</v>
      </c>
      <c r="E893" s="1521">
        <f t="shared" si="107"/>
        <v>20</v>
      </c>
      <c r="F893" s="1437">
        <f t="shared" si="99"/>
        <v>20.094708300000001</v>
      </c>
      <c r="G893" s="1437">
        <f t="shared" si="100"/>
        <v>2.1929439999999998</v>
      </c>
      <c r="H893" s="1437">
        <f t="shared" si="101"/>
        <v>17.9017643</v>
      </c>
      <c r="I893" s="1437">
        <v>0</v>
      </c>
      <c r="J893" s="1437">
        <v>0</v>
      </c>
      <c r="K893" s="1438"/>
      <c r="L893" s="1438"/>
      <c r="M893" s="1437">
        <f t="shared" si="102"/>
        <v>0</v>
      </c>
      <c r="N893" s="1437">
        <f t="shared" si="103"/>
        <v>17.9017643</v>
      </c>
    </row>
    <row r="894" spans="1:16" ht="15.5" outlineLevel="1">
      <c r="A894" s="1499">
        <f t="shared" si="107"/>
        <v>0</v>
      </c>
      <c r="B894" s="1522" t="str">
        <f t="shared" si="107"/>
        <v>IDC</v>
      </c>
      <c r="C894" s="1492">
        <f t="shared" si="107"/>
        <v>0</v>
      </c>
      <c r="D894" s="1334" t="str">
        <f t="shared" si="107"/>
        <v>-</v>
      </c>
      <c r="E894" s="1521">
        <f t="shared" si="107"/>
        <v>0</v>
      </c>
      <c r="F894" s="1437">
        <f t="shared" si="99"/>
        <v>0</v>
      </c>
      <c r="G894" s="1437">
        <f t="shared" si="100"/>
        <v>0</v>
      </c>
      <c r="H894" s="1437">
        <f t="shared" si="101"/>
        <v>0</v>
      </c>
      <c r="I894" s="1437">
        <v>0</v>
      </c>
      <c r="J894" s="1437">
        <v>0</v>
      </c>
      <c r="K894" s="1438"/>
      <c r="L894" s="1438"/>
      <c r="M894" s="1437">
        <f t="shared" si="102"/>
        <v>0</v>
      </c>
      <c r="N894" s="1437">
        <f t="shared" si="103"/>
        <v>0</v>
      </c>
    </row>
    <row r="895" spans="1:16" ht="15.5" outlineLevel="1">
      <c r="A895" s="1491">
        <f t="shared" si="107"/>
        <v>19</v>
      </c>
      <c r="B895" s="1377" t="str">
        <f t="shared" si="107"/>
        <v>Water management system</v>
      </c>
      <c r="C895" s="1492" t="str">
        <f t="shared" si="107"/>
        <v>Add Cap (As per 296 of 2019)</v>
      </c>
      <c r="D895" s="1334" t="str">
        <f t="shared" si="107"/>
        <v>-</v>
      </c>
      <c r="E895" s="1378">
        <f t="shared" si="107"/>
        <v>2</v>
      </c>
      <c r="F895" s="1437">
        <f t="shared" si="99"/>
        <v>0</v>
      </c>
      <c r="G895" s="1437">
        <f t="shared" si="100"/>
        <v>0</v>
      </c>
      <c r="H895" s="1437">
        <f t="shared" si="101"/>
        <v>0</v>
      </c>
      <c r="I895" s="1437">
        <v>0</v>
      </c>
      <c r="J895" s="1437">
        <v>0</v>
      </c>
      <c r="K895" s="1438"/>
      <c r="L895" s="1438"/>
      <c r="M895" s="1437">
        <f t="shared" si="102"/>
        <v>0</v>
      </c>
      <c r="N895" s="1437">
        <f t="shared" si="103"/>
        <v>0</v>
      </c>
    </row>
    <row r="896" spans="1:16" ht="31" outlineLevel="1">
      <c r="A896" s="1491" t="str">
        <f t="shared" si="107"/>
        <v>8, 20</v>
      </c>
      <c r="B896" s="1523" t="str">
        <f t="shared" si="107"/>
        <v>Procurement &amp; Installation of EMS system at Unit-8 NPTPS Parli-Vaijnath</v>
      </c>
      <c r="C896" s="1492" t="str">
        <f t="shared" si="107"/>
        <v>Add Cap (As per 296 of 2019)</v>
      </c>
      <c r="D896" s="1514" t="str">
        <f t="shared" si="107"/>
        <v>-</v>
      </c>
      <c r="E896" s="1394">
        <f t="shared" si="107"/>
        <v>1</v>
      </c>
      <c r="F896" s="1437">
        <f t="shared" si="99"/>
        <v>0.144170512</v>
      </c>
      <c r="G896" s="1437">
        <f t="shared" si="100"/>
        <v>0.144170512</v>
      </c>
      <c r="H896" s="1437">
        <f t="shared" si="101"/>
        <v>0</v>
      </c>
      <c r="I896" s="1437">
        <v>0</v>
      </c>
      <c r="J896" s="1437">
        <v>0</v>
      </c>
      <c r="K896" s="1438"/>
      <c r="L896" s="1438"/>
      <c r="M896" s="1437">
        <f t="shared" si="102"/>
        <v>0</v>
      </c>
      <c r="N896" s="1437">
        <f t="shared" si="103"/>
        <v>0</v>
      </c>
    </row>
    <row r="897" spans="1:14" ht="31" outlineLevel="1">
      <c r="A897" s="1491">
        <f t="shared" si="107"/>
        <v>21</v>
      </c>
      <c r="B897" s="1515" t="str">
        <f t="shared" si="107"/>
        <v>Conveyor-5 of  stacking/reclaiming belt double drive arrangement.</v>
      </c>
      <c r="C897" s="1492" t="str">
        <f t="shared" si="107"/>
        <v>Add Cap (As per 296 of 2019)</v>
      </c>
      <c r="D897" s="1334" t="str">
        <f t="shared" si="107"/>
        <v>-</v>
      </c>
      <c r="E897" s="1524">
        <f t="shared" si="107"/>
        <v>2</v>
      </c>
      <c r="F897" s="1437">
        <f t="shared" si="99"/>
        <v>2.0431699999999999</v>
      </c>
      <c r="G897" s="1437">
        <f t="shared" si="100"/>
        <v>2.0431699999999999</v>
      </c>
      <c r="H897" s="1437">
        <f t="shared" si="101"/>
        <v>0</v>
      </c>
      <c r="I897" s="1437">
        <v>0</v>
      </c>
      <c r="J897" s="1437">
        <v>0</v>
      </c>
      <c r="K897" s="1438"/>
      <c r="L897" s="1438"/>
      <c r="M897" s="1437">
        <f t="shared" si="102"/>
        <v>0</v>
      </c>
      <c r="N897" s="1437">
        <f t="shared" si="103"/>
        <v>0</v>
      </c>
    </row>
    <row r="898" spans="1:14" ht="15.5" outlineLevel="1">
      <c r="A898" s="1491">
        <f t="shared" si="107"/>
        <v>22</v>
      </c>
      <c r="B898" s="1377" t="str">
        <f t="shared" si="107"/>
        <v>Chemical lab building</v>
      </c>
      <c r="C898" s="1492" t="str">
        <f t="shared" si="107"/>
        <v>Add Cap (As per 296 of 2019)</v>
      </c>
      <c r="D898" s="1334" t="str">
        <f t="shared" si="107"/>
        <v>-</v>
      </c>
      <c r="E898" s="1384">
        <f t="shared" si="107"/>
        <v>1.5</v>
      </c>
      <c r="F898" s="1437">
        <f t="shared" si="99"/>
        <v>0</v>
      </c>
      <c r="G898" s="1437">
        <f t="shared" si="100"/>
        <v>0</v>
      </c>
      <c r="H898" s="1437">
        <f t="shared" si="101"/>
        <v>0</v>
      </c>
      <c r="I898" s="1437">
        <v>0</v>
      </c>
      <c r="J898" s="1437">
        <v>0</v>
      </c>
      <c r="K898" s="1438"/>
      <c r="L898" s="1438"/>
      <c r="M898" s="1437">
        <f t="shared" si="102"/>
        <v>0</v>
      </c>
      <c r="N898" s="1437">
        <f t="shared" si="103"/>
        <v>0</v>
      </c>
    </row>
    <row r="899" spans="1:14" ht="15.5" outlineLevel="1">
      <c r="A899" s="1491">
        <f t="shared" si="107"/>
        <v>23</v>
      </c>
      <c r="B899" s="1377" t="str">
        <f t="shared" si="107"/>
        <v>Chemical store</v>
      </c>
      <c r="C899" s="1492" t="str">
        <f t="shared" si="107"/>
        <v>Add Cap (As per 296 of 2019)</v>
      </c>
      <c r="D899" s="1334" t="str">
        <f t="shared" si="107"/>
        <v>-</v>
      </c>
      <c r="E899" s="1384">
        <f t="shared" si="107"/>
        <v>2.5</v>
      </c>
      <c r="F899" s="1437">
        <f t="shared" si="99"/>
        <v>0</v>
      </c>
      <c r="G899" s="1437">
        <f t="shared" si="100"/>
        <v>0</v>
      </c>
      <c r="H899" s="1437">
        <f t="shared" si="101"/>
        <v>0</v>
      </c>
      <c r="I899" s="1437">
        <v>0</v>
      </c>
      <c r="J899" s="1437">
        <v>0</v>
      </c>
      <c r="K899" s="1438"/>
      <c r="L899" s="1438"/>
      <c r="M899" s="1437">
        <f t="shared" si="102"/>
        <v>0</v>
      </c>
      <c r="N899" s="1437">
        <f t="shared" si="103"/>
        <v>0</v>
      </c>
    </row>
    <row r="900" spans="1:14" outlineLevel="1">
      <c r="A900" s="1491">
        <f t="shared" si="107"/>
        <v>24</v>
      </c>
      <c r="B900" s="1397" t="str">
        <f t="shared" si="107"/>
        <v xml:space="preserve"> Lawn development around NDCT.</v>
      </c>
      <c r="C900" s="1492" t="str">
        <f t="shared" si="107"/>
        <v>Add Cap (As per 296 of 2019)</v>
      </c>
      <c r="D900" s="1514" t="str">
        <f t="shared" si="107"/>
        <v>-</v>
      </c>
      <c r="E900" s="1398">
        <f t="shared" si="107"/>
        <v>0.75</v>
      </c>
      <c r="F900" s="1437">
        <f t="shared" si="99"/>
        <v>0</v>
      </c>
      <c r="G900" s="1437">
        <f t="shared" si="100"/>
        <v>0</v>
      </c>
      <c r="H900" s="1437">
        <f t="shared" si="101"/>
        <v>0</v>
      </c>
      <c r="I900" s="1437">
        <v>0</v>
      </c>
      <c r="J900" s="1437">
        <v>0</v>
      </c>
      <c r="K900" s="1438"/>
      <c r="L900" s="1438"/>
      <c r="M900" s="1437">
        <f t="shared" si="102"/>
        <v>0</v>
      </c>
      <c r="N900" s="1437">
        <f t="shared" si="103"/>
        <v>0</v>
      </c>
    </row>
    <row r="901" spans="1:14" outlineLevel="1">
      <c r="A901" s="1491">
        <f t="shared" si="107"/>
        <v>25</v>
      </c>
      <c r="B901" s="1399" t="str">
        <f t="shared" si="107"/>
        <v>Tree plantation &amp; greenery along road side.</v>
      </c>
      <c r="C901" s="1492" t="str">
        <f t="shared" si="107"/>
        <v>Add Cap (As per 296 of 2019)</v>
      </c>
      <c r="D901" s="1334" t="str">
        <f t="shared" si="107"/>
        <v>-</v>
      </c>
      <c r="E901" s="1400">
        <f t="shared" si="107"/>
        <v>0.5</v>
      </c>
      <c r="F901" s="1437">
        <f t="shared" si="99"/>
        <v>0</v>
      </c>
      <c r="G901" s="1437">
        <f t="shared" si="100"/>
        <v>0</v>
      </c>
      <c r="H901" s="1437">
        <f t="shared" si="101"/>
        <v>0</v>
      </c>
      <c r="I901" s="1437">
        <v>0</v>
      </c>
      <c r="J901" s="1437">
        <v>0</v>
      </c>
      <c r="K901" s="1438"/>
      <c r="L901" s="1438"/>
      <c r="M901" s="1437">
        <f t="shared" si="102"/>
        <v>0</v>
      </c>
      <c r="N901" s="1437">
        <f t="shared" si="103"/>
        <v>0</v>
      </c>
    </row>
    <row r="902" spans="1:14" outlineLevel="1">
      <c r="A902" s="1491">
        <f t="shared" si="107"/>
        <v>26</v>
      </c>
      <c r="B902" s="1399" t="str">
        <f t="shared" si="107"/>
        <v>Greenery development in area between  WTP &amp; main plant.</v>
      </c>
      <c r="C902" s="1492" t="str">
        <f t="shared" si="107"/>
        <v>Add Cap (As per 296 of 2019)</v>
      </c>
      <c r="D902" s="1334" t="str">
        <f t="shared" si="107"/>
        <v>-</v>
      </c>
      <c r="E902" s="1400">
        <f t="shared" si="107"/>
        <v>1.25</v>
      </c>
      <c r="F902" s="1437">
        <f t="shared" si="99"/>
        <v>0</v>
      </c>
      <c r="G902" s="1437">
        <f t="shared" si="100"/>
        <v>0</v>
      </c>
      <c r="H902" s="1437">
        <f t="shared" si="101"/>
        <v>0</v>
      </c>
      <c r="I902" s="1437">
        <v>0</v>
      </c>
      <c r="J902" s="1437">
        <v>0</v>
      </c>
      <c r="K902" s="1438"/>
      <c r="L902" s="1438"/>
      <c r="M902" s="1437">
        <f t="shared" si="102"/>
        <v>0</v>
      </c>
      <c r="N902" s="1437">
        <f t="shared" si="103"/>
        <v>0</v>
      </c>
    </row>
    <row r="903" spans="1:14" ht="15.5" outlineLevel="1">
      <c r="A903" s="1491">
        <f t="shared" si="107"/>
        <v>27</v>
      </c>
      <c r="B903" s="1385" t="str">
        <f t="shared" si="107"/>
        <v>Construction of staff rooms &amp; store for CHP maint..</v>
      </c>
      <c r="C903" s="1492" t="str">
        <f t="shared" si="107"/>
        <v>Add Cap (As per 296 of 2019)</v>
      </c>
      <c r="D903" s="1334" t="str">
        <f t="shared" si="107"/>
        <v>-</v>
      </c>
      <c r="E903" s="1378">
        <f t="shared" si="107"/>
        <v>1</v>
      </c>
      <c r="F903" s="1437">
        <f t="shared" si="99"/>
        <v>0.90702717499999985</v>
      </c>
      <c r="G903" s="1437">
        <f t="shared" si="100"/>
        <v>0.90702717499999996</v>
      </c>
      <c r="H903" s="1437">
        <f t="shared" si="101"/>
        <v>0</v>
      </c>
      <c r="I903" s="1437">
        <v>0</v>
      </c>
      <c r="J903" s="1437">
        <v>0</v>
      </c>
      <c r="K903" s="1438"/>
      <c r="L903" s="1438"/>
      <c r="M903" s="1437">
        <f t="shared" si="102"/>
        <v>0</v>
      </c>
      <c r="N903" s="1437">
        <f t="shared" si="103"/>
        <v>0</v>
      </c>
    </row>
    <row r="904" spans="1:14" ht="15.5" outlineLevel="1">
      <c r="A904" s="1491">
        <f t="shared" si="107"/>
        <v>28</v>
      </c>
      <c r="B904" s="1377" t="str">
        <f t="shared" si="107"/>
        <v xml:space="preserve">Dsludg filteration for raw water </v>
      </c>
      <c r="C904" s="1492" t="str">
        <f t="shared" si="107"/>
        <v>Add Cap (As per 296 of 2019)</v>
      </c>
      <c r="D904" s="1334" t="str">
        <f t="shared" si="107"/>
        <v>-</v>
      </c>
      <c r="E904" s="1401">
        <f t="shared" si="107"/>
        <v>17</v>
      </c>
      <c r="F904" s="1437">
        <f t="shared" si="99"/>
        <v>0</v>
      </c>
      <c r="G904" s="1437">
        <f t="shared" si="100"/>
        <v>0</v>
      </c>
      <c r="H904" s="1437">
        <f t="shared" si="101"/>
        <v>0</v>
      </c>
      <c r="I904" s="1437">
        <v>0</v>
      </c>
      <c r="J904" s="1437">
        <v>0</v>
      </c>
      <c r="K904" s="1438"/>
      <c r="L904" s="1438"/>
      <c r="M904" s="1437">
        <f t="shared" si="102"/>
        <v>0</v>
      </c>
      <c r="N904" s="1437">
        <f t="shared" si="103"/>
        <v>0</v>
      </c>
    </row>
    <row r="905" spans="1:14" ht="15.5" outlineLevel="1">
      <c r="A905" s="1491">
        <f t="shared" si="107"/>
        <v>29</v>
      </c>
      <c r="B905" s="1525" t="str">
        <f t="shared" si="107"/>
        <v>PLC/UPS system  upgradation</v>
      </c>
      <c r="C905" s="1492" t="str">
        <f t="shared" si="107"/>
        <v>Add Cap (As per 296 of 2019)</v>
      </c>
      <c r="D905" s="1514" t="str">
        <f t="shared" si="107"/>
        <v>-</v>
      </c>
      <c r="E905" s="1498">
        <f t="shared" si="107"/>
        <v>0.5</v>
      </c>
      <c r="F905" s="1437">
        <f t="shared" si="99"/>
        <v>0.40149499999999999</v>
      </c>
      <c r="G905" s="1437">
        <f t="shared" si="100"/>
        <v>0.40149499999999999</v>
      </c>
      <c r="H905" s="1437">
        <f t="shared" si="101"/>
        <v>0</v>
      </c>
      <c r="I905" s="1437">
        <v>0</v>
      </c>
      <c r="J905" s="1437">
        <v>0</v>
      </c>
      <c r="K905" s="1438"/>
      <c r="L905" s="1438"/>
      <c r="M905" s="1437">
        <f t="shared" si="102"/>
        <v>0</v>
      </c>
      <c r="N905" s="1437">
        <f t="shared" si="103"/>
        <v>0</v>
      </c>
    </row>
    <row r="906" spans="1:14" outlineLevel="1">
      <c r="A906" s="1392">
        <f t="shared" ref="A906:E921" si="108">A513</f>
        <v>0</v>
      </c>
      <c r="B906" s="1332" t="str">
        <f t="shared" si="108"/>
        <v>DPR Schemes</v>
      </c>
      <c r="C906" s="1338">
        <f t="shared" si="108"/>
        <v>0</v>
      </c>
      <c r="D906" s="1334" t="str">
        <f t="shared" si="108"/>
        <v>-</v>
      </c>
      <c r="E906" s="1336">
        <f t="shared" si="108"/>
        <v>0</v>
      </c>
      <c r="F906" s="1437">
        <f t="shared" si="99"/>
        <v>0</v>
      </c>
      <c r="G906" s="1437">
        <f t="shared" si="100"/>
        <v>0</v>
      </c>
      <c r="H906" s="1437">
        <f t="shared" si="101"/>
        <v>0</v>
      </c>
      <c r="I906" s="1437">
        <v>0</v>
      </c>
      <c r="J906" s="1437">
        <v>0</v>
      </c>
      <c r="K906" s="1438"/>
      <c r="L906" s="1438"/>
      <c r="M906" s="1437">
        <f t="shared" si="102"/>
        <v>0</v>
      </c>
      <c r="N906" s="1437">
        <f t="shared" si="103"/>
        <v>0</v>
      </c>
    </row>
    <row r="907" spans="1:14" outlineLevel="1">
      <c r="A907" s="1526">
        <f t="shared" si="108"/>
        <v>22</v>
      </c>
      <c r="B907" s="1527" t="str">
        <f t="shared" si="108"/>
        <v>FGD at Parli Unit # 8</v>
      </c>
      <c r="C907" s="1526" t="str">
        <f t="shared" si="108"/>
        <v>MERC/CAPEX/2021-2022/0284</v>
      </c>
      <c r="D907" s="1528">
        <f t="shared" si="108"/>
        <v>44739</v>
      </c>
      <c r="E907" s="1405">
        <f t="shared" si="108"/>
        <v>89.240000000000009</v>
      </c>
      <c r="F907" s="1437">
        <f t="shared" si="99"/>
        <v>4.0999999999999996</v>
      </c>
      <c r="G907" s="1437">
        <f t="shared" si="100"/>
        <v>0</v>
      </c>
      <c r="H907" s="1437">
        <f t="shared" si="101"/>
        <v>4.0999999999999996</v>
      </c>
      <c r="I907" s="1437">
        <v>0</v>
      </c>
      <c r="J907" s="1437">
        <v>0</v>
      </c>
      <c r="K907" s="1438"/>
      <c r="L907" s="1438"/>
      <c r="M907" s="1437">
        <f t="shared" si="102"/>
        <v>0</v>
      </c>
      <c r="N907" s="1437">
        <f t="shared" si="103"/>
        <v>4.0999999999999996</v>
      </c>
    </row>
    <row r="908" spans="1:14" outlineLevel="1">
      <c r="A908" s="1499">
        <f t="shared" si="108"/>
        <v>22.1</v>
      </c>
      <c r="B908" s="1530" t="str">
        <f t="shared" si="108"/>
        <v>FGD at Parli Unit # 8</v>
      </c>
      <c r="C908" s="1491" t="str">
        <f t="shared" si="108"/>
        <v>MERC/CAPEX/2021-2022/0284</v>
      </c>
      <c r="D908" s="1531">
        <f t="shared" si="108"/>
        <v>44739</v>
      </c>
      <c r="E908" s="1318">
        <f t="shared" si="108"/>
        <v>85.2</v>
      </c>
      <c r="F908" s="1437">
        <f t="shared" si="99"/>
        <v>0.49</v>
      </c>
      <c r="G908" s="1437">
        <f t="shared" si="100"/>
        <v>0</v>
      </c>
      <c r="H908" s="1437">
        <f t="shared" si="101"/>
        <v>0.49</v>
      </c>
      <c r="I908" s="1437">
        <v>94.72</v>
      </c>
      <c r="J908" s="1437">
        <v>0</v>
      </c>
      <c r="K908" s="1438"/>
      <c r="L908" s="1438"/>
      <c r="M908" s="1437">
        <f t="shared" si="102"/>
        <v>0</v>
      </c>
      <c r="N908" s="1437">
        <f t="shared" si="103"/>
        <v>95.21</v>
      </c>
    </row>
    <row r="909" spans="1:14" outlineLevel="1">
      <c r="A909" s="1511">
        <f t="shared" si="108"/>
        <v>0</v>
      </c>
      <c r="B909" s="1532" t="str">
        <f t="shared" si="108"/>
        <v>IDC</v>
      </c>
      <c r="C909" s="1491" t="str">
        <f t="shared" si="108"/>
        <v>MERC/CAPEX/2021-2022/0284</v>
      </c>
      <c r="D909" s="1531">
        <f t="shared" si="108"/>
        <v>44739</v>
      </c>
      <c r="E909" s="1318">
        <f t="shared" si="108"/>
        <v>4.04</v>
      </c>
      <c r="F909" s="1437">
        <f t="shared" si="99"/>
        <v>0</v>
      </c>
      <c r="G909" s="1437">
        <f t="shared" si="100"/>
        <v>0</v>
      </c>
      <c r="H909" s="1437">
        <f t="shared" si="101"/>
        <v>0</v>
      </c>
      <c r="I909" s="1437">
        <v>4.04</v>
      </c>
      <c r="J909" s="1437">
        <v>0</v>
      </c>
      <c r="K909" s="1438"/>
      <c r="L909" s="1438"/>
      <c r="M909" s="1437">
        <f t="shared" si="102"/>
        <v>0</v>
      </c>
      <c r="N909" s="1437">
        <f t="shared" si="103"/>
        <v>4.04</v>
      </c>
    </row>
    <row r="910" spans="1:14" ht="31" outlineLevel="1">
      <c r="A910" s="1533" t="str">
        <f t="shared" si="108"/>
        <v>HO
DPR 16</v>
      </c>
      <c r="B910" s="1534" t="str">
        <f t="shared" si="108"/>
        <v>Construction of new Administrative Building for Mahagenco at Vidyut Bhawan, Katol Road, Nagpur</v>
      </c>
      <c r="C910" s="1526" t="str">
        <f t="shared" si="108"/>
        <v>MERC/CAPEX/2021-2022/MSPGCL/063</v>
      </c>
      <c r="D910" s="1528">
        <f t="shared" si="108"/>
        <v>44604</v>
      </c>
      <c r="E910" s="1405">
        <f t="shared" si="108"/>
        <v>57</v>
      </c>
      <c r="F910" s="1437">
        <f t="shared" si="99"/>
        <v>0</v>
      </c>
      <c r="G910" s="1437">
        <f t="shared" si="100"/>
        <v>0</v>
      </c>
      <c r="H910" s="1437">
        <f t="shared" si="101"/>
        <v>0</v>
      </c>
      <c r="I910" s="1437">
        <v>0</v>
      </c>
      <c r="J910" s="1437">
        <v>0</v>
      </c>
      <c r="K910" s="1438"/>
      <c r="L910" s="1438"/>
      <c r="M910" s="1437">
        <f t="shared" si="102"/>
        <v>0</v>
      </c>
      <c r="N910" s="1437">
        <f t="shared" si="103"/>
        <v>0</v>
      </c>
    </row>
    <row r="911" spans="1:14" ht="46.5" outlineLevel="1">
      <c r="A911" s="1535" t="str">
        <f t="shared" si="108"/>
        <v>HO
DPR 16.1</v>
      </c>
      <c r="B911" s="1536" t="str">
        <f t="shared" si="108"/>
        <v>Construction of new Administrative Building for Mahagenco at Vidyut Bhawan, Katol Road, Nagpur</v>
      </c>
      <c r="C911" s="1491" t="str">
        <f t="shared" si="108"/>
        <v>MERC/CAPEX/2021-2022/MSPGCL/063</v>
      </c>
      <c r="D911" s="1531">
        <f t="shared" si="108"/>
        <v>44604</v>
      </c>
      <c r="E911" s="1318">
        <f t="shared" si="108"/>
        <v>54.24</v>
      </c>
      <c r="F911" s="1437">
        <f t="shared" si="99"/>
        <v>0</v>
      </c>
      <c r="G911" s="1437">
        <f t="shared" si="100"/>
        <v>0</v>
      </c>
      <c r="H911" s="1437">
        <f t="shared" si="101"/>
        <v>0</v>
      </c>
      <c r="I911" s="1437">
        <v>0</v>
      </c>
      <c r="J911" s="1437">
        <v>0</v>
      </c>
      <c r="K911" s="1438"/>
      <c r="L911" s="1438"/>
      <c r="M911" s="1437">
        <f t="shared" si="102"/>
        <v>0</v>
      </c>
      <c r="N911" s="1437">
        <f t="shared" si="103"/>
        <v>0</v>
      </c>
    </row>
    <row r="912" spans="1:14" ht="15.5" outlineLevel="1">
      <c r="A912" s="1537">
        <f t="shared" si="108"/>
        <v>0</v>
      </c>
      <c r="B912" s="1536" t="str">
        <f t="shared" si="108"/>
        <v>IDC</v>
      </c>
      <c r="C912" s="1491" t="str">
        <f t="shared" si="108"/>
        <v>MERC/CAPEX/2021-2022/MSPGCL/063</v>
      </c>
      <c r="D912" s="1531">
        <f t="shared" si="108"/>
        <v>44604</v>
      </c>
      <c r="E912" s="1318">
        <f t="shared" si="108"/>
        <v>2.76</v>
      </c>
      <c r="F912" s="1437">
        <f t="shared" si="99"/>
        <v>0</v>
      </c>
      <c r="G912" s="1437">
        <f t="shared" si="100"/>
        <v>0</v>
      </c>
      <c r="H912" s="1437">
        <f t="shared" si="101"/>
        <v>0</v>
      </c>
      <c r="I912" s="1437">
        <v>0</v>
      </c>
      <c r="J912" s="1437">
        <v>0</v>
      </c>
      <c r="K912" s="1438"/>
      <c r="L912" s="1438"/>
      <c r="M912" s="1437">
        <f t="shared" si="102"/>
        <v>0</v>
      </c>
      <c r="N912" s="1437">
        <f t="shared" si="103"/>
        <v>0</v>
      </c>
    </row>
    <row r="913" spans="1:14" ht="31" outlineLevel="1">
      <c r="A913" s="1533" t="str">
        <f t="shared" si="108"/>
        <v>HO
DPR 17</v>
      </c>
      <c r="B913" s="1534" t="str">
        <f t="shared" si="108"/>
        <v>Centralized Monitoring Solution</v>
      </c>
      <c r="C913" s="1526" t="str">
        <f t="shared" si="108"/>
        <v>MERC/CAPEX/MSPGCL/2023-24/0576</v>
      </c>
      <c r="D913" s="1528">
        <f t="shared" si="108"/>
        <v>45232</v>
      </c>
      <c r="E913" s="1405">
        <f t="shared" si="108"/>
        <v>69.308999999999997</v>
      </c>
      <c r="F913" s="1437">
        <f t="shared" si="99"/>
        <v>0</v>
      </c>
      <c r="G913" s="1437">
        <f t="shared" si="100"/>
        <v>0</v>
      </c>
      <c r="H913" s="1437">
        <f t="shared" si="101"/>
        <v>0</v>
      </c>
      <c r="I913" s="1437">
        <v>0</v>
      </c>
      <c r="J913" s="1437">
        <v>0</v>
      </c>
      <c r="K913" s="1438"/>
      <c r="L913" s="1438"/>
      <c r="M913" s="1437">
        <f t="shared" si="102"/>
        <v>0</v>
      </c>
      <c r="N913" s="1437">
        <f t="shared" si="103"/>
        <v>0</v>
      </c>
    </row>
    <row r="914" spans="1:14" ht="46.5" outlineLevel="1">
      <c r="A914" s="1535" t="str">
        <f t="shared" si="108"/>
        <v>HO
DPR 17.1</v>
      </c>
      <c r="B914" s="1536" t="str">
        <f t="shared" si="108"/>
        <v>Centralized Monitoring Solution</v>
      </c>
      <c r="C914" s="1491" t="str">
        <f t="shared" si="108"/>
        <v>MERC/CAPEX/MSPGCL/2023-24/0576</v>
      </c>
      <c r="D914" s="1531">
        <f t="shared" si="108"/>
        <v>45232</v>
      </c>
      <c r="E914" s="1318">
        <f t="shared" si="108"/>
        <v>66.009</v>
      </c>
      <c r="F914" s="1437">
        <f t="shared" si="99"/>
        <v>0</v>
      </c>
      <c r="G914" s="1437">
        <f t="shared" si="100"/>
        <v>0</v>
      </c>
      <c r="H914" s="1437">
        <f t="shared" si="101"/>
        <v>0</v>
      </c>
      <c r="I914" s="1437">
        <v>2.23</v>
      </c>
      <c r="J914" s="1437">
        <v>2.23</v>
      </c>
      <c r="K914" s="1438"/>
      <c r="L914" s="1438"/>
      <c r="M914" s="1437">
        <f t="shared" si="102"/>
        <v>2.23</v>
      </c>
      <c r="N914" s="1437">
        <f t="shared" si="103"/>
        <v>0</v>
      </c>
    </row>
    <row r="915" spans="1:14" ht="15.5" outlineLevel="1">
      <c r="A915" s="1537">
        <f t="shared" si="108"/>
        <v>0</v>
      </c>
      <c r="B915" s="1536" t="str">
        <f t="shared" si="108"/>
        <v>IDC</v>
      </c>
      <c r="C915" s="1491" t="str">
        <f t="shared" si="108"/>
        <v>MERC/CAPEX/MSPGCL/2023-24/0576</v>
      </c>
      <c r="D915" s="1531">
        <f t="shared" si="108"/>
        <v>45232</v>
      </c>
      <c r="E915" s="1318">
        <f t="shared" si="108"/>
        <v>3.3</v>
      </c>
      <c r="F915" s="1437">
        <f t="shared" si="99"/>
        <v>0</v>
      </c>
      <c r="G915" s="1437">
        <f t="shared" si="100"/>
        <v>0</v>
      </c>
      <c r="H915" s="1437">
        <f t="shared" si="101"/>
        <v>0</v>
      </c>
      <c r="I915" s="1437">
        <v>0</v>
      </c>
      <c r="J915" s="1437">
        <v>0</v>
      </c>
      <c r="K915" s="1438"/>
      <c r="L915" s="1438"/>
      <c r="M915" s="1437">
        <f t="shared" si="102"/>
        <v>0</v>
      </c>
      <c r="N915" s="1437">
        <f t="shared" si="103"/>
        <v>0</v>
      </c>
    </row>
    <row r="916" spans="1:14" outlineLevel="1">
      <c r="A916" s="1505">
        <f t="shared" si="108"/>
        <v>0</v>
      </c>
      <c r="B916" s="1332" t="str">
        <f t="shared" si="108"/>
        <v>(ii) Yet to be submitted to MERC</v>
      </c>
      <c r="C916" s="1491">
        <f t="shared" si="108"/>
        <v>0</v>
      </c>
      <c r="D916" s="1531" t="str">
        <f t="shared" si="108"/>
        <v>-</v>
      </c>
      <c r="E916" s="1318">
        <f t="shared" si="108"/>
        <v>0</v>
      </c>
      <c r="F916" s="1437">
        <f t="shared" si="99"/>
        <v>0</v>
      </c>
      <c r="G916" s="1437">
        <f t="shared" si="100"/>
        <v>0</v>
      </c>
      <c r="H916" s="1437">
        <f t="shared" si="101"/>
        <v>0</v>
      </c>
      <c r="I916" s="1437">
        <v>0</v>
      </c>
      <c r="J916" s="1437">
        <v>0</v>
      </c>
      <c r="K916" s="1438"/>
      <c r="L916" s="1438"/>
      <c r="M916" s="1437">
        <f t="shared" si="102"/>
        <v>0</v>
      </c>
      <c r="N916" s="1437">
        <f t="shared" si="103"/>
        <v>0</v>
      </c>
    </row>
    <row r="917" spans="1:14" ht="46.5" outlineLevel="1">
      <c r="A917" s="1533">
        <f t="shared" si="108"/>
        <v>1</v>
      </c>
      <c r="B917" s="1534" t="str">
        <f t="shared" si="108"/>
        <v xml:space="preserve">Detailed Project Report on  Boiler plant performance improvement and availability improvement schemes at Boiler Maintenance 1x250MW Unit-8 TPS Parli-V </v>
      </c>
      <c r="C917" s="1526" t="str">
        <f t="shared" si="108"/>
        <v>Yet to be approved</v>
      </c>
      <c r="D917" s="1528" t="str">
        <f t="shared" si="108"/>
        <v>-</v>
      </c>
      <c r="E917" s="1405">
        <f t="shared" si="108"/>
        <v>0</v>
      </c>
      <c r="F917" s="1437">
        <f t="shared" si="99"/>
        <v>0</v>
      </c>
      <c r="G917" s="1437">
        <f t="shared" si="100"/>
        <v>0</v>
      </c>
      <c r="H917" s="1437">
        <f t="shared" si="101"/>
        <v>0</v>
      </c>
      <c r="I917" s="1437">
        <v>0</v>
      </c>
      <c r="J917" s="1437">
        <v>0</v>
      </c>
      <c r="K917" s="1438"/>
      <c r="L917" s="1438"/>
      <c r="M917" s="1437">
        <f t="shared" si="102"/>
        <v>0</v>
      </c>
      <c r="N917" s="1437">
        <f t="shared" si="103"/>
        <v>0</v>
      </c>
    </row>
    <row r="918" spans="1:14" ht="29" outlineLevel="1">
      <c r="A918" s="1491">
        <f t="shared" si="108"/>
        <v>1.1000000000000001</v>
      </c>
      <c r="B918" s="1530" t="str">
        <f t="shared" si="108"/>
        <v>Procurement &amp; Replacement of Complete Economizer Upper &amp; Lower Bank Coil Assemblies at Unit-8, NPTPS Parli-V</v>
      </c>
      <c r="C918" s="1491" t="str">
        <f t="shared" si="108"/>
        <v>Yet to be approved</v>
      </c>
      <c r="D918" s="1531" t="str">
        <f t="shared" si="108"/>
        <v>-</v>
      </c>
      <c r="E918" s="1318">
        <f t="shared" si="108"/>
        <v>0</v>
      </c>
      <c r="F918" s="1437">
        <f t="shared" si="99"/>
        <v>0</v>
      </c>
      <c r="G918" s="1437">
        <f t="shared" si="100"/>
        <v>0</v>
      </c>
      <c r="H918" s="1437">
        <f t="shared" si="101"/>
        <v>0</v>
      </c>
      <c r="I918" s="1437">
        <v>0</v>
      </c>
      <c r="J918" s="1437">
        <v>0</v>
      </c>
      <c r="K918" s="1438"/>
      <c r="L918" s="1438"/>
      <c r="M918" s="1437">
        <f t="shared" si="102"/>
        <v>0</v>
      </c>
      <c r="N918" s="1437">
        <f t="shared" si="103"/>
        <v>0</v>
      </c>
    </row>
    <row r="919" spans="1:14" ht="29" outlineLevel="1">
      <c r="A919" s="1491">
        <f t="shared" si="108"/>
        <v>1.2</v>
      </c>
      <c r="B919" s="1530" t="str">
        <f t="shared" si="108"/>
        <v>Procurement &amp; Replacement of Two complete set of APH Baskets at 250 MW Unit-8, Parli TPS.</v>
      </c>
      <c r="C919" s="1491" t="str">
        <f t="shared" si="108"/>
        <v>Yet to be approved</v>
      </c>
      <c r="D919" s="1531" t="str">
        <f t="shared" si="108"/>
        <v>-</v>
      </c>
      <c r="E919" s="1318">
        <f t="shared" si="108"/>
        <v>0</v>
      </c>
      <c r="F919" s="1437">
        <f t="shared" si="99"/>
        <v>0</v>
      </c>
      <c r="G919" s="1437">
        <f t="shared" si="100"/>
        <v>0</v>
      </c>
      <c r="H919" s="1437">
        <f t="shared" si="101"/>
        <v>0</v>
      </c>
      <c r="I919" s="1437">
        <v>0</v>
      </c>
      <c r="J919" s="1437">
        <v>0</v>
      </c>
      <c r="K919" s="1438"/>
      <c r="L919" s="1438"/>
      <c r="M919" s="1437">
        <f t="shared" si="102"/>
        <v>0</v>
      </c>
      <c r="N919" s="1437">
        <f t="shared" si="103"/>
        <v>0</v>
      </c>
    </row>
    <row r="920" spans="1:14" ht="29" outlineLevel="1">
      <c r="A920" s="1491">
        <f t="shared" si="108"/>
        <v>1.3</v>
      </c>
      <c r="B920" s="1530" t="str">
        <f t="shared" si="108"/>
        <v>Procurement &amp; replacement of  PA Fan PAF 17/11.8-2 and FD Fan FAF 17/9.5-1 Complete Blade set required at BM U-8 NPTPS Parli-V.</v>
      </c>
      <c r="C920" s="1491" t="str">
        <f t="shared" si="108"/>
        <v>Yet to be approved</v>
      </c>
      <c r="D920" s="1531" t="str">
        <f t="shared" si="108"/>
        <v>-</v>
      </c>
      <c r="E920" s="1318">
        <f t="shared" si="108"/>
        <v>0</v>
      </c>
      <c r="F920" s="1437">
        <f t="shared" si="99"/>
        <v>0</v>
      </c>
      <c r="G920" s="1437">
        <f t="shared" si="100"/>
        <v>0</v>
      </c>
      <c r="H920" s="1437">
        <f t="shared" si="101"/>
        <v>0</v>
      </c>
      <c r="I920" s="1437">
        <v>0</v>
      </c>
      <c r="J920" s="1437">
        <v>0</v>
      </c>
      <c r="K920" s="1438"/>
      <c r="L920" s="1438"/>
      <c r="M920" s="1437">
        <f t="shared" si="102"/>
        <v>0</v>
      </c>
      <c r="N920" s="1437">
        <f t="shared" si="103"/>
        <v>0</v>
      </c>
    </row>
    <row r="921" spans="1:14" ht="29" outlineLevel="1">
      <c r="A921" s="1491">
        <f t="shared" si="108"/>
        <v>1.4</v>
      </c>
      <c r="B921" s="1530" t="str">
        <f t="shared" si="108"/>
        <v>Procurement &amp; Replacement of  Coal Mill Gear Box Type KMP 280 at 250 MW Unit-8, Parli TPS.</v>
      </c>
      <c r="C921" s="1491" t="str">
        <f t="shared" si="108"/>
        <v>Yet to be approved</v>
      </c>
      <c r="D921" s="1531" t="str">
        <f t="shared" si="108"/>
        <v>-</v>
      </c>
      <c r="E921" s="1318">
        <f t="shared" si="108"/>
        <v>0</v>
      </c>
      <c r="F921" s="1437">
        <f t="shared" si="99"/>
        <v>0</v>
      </c>
      <c r="G921" s="1437">
        <f t="shared" si="100"/>
        <v>0</v>
      </c>
      <c r="H921" s="1437">
        <f t="shared" si="101"/>
        <v>0</v>
      </c>
      <c r="I921" s="1437">
        <v>0</v>
      </c>
      <c r="J921" s="1437">
        <v>0</v>
      </c>
      <c r="K921" s="1438"/>
      <c r="L921" s="1438"/>
      <c r="M921" s="1437">
        <f t="shared" si="102"/>
        <v>0</v>
      </c>
      <c r="N921" s="1437">
        <f t="shared" si="103"/>
        <v>0</v>
      </c>
    </row>
    <row r="922" spans="1:14" ht="29" outlineLevel="1">
      <c r="A922" s="1491">
        <f t="shared" ref="A922:E937" si="109">A529</f>
        <v>1.5</v>
      </c>
      <c r="B922" s="1530" t="str">
        <f t="shared" si="109"/>
        <v>Procurement &amp; replacement of Bowl &amp; Bowl Hub Assembly of Coal Mill XRP-903 required at BM U-8 NPTPS Parli-V.</v>
      </c>
      <c r="C922" s="1491" t="str">
        <f t="shared" si="109"/>
        <v>Yet to be approved</v>
      </c>
      <c r="D922" s="1531" t="str">
        <f t="shared" si="109"/>
        <v>-</v>
      </c>
      <c r="E922" s="1318">
        <f t="shared" si="109"/>
        <v>0</v>
      </c>
      <c r="F922" s="1437">
        <f t="shared" si="99"/>
        <v>0</v>
      </c>
      <c r="G922" s="1437">
        <f t="shared" si="100"/>
        <v>0</v>
      </c>
      <c r="H922" s="1437">
        <f t="shared" si="101"/>
        <v>0</v>
      </c>
      <c r="I922" s="1437">
        <v>0</v>
      </c>
      <c r="J922" s="1437">
        <v>0</v>
      </c>
      <c r="K922" s="1438"/>
      <c r="L922" s="1438"/>
      <c r="M922" s="1437">
        <f t="shared" ref="M922" si="110">SUM(J922:L922)</f>
        <v>0</v>
      </c>
      <c r="N922" s="1437">
        <f t="shared" si="103"/>
        <v>0</v>
      </c>
    </row>
    <row r="923" spans="1:14" ht="29" outlineLevel="1">
      <c r="A923" s="1491">
        <f t="shared" si="109"/>
        <v>1.6</v>
      </c>
      <c r="B923" s="1530" t="str">
        <f t="shared" si="109"/>
        <v>Procurement of Complete Journal Assembly without Grinding roll for Coal Mill XRP-903  required at BM U-8 NPTPS Parli-V</v>
      </c>
      <c r="C923" s="1491" t="str">
        <f t="shared" si="109"/>
        <v>Yet to be approved</v>
      </c>
      <c r="D923" s="1531" t="str">
        <f t="shared" si="109"/>
        <v>-</v>
      </c>
      <c r="E923" s="1318">
        <f t="shared" si="109"/>
        <v>0</v>
      </c>
      <c r="F923" s="1437">
        <f t="shared" si="99"/>
        <v>0</v>
      </c>
      <c r="G923" s="1437">
        <f t="shared" si="100"/>
        <v>0</v>
      </c>
      <c r="H923" s="1437">
        <f t="shared" si="101"/>
        <v>0</v>
      </c>
      <c r="I923" s="1437">
        <v>0</v>
      </c>
      <c r="J923" s="1437">
        <v>0</v>
      </c>
      <c r="K923" s="1438"/>
      <c r="L923" s="1438"/>
      <c r="M923" s="1437">
        <f t="shared" ref="M923:M987" si="111">SUM(J923:L923)</f>
        <v>0</v>
      </c>
      <c r="N923" s="1437">
        <f t="shared" si="103"/>
        <v>0</v>
      </c>
    </row>
    <row r="924" spans="1:14" ht="29" outlineLevel="1">
      <c r="A924" s="1491">
        <f t="shared" si="109"/>
        <v>1.7</v>
      </c>
      <c r="B924" s="1530" t="str">
        <f t="shared" si="109"/>
        <v>Procurement of  Hydraulic Adjustment Device for FD Fan FAF 17/9.5-1 at BM U-8 NPTPS Parli-V.</v>
      </c>
      <c r="C924" s="1491" t="str">
        <f t="shared" si="109"/>
        <v>Yet to be approved</v>
      </c>
      <c r="D924" s="1531" t="str">
        <f t="shared" si="109"/>
        <v>-</v>
      </c>
      <c r="E924" s="1318">
        <f t="shared" si="109"/>
        <v>0</v>
      </c>
      <c r="F924" s="1437">
        <f t="shared" si="99"/>
        <v>0</v>
      </c>
      <c r="G924" s="1437">
        <f t="shared" si="100"/>
        <v>0</v>
      </c>
      <c r="H924" s="1437">
        <f t="shared" si="101"/>
        <v>0</v>
      </c>
      <c r="I924" s="1437">
        <v>0</v>
      </c>
      <c r="J924" s="1437">
        <v>0</v>
      </c>
      <c r="K924" s="1438"/>
      <c r="L924" s="1438"/>
      <c r="M924" s="1437">
        <f t="shared" si="111"/>
        <v>0</v>
      </c>
      <c r="N924" s="1437">
        <f t="shared" si="103"/>
        <v>0</v>
      </c>
    </row>
    <row r="925" spans="1:14" outlineLevel="1">
      <c r="A925" s="1491">
        <f t="shared" si="109"/>
        <v>1.8</v>
      </c>
      <c r="B925" s="1530" t="str">
        <f t="shared" si="109"/>
        <v>SWAS upgradation at U#8</v>
      </c>
      <c r="C925" s="1491" t="str">
        <f t="shared" si="109"/>
        <v>Yet to be approved</v>
      </c>
      <c r="D925" s="1531" t="str">
        <f t="shared" si="109"/>
        <v>-</v>
      </c>
      <c r="E925" s="1318">
        <f t="shared" si="109"/>
        <v>0</v>
      </c>
      <c r="F925" s="1437">
        <f t="shared" ref="F925:F988" si="112">F532+I532</f>
        <v>0</v>
      </c>
      <c r="G925" s="1437">
        <f t="shared" ref="G925:G988" si="113">G532+M532</f>
        <v>0</v>
      </c>
      <c r="H925" s="1437">
        <f t="shared" ref="H925:H989" si="114">F925-G925</f>
        <v>0</v>
      </c>
      <c r="I925" s="1437">
        <v>0</v>
      </c>
      <c r="J925" s="1437">
        <v>0</v>
      </c>
      <c r="K925" s="1438"/>
      <c r="L925" s="1438"/>
      <c r="M925" s="1437">
        <f t="shared" si="111"/>
        <v>0</v>
      </c>
      <c r="N925" s="1437">
        <f t="shared" ref="N925:N989" si="115">H925+I925-M925</f>
        <v>0</v>
      </c>
    </row>
    <row r="926" spans="1:14" ht="21" outlineLevel="1">
      <c r="A926" s="1538">
        <f t="shared" si="109"/>
        <v>0</v>
      </c>
      <c r="B926" s="1410" t="str">
        <f t="shared" si="109"/>
        <v>(ii) Yet to be submitted to MERC</v>
      </c>
      <c r="C926" s="1491">
        <f t="shared" si="109"/>
        <v>0</v>
      </c>
      <c r="D926" s="1531" t="str">
        <f t="shared" si="109"/>
        <v>-</v>
      </c>
      <c r="E926" s="1318">
        <f t="shared" si="109"/>
        <v>0</v>
      </c>
      <c r="F926" s="1437">
        <f t="shared" si="112"/>
        <v>0</v>
      </c>
      <c r="G926" s="1437">
        <f t="shared" si="113"/>
        <v>0</v>
      </c>
      <c r="H926" s="1437">
        <f t="shared" si="114"/>
        <v>0</v>
      </c>
      <c r="I926" s="1437">
        <v>0</v>
      </c>
      <c r="J926" s="1437">
        <v>0</v>
      </c>
      <c r="K926" s="1438"/>
      <c r="L926" s="1438"/>
      <c r="M926" s="1437">
        <f t="shared" si="111"/>
        <v>0</v>
      </c>
      <c r="N926" s="1437">
        <f t="shared" si="115"/>
        <v>0</v>
      </c>
    </row>
    <row r="927" spans="1:14" ht="77.5" outlineLevel="1">
      <c r="A927" s="1533">
        <f t="shared" si="109"/>
        <v>2</v>
      </c>
      <c r="B927" s="1534" t="str">
        <f t="shared" si="109"/>
        <v xml:space="preserve"> Procurement &amp; Replacement of Complete Platen super heater coils  Coil Assemblies at Unit-8, TPS Parli-V,  Procurement &amp; Replacement of Complete LTSH upper &amp; lower bank Coil Assemblies at Unit-8, TPS Parli-V &amp;  Procurement &amp; Replacement of  Coal Mill Gear Box Type KMP 280 at 250 MW Unit-8, Parli TPS.</v>
      </c>
      <c r="C927" s="1491" t="str">
        <f t="shared" si="109"/>
        <v>Yet to be approved</v>
      </c>
      <c r="D927" s="1531" t="str">
        <f t="shared" si="109"/>
        <v>-</v>
      </c>
      <c r="E927" s="1318">
        <f t="shared" si="109"/>
        <v>0</v>
      </c>
      <c r="F927" s="1437">
        <f t="shared" si="112"/>
        <v>0</v>
      </c>
      <c r="G927" s="1437">
        <f t="shared" si="113"/>
        <v>0</v>
      </c>
      <c r="H927" s="1437">
        <f t="shared" si="114"/>
        <v>0</v>
      </c>
      <c r="I927" s="1437">
        <v>0</v>
      </c>
      <c r="J927" s="1437">
        <v>0</v>
      </c>
      <c r="K927" s="1438"/>
      <c r="L927" s="1438"/>
      <c r="M927" s="1437">
        <f t="shared" si="111"/>
        <v>0</v>
      </c>
      <c r="N927" s="1437">
        <f t="shared" si="115"/>
        <v>0</v>
      </c>
    </row>
    <row r="928" spans="1:14" ht="29" outlineLevel="1">
      <c r="A928" s="1491">
        <f t="shared" si="109"/>
        <v>2.1</v>
      </c>
      <c r="B928" s="1530" t="str">
        <f t="shared" si="109"/>
        <v>Procurement &amp; Replacement of Complete Platen super heater coils  Coil Assemblies at Unit-8, TPS Parli-V</v>
      </c>
      <c r="C928" s="1491" t="str">
        <f t="shared" si="109"/>
        <v>Yet to be approved</v>
      </c>
      <c r="D928" s="1531" t="str">
        <f t="shared" si="109"/>
        <v>-</v>
      </c>
      <c r="E928" s="1318">
        <f t="shared" si="109"/>
        <v>0</v>
      </c>
      <c r="F928" s="1437">
        <f t="shared" si="112"/>
        <v>0</v>
      </c>
      <c r="G928" s="1437">
        <f t="shared" si="113"/>
        <v>0</v>
      </c>
      <c r="H928" s="1437">
        <f t="shared" si="114"/>
        <v>0</v>
      </c>
      <c r="I928" s="1437">
        <v>0</v>
      </c>
      <c r="J928" s="1437">
        <v>0</v>
      </c>
      <c r="K928" s="1438"/>
      <c r="L928" s="1438"/>
      <c r="M928" s="1437">
        <f t="shared" si="111"/>
        <v>0</v>
      </c>
      <c r="N928" s="1437">
        <f t="shared" si="115"/>
        <v>0</v>
      </c>
    </row>
    <row r="929" spans="1:14" ht="29" outlineLevel="1">
      <c r="A929" s="1491">
        <f t="shared" si="109"/>
        <v>2.2000000000000002</v>
      </c>
      <c r="B929" s="1530" t="str">
        <f t="shared" si="109"/>
        <v>Procurement &amp; Replacement of Complete LTSH upper &amp; lower bank Coil Assemblies at Unit-8, TPS Parli-V</v>
      </c>
      <c r="C929" s="1491" t="str">
        <f t="shared" si="109"/>
        <v>Yet to be approved</v>
      </c>
      <c r="D929" s="1531" t="str">
        <f t="shared" si="109"/>
        <v>-</v>
      </c>
      <c r="E929" s="1318">
        <f t="shared" si="109"/>
        <v>0</v>
      </c>
      <c r="F929" s="1437">
        <f t="shared" si="112"/>
        <v>0</v>
      </c>
      <c r="G929" s="1437">
        <f t="shared" si="113"/>
        <v>0</v>
      </c>
      <c r="H929" s="1437">
        <f t="shared" si="114"/>
        <v>0</v>
      </c>
      <c r="I929" s="1437">
        <v>0</v>
      </c>
      <c r="J929" s="1437">
        <v>0</v>
      </c>
      <c r="K929" s="1438"/>
      <c r="L929" s="1438"/>
      <c r="M929" s="1437">
        <f t="shared" si="111"/>
        <v>0</v>
      </c>
      <c r="N929" s="1437">
        <f t="shared" si="115"/>
        <v>0</v>
      </c>
    </row>
    <row r="930" spans="1:14" ht="29" outlineLevel="1">
      <c r="A930" s="1491">
        <f t="shared" si="109"/>
        <v>2.2999999999999998</v>
      </c>
      <c r="B930" s="1530" t="str">
        <f t="shared" si="109"/>
        <v xml:space="preserve"> Procurement &amp; Replacement of  Coal Mill Gear Box Type KMP 280 at 250 MW Unit-8, Parli TPS.</v>
      </c>
      <c r="C930" s="1491" t="str">
        <f t="shared" si="109"/>
        <v>Yet to be approved</v>
      </c>
      <c r="D930" s="1531" t="str">
        <f t="shared" si="109"/>
        <v>-</v>
      </c>
      <c r="E930" s="1318">
        <f t="shared" si="109"/>
        <v>0</v>
      </c>
      <c r="F930" s="1437">
        <f t="shared" si="112"/>
        <v>0</v>
      </c>
      <c r="G930" s="1437">
        <f t="shared" si="113"/>
        <v>0</v>
      </c>
      <c r="H930" s="1437">
        <f t="shared" si="114"/>
        <v>0</v>
      </c>
      <c r="I930" s="1437">
        <v>0</v>
      </c>
      <c r="J930" s="1437">
        <v>0</v>
      </c>
      <c r="K930" s="1438"/>
      <c r="L930" s="1438"/>
      <c r="M930" s="1437">
        <f t="shared" si="111"/>
        <v>0</v>
      </c>
      <c r="N930" s="1437">
        <f t="shared" si="115"/>
        <v>0</v>
      </c>
    </row>
    <row r="931" spans="1:14" ht="46.5" outlineLevel="1">
      <c r="A931" s="1533">
        <f t="shared" si="109"/>
        <v>3</v>
      </c>
      <c r="B931" s="1534" t="str">
        <f t="shared" si="109"/>
        <v xml:space="preserve"> Procurement &amp; Replacement of Two complete set of APH Baskets at 250 MW Unit-8, Parli TPS Procurement &amp; replacement of PA &amp; FD fan rotar hub assembly at Unit-8 TPS Parli-V</v>
      </c>
      <c r="C931" s="1491" t="str">
        <f t="shared" si="109"/>
        <v>Yet to be approved</v>
      </c>
      <c r="D931" s="1531" t="str">
        <f t="shared" si="109"/>
        <v>-</v>
      </c>
      <c r="E931" s="1318">
        <f t="shared" si="109"/>
        <v>0</v>
      </c>
      <c r="F931" s="1437">
        <f t="shared" si="112"/>
        <v>0</v>
      </c>
      <c r="G931" s="1437">
        <f t="shared" si="113"/>
        <v>0</v>
      </c>
      <c r="H931" s="1437">
        <f t="shared" si="114"/>
        <v>0</v>
      </c>
      <c r="I931" s="1437">
        <v>0</v>
      </c>
      <c r="J931" s="1437">
        <v>0</v>
      </c>
      <c r="K931" s="1438"/>
      <c r="L931" s="1438"/>
      <c r="M931" s="1437">
        <f t="shared" si="111"/>
        <v>0</v>
      </c>
      <c r="N931" s="1437">
        <f t="shared" si="115"/>
        <v>0</v>
      </c>
    </row>
    <row r="932" spans="1:14" ht="29" outlineLevel="1">
      <c r="A932" s="1491">
        <f t="shared" si="109"/>
        <v>3.1</v>
      </c>
      <c r="B932" s="1530" t="str">
        <f t="shared" si="109"/>
        <v xml:space="preserve"> Procurement &amp; Replacement of Two complete set of APH Baskets at 250 MW Unit-8, Parli TPS.</v>
      </c>
      <c r="C932" s="1491" t="str">
        <f t="shared" si="109"/>
        <v>Yet to be approved</v>
      </c>
      <c r="D932" s="1531" t="str">
        <f t="shared" si="109"/>
        <v>-</v>
      </c>
      <c r="E932" s="1318">
        <f t="shared" si="109"/>
        <v>0</v>
      </c>
      <c r="F932" s="1437">
        <f t="shared" si="112"/>
        <v>0</v>
      </c>
      <c r="G932" s="1437">
        <f t="shared" si="113"/>
        <v>0</v>
      </c>
      <c r="H932" s="1437">
        <f t="shared" si="114"/>
        <v>0</v>
      </c>
      <c r="I932" s="1437">
        <v>0</v>
      </c>
      <c r="J932" s="1437">
        <v>0</v>
      </c>
      <c r="K932" s="1438"/>
      <c r="L932" s="1438"/>
      <c r="M932" s="1437">
        <f t="shared" si="111"/>
        <v>0</v>
      </c>
      <c r="N932" s="1437">
        <f t="shared" si="115"/>
        <v>0</v>
      </c>
    </row>
    <row r="933" spans="1:14" ht="29" outlineLevel="1">
      <c r="A933" s="1491">
        <f t="shared" si="109"/>
        <v>3.2</v>
      </c>
      <c r="B933" s="1530" t="str">
        <f t="shared" si="109"/>
        <v>Procurement &amp; replacement of PA &amp; FD fan rotar hub assembly at Unit-8 TPS Parli-V</v>
      </c>
      <c r="C933" s="1491" t="str">
        <f t="shared" si="109"/>
        <v>Yet to be approved</v>
      </c>
      <c r="D933" s="1531" t="str">
        <f t="shared" si="109"/>
        <v>-</v>
      </c>
      <c r="E933" s="1318">
        <f t="shared" si="109"/>
        <v>0</v>
      </c>
      <c r="F933" s="1437">
        <f t="shared" si="112"/>
        <v>0</v>
      </c>
      <c r="G933" s="1437">
        <f t="shared" si="113"/>
        <v>0</v>
      </c>
      <c r="H933" s="1437">
        <f t="shared" si="114"/>
        <v>0</v>
      </c>
      <c r="I933" s="1437">
        <v>0</v>
      </c>
      <c r="J933" s="1437">
        <v>0</v>
      </c>
      <c r="K933" s="1438"/>
      <c r="L933" s="1438"/>
      <c r="M933" s="1437">
        <f t="shared" si="111"/>
        <v>0</v>
      </c>
      <c r="N933" s="1437">
        <f t="shared" si="115"/>
        <v>0</v>
      </c>
    </row>
    <row r="934" spans="1:14" ht="31" outlineLevel="1">
      <c r="A934" s="1533">
        <f t="shared" si="109"/>
        <v>4</v>
      </c>
      <c r="B934" s="1534" t="str">
        <f t="shared" si="109"/>
        <v xml:space="preserve">DPR on Refurbishment of TG Governing system at Unit-8, PTPS, Parli V. </v>
      </c>
      <c r="C934" s="1491" t="str">
        <f t="shared" si="109"/>
        <v>Yet to be approved</v>
      </c>
      <c r="D934" s="1531" t="str">
        <f t="shared" si="109"/>
        <v>-</v>
      </c>
      <c r="E934" s="1318">
        <f t="shared" si="109"/>
        <v>0</v>
      </c>
      <c r="F934" s="1437">
        <f t="shared" si="112"/>
        <v>0</v>
      </c>
      <c r="G934" s="1437">
        <f t="shared" si="113"/>
        <v>0</v>
      </c>
      <c r="H934" s="1437">
        <f t="shared" si="114"/>
        <v>0</v>
      </c>
      <c r="I934" s="1437">
        <v>0</v>
      </c>
      <c r="J934" s="1437">
        <v>0</v>
      </c>
      <c r="K934" s="1438"/>
      <c r="L934" s="1438"/>
      <c r="M934" s="1437">
        <f t="shared" si="111"/>
        <v>0</v>
      </c>
      <c r="N934" s="1437">
        <f t="shared" si="115"/>
        <v>0</v>
      </c>
    </row>
    <row r="935" spans="1:14" outlineLevel="1">
      <c r="A935" s="1491">
        <f t="shared" si="109"/>
        <v>4.0999999999999996</v>
      </c>
      <c r="B935" s="1530" t="str">
        <f t="shared" si="109"/>
        <v xml:space="preserve">Refurbishment of TG Governing system at Unit-8, PTPS, Parli V. </v>
      </c>
      <c r="C935" s="1491" t="str">
        <f t="shared" si="109"/>
        <v>Yet to be approved</v>
      </c>
      <c r="D935" s="1531" t="str">
        <f t="shared" si="109"/>
        <v>-</v>
      </c>
      <c r="E935" s="1318">
        <f t="shared" si="109"/>
        <v>0</v>
      </c>
      <c r="F935" s="1437">
        <f t="shared" si="112"/>
        <v>0</v>
      </c>
      <c r="G935" s="1437">
        <f t="shared" si="113"/>
        <v>0</v>
      </c>
      <c r="H935" s="1437">
        <f t="shared" si="114"/>
        <v>0</v>
      </c>
      <c r="I935" s="1437">
        <v>0</v>
      </c>
      <c r="J935" s="1437">
        <v>0</v>
      </c>
      <c r="K935" s="1438"/>
      <c r="L935" s="1438"/>
      <c r="M935" s="1437">
        <f t="shared" si="111"/>
        <v>0</v>
      </c>
      <c r="N935" s="1437">
        <f t="shared" si="115"/>
        <v>0</v>
      </c>
    </row>
    <row r="936" spans="1:14" ht="31" outlineLevel="1">
      <c r="A936" s="1533">
        <f t="shared" si="109"/>
        <v>5</v>
      </c>
      <c r="B936" s="1534" t="str">
        <f t="shared" si="109"/>
        <v>DPR on Performance improvement of Natural Draft Cooling Tower (NDCT) at Unit-8, PTPS, Parli V.</v>
      </c>
      <c r="C936" s="1491" t="str">
        <f t="shared" si="109"/>
        <v>Yet to be approved</v>
      </c>
      <c r="D936" s="1531" t="str">
        <f t="shared" si="109"/>
        <v>-</v>
      </c>
      <c r="E936" s="1318">
        <f t="shared" si="109"/>
        <v>0</v>
      </c>
      <c r="F936" s="1437">
        <f t="shared" si="112"/>
        <v>0</v>
      </c>
      <c r="G936" s="1437">
        <f t="shared" si="113"/>
        <v>0</v>
      </c>
      <c r="H936" s="1437">
        <f t="shared" si="114"/>
        <v>0</v>
      </c>
      <c r="I936" s="1437">
        <v>0</v>
      </c>
      <c r="J936" s="1437">
        <v>0</v>
      </c>
      <c r="K936" s="1438"/>
      <c r="L936" s="1438"/>
      <c r="M936" s="1437">
        <f t="shared" si="111"/>
        <v>0</v>
      </c>
      <c r="N936" s="1437">
        <f t="shared" si="115"/>
        <v>0</v>
      </c>
    </row>
    <row r="937" spans="1:14" ht="58" outlineLevel="1">
      <c r="A937" s="1491">
        <f t="shared" si="109"/>
        <v>5.0999999999999996</v>
      </c>
      <c r="B937" s="1530" t="str">
        <f t="shared" si="109"/>
        <v>Performance improvement of Natural Draft Cooling Tower (NDCT) by replacement of PVC fills, AC cement pipes, strengthening of Hot water distribution system, replacement of beams, columns, support structures, etc. at Unit-8, PTPS, Parli V.</v>
      </c>
      <c r="C937" s="1491" t="str">
        <f t="shared" si="109"/>
        <v>Yet to be approved</v>
      </c>
      <c r="D937" s="1531" t="str">
        <f t="shared" si="109"/>
        <v>-</v>
      </c>
      <c r="E937" s="1318">
        <f t="shared" si="109"/>
        <v>0</v>
      </c>
      <c r="F937" s="1437">
        <f t="shared" si="112"/>
        <v>0</v>
      </c>
      <c r="G937" s="1437">
        <f t="shared" si="113"/>
        <v>0</v>
      </c>
      <c r="H937" s="1437">
        <f t="shared" si="114"/>
        <v>0</v>
      </c>
      <c r="I937" s="1437">
        <v>0</v>
      </c>
      <c r="J937" s="1437">
        <v>0</v>
      </c>
      <c r="K937" s="1438"/>
      <c r="L937" s="1438"/>
      <c r="M937" s="1437">
        <f t="shared" si="111"/>
        <v>0</v>
      </c>
      <c r="N937" s="1437">
        <f t="shared" si="115"/>
        <v>0</v>
      </c>
    </row>
    <row r="938" spans="1:14" ht="31" outlineLevel="1">
      <c r="A938" s="1533">
        <f t="shared" ref="A938:E953" si="116">A545</f>
        <v>6</v>
      </c>
      <c r="B938" s="1534" t="str">
        <f t="shared" si="116"/>
        <v xml:space="preserve">DPR on Procurement of  ACW &amp; CW pump along with mandatory spares at Unit-8, PTPS, Parli V. </v>
      </c>
      <c r="C938" s="1491" t="str">
        <f t="shared" si="116"/>
        <v>Yet to be approved</v>
      </c>
      <c r="D938" s="1531" t="str">
        <f t="shared" si="116"/>
        <v>-</v>
      </c>
      <c r="E938" s="1318">
        <f t="shared" si="116"/>
        <v>0</v>
      </c>
      <c r="F938" s="1437">
        <f t="shared" si="112"/>
        <v>0</v>
      </c>
      <c r="G938" s="1437">
        <f t="shared" si="113"/>
        <v>0</v>
      </c>
      <c r="H938" s="1437">
        <f t="shared" si="114"/>
        <v>0</v>
      </c>
      <c r="I938" s="1437">
        <v>0</v>
      </c>
      <c r="J938" s="1437">
        <v>0</v>
      </c>
      <c r="K938" s="1438"/>
      <c r="L938" s="1438"/>
      <c r="M938" s="1437">
        <f t="shared" si="111"/>
        <v>0</v>
      </c>
      <c r="N938" s="1437">
        <f t="shared" si="115"/>
        <v>0</v>
      </c>
    </row>
    <row r="939" spans="1:14" ht="29" outlineLevel="1">
      <c r="A939" s="1491">
        <f t="shared" si="116"/>
        <v>6.1</v>
      </c>
      <c r="B939" s="1530" t="str">
        <f t="shared" si="116"/>
        <v xml:space="preserve">DPR on Procurement of  ACW &amp; CW pump along with mandatory spares at Unit-8, PTPS, Parli V. </v>
      </c>
      <c r="C939" s="1491" t="str">
        <f t="shared" si="116"/>
        <v>Yet to be approved</v>
      </c>
      <c r="D939" s="1531" t="str">
        <f t="shared" si="116"/>
        <v>-</v>
      </c>
      <c r="E939" s="1318">
        <f t="shared" si="116"/>
        <v>0</v>
      </c>
      <c r="F939" s="1437">
        <f t="shared" si="112"/>
        <v>0</v>
      </c>
      <c r="G939" s="1437">
        <f t="shared" si="113"/>
        <v>0</v>
      </c>
      <c r="H939" s="1437">
        <f t="shared" si="114"/>
        <v>0</v>
      </c>
      <c r="I939" s="1437">
        <v>0</v>
      </c>
      <c r="J939" s="1437">
        <v>0</v>
      </c>
      <c r="K939" s="1438"/>
      <c r="L939" s="1438"/>
      <c r="M939" s="1437">
        <f t="shared" si="111"/>
        <v>0</v>
      </c>
      <c r="N939" s="1437">
        <f t="shared" si="115"/>
        <v>0</v>
      </c>
    </row>
    <row r="940" spans="1:14" ht="62" outlineLevel="1">
      <c r="A940" s="1533">
        <f t="shared" si="116"/>
        <v>7</v>
      </c>
      <c r="B940" s="1534" t="str">
        <f t="shared" si="116"/>
        <v xml:space="preserve">DPR on Procurement of  CEP pump and BFP Booster pump along with mandatory spares at Unit-8, PTPS, Parli V and Procurement of Energy Efficient Cartridges of Boiler Feed Pump at Unit-8, PTPS, Parli V. </v>
      </c>
      <c r="C940" s="1491" t="str">
        <f t="shared" si="116"/>
        <v>Yet to be approved</v>
      </c>
      <c r="D940" s="1531" t="str">
        <f t="shared" si="116"/>
        <v>-</v>
      </c>
      <c r="E940" s="1318">
        <f t="shared" si="116"/>
        <v>0</v>
      </c>
      <c r="F940" s="1437">
        <f t="shared" si="112"/>
        <v>0</v>
      </c>
      <c r="G940" s="1437">
        <f t="shared" si="113"/>
        <v>0</v>
      </c>
      <c r="H940" s="1437">
        <f t="shared" si="114"/>
        <v>0</v>
      </c>
      <c r="I940" s="1437">
        <v>0</v>
      </c>
      <c r="J940" s="1437">
        <v>0</v>
      </c>
      <c r="K940" s="1438"/>
      <c r="L940" s="1438"/>
      <c r="M940" s="1437">
        <f t="shared" si="111"/>
        <v>0</v>
      </c>
      <c r="N940" s="1437">
        <f t="shared" si="115"/>
        <v>0</v>
      </c>
    </row>
    <row r="941" spans="1:14" ht="29" outlineLevel="1">
      <c r="A941" s="1491">
        <f t="shared" si="116"/>
        <v>7.1</v>
      </c>
      <c r="B941" s="1530" t="str">
        <f t="shared" si="116"/>
        <v xml:space="preserve">Procurement of  CEP pump and BFP Booster pump along with mandatory spares at Unit-8, PTPS, Parli </v>
      </c>
      <c r="C941" s="1491" t="str">
        <f t="shared" si="116"/>
        <v>Yet to be approved</v>
      </c>
      <c r="D941" s="1531" t="str">
        <f t="shared" si="116"/>
        <v>-</v>
      </c>
      <c r="E941" s="1318">
        <f t="shared" si="116"/>
        <v>0</v>
      </c>
      <c r="F941" s="1437">
        <f t="shared" si="112"/>
        <v>0</v>
      </c>
      <c r="G941" s="1437">
        <f t="shared" si="113"/>
        <v>0</v>
      </c>
      <c r="H941" s="1437">
        <f t="shared" si="114"/>
        <v>0</v>
      </c>
      <c r="I941" s="1437">
        <v>0</v>
      </c>
      <c r="J941" s="1437">
        <v>0</v>
      </c>
      <c r="K941" s="1438"/>
      <c r="L941" s="1438"/>
      <c r="M941" s="1437">
        <f t="shared" si="111"/>
        <v>0</v>
      </c>
      <c r="N941" s="1437">
        <f t="shared" si="115"/>
        <v>0</v>
      </c>
    </row>
    <row r="942" spans="1:14" ht="29" outlineLevel="1">
      <c r="A942" s="1491">
        <f t="shared" si="116"/>
        <v>7.2</v>
      </c>
      <c r="B942" s="1530" t="str">
        <f t="shared" si="116"/>
        <v xml:space="preserve">Procurement of Energy Efficient Cartridges of Boiler Feed Pump at Unit-8, PTPS, Parli V. </v>
      </c>
      <c r="C942" s="1491" t="str">
        <f t="shared" si="116"/>
        <v>Yet to be approved</v>
      </c>
      <c r="D942" s="1531" t="str">
        <f t="shared" si="116"/>
        <v>-</v>
      </c>
      <c r="E942" s="1318">
        <f t="shared" si="116"/>
        <v>0</v>
      </c>
      <c r="F942" s="1437">
        <f t="shared" si="112"/>
        <v>0</v>
      </c>
      <c r="G942" s="1437">
        <f t="shared" si="113"/>
        <v>0</v>
      </c>
      <c r="H942" s="1437">
        <f t="shared" si="114"/>
        <v>0</v>
      </c>
      <c r="I942" s="1437">
        <v>0</v>
      </c>
      <c r="J942" s="1437">
        <v>0</v>
      </c>
      <c r="K942" s="1438"/>
      <c r="L942" s="1438"/>
      <c r="M942" s="1437">
        <f t="shared" si="111"/>
        <v>0</v>
      </c>
      <c r="N942" s="1437">
        <f t="shared" si="115"/>
        <v>0</v>
      </c>
    </row>
    <row r="943" spans="1:14" ht="31" outlineLevel="1">
      <c r="A943" s="1533">
        <f t="shared" si="116"/>
        <v>8</v>
      </c>
      <c r="B943" s="1534" t="str">
        <f t="shared" si="116"/>
        <v>DPR on Procurement of turbine blades of HP, IP &amp; LP rotor in Unit-8, PTPS, Parli V.</v>
      </c>
      <c r="C943" s="1491" t="str">
        <f t="shared" si="116"/>
        <v>Yet to be approved</v>
      </c>
      <c r="D943" s="1531" t="str">
        <f t="shared" si="116"/>
        <v>-</v>
      </c>
      <c r="E943" s="1318">
        <f t="shared" si="116"/>
        <v>0</v>
      </c>
      <c r="F943" s="1437">
        <f t="shared" si="112"/>
        <v>0</v>
      </c>
      <c r="G943" s="1437">
        <f t="shared" si="113"/>
        <v>0</v>
      </c>
      <c r="H943" s="1437">
        <f t="shared" si="114"/>
        <v>0</v>
      </c>
      <c r="I943" s="1437">
        <v>0</v>
      </c>
      <c r="J943" s="1437">
        <v>0</v>
      </c>
      <c r="K943" s="1438"/>
      <c r="L943" s="1438"/>
      <c r="M943" s="1437">
        <f t="shared" si="111"/>
        <v>0</v>
      </c>
      <c r="N943" s="1437">
        <f t="shared" si="115"/>
        <v>0</v>
      </c>
    </row>
    <row r="944" spans="1:14" ht="29" outlineLevel="1">
      <c r="A944" s="1491">
        <f t="shared" si="116"/>
        <v>8.1</v>
      </c>
      <c r="B944" s="1530" t="str">
        <f t="shared" si="116"/>
        <v>DPR on Procurement of turbine blades of HP, IP &amp; LP rotor in Unit-8, PTPS, Parli V.</v>
      </c>
      <c r="C944" s="1491" t="str">
        <f t="shared" si="116"/>
        <v>Yet to be approved</v>
      </c>
      <c r="D944" s="1531" t="str">
        <f t="shared" si="116"/>
        <v>-</v>
      </c>
      <c r="E944" s="1318">
        <f t="shared" si="116"/>
        <v>0</v>
      </c>
      <c r="F944" s="1437">
        <f t="shared" si="112"/>
        <v>0</v>
      </c>
      <c r="G944" s="1437">
        <f t="shared" si="113"/>
        <v>0</v>
      </c>
      <c r="H944" s="1437">
        <f t="shared" si="114"/>
        <v>0</v>
      </c>
      <c r="I944" s="1437">
        <v>0</v>
      </c>
      <c r="J944" s="1437">
        <v>0</v>
      </c>
      <c r="K944" s="1438"/>
      <c r="L944" s="1438"/>
      <c r="M944" s="1437">
        <f t="shared" si="111"/>
        <v>0</v>
      </c>
      <c r="N944" s="1437">
        <f t="shared" si="115"/>
        <v>0</v>
      </c>
    </row>
    <row r="945" spans="1:14" ht="46.5" outlineLevel="1">
      <c r="A945" s="1533">
        <f t="shared" si="116"/>
        <v>9</v>
      </c>
      <c r="B945" s="1534" t="str">
        <f t="shared" si="116"/>
        <v xml:space="preserve">DPR on Repair &amp; Reconditioning of Water treatment plant at Unit-8, PTPS, Parli V and Performance improvement of centralised AC plant at Unit-8, PTPS, Parli V. </v>
      </c>
      <c r="C945" s="1491" t="str">
        <f t="shared" si="116"/>
        <v>Yet to be approved</v>
      </c>
      <c r="D945" s="1531" t="str">
        <f t="shared" si="116"/>
        <v>-</v>
      </c>
      <c r="E945" s="1318">
        <f t="shared" si="116"/>
        <v>0</v>
      </c>
      <c r="F945" s="1437">
        <f t="shared" si="112"/>
        <v>0</v>
      </c>
      <c r="G945" s="1437">
        <f t="shared" si="113"/>
        <v>0</v>
      </c>
      <c r="H945" s="1437">
        <f t="shared" si="114"/>
        <v>0</v>
      </c>
      <c r="I945" s="1437">
        <v>0</v>
      </c>
      <c r="J945" s="1437">
        <v>0</v>
      </c>
      <c r="K945" s="1438"/>
      <c r="L945" s="1438"/>
      <c r="M945" s="1437">
        <f t="shared" si="111"/>
        <v>0</v>
      </c>
      <c r="N945" s="1437">
        <f t="shared" si="115"/>
        <v>0</v>
      </c>
    </row>
    <row r="946" spans="1:14" ht="29" outlineLevel="1">
      <c r="A946" s="1491">
        <f t="shared" si="116"/>
        <v>9.1</v>
      </c>
      <c r="B946" s="1530" t="str">
        <f t="shared" si="116"/>
        <v>Reconditioning of Acid and Alkali Unloading and storage system at Unit-8, PTPS, Parli V.</v>
      </c>
      <c r="C946" s="1491" t="str">
        <f t="shared" si="116"/>
        <v>Yet to be approved</v>
      </c>
      <c r="D946" s="1531" t="str">
        <f t="shared" si="116"/>
        <v>-</v>
      </c>
      <c r="E946" s="1318">
        <f t="shared" si="116"/>
        <v>0</v>
      </c>
      <c r="F946" s="1437">
        <f t="shared" si="112"/>
        <v>0</v>
      </c>
      <c r="G946" s="1437">
        <f t="shared" si="113"/>
        <v>0</v>
      </c>
      <c r="H946" s="1437">
        <f t="shared" si="114"/>
        <v>0</v>
      </c>
      <c r="I946" s="1437">
        <v>0</v>
      </c>
      <c r="J946" s="1437">
        <v>0</v>
      </c>
      <c r="K946" s="1438"/>
      <c r="L946" s="1438"/>
      <c r="M946" s="1437">
        <f t="shared" si="111"/>
        <v>0</v>
      </c>
      <c r="N946" s="1437">
        <f t="shared" si="115"/>
        <v>0</v>
      </c>
    </row>
    <row r="947" spans="1:14" ht="29" outlineLevel="1">
      <c r="A947" s="1491">
        <f t="shared" si="116"/>
        <v>9.1999999999999993</v>
      </c>
      <c r="B947" s="1530" t="str">
        <f t="shared" si="116"/>
        <v>Reconditioning &amp; repairing of WTP DM Plant regeneration system at Unit-8, PTPS, Parli V.</v>
      </c>
      <c r="C947" s="1491" t="str">
        <f t="shared" si="116"/>
        <v>Yet to be approved</v>
      </c>
      <c r="D947" s="1531" t="str">
        <f t="shared" si="116"/>
        <v>-</v>
      </c>
      <c r="E947" s="1318">
        <f t="shared" si="116"/>
        <v>0</v>
      </c>
      <c r="F947" s="1437">
        <f t="shared" si="112"/>
        <v>0</v>
      </c>
      <c r="G947" s="1437">
        <f t="shared" si="113"/>
        <v>0</v>
      </c>
      <c r="H947" s="1437">
        <f t="shared" si="114"/>
        <v>0</v>
      </c>
      <c r="I947" s="1437">
        <v>0</v>
      </c>
      <c r="J947" s="1437">
        <v>0</v>
      </c>
      <c r="K947" s="1438"/>
      <c r="L947" s="1438"/>
      <c r="M947" s="1437">
        <f t="shared" si="111"/>
        <v>0</v>
      </c>
      <c r="N947" s="1437">
        <f t="shared" si="115"/>
        <v>0</v>
      </c>
    </row>
    <row r="948" spans="1:14" ht="43.5" outlineLevel="1">
      <c r="A948" s="1491">
        <f t="shared" si="116"/>
        <v>9.3000000000000007</v>
      </c>
      <c r="B948" s="1530" t="str">
        <f t="shared" si="116"/>
        <v xml:space="preserve"> Performance improvement of centralised AC plant by reconditioning of cooling tower, various pumps, heat exchangers, etc. at Unit-8, PTPS, Parli V. </v>
      </c>
      <c r="C948" s="1491" t="str">
        <f t="shared" si="116"/>
        <v>Yet to be approved</v>
      </c>
      <c r="D948" s="1531" t="str">
        <f t="shared" si="116"/>
        <v>-</v>
      </c>
      <c r="E948" s="1318">
        <f t="shared" si="116"/>
        <v>0</v>
      </c>
      <c r="F948" s="1437">
        <f t="shared" si="112"/>
        <v>0</v>
      </c>
      <c r="G948" s="1437">
        <f t="shared" si="113"/>
        <v>0</v>
      </c>
      <c r="H948" s="1437">
        <f t="shared" si="114"/>
        <v>0</v>
      </c>
      <c r="I948" s="1437">
        <v>0</v>
      </c>
      <c r="J948" s="1437">
        <v>0</v>
      </c>
      <c r="K948" s="1438"/>
      <c r="L948" s="1438"/>
      <c r="M948" s="1437">
        <f t="shared" si="111"/>
        <v>0</v>
      </c>
      <c r="N948" s="1437">
        <f t="shared" si="115"/>
        <v>0</v>
      </c>
    </row>
    <row r="949" spans="1:14" ht="46.5" outlineLevel="1">
      <c r="A949" s="1533">
        <f t="shared" si="116"/>
        <v>10</v>
      </c>
      <c r="B949" s="1534" t="str">
        <f t="shared" si="116"/>
        <v>DPR on Procurement of Control Fluid (HPCF) pump, Lube Oil pump, Emergency Oil pump, Jacking Oil pump, Seal oil pump at Unit-8, PTPS, Parli V.</v>
      </c>
      <c r="C949" s="1491" t="str">
        <f t="shared" si="116"/>
        <v>Yet to be approved</v>
      </c>
      <c r="D949" s="1531" t="str">
        <f t="shared" si="116"/>
        <v>-</v>
      </c>
      <c r="E949" s="1318">
        <f t="shared" si="116"/>
        <v>0</v>
      </c>
      <c r="F949" s="1437">
        <f t="shared" si="112"/>
        <v>0</v>
      </c>
      <c r="G949" s="1437">
        <f t="shared" si="113"/>
        <v>0</v>
      </c>
      <c r="H949" s="1437">
        <f t="shared" si="114"/>
        <v>0</v>
      </c>
      <c r="I949" s="1437">
        <v>0</v>
      </c>
      <c r="J949" s="1437">
        <v>0</v>
      </c>
      <c r="K949" s="1438"/>
      <c r="L949" s="1438"/>
      <c r="M949" s="1437">
        <f t="shared" si="111"/>
        <v>0</v>
      </c>
      <c r="N949" s="1437">
        <f t="shared" si="115"/>
        <v>0</v>
      </c>
    </row>
    <row r="950" spans="1:14" ht="43.5" outlineLevel="1">
      <c r="A950" s="1491">
        <f t="shared" si="116"/>
        <v>10.1</v>
      </c>
      <c r="B950" s="1530" t="str">
        <f t="shared" si="116"/>
        <v>DPR on Procurement of Control Fluid (HPCF) pump, Lube Oil pump, Emergency Oil pump, Jacking Oil pump, Seal oil pump at Unit-8, PTPS, Parli V.</v>
      </c>
      <c r="C950" s="1491" t="str">
        <f t="shared" si="116"/>
        <v>Yet to be approved</v>
      </c>
      <c r="D950" s="1531" t="str">
        <f t="shared" si="116"/>
        <v>-</v>
      </c>
      <c r="E950" s="1318">
        <f t="shared" si="116"/>
        <v>0</v>
      </c>
      <c r="F950" s="1437">
        <f t="shared" si="112"/>
        <v>0</v>
      </c>
      <c r="G950" s="1437">
        <f t="shared" si="113"/>
        <v>0</v>
      </c>
      <c r="H950" s="1437">
        <f t="shared" si="114"/>
        <v>0</v>
      </c>
      <c r="I950" s="1437">
        <v>0</v>
      </c>
      <c r="J950" s="1437">
        <v>0</v>
      </c>
      <c r="K950" s="1438"/>
      <c r="L950" s="1438"/>
      <c r="M950" s="1437">
        <f t="shared" si="111"/>
        <v>0</v>
      </c>
      <c r="N950" s="1437">
        <f t="shared" si="115"/>
        <v>0</v>
      </c>
    </row>
    <row r="951" spans="1:14" ht="31" outlineLevel="1">
      <c r="A951" s="1533">
        <f t="shared" si="116"/>
        <v>11</v>
      </c>
      <c r="B951" s="1534" t="str">
        <f t="shared" si="116"/>
        <v xml:space="preserve">DPR on Procurement of H2 cooler, BFP coolers, generator exciter cooler, Seal and Lube oil coolers at Unit-8, PTPS, Parli V. </v>
      </c>
      <c r="C951" s="1491" t="str">
        <f t="shared" si="116"/>
        <v>Yet to be approved</v>
      </c>
      <c r="D951" s="1531" t="str">
        <f t="shared" si="116"/>
        <v>-</v>
      </c>
      <c r="E951" s="1318">
        <f t="shared" si="116"/>
        <v>0</v>
      </c>
      <c r="F951" s="1437">
        <f t="shared" si="112"/>
        <v>0</v>
      </c>
      <c r="G951" s="1437">
        <f t="shared" si="113"/>
        <v>0</v>
      </c>
      <c r="H951" s="1437">
        <f t="shared" si="114"/>
        <v>0</v>
      </c>
      <c r="I951" s="1437">
        <v>0</v>
      </c>
      <c r="J951" s="1437">
        <v>0</v>
      </c>
      <c r="K951" s="1438"/>
      <c r="L951" s="1438"/>
      <c r="M951" s="1437">
        <f t="shared" si="111"/>
        <v>0</v>
      </c>
      <c r="N951" s="1437">
        <f t="shared" si="115"/>
        <v>0</v>
      </c>
    </row>
    <row r="952" spans="1:14" ht="29" outlineLevel="1">
      <c r="A952" s="1491">
        <f t="shared" si="116"/>
        <v>11.1</v>
      </c>
      <c r="B952" s="1530" t="str">
        <f t="shared" si="116"/>
        <v xml:space="preserve">DPR on Procurement of H2 cooler, BFP coolers, generator exciter cooler, Seal and Lube oil coolers at Unit-8, PTPS, Parli V. </v>
      </c>
      <c r="C952" s="1491" t="str">
        <f t="shared" si="116"/>
        <v>Yet to be approved</v>
      </c>
      <c r="D952" s="1531" t="str">
        <f t="shared" si="116"/>
        <v>-</v>
      </c>
      <c r="E952" s="1318">
        <f t="shared" si="116"/>
        <v>0</v>
      </c>
      <c r="F952" s="1437">
        <f t="shared" si="112"/>
        <v>0</v>
      </c>
      <c r="G952" s="1437">
        <f t="shared" si="113"/>
        <v>0</v>
      </c>
      <c r="H952" s="1437">
        <f t="shared" si="114"/>
        <v>0</v>
      </c>
      <c r="I952" s="1437">
        <v>0</v>
      </c>
      <c r="J952" s="1437">
        <v>0</v>
      </c>
      <c r="K952" s="1438"/>
      <c r="L952" s="1438"/>
      <c r="M952" s="1437">
        <f t="shared" si="111"/>
        <v>0</v>
      </c>
      <c r="N952" s="1437">
        <f t="shared" si="115"/>
        <v>0</v>
      </c>
    </row>
    <row r="953" spans="1:14" ht="62" outlineLevel="1">
      <c r="A953" s="1533">
        <f t="shared" si="116"/>
        <v>12</v>
      </c>
      <c r="B953" s="1534" t="str">
        <f t="shared" si="116"/>
        <v>Supply, installation &amp; commissioning of 220V 2140AH,24V 830AH &amp; 710AH, 360V 570AH Mains UPS,110V 110AH AHP PLC , 110V , 103 AH DM plant battery set for unit 8 , NPTPS Parli-V &amp; Procurement of HT motors at U#8</v>
      </c>
      <c r="C953" s="1491" t="str">
        <f t="shared" si="116"/>
        <v>Yet to be approved</v>
      </c>
      <c r="D953" s="1531" t="str">
        <f t="shared" si="116"/>
        <v>-</v>
      </c>
      <c r="E953" s="1318">
        <f t="shared" si="116"/>
        <v>0</v>
      </c>
      <c r="F953" s="1437">
        <f t="shared" si="112"/>
        <v>0</v>
      </c>
      <c r="G953" s="1437">
        <f t="shared" si="113"/>
        <v>0</v>
      </c>
      <c r="H953" s="1437">
        <f t="shared" si="114"/>
        <v>0</v>
      </c>
      <c r="I953" s="1437">
        <v>0</v>
      </c>
      <c r="J953" s="1437">
        <v>0</v>
      </c>
      <c r="K953" s="1438"/>
      <c r="L953" s="1438"/>
      <c r="M953" s="1437">
        <f t="shared" si="111"/>
        <v>0</v>
      </c>
      <c r="N953" s="1437">
        <f t="shared" si="115"/>
        <v>0</v>
      </c>
    </row>
    <row r="954" spans="1:14" ht="43.5" outlineLevel="1">
      <c r="A954" s="1491">
        <f t="shared" ref="A954:E969" si="117">A561</f>
        <v>12.1</v>
      </c>
      <c r="B954" s="1530" t="str">
        <f t="shared" si="117"/>
        <v>Supply, installation &amp; commissioning of 220V 2140AH,24V 830AH &amp; 710AH, 360V 570AH Mains UPS,110V 110AH AHP PLC , 110V , 103 AH DM plant battery set for unit 8 , NPTPS Parli-V</v>
      </c>
      <c r="C954" s="1491" t="str">
        <f t="shared" si="117"/>
        <v>Yet to be approved</v>
      </c>
      <c r="D954" s="1531" t="str">
        <f t="shared" si="117"/>
        <v>-</v>
      </c>
      <c r="E954" s="1318">
        <f t="shared" si="117"/>
        <v>0</v>
      </c>
      <c r="F954" s="1437">
        <f t="shared" si="112"/>
        <v>0</v>
      </c>
      <c r="G954" s="1437">
        <f t="shared" si="113"/>
        <v>0</v>
      </c>
      <c r="H954" s="1437">
        <f t="shared" si="114"/>
        <v>0</v>
      </c>
      <c r="I954" s="1437">
        <v>0</v>
      </c>
      <c r="J954" s="1437">
        <v>0</v>
      </c>
      <c r="K954" s="1438"/>
      <c r="L954" s="1438"/>
      <c r="M954" s="1437">
        <f t="shared" si="111"/>
        <v>0</v>
      </c>
      <c r="N954" s="1437">
        <f t="shared" si="115"/>
        <v>0</v>
      </c>
    </row>
    <row r="955" spans="1:14" outlineLevel="1">
      <c r="A955" s="1491">
        <f t="shared" si="117"/>
        <v>12.2</v>
      </c>
      <c r="B955" s="1530" t="str">
        <f t="shared" si="117"/>
        <v>Procurement of HT motors at U#8</v>
      </c>
      <c r="C955" s="1491" t="str">
        <f t="shared" si="117"/>
        <v>Yet to be approved</v>
      </c>
      <c r="D955" s="1531" t="str">
        <f t="shared" si="117"/>
        <v>-</v>
      </c>
      <c r="E955" s="1318">
        <f t="shared" si="117"/>
        <v>0</v>
      </c>
      <c r="F955" s="1437">
        <f t="shared" si="112"/>
        <v>0</v>
      </c>
      <c r="G955" s="1437">
        <f t="shared" si="113"/>
        <v>0</v>
      </c>
      <c r="H955" s="1437">
        <f t="shared" si="114"/>
        <v>0</v>
      </c>
      <c r="I955" s="1437">
        <v>0</v>
      </c>
      <c r="J955" s="1437">
        <v>0</v>
      </c>
      <c r="K955" s="1438"/>
      <c r="L955" s="1438"/>
      <c r="M955" s="1437">
        <f t="shared" si="111"/>
        <v>0</v>
      </c>
      <c r="N955" s="1437">
        <f t="shared" si="115"/>
        <v>0</v>
      </c>
    </row>
    <row r="956" spans="1:14" ht="15.5" outlineLevel="1">
      <c r="A956" s="1533">
        <f t="shared" si="117"/>
        <v>13</v>
      </c>
      <c r="B956" s="1534" t="str">
        <f t="shared" si="117"/>
        <v>DPR on various instrumentation &amp; control schemes at U#8</v>
      </c>
      <c r="C956" s="1491" t="str">
        <f t="shared" si="117"/>
        <v>Yet to be approved</v>
      </c>
      <c r="D956" s="1531" t="str">
        <f t="shared" si="117"/>
        <v>-</v>
      </c>
      <c r="E956" s="1318">
        <f t="shared" si="117"/>
        <v>0</v>
      </c>
      <c r="F956" s="1437">
        <f t="shared" si="112"/>
        <v>0</v>
      </c>
      <c r="G956" s="1437">
        <f t="shared" si="113"/>
        <v>0</v>
      </c>
      <c r="H956" s="1437">
        <f t="shared" si="114"/>
        <v>0</v>
      </c>
      <c r="I956" s="1437">
        <v>0</v>
      </c>
      <c r="J956" s="1437">
        <v>0</v>
      </c>
      <c r="K956" s="1438"/>
      <c r="L956" s="1438"/>
      <c r="M956" s="1437">
        <f t="shared" si="111"/>
        <v>0</v>
      </c>
      <c r="N956" s="1437">
        <f t="shared" si="115"/>
        <v>0</v>
      </c>
    </row>
    <row r="957" spans="1:14" outlineLevel="1">
      <c r="A957" s="1491">
        <f t="shared" si="117"/>
        <v>13.1</v>
      </c>
      <c r="B957" s="1530" t="str">
        <f t="shared" si="117"/>
        <v>Upgradation of MAX-DNA  DCS system at U#8 (HMI upgradation)</v>
      </c>
      <c r="C957" s="1491" t="str">
        <f t="shared" si="117"/>
        <v>Yet to be approved</v>
      </c>
      <c r="D957" s="1531" t="str">
        <f t="shared" si="117"/>
        <v>-</v>
      </c>
      <c r="E957" s="1318">
        <f t="shared" si="117"/>
        <v>0</v>
      </c>
      <c r="F957" s="1437">
        <f t="shared" si="112"/>
        <v>0</v>
      </c>
      <c r="G957" s="1437">
        <f t="shared" si="113"/>
        <v>0</v>
      </c>
      <c r="H957" s="1437">
        <f t="shared" si="114"/>
        <v>0</v>
      </c>
      <c r="I957" s="1437">
        <v>0</v>
      </c>
      <c r="J957" s="1437">
        <v>0</v>
      </c>
      <c r="K957" s="1438"/>
      <c r="L957" s="1438"/>
      <c r="M957" s="1437">
        <f t="shared" si="111"/>
        <v>0</v>
      </c>
      <c r="N957" s="1437">
        <f t="shared" si="115"/>
        <v>0</v>
      </c>
    </row>
    <row r="958" spans="1:14" ht="29" outlineLevel="1">
      <c r="A958" s="1491">
        <f t="shared" si="117"/>
        <v>13.2</v>
      </c>
      <c r="B958" s="1530" t="str">
        <f t="shared" si="117"/>
        <v>Upgradation of existing Pcal system with plant performance analysis diagnostic and optimization system (PADO) at Unit  8 New Parli TPS</v>
      </c>
      <c r="C958" s="1491" t="str">
        <f t="shared" si="117"/>
        <v>Yet to be approved</v>
      </c>
      <c r="D958" s="1531" t="str">
        <f t="shared" si="117"/>
        <v>-</v>
      </c>
      <c r="E958" s="1318">
        <f t="shared" si="117"/>
        <v>0</v>
      </c>
      <c r="F958" s="1437">
        <f t="shared" si="112"/>
        <v>0</v>
      </c>
      <c r="G958" s="1437">
        <f t="shared" si="113"/>
        <v>0</v>
      </c>
      <c r="H958" s="1437">
        <f t="shared" si="114"/>
        <v>0</v>
      </c>
      <c r="I958" s="1437">
        <v>0</v>
      </c>
      <c r="J958" s="1437">
        <v>0</v>
      </c>
      <c r="K958" s="1438"/>
      <c r="L958" s="1438"/>
      <c r="M958" s="1437">
        <f t="shared" si="111"/>
        <v>0</v>
      </c>
      <c r="N958" s="1437">
        <f t="shared" si="115"/>
        <v>0</v>
      </c>
    </row>
    <row r="959" spans="1:14" outlineLevel="1">
      <c r="A959" s="1491">
        <f t="shared" si="117"/>
        <v>13.3</v>
      </c>
      <c r="B959" s="1530" t="str">
        <f t="shared" si="117"/>
        <v xml:space="preserve"> Upgradation of coal feeder for I&amp;C Unit8 PTPS Parli V.</v>
      </c>
      <c r="C959" s="1491" t="str">
        <f t="shared" si="117"/>
        <v>Yet to be approved</v>
      </c>
      <c r="D959" s="1531" t="str">
        <f t="shared" si="117"/>
        <v>-</v>
      </c>
      <c r="E959" s="1318">
        <f t="shared" si="117"/>
        <v>0</v>
      </c>
      <c r="F959" s="1437">
        <f t="shared" si="112"/>
        <v>0</v>
      </c>
      <c r="G959" s="1437">
        <f t="shared" si="113"/>
        <v>0</v>
      </c>
      <c r="H959" s="1437">
        <f t="shared" si="114"/>
        <v>0</v>
      </c>
      <c r="I959" s="1437">
        <v>0</v>
      </c>
      <c r="J959" s="1437">
        <v>0</v>
      </c>
      <c r="K959" s="1438"/>
      <c r="L959" s="1438"/>
      <c r="M959" s="1437">
        <f t="shared" si="111"/>
        <v>0</v>
      </c>
      <c r="N959" s="1437">
        <f t="shared" si="115"/>
        <v>0</v>
      </c>
    </row>
    <row r="960" spans="1:14" outlineLevel="1">
      <c r="A960" s="1491">
        <f t="shared" si="117"/>
        <v>13.4</v>
      </c>
      <c r="B960" s="1530" t="str">
        <f t="shared" si="117"/>
        <v>Procurement of smart control positioner at I&amp;C Unit8 PTPS Parli V.</v>
      </c>
      <c r="C960" s="1491" t="str">
        <f t="shared" si="117"/>
        <v>Yet to be approved</v>
      </c>
      <c r="D960" s="1531" t="str">
        <f t="shared" si="117"/>
        <v>-</v>
      </c>
      <c r="E960" s="1318">
        <f t="shared" si="117"/>
        <v>0</v>
      </c>
      <c r="F960" s="1437">
        <f t="shared" si="112"/>
        <v>0</v>
      </c>
      <c r="G960" s="1437">
        <f t="shared" si="113"/>
        <v>0</v>
      </c>
      <c r="H960" s="1437">
        <f t="shared" si="114"/>
        <v>0</v>
      </c>
      <c r="I960" s="1437">
        <v>0</v>
      </c>
      <c r="J960" s="1437">
        <v>0</v>
      </c>
      <c r="K960" s="1438"/>
      <c r="L960" s="1438"/>
      <c r="M960" s="1437">
        <f t="shared" si="111"/>
        <v>0</v>
      </c>
      <c r="N960" s="1437">
        <f t="shared" si="115"/>
        <v>0</v>
      </c>
    </row>
    <row r="961" spans="1:14" outlineLevel="1">
      <c r="A961" s="1491">
        <f t="shared" si="117"/>
        <v>13.5</v>
      </c>
      <c r="B961" s="1530" t="str">
        <f t="shared" si="117"/>
        <v>Upgradation Electronic control drive for I&amp;C Unit8 PTPS Parli V.</v>
      </c>
      <c r="C961" s="1491" t="str">
        <f t="shared" si="117"/>
        <v>Yet to be approved</v>
      </c>
      <c r="D961" s="1531" t="str">
        <f t="shared" si="117"/>
        <v>-</v>
      </c>
      <c r="E961" s="1318">
        <f t="shared" si="117"/>
        <v>0</v>
      </c>
      <c r="F961" s="1437">
        <f t="shared" si="112"/>
        <v>0</v>
      </c>
      <c r="G961" s="1437">
        <f t="shared" si="113"/>
        <v>0</v>
      </c>
      <c r="H961" s="1437">
        <f t="shared" si="114"/>
        <v>0</v>
      </c>
      <c r="I961" s="1437">
        <v>0</v>
      </c>
      <c r="J961" s="1437">
        <v>0</v>
      </c>
      <c r="K961" s="1438"/>
      <c r="L961" s="1438"/>
      <c r="M961" s="1437">
        <f t="shared" si="111"/>
        <v>0</v>
      </c>
      <c r="N961" s="1437">
        <f t="shared" si="115"/>
        <v>0</v>
      </c>
    </row>
    <row r="962" spans="1:14" ht="29" outlineLevel="1">
      <c r="A962" s="1491">
        <f t="shared" si="117"/>
        <v>13.6</v>
      </c>
      <c r="B962" s="1530" t="str">
        <f t="shared" si="117"/>
        <v>Upgradation of turbovisory &amp; vibration monitoring system control panel.</v>
      </c>
      <c r="C962" s="1491" t="str">
        <f t="shared" si="117"/>
        <v>Yet to be approved</v>
      </c>
      <c r="D962" s="1531" t="str">
        <f t="shared" si="117"/>
        <v>-</v>
      </c>
      <c r="E962" s="1318">
        <f t="shared" si="117"/>
        <v>0</v>
      </c>
      <c r="F962" s="1437">
        <f t="shared" si="112"/>
        <v>0</v>
      </c>
      <c r="G962" s="1437">
        <f t="shared" si="113"/>
        <v>0</v>
      </c>
      <c r="H962" s="1437">
        <f t="shared" si="114"/>
        <v>0</v>
      </c>
      <c r="I962" s="1437">
        <v>0</v>
      </c>
      <c r="J962" s="1437">
        <v>0</v>
      </c>
      <c r="K962" s="1438"/>
      <c r="L962" s="1438"/>
      <c r="M962" s="1437">
        <f t="shared" si="111"/>
        <v>0</v>
      </c>
      <c r="N962" s="1437">
        <f t="shared" si="115"/>
        <v>0</v>
      </c>
    </row>
    <row r="963" spans="1:14" ht="46.5" outlineLevel="1">
      <c r="A963" s="1533">
        <f t="shared" si="117"/>
        <v>14</v>
      </c>
      <c r="B963" s="1534" t="str">
        <f t="shared" si="117"/>
        <v>Performance improvement by system up gradation  at CHP &amp; DPR for normalization and stabilization of coal handling plant performance at Parli TPS</v>
      </c>
      <c r="C963" s="1491" t="str">
        <f t="shared" si="117"/>
        <v>Yet to be approved</v>
      </c>
      <c r="D963" s="1531" t="str">
        <f t="shared" si="117"/>
        <v>-</v>
      </c>
      <c r="E963" s="1318">
        <f t="shared" si="117"/>
        <v>0</v>
      </c>
      <c r="F963" s="1437">
        <f t="shared" si="112"/>
        <v>0</v>
      </c>
      <c r="G963" s="1437">
        <f t="shared" si="113"/>
        <v>0</v>
      </c>
      <c r="H963" s="1437">
        <f t="shared" si="114"/>
        <v>0</v>
      </c>
      <c r="I963" s="1437">
        <v>0</v>
      </c>
      <c r="J963" s="1437">
        <v>0</v>
      </c>
      <c r="K963" s="1438"/>
      <c r="L963" s="1438"/>
      <c r="M963" s="1437">
        <f t="shared" si="111"/>
        <v>0</v>
      </c>
      <c r="N963" s="1437">
        <f t="shared" si="115"/>
        <v>0</v>
      </c>
    </row>
    <row r="964" spans="1:14" ht="43.5" outlineLevel="1">
      <c r="A964" s="1491">
        <f t="shared" si="117"/>
        <v>14.1</v>
      </c>
      <c r="B964" s="1530" t="str">
        <f t="shared" si="117"/>
        <v xml:space="preserve">Supply and Commissioning of Energy Efficient Evaporative Cooling System for Control Panel &amp; Breaker room of CHP Unit-8   For  PARLI TPS </v>
      </c>
      <c r="C964" s="1491" t="str">
        <f t="shared" si="117"/>
        <v>Yet to be approved</v>
      </c>
      <c r="D964" s="1531" t="str">
        <f t="shared" si="117"/>
        <v>-</v>
      </c>
      <c r="E964" s="1318">
        <f t="shared" si="117"/>
        <v>0</v>
      </c>
      <c r="F964" s="1437">
        <f t="shared" si="112"/>
        <v>0</v>
      </c>
      <c r="G964" s="1437">
        <f t="shared" si="113"/>
        <v>0</v>
      </c>
      <c r="H964" s="1437">
        <f t="shared" si="114"/>
        <v>0</v>
      </c>
      <c r="I964" s="1437">
        <v>0</v>
      </c>
      <c r="J964" s="1437">
        <v>0</v>
      </c>
      <c r="K964" s="1438"/>
      <c r="L964" s="1438"/>
      <c r="M964" s="1437">
        <f t="shared" si="111"/>
        <v>0</v>
      </c>
      <c r="N964" s="1437">
        <f t="shared" si="115"/>
        <v>0</v>
      </c>
    </row>
    <row r="965" spans="1:14" outlineLevel="1">
      <c r="A965" s="1491">
        <f t="shared" si="117"/>
        <v>14.2</v>
      </c>
      <c r="B965" s="1530" t="str">
        <f t="shared" si="117"/>
        <v>Supply and commissioning of Suspended Magnets for U-8 CHP NPTPS</v>
      </c>
      <c r="C965" s="1491" t="str">
        <f t="shared" si="117"/>
        <v>Yet to be approved</v>
      </c>
      <c r="D965" s="1531" t="str">
        <f t="shared" si="117"/>
        <v>-</v>
      </c>
      <c r="E965" s="1318">
        <f t="shared" si="117"/>
        <v>0</v>
      </c>
      <c r="F965" s="1437">
        <f t="shared" si="112"/>
        <v>0</v>
      </c>
      <c r="G965" s="1437">
        <f t="shared" si="113"/>
        <v>0</v>
      </c>
      <c r="H965" s="1437">
        <f t="shared" si="114"/>
        <v>0</v>
      </c>
      <c r="I965" s="1437">
        <v>0</v>
      </c>
      <c r="J965" s="1437">
        <v>0</v>
      </c>
      <c r="K965" s="1438"/>
      <c r="L965" s="1438"/>
      <c r="M965" s="1437">
        <f t="shared" si="111"/>
        <v>0</v>
      </c>
      <c r="N965" s="1437">
        <f t="shared" si="115"/>
        <v>0</v>
      </c>
    </row>
    <row r="966" spans="1:14" outlineLevel="1">
      <c r="A966" s="1491">
        <f t="shared" si="117"/>
        <v>14.3</v>
      </c>
      <c r="B966" s="1530" t="str">
        <f t="shared" si="117"/>
        <v>Stacker-reclaimer Bucket wheel drive modification work of U- 8 CHP</v>
      </c>
      <c r="C966" s="1491" t="str">
        <f t="shared" si="117"/>
        <v>Yet to be approved</v>
      </c>
      <c r="D966" s="1531" t="str">
        <f t="shared" si="117"/>
        <v>-</v>
      </c>
      <c r="E966" s="1318">
        <f t="shared" si="117"/>
        <v>0</v>
      </c>
      <c r="F966" s="1437">
        <f t="shared" si="112"/>
        <v>0</v>
      </c>
      <c r="G966" s="1437">
        <f t="shared" si="113"/>
        <v>0</v>
      </c>
      <c r="H966" s="1437">
        <f t="shared" si="114"/>
        <v>0</v>
      </c>
      <c r="I966" s="1437">
        <v>0</v>
      </c>
      <c r="J966" s="1437">
        <v>0</v>
      </c>
      <c r="K966" s="1438"/>
      <c r="L966" s="1438"/>
      <c r="M966" s="1437">
        <f t="shared" si="111"/>
        <v>0</v>
      </c>
      <c r="N966" s="1437">
        <f t="shared" si="115"/>
        <v>0</v>
      </c>
    </row>
    <row r="967" spans="1:14" ht="29" outlineLevel="1">
      <c r="A967" s="1491">
        <f t="shared" si="117"/>
        <v>14.4</v>
      </c>
      <c r="B967" s="1530" t="str">
        <f t="shared" si="117"/>
        <v>Apron feeder drive modification from Hydraulic to Electro-Mechanical at CHP U-8  NPTPS</v>
      </c>
      <c r="C967" s="1491" t="str">
        <f t="shared" si="117"/>
        <v>Yet to be approved</v>
      </c>
      <c r="D967" s="1531" t="str">
        <f t="shared" si="117"/>
        <v>-</v>
      </c>
      <c r="E967" s="1318">
        <f t="shared" si="117"/>
        <v>0</v>
      </c>
      <c r="F967" s="1437">
        <f t="shared" si="112"/>
        <v>0</v>
      </c>
      <c r="G967" s="1437">
        <f t="shared" si="113"/>
        <v>0</v>
      </c>
      <c r="H967" s="1437">
        <f t="shared" si="114"/>
        <v>0</v>
      </c>
      <c r="I967" s="1437">
        <v>0</v>
      </c>
      <c r="J967" s="1437">
        <v>0</v>
      </c>
      <c r="K967" s="1438"/>
      <c r="L967" s="1438"/>
      <c r="M967" s="1437">
        <f t="shared" si="111"/>
        <v>0</v>
      </c>
      <c r="N967" s="1437">
        <f t="shared" si="115"/>
        <v>0</v>
      </c>
    </row>
    <row r="968" spans="1:14" outlineLevel="1">
      <c r="A968" s="1491">
        <f t="shared" si="117"/>
        <v>14.5</v>
      </c>
      <c r="B968" s="1530" t="str">
        <f t="shared" si="117"/>
        <v>Procurement of U-8 W/T Major spares</v>
      </c>
      <c r="C968" s="1491" t="str">
        <f t="shared" si="117"/>
        <v>Yet to be approved</v>
      </c>
      <c r="D968" s="1531" t="str">
        <f t="shared" si="117"/>
        <v>-</v>
      </c>
      <c r="E968" s="1318">
        <f t="shared" si="117"/>
        <v>0</v>
      </c>
      <c r="F968" s="1437">
        <f t="shared" si="112"/>
        <v>0</v>
      </c>
      <c r="G968" s="1437">
        <f t="shared" si="113"/>
        <v>0</v>
      </c>
      <c r="H968" s="1437">
        <f t="shared" si="114"/>
        <v>0</v>
      </c>
      <c r="I968" s="1437">
        <v>0</v>
      </c>
      <c r="J968" s="1437">
        <v>0</v>
      </c>
      <c r="K968" s="1438"/>
      <c r="L968" s="1438"/>
      <c r="M968" s="1437">
        <f t="shared" si="111"/>
        <v>0</v>
      </c>
      <c r="N968" s="1437">
        <f t="shared" si="115"/>
        <v>0</v>
      </c>
    </row>
    <row r="969" spans="1:14" outlineLevel="1">
      <c r="A969" s="1491">
        <f t="shared" si="117"/>
        <v>14.6</v>
      </c>
      <c r="B969" s="1530" t="str">
        <f t="shared" si="117"/>
        <v>Provision of Soft starter / VFD for Various conveyor</v>
      </c>
      <c r="C969" s="1491" t="str">
        <f t="shared" si="117"/>
        <v>Yet to be approved</v>
      </c>
      <c r="D969" s="1531" t="str">
        <f t="shared" si="117"/>
        <v>-</v>
      </c>
      <c r="E969" s="1318">
        <f t="shared" si="117"/>
        <v>0</v>
      </c>
      <c r="F969" s="1437">
        <f t="shared" si="112"/>
        <v>0</v>
      </c>
      <c r="G969" s="1437">
        <f t="shared" si="113"/>
        <v>0</v>
      </c>
      <c r="H969" s="1437">
        <f t="shared" si="114"/>
        <v>0</v>
      </c>
      <c r="I969" s="1437">
        <v>0</v>
      </c>
      <c r="J969" s="1437">
        <v>0</v>
      </c>
      <c r="K969" s="1438"/>
      <c r="L969" s="1438"/>
      <c r="M969" s="1437">
        <f t="shared" si="111"/>
        <v>0</v>
      </c>
      <c r="N969" s="1437">
        <f t="shared" si="115"/>
        <v>0</v>
      </c>
    </row>
    <row r="970" spans="1:14" outlineLevel="1">
      <c r="A970" s="1491">
        <f t="shared" ref="A970:E985" si="118">A577</f>
        <v>14.7</v>
      </c>
      <c r="B970" s="1530" t="str">
        <f t="shared" si="118"/>
        <v>TP-3 chute modification at U-8 CHP.</v>
      </c>
      <c r="C970" s="1491" t="str">
        <f t="shared" si="118"/>
        <v>Yet to be approved</v>
      </c>
      <c r="D970" s="1531" t="str">
        <f t="shared" si="118"/>
        <v>-</v>
      </c>
      <c r="E970" s="1318">
        <f t="shared" si="118"/>
        <v>0</v>
      </c>
      <c r="F970" s="1437">
        <f t="shared" si="112"/>
        <v>0</v>
      </c>
      <c r="G970" s="1437">
        <f t="shared" si="113"/>
        <v>0</v>
      </c>
      <c r="H970" s="1437">
        <f t="shared" si="114"/>
        <v>0</v>
      </c>
      <c r="I970" s="1437">
        <v>0</v>
      </c>
      <c r="J970" s="1437">
        <v>0</v>
      </c>
      <c r="K970" s="1438"/>
      <c r="L970" s="1438"/>
      <c r="M970" s="1437">
        <f t="shared" si="111"/>
        <v>0</v>
      </c>
      <c r="N970" s="1437">
        <f t="shared" si="115"/>
        <v>0</v>
      </c>
    </row>
    <row r="971" spans="1:14" ht="29" outlineLevel="1">
      <c r="A971" s="1491">
        <f t="shared" si="118"/>
        <v>14.8</v>
      </c>
      <c r="B971" s="1530" t="str">
        <f t="shared" si="118"/>
        <v>Design, supply and commissioning of solar operated lighting system in CHP  U-8.</v>
      </c>
      <c r="C971" s="1491" t="str">
        <f t="shared" si="118"/>
        <v>Yet to be approved</v>
      </c>
      <c r="D971" s="1531" t="str">
        <f t="shared" si="118"/>
        <v>-</v>
      </c>
      <c r="E971" s="1318">
        <f t="shared" si="118"/>
        <v>0</v>
      </c>
      <c r="F971" s="1437">
        <f t="shared" si="112"/>
        <v>0</v>
      </c>
      <c r="G971" s="1437">
        <f t="shared" si="113"/>
        <v>0</v>
      </c>
      <c r="H971" s="1437">
        <f t="shared" si="114"/>
        <v>0</v>
      </c>
      <c r="I971" s="1437">
        <v>0</v>
      </c>
      <c r="J971" s="1437">
        <v>0</v>
      </c>
      <c r="K971" s="1438"/>
      <c r="L971" s="1438"/>
      <c r="M971" s="1437">
        <f t="shared" si="111"/>
        <v>0</v>
      </c>
      <c r="N971" s="1437">
        <f t="shared" si="115"/>
        <v>0</v>
      </c>
    </row>
    <row r="972" spans="1:14" outlineLevel="1">
      <c r="A972" s="1491">
        <f t="shared" si="118"/>
        <v>14.9</v>
      </c>
      <c r="B972" s="1530" t="str">
        <f t="shared" si="118"/>
        <v xml:space="preserve"> Installation of CCTV survillance system alongwith all conveyors.</v>
      </c>
      <c r="C972" s="1491" t="str">
        <f t="shared" si="118"/>
        <v>Yet to be approved</v>
      </c>
      <c r="D972" s="1531" t="str">
        <f t="shared" si="118"/>
        <v>-</v>
      </c>
      <c r="E972" s="1318">
        <f t="shared" si="118"/>
        <v>0</v>
      </c>
      <c r="F972" s="1437">
        <f t="shared" si="112"/>
        <v>0</v>
      </c>
      <c r="G972" s="1437">
        <f t="shared" si="113"/>
        <v>0</v>
      </c>
      <c r="H972" s="1437">
        <f t="shared" si="114"/>
        <v>0</v>
      </c>
      <c r="I972" s="1437">
        <v>0</v>
      </c>
      <c r="J972" s="1437">
        <v>0</v>
      </c>
      <c r="K972" s="1438"/>
      <c r="L972" s="1438"/>
      <c r="M972" s="1437">
        <f t="shared" si="111"/>
        <v>0</v>
      </c>
      <c r="N972" s="1437">
        <f t="shared" si="115"/>
        <v>0</v>
      </c>
    </row>
    <row r="973" spans="1:14" ht="31" outlineLevel="1">
      <c r="A973" s="1533">
        <f t="shared" si="118"/>
        <v>15</v>
      </c>
      <c r="B973" s="1534" t="str">
        <f t="shared" si="118"/>
        <v>DPR for maximiation of Coal Handling Plant efficiency &amp; DPR on life enhancement of Coal Handling Plant</v>
      </c>
      <c r="C973" s="1491" t="str">
        <f t="shared" si="118"/>
        <v>Yet to be approved</v>
      </c>
      <c r="D973" s="1531" t="str">
        <f t="shared" si="118"/>
        <v>-</v>
      </c>
      <c r="E973" s="1318">
        <f t="shared" si="118"/>
        <v>0</v>
      </c>
      <c r="F973" s="1437">
        <f t="shared" si="112"/>
        <v>0</v>
      </c>
      <c r="G973" s="1437">
        <f t="shared" si="113"/>
        <v>0</v>
      </c>
      <c r="H973" s="1437">
        <f t="shared" si="114"/>
        <v>0</v>
      </c>
      <c r="I973" s="1437">
        <v>0</v>
      </c>
      <c r="J973" s="1437">
        <v>0</v>
      </c>
      <c r="K973" s="1438"/>
      <c r="L973" s="1438"/>
      <c r="M973" s="1437">
        <f t="shared" si="111"/>
        <v>0</v>
      </c>
      <c r="N973" s="1437">
        <f t="shared" si="115"/>
        <v>0</v>
      </c>
    </row>
    <row r="974" spans="1:14" outlineLevel="1">
      <c r="A974" s="1491">
        <f t="shared" si="118"/>
        <v>15.1</v>
      </c>
      <c r="B974" s="1530" t="str">
        <f t="shared" si="118"/>
        <v>W/T control room &amp; bunker house battery &amp; UPS upgradation</v>
      </c>
      <c r="C974" s="1491" t="str">
        <f t="shared" si="118"/>
        <v>Yet to be approved</v>
      </c>
      <c r="D974" s="1531" t="str">
        <f t="shared" si="118"/>
        <v>-</v>
      </c>
      <c r="E974" s="1318">
        <f t="shared" si="118"/>
        <v>0</v>
      </c>
      <c r="F974" s="1437">
        <f t="shared" si="112"/>
        <v>0</v>
      </c>
      <c r="G974" s="1437">
        <f t="shared" si="113"/>
        <v>0</v>
      </c>
      <c r="H974" s="1437">
        <f t="shared" si="114"/>
        <v>0</v>
      </c>
      <c r="I974" s="1437">
        <v>0</v>
      </c>
      <c r="J974" s="1437">
        <v>0</v>
      </c>
      <c r="K974" s="1438"/>
      <c r="L974" s="1438"/>
      <c r="M974" s="1437">
        <f t="shared" si="111"/>
        <v>0</v>
      </c>
      <c r="N974" s="1437">
        <f t="shared" si="115"/>
        <v>0</v>
      </c>
    </row>
    <row r="975" spans="1:14" ht="29" outlineLevel="1">
      <c r="A975" s="1491">
        <f t="shared" si="118"/>
        <v>15.2</v>
      </c>
      <c r="B975" s="1530" t="str">
        <f t="shared" si="118"/>
        <v>Refurbishment of  conveyor no. 2 A/B &amp; 6 A/B drive system of CHP U-8 TPS Parli.</v>
      </c>
      <c r="C975" s="1491" t="str">
        <f t="shared" si="118"/>
        <v>Yet to be approved</v>
      </c>
      <c r="D975" s="1531" t="str">
        <f t="shared" si="118"/>
        <v>-</v>
      </c>
      <c r="E975" s="1318">
        <f t="shared" si="118"/>
        <v>0</v>
      </c>
      <c r="F975" s="1437">
        <f t="shared" si="112"/>
        <v>0</v>
      </c>
      <c r="G975" s="1437">
        <f t="shared" si="113"/>
        <v>0</v>
      </c>
      <c r="H975" s="1437">
        <f t="shared" si="114"/>
        <v>0</v>
      </c>
      <c r="I975" s="1437">
        <v>0</v>
      </c>
      <c r="J975" s="1437">
        <v>0</v>
      </c>
      <c r="K975" s="1438"/>
      <c r="L975" s="1438"/>
      <c r="M975" s="1437">
        <f t="shared" si="111"/>
        <v>0</v>
      </c>
      <c r="N975" s="1437">
        <f t="shared" si="115"/>
        <v>0</v>
      </c>
    </row>
    <row r="976" spans="1:14" outlineLevel="1">
      <c r="A976" s="1491">
        <f t="shared" si="118"/>
        <v>15.3</v>
      </c>
      <c r="B976" s="1530" t="str">
        <f t="shared" si="118"/>
        <v>Provision of Soft starter / VFD for Various conveyor</v>
      </c>
      <c r="C976" s="1491" t="str">
        <f t="shared" si="118"/>
        <v>Yet to be approved</v>
      </c>
      <c r="D976" s="1531" t="str">
        <f t="shared" si="118"/>
        <v>-</v>
      </c>
      <c r="E976" s="1318">
        <f t="shared" si="118"/>
        <v>0</v>
      </c>
      <c r="F976" s="1437">
        <f t="shared" si="112"/>
        <v>0</v>
      </c>
      <c r="G976" s="1437">
        <f t="shared" si="113"/>
        <v>0</v>
      </c>
      <c r="H976" s="1437">
        <f t="shared" si="114"/>
        <v>0</v>
      </c>
      <c r="I976" s="1437">
        <v>0</v>
      </c>
      <c r="J976" s="1437">
        <v>0</v>
      </c>
      <c r="K976" s="1438"/>
      <c r="L976" s="1438"/>
      <c r="M976" s="1437">
        <f t="shared" si="111"/>
        <v>0</v>
      </c>
      <c r="N976" s="1437">
        <f t="shared" si="115"/>
        <v>0</v>
      </c>
    </row>
    <row r="977" spans="1:14" outlineLevel="1">
      <c r="A977" s="1491">
        <f t="shared" si="118"/>
        <v>15.4</v>
      </c>
      <c r="B977" s="1530" t="str">
        <f t="shared" si="118"/>
        <v>Procurement &amp; installation of Belt tear detection system</v>
      </c>
      <c r="C977" s="1491" t="str">
        <f t="shared" si="118"/>
        <v>Yet to be approved</v>
      </c>
      <c r="D977" s="1531" t="str">
        <f t="shared" si="118"/>
        <v>-</v>
      </c>
      <c r="E977" s="1318">
        <f t="shared" si="118"/>
        <v>0</v>
      </c>
      <c r="F977" s="1437">
        <f t="shared" si="112"/>
        <v>0</v>
      </c>
      <c r="G977" s="1437">
        <f t="shared" si="113"/>
        <v>0</v>
      </c>
      <c r="H977" s="1437">
        <f t="shared" si="114"/>
        <v>0</v>
      </c>
      <c r="I977" s="1437">
        <v>0</v>
      </c>
      <c r="J977" s="1437">
        <v>0</v>
      </c>
      <c r="K977" s="1438"/>
      <c r="L977" s="1438"/>
      <c r="M977" s="1437">
        <f t="shared" si="111"/>
        <v>0</v>
      </c>
      <c r="N977" s="1437">
        <f t="shared" si="115"/>
        <v>0</v>
      </c>
    </row>
    <row r="978" spans="1:14" outlineLevel="1">
      <c r="A978" s="1491">
        <f t="shared" si="118"/>
        <v>15.5</v>
      </c>
      <c r="B978" s="1530" t="str">
        <f t="shared" si="118"/>
        <v>Conveyor gravity takeup infrastructure strengthening work</v>
      </c>
      <c r="C978" s="1491" t="str">
        <f t="shared" si="118"/>
        <v>Yet to be approved</v>
      </c>
      <c r="D978" s="1531" t="str">
        <f t="shared" si="118"/>
        <v>-</v>
      </c>
      <c r="E978" s="1318">
        <f t="shared" si="118"/>
        <v>0</v>
      </c>
      <c r="F978" s="1437">
        <f t="shared" si="112"/>
        <v>0</v>
      </c>
      <c r="G978" s="1437">
        <f t="shared" si="113"/>
        <v>0</v>
      </c>
      <c r="H978" s="1437">
        <f t="shared" si="114"/>
        <v>0</v>
      </c>
      <c r="I978" s="1437">
        <v>0</v>
      </c>
      <c r="J978" s="1437">
        <v>0</v>
      </c>
      <c r="K978" s="1438"/>
      <c r="L978" s="1438"/>
      <c r="M978" s="1437">
        <f t="shared" si="111"/>
        <v>0</v>
      </c>
      <c r="N978" s="1437">
        <f t="shared" si="115"/>
        <v>0</v>
      </c>
    </row>
    <row r="979" spans="1:14" outlineLevel="1">
      <c r="A979" s="1491">
        <f t="shared" si="118"/>
        <v>15.6</v>
      </c>
      <c r="B979" s="1530" t="str">
        <f t="shared" si="118"/>
        <v>U-8 CHP apron feeder-I to Conveyor 1 A/B chute modification work .</v>
      </c>
      <c r="C979" s="1491" t="str">
        <f t="shared" si="118"/>
        <v>Yet to be approved</v>
      </c>
      <c r="D979" s="1531" t="str">
        <f t="shared" si="118"/>
        <v>-</v>
      </c>
      <c r="E979" s="1318">
        <f t="shared" si="118"/>
        <v>0</v>
      </c>
      <c r="F979" s="1437">
        <f t="shared" si="112"/>
        <v>0</v>
      </c>
      <c r="G979" s="1437">
        <f t="shared" si="113"/>
        <v>0</v>
      </c>
      <c r="H979" s="1437">
        <f t="shared" si="114"/>
        <v>0</v>
      </c>
      <c r="I979" s="1437">
        <v>0</v>
      </c>
      <c r="J979" s="1437">
        <v>0</v>
      </c>
      <c r="K979" s="1438"/>
      <c r="L979" s="1438"/>
      <c r="M979" s="1437">
        <f t="shared" si="111"/>
        <v>0</v>
      </c>
      <c r="N979" s="1437">
        <f t="shared" si="115"/>
        <v>0</v>
      </c>
    </row>
    <row r="980" spans="1:14" ht="15.5" outlineLevel="1">
      <c r="A980" s="1533">
        <f t="shared" si="118"/>
        <v>16</v>
      </c>
      <c r="B980" s="1534" t="str">
        <f t="shared" si="118"/>
        <v>DPR for stabiliazation of Coal Handling Performance.</v>
      </c>
      <c r="C980" s="1491" t="str">
        <f t="shared" si="118"/>
        <v>Yet to be approved</v>
      </c>
      <c r="D980" s="1531" t="str">
        <f t="shared" si="118"/>
        <v>-</v>
      </c>
      <c r="E980" s="1318">
        <f t="shared" si="118"/>
        <v>0</v>
      </c>
      <c r="F980" s="1437">
        <f t="shared" si="112"/>
        <v>0</v>
      </c>
      <c r="G980" s="1437">
        <f t="shared" si="113"/>
        <v>0</v>
      </c>
      <c r="H980" s="1437">
        <f t="shared" si="114"/>
        <v>0</v>
      </c>
      <c r="I980" s="1437">
        <v>0</v>
      </c>
      <c r="J980" s="1437">
        <v>0</v>
      </c>
      <c r="K980" s="1438"/>
      <c r="L980" s="1438"/>
      <c r="M980" s="1437">
        <f t="shared" si="111"/>
        <v>0</v>
      </c>
      <c r="N980" s="1437">
        <f t="shared" si="115"/>
        <v>0</v>
      </c>
    </row>
    <row r="981" spans="1:14" outlineLevel="1">
      <c r="A981" s="1491">
        <f t="shared" si="118"/>
        <v>16.100000000000001</v>
      </c>
      <c r="B981" s="1530" t="str">
        <f t="shared" si="118"/>
        <v xml:space="preserve">Drive modification of Stacker Reclaimer slewing system. </v>
      </c>
      <c r="C981" s="1491" t="str">
        <f t="shared" si="118"/>
        <v>Yet to be approved</v>
      </c>
      <c r="D981" s="1531" t="str">
        <f t="shared" si="118"/>
        <v>-</v>
      </c>
      <c r="E981" s="1318">
        <f t="shared" si="118"/>
        <v>0</v>
      </c>
      <c r="F981" s="1437">
        <f t="shared" si="112"/>
        <v>0</v>
      </c>
      <c r="G981" s="1437">
        <f t="shared" si="113"/>
        <v>0</v>
      </c>
      <c r="H981" s="1437">
        <f t="shared" si="114"/>
        <v>0</v>
      </c>
      <c r="I981" s="1437">
        <v>0</v>
      </c>
      <c r="J981" s="1437">
        <v>0</v>
      </c>
      <c r="K981" s="1438"/>
      <c r="L981" s="1438"/>
      <c r="M981" s="1437">
        <f t="shared" si="111"/>
        <v>0</v>
      </c>
      <c r="N981" s="1437">
        <f t="shared" si="115"/>
        <v>0</v>
      </c>
    </row>
    <row r="982" spans="1:14" outlineLevel="1">
      <c r="A982" s="1491">
        <f t="shared" si="118"/>
        <v>16.2</v>
      </c>
      <c r="B982" s="1530" t="str">
        <f t="shared" si="118"/>
        <v>Retrofitting of Side Arm Charger-I &amp; II at CHP U-8</v>
      </c>
      <c r="C982" s="1491" t="str">
        <f t="shared" si="118"/>
        <v>Yet to be approved</v>
      </c>
      <c r="D982" s="1531" t="str">
        <f t="shared" si="118"/>
        <v>-</v>
      </c>
      <c r="E982" s="1318">
        <f t="shared" si="118"/>
        <v>0</v>
      </c>
      <c r="F982" s="1437">
        <f t="shared" si="112"/>
        <v>0</v>
      </c>
      <c r="G982" s="1437">
        <f t="shared" si="113"/>
        <v>0</v>
      </c>
      <c r="H982" s="1437">
        <f t="shared" si="114"/>
        <v>0</v>
      </c>
      <c r="I982" s="1437">
        <v>0</v>
      </c>
      <c r="J982" s="1437">
        <v>0</v>
      </c>
      <c r="K982" s="1438"/>
      <c r="L982" s="1438"/>
      <c r="M982" s="1437">
        <f t="shared" si="111"/>
        <v>0</v>
      </c>
      <c r="N982" s="1437">
        <f t="shared" si="115"/>
        <v>0</v>
      </c>
    </row>
    <row r="983" spans="1:14" outlineLevel="1">
      <c r="A983" s="1491">
        <f t="shared" si="118"/>
        <v>16.3</v>
      </c>
      <c r="B983" s="1530" t="str">
        <f t="shared" si="118"/>
        <v>Upgradation of GE/Schineder make PLC system atU-8 CHP.</v>
      </c>
      <c r="C983" s="1491" t="str">
        <f t="shared" si="118"/>
        <v>Yet to be approved</v>
      </c>
      <c r="D983" s="1531" t="str">
        <f t="shared" si="118"/>
        <v>-</v>
      </c>
      <c r="E983" s="1318">
        <f t="shared" si="118"/>
        <v>0</v>
      </c>
      <c r="F983" s="1437">
        <f t="shared" si="112"/>
        <v>0</v>
      </c>
      <c r="G983" s="1437">
        <f t="shared" si="113"/>
        <v>0</v>
      </c>
      <c r="H983" s="1437">
        <f t="shared" si="114"/>
        <v>0</v>
      </c>
      <c r="I983" s="1437">
        <v>0</v>
      </c>
      <c r="J983" s="1437">
        <v>0</v>
      </c>
      <c r="K983" s="1438"/>
      <c r="L983" s="1438"/>
      <c r="M983" s="1437">
        <f t="shared" si="111"/>
        <v>0</v>
      </c>
      <c r="N983" s="1437">
        <f t="shared" si="115"/>
        <v>0</v>
      </c>
    </row>
    <row r="984" spans="1:14" outlineLevel="1">
      <c r="A984" s="1491">
        <f t="shared" si="118"/>
        <v>16.399999999999999</v>
      </c>
      <c r="B984" s="1530" t="str">
        <f t="shared" si="118"/>
        <v>Refurbishment of Apron Feeder at CHP U-8.</v>
      </c>
      <c r="C984" s="1491" t="str">
        <f t="shared" si="118"/>
        <v>Yet to be approved</v>
      </c>
      <c r="D984" s="1531" t="str">
        <f t="shared" si="118"/>
        <v>-</v>
      </c>
      <c r="E984" s="1318">
        <f t="shared" si="118"/>
        <v>0</v>
      </c>
      <c r="F984" s="1437">
        <f t="shared" si="112"/>
        <v>0</v>
      </c>
      <c r="G984" s="1437">
        <f t="shared" si="113"/>
        <v>0</v>
      </c>
      <c r="H984" s="1437">
        <f t="shared" si="114"/>
        <v>0</v>
      </c>
      <c r="I984" s="1437">
        <v>0</v>
      </c>
      <c r="J984" s="1437">
        <v>0</v>
      </c>
      <c r="K984" s="1438"/>
      <c r="L984" s="1438"/>
      <c r="M984" s="1437">
        <f t="shared" si="111"/>
        <v>0</v>
      </c>
      <c r="N984" s="1437">
        <f t="shared" si="115"/>
        <v>0</v>
      </c>
    </row>
    <row r="985" spans="1:14" ht="29" outlineLevel="1">
      <c r="A985" s="1491">
        <f t="shared" si="118"/>
        <v>16.5</v>
      </c>
      <c r="B985" s="1530" t="str">
        <f t="shared" si="118"/>
        <v>Provision of moveable stacker and crusher in CHP coal stack yard at CHP U-8.</v>
      </c>
      <c r="C985" s="1491" t="str">
        <f t="shared" si="118"/>
        <v>Yet to be approved</v>
      </c>
      <c r="D985" s="1531" t="str">
        <f t="shared" si="118"/>
        <v>-</v>
      </c>
      <c r="E985" s="1318">
        <f t="shared" si="118"/>
        <v>0</v>
      </c>
      <c r="F985" s="1437">
        <f t="shared" si="112"/>
        <v>0</v>
      </c>
      <c r="G985" s="1437">
        <f t="shared" si="113"/>
        <v>0</v>
      </c>
      <c r="H985" s="1437">
        <f t="shared" si="114"/>
        <v>0</v>
      </c>
      <c r="I985" s="1437">
        <v>0</v>
      </c>
      <c r="J985" s="1437">
        <v>0</v>
      </c>
      <c r="K985" s="1438"/>
      <c r="L985" s="1438"/>
      <c r="M985" s="1437">
        <f t="shared" si="111"/>
        <v>0</v>
      </c>
      <c r="N985" s="1437">
        <f t="shared" si="115"/>
        <v>0</v>
      </c>
    </row>
    <row r="986" spans="1:14" outlineLevel="1">
      <c r="A986" s="1491">
        <f t="shared" ref="A986:E1001" si="119">A593</f>
        <v>16.600000000000001</v>
      </c>
      <c r="B986" s="1530" t="str">
        <f t="shared" si="119"/>
        <v>Procurement of Loco &amp; Bulldozer at CHP U-8.</v>
      </c>
      <c r="C986" s="1491" t="str">
        <f t="shared" si="119"/>
        <v>Yet to be approved</v>
      </c>
      <c r="D986" s="1531" t="str">
        <f t="shared" si="119"/>
        <v>-</v>
      </c>
      <c r="E986" s="1318">
        <f t="shared" si="119"/>
        <v>0</v>
      </c>
      <c r="F986" s="1437">
        <f t="shared" si="112"/>
        <v>0</v>
      </c>
      <c r="G986" s="1437">
        <f t="shared" si="113"/>
        <v>0</v>
      </c>
      <c r="H986" s="1437">
        <f t="shared" si="114"/>
        <v>0</v>
      </c>
      <c r="I986" s="1437">
        <v>0</v>
      </c>
      <c r="J986" s="1437">
        <v>0</v>
      </c>
      <c r="K986" s="1438"/>
      <c r="L986" s="1438"/>
      <c r="M986" s="1437">
        <f t="shared" si="111"/>
        <v>0</v>
      </c>
      <c r="N986" s="1437">
        <f t="shared" si="115"/>
        <v>0</v>
      </c>
    </row>
    <row r="987" spans="1:14" ht="31" outlineLevel="1">
      <c r="A987" s="1533">
        <f t="shared" si="119"/>
        <v>17</v>
      </c>
      <c r="B987" s="1534" t="str">
        <f t="shared" si="119"/>
        <v>DPR on dry fly ash utilisation improvement scheme for AHP U-8 NPTPS Parli-V.</v>
      </c>
      <c r="C987" s="1491" t="str">
        <f t="shared" si="119"/>
        <v>Yet to be approved</v>
      </c>
      <c r="D987" s="1531" t="str">
        <f t="shared" si="119"/>
        <v>-</v>
      </c>
      <c r="E987" s="1318">
        <f t="shared" si="119"/>
        <v>0</v>
      </c>
      <c r="F987" s="1437">
        <f t="shared" si="112"/>
        <v>0</v>
      </c>
      <c r="G987" s="1437">
        <f t="shared" si="113"/>
        <v>0</v>
      </c>
      <c r="H987" s="1437">
        <f t="shared" si="114"/>
        <v>0</v>
      </c>
      <c r="I987" s="1437">
        <v>0</v>
      </c>
      <c r="J987" s="1437">
        <v>0</v>
      </c>
      <c r="K987" s="1438"/>
      <c r="L987" s="1438"/>
      <c r="M987" s="1437">
        <f t="shared" si="111"/>
        <v>0</v>
      </c>
      <c r="N987" s="1437">
        <f t="shared" si="115"/>
        <v>0</v>
      </c>
    </row>
    <row r="988" spans="1:14" ht="29" outlineLevel="1">
      <c r="A988" s="1491">
        <f t="shared" si="119"/>
        <v>17.100000000000001</v>
      </c>
      <c r="B988" s="1530" t="str">
        <f t="shared" si="119"/>
        <v>Design, supply, erection, installation &amp; comissioning of intermediate silo with sub system at AHP U-8.</v>
      </c>
      <c r="C988" s="1491" t="str">
        <f t="shared" si="119"/>
        <v>Yet to be approved</v>
      </c>
      <c r="D988" s="1531" t="str">
        <f t="shared" si="119"/>
        <v>-</v>
      </c>
      <c r="E988" s="1318">
        <f t="shared" si="119"/>
        <v>0</v>
      </c>
      <c r="F988" s="1437">
        <f t="shared" si="112"/>
        <v>0</v>
      </c>
      <c r="G988" s="1437">
        <f t="shared" si="113"/>
        <v>0</v>
      </c>
      <c r="H988" s="1437">
        <f t="shared" si="114"/>
        <v>0</v>
      </c>
      <c r="I988" s="1437">
        <v>0</v>
      </c>
      <c r="J988" s="1437">
        <v>0</v>
      </c>
      <c r="K988" s="1438"/>
      <c r="L988" s="1438"/>
      <c r="M988" s="1437">
        <f t="shared" ref="M988:M1051" si="120">SUM(J988:L988)</f>
        <v>0</v>
      </c>
      <c r="N988" s="1437">
        <f t="shared" si="115"/>
        <v>0</v>
      </c>
    </row>
    <row r="989" spans="1:14" ht="31" outlineLevel="1">
      <c r="A989" s="1533">
        <f t="shared" si="119"/>
        <v>18</v>
      </c>
      <c r="B989" s="1534" t="str">
        <f t="shared" si="119"/>
        <v>DPR on ash handling plant improvement scheme for AHP U-8 NPTPS Parli-V.</v>
      </c>
      <c r="C989" s="1491" t="str">
        <f t="shared" si="119"/>
        <v>Yet to be approved</v>
      </c>
      <c r="D989" s="1531" t="str">
        <f t="shared" si="119"/>
        <v>-</v>
      </c>
      <c r="E989" s="1318">
        <f t="shared" si="119"/>
        <v>0</v>
      </c>
      <c r="F989" s="1437">
        <f t="shared" ref="F989:F1052" si="121">F596+I596</f>
        <v>0</v>
      </c>
      <c r="G989" s="1437">
        <f t="shared" ref="G989:G1052" si="122">G596+M596</f>
        <v>0</v>
      </c>
      <c r="H989" s="1437">
        <f t="shared" si="114"/>
        <v>0</v>
      </c>
      <c r="I989" s="1437">
        <v>0</v>
      </c>
      <c r="J989" s="1437">
        <v>0</v>
      </c>
      <c r="K989" s="1438"/>
      <c r="L989" s="1438"/>
      <c r="M989" s="1437">
        <f t="shared" si="120"/>
        <v>0</v>
      </c>
      <c r="N989" s="1437">
        <f t="shared" si="115"/>
        <v>0</v>
      </c>
    </row>
    <row r="990" spans="1:14" ht="29" outlineLevel="1">
      <c r="A990" s="1491">
        <f t="shared" si="119"/>
        <v>18.100000000000001</v>
      </c>
      <c r="B990" s="1530" t="str">
        <f t="shared" si="119"/>
        <v xml:space="preserve"> Design, supply, erection &amp; comissioning of weigh bridge for silo at AHP U-8.</v>
      </c>
      <c r="C990" s="1491" t="str">
        <f t="shared" si="119"/>
        <v>Yet to be approved</v>
      </c>
      <c r="D990" s="1531" t="str">
        <f t="shared" si="119"/>
        <v>-</v>
      </c>
      <c r="E990" s="1318">
        <f t="shared" si="119"/>
        <v>0</v>
      </c>
      <c r="F990" s="1437">
        <f t="shared" si="121"/>
        <v>0</v>
      </c>
      <c r="G990" s="1437">
        <f t="shared" si="122"/>
        <v>0</v>
      </c>
      <c r="H990" s="1437">
        <f t="shared" ref="H990:H1053" si="123">F990-G990</f>
        <v>0</v>
      </c>
      <c r="I990" s="1437">
        <v>0</v>
      </c>
      <c r="J990" s="1437">
        <v>0</v>
      </c>
      <c r="K990" s="1438"/>
      <c r="L990" s="1438"/>
      <c r="M990" s="1437">
        <f t="shared" si="120"/>
        <v>0</v>
      </c>
      <c r="N990" s="1437">
        <f t="shared" ref="N990:N1053" si="124">H990+I990-M990</f>
        <v>0</v>
      </c>
    </row>
    <row r="991" spans="1:14" ht="29" outlineLevel="1">
      <c r="A991" s="1491">
        <f t="shared" si="119"/>
        <v>18.2</v>
      </c>
      <c r="B991" s="1530" t="str">
        <f t="shared" si="119"/>
        <v>Supply, installation &amp; comissioning of energy efficient air compressor at AHP U-8.</v>
      </c>
      <c r="C991" s="1491" t="str">
        <f t="shared" si="119"/>
        <v>Yet to be approved</v>
      </c>
      <c r="D991" s="1531" t="str">
        <f t="shared" si="119"/>
        <v>-</v>
      </c>
      <c r="E991" s="1318">
        <f t="shared" si="119"/>
        <v>0</v>
      </c>
      <c r="F991" s="1437">
        <f t="shared" si="121"/>
        <v>0</v>
      </c>
      <c r="G991" s="1437">
        <f t="shared" si="122"/>
        <v>0</v>
      </c>
      <c r="H991" s="1437">
        <f t="shared" si="123"/>
        <v>0</v>
      </c>
      <c r="I991" s="1437">
        <v>0</v>
      </c>
      <c r="J991" s="1437">
        <v>0</v>
      </c>
      <c r="K991" s="1438"/>
      <c r="L991" s="1438"/>
      <c r="M991" s="1437">
        <f t="shared" si="120"/>
        <v>0</v>
      </c>
      <c r="N991" s="1437">
        <f t="shared" si="124"/>
        <v>0</v>
      </c>
    </row>
    <row r="992" spans="1:14" ht="58" outlineLevel="1">
      <c r="A992" s="1491">
        <f t="shared" si="119"/>
        <v>18.3</v>
      </c>
      <c r="B992" s="1530" t="str">
        <f t="shared" si="119"/>
        <v xml:space="preserve"> PROCUREMENT OF COMPLETE ASSEMBLY OF SAM MAKE AR-150/510 PUMPS (2 NOS) FOR REPLACEMENT OF ASH SLURRY PUMPS OF BOTTOM ASH SLURRY DISPOSAL FROM SLURRY TANK TO ASH BUND IN SLURRY PUMP HOUSE. </v>
      </c>
      <c r="C992" s="1491" t="str">
        <f t="shared" si="119"/>
        <v>Yet to be approved</v>
      </c>
      <c r="D992" s="1531" t="str">
        <f t="shared" si="119"/>
        <v>-</v>
      </c>
      <c r="E992" s="1318">
        <f t="shared" si="119"/>
        <v>0</v>
      </c>
      <c r="F992" s="1437">
        <f t="shared" si="121"/>
        <v>0</v>
      </c>
      <c r="G992" s="1437">
        <f t="shared" si="122"/>
        <v>0</v>
      </c>
      <c r="H992" s="1437">
        <f t="shared" si="123"/>
        <v>0</v>
      </c>
      <c r="I992" s="1437">
        <v>0</v>
      </c>
      <c r="J992" s="1437">
        <v>0</v>
      </c>
      <c r="K992" s="1438"/>
      <c r="L992" s="1438"/>
      <c r="M992" s="1437">
        <f t="shared" si="120"/>
        <v>0</v>
      </c>
      <c r="N992" s="1437">
        <f t="shared" si="124"/>
        <v>0</v>
      </c>
    </row>
    <row r="993" spans="1:14" ht="58" outlineLevel="1">
      <c r="A993" s="1491">
        <f t="shared" si="119"/>
        <v>18.399999999999999</v>
      </c>
      <c r="B993" s="1530" t="str">
        <f t="shared" si="119"/>
        <v>PROCUREMENT OF COMPLETE ASSEMBLY OF SAM MAKE ZM-II 530/02 (2 NOS) FOR REPLACEMENT OF HP PUMPS OF BOTTOM ASH &amp; COARSE ASH EVACUATION FROM BA/CA HOPPERS TO SLURRY TANK IN ASH WATER PUMP HOUSE. 0.75 0.89</v>
      </c>
      <c r="C993" s="1491" t="str">
        <f t="shared" si="119"/>
        <v>Yet to be approved</v>
      </c>
      <c r="D993" s="1531" t="str">
        <f t="shared" si="119"/>
        <v>-</v>
      </c>
      <c r="E993" s="1318">
        <f t="shared" si="119"/>
        <v>0</v>
      </c>
      <c r="F993" s="1437">
        <f t="shared" si="121"/>
        <v>0</v>
      </c>
      <c r="G993" s="1437">
        <f t="shared" si="122"/>
        <v>0</v>
      </c>
      <c r="H993" s="1437">
        <f t="shared" si="123"/>
        <v>0</v>
      </c>
      <c r="I993" s="1437">
        <v>0</v>
      </c>
      <c r="J993" s="1437">
        <v>0</v>
      </c>
      <c r="K993" s="1438"/>
      <c r="L993" s="1438"/>
      <c r="M993" s="1437">
        <f t="shared" si="120"/>
        <v>0</v>
      </c>
      <c r="N993" s="1437">
        <f t="shared" si="124"/>
        <v>0</v>
      </c>
    </row>
    <row r="994" spans="1:14" ht="29" outlineLevel="1">
      <c r="A994" s="1491">
        <f t="shared" si="119"/>
        <v>18.5</v>
      </c>
      <c r="B994" s="1530" t="str">
        <f t="shared" si="119"/>
        <v>Procurement of vacuum pumps complete assembly for AHP U-8 NPTPS Parli-V.</v>
      </c>
      <c r="C994" s="1491" t="str">
        <f t="shared" si="119"/>
        <v>Yet to be approved</v>
      </c>
      <c r="D994" s="1531" t="str">
        <f t="shared" si="119"/>
        <v>-</v>
      </c>
      <c r="E994" s="1318">
        <f t="shared" si="119"/>
        <v>0</v>
      </c>
      <c r="F994" s="1437">
        <f t="shared" si="121"/>
        <v>0</v>
      </c>
      <c r="G994" s="1437">
        <f t="shared" si="122"/>
        <v>0</v>
      </c>
      <c r="H994" s="1437">
        <f t="shared" si="123"/>
        <v>0</v>
      </c>
      <c r="I994" s="1437">
        <v>0</v>
      </c>
      <c r="J994" s="1437">
        <v>0</v>
      </c>
      <c r="K994" s="1438"/>
      <c r="L994" s="1438"/>
      <c r="M994" s="1437">
        <f t="shared" si="120"/>
        <v>0</v>
      </c>
      <c r="N994" s="1437">
        <f t="shared" si="124"/>
        <v>0</v>
      </c>
    </row>
    <row r="995" spans="1:14" ht="29" outlineLevel="1">
      <c r="A995" s="1491">
        <f t="shared" si="119"/>
        <v>18.600000000000001</v>
      </c>
      <c r="B995" s="1530" t="str">
        <f t="shared" si="119"/>
        <v>Procurement of vacuum pumps complete assembly for AHP U-8 NPTPS Parli-V.</v>
      </c>
      <c r="C995" s="1491" t="str">
        <f t="shared" si="119"/>
        <v>Yet to be approved</v>
      </c>
      <c r="D995" s="1531" t="str">
        <f t="shared" si="119"/>
        <v>-</v>
      </c>
      <c r="E995" s="1318">
        <f t="shared" si="119"/>
        <v>0</v>
      </c>
      <c r="F995" s="1437">
        <f t="shared" si="121"/>
        <v>0</v>
      </c>
      <c r="G995" s="1437">
        <f t="shared" si="122"/>
        <v>0</v>
      </c>
      <c r="H995" s="1437">
        <f t="shared" si="123"/>
        <v>0</v>
      </c>
      <c r="I995" s="1437">
        <v>0</v>
      </c>
      <c r="J995" s="1437">
        <v>0</v>
      </c>
      <c r="K995" s="1438"/>
      <c r="L995" s="1438"/>
      <c r="M995" s="1437">
        <f t="shared" si="120"/>
        <v>0</v>
      </c>
      <c r="N995" s="1437">
        <f t="shared" si="124"/>
        <v>0</v>
      </c>
    </row>
    <row r="996" spans="1:14" ht="29" outlineLevel="1">
      <c r="A996" s="1491">
        <f t="shared" si="119"/>
        <v>18.7</v>
      </c>
      <c r="B996" s="1530" t="str">
        <f t="shared" si="119"/>
        <v>Procurement of Feed Gate Complete Assembly along with modified metallurgy to enhance the life of Clinker Grinder.</v>
      </c>
      <c r="C996" s="1491" t="str">
        <f t="shared" si="119"/>
        <v>Yet to be approved</v>
      </c>
      <c r="D996" s="1531" t="str">
        <f t="shared" si="119"/>
        <v>-</v>
      </c>
      <c r="E996" s="1318">
        <f t="shared" si="119"/>
        <v>0</v>
      </c>
      <c r="F996" s="1437">
        <f t="shared" si="121"/>
        <v>0</v>
      </c>
      <c r="G996" s="1437">
        <f t="shared" si="122"/>
        <v>0</v>
      </c>
      <c r="H996" s="1437">
        <f t="shared" si="123"/>
        <v>0</v>
      </c>
      <c r="I996" s="1437">
        <v>0</v>
      </c>
      <c r="J996" s="1437">
        <v>0</v>
      </c>
      <c r="K996" s="1438"/>
      <c r="L996" s="1438"/>
      <c r="M996" s="1437">
        <f t="shared" si="120"/>
        <v>0</v>
      </c>
      <c r="N996" s="1437">
        <f t="shared" si="124"/>
        <v>0</v>
      </c>
    </row>
    <row r="997" spans="1:14" ht="29" outlineLevel="1">
      <c r="A997" s="1491">
        <f t="shared" si="119"/>
        <v>18.8</v>
      </c>
      <c r="B997" s="1530" t="str">
        <f t="shared" si="119"/>
        <v>Procurement of Double Roll Clinker Grinder Complete Assembly with Drive Unit installed at AHP</v>
      </c>
      <c r="C997" s="1491" t="str">
        <f t="shared" si="119"/>
        <v>Yet to be approved</v>
      </c>
      <c r="D997" s="1531" t="str">
        <f t="shared" si="119"/>
        <v>-</v>
      </c>
      <c r="E997" s="1318">
        <f t="shared" si="119"/>
        <v>0</v>
      </c>
      <c r="F997" s="1437">
        <f t="shared" si="121"/>
        <v>0</v>
      </c>
      <c r="G997" s="1437">
        <f t="shared" si="122"/>
        <v>0</v>
      </c>
      <c r="H997" s="1437">
        <f t="shared" si="123"/>
        <v>0</v>
      </c>
      <c r="I997" s="1437">
        <v>0</v>
      </c>
      <c r="J997" s="1437">
        <v>0</v>
      </c>
      <c r="K997" s="1438"/>
      <c r="L997" s="1438"/>
      <c r="M997" s="1437">
        <f t="shared" si="120"/>
        <v>0</v>
      </c>
      <c r="N997" s="1437">
        <f t="shared" si="124"/>
        <v>0</v>
      </c>
    </row>
    <row r="998" spans="1:14" ht="29" outlineLevel="1">
      <c r="A998" s="1491">
        <f t="shared" si="119"/>
        <v>18.899999999999999</v>
      </c>
      <c r="B998" s="1530" t="str">
        <f t="shared" si="119"/>
        <v>Procurement of Instrument Air Dryers assembly for performance improvement</v>
      </c>
      <c r="C998" s="1491" t="str">
        <f t="shared" si="119"/>
        <v>Yet to be approved</v>
      </c>
      <c r="D998" s="1531" t="str">
        <f t="shared" si="119"/>
        <v>-</v>
      </c>
      <c r="E998" s="1318">
        <f t="shared" si="119"/>
        <v>0</v>
      </c>
      <c r="F998" s="1437">
        <f t="shared" si="121"/>
        <v>0</v>
      </c>
      <c r="G998" s="1437">
        <f t="shared" si="122"/>
        <v>0</v>
      </c>
      <c r="H998" s="1437">
        <f t="shared" si="123"/>
        <v>0</v>
      </c>
      <c r="I998" s="1437">
        <v>0</v>
      </c>
      <c r="J998" s="1437">
        <v>0</v>
      </c>
      <c r="K998" s="1438"/>
      <c r="L998" s="1438"/>
      <c r="M998" s="1437">
        <f t="shared" si="120"/>
        <v>0</v>
      </c>
      <c r="N998" s="1437">
        <f t="shared" si="124"/>
        <v>0</v>
      </c>
    </row>
    <row r="999" spans="1:14" ht="43.5" outlineLevel="1">
      <c r="A999" s="1491">
        <f t="shared" si="119"/>
        <v>18.100000000000001</v>
      </c>
      <c r="B999" s="1530" t="str">
        <f t="shared" si="119"/>
        <v>Procurement of various types of Isolation Valves assembly, Dome Valves assembly, Root Valve Assembly &amp; Expansion Bellows Assembly for Dry Ash Conveing performance improvement</v>
      </c>
      <c r="C999" s="1491" t="str">
        <f t="shared" si="119"/>
        <v>Yet to be approved</v>
      </c>
      <c r="D999" s="1531" t="str">
        <f t="shared" si="119"/>
        <v>-</v>
      </c>
      <c r="E999" s="1318">
        <f t="shared" si="119"/>
        <v>0</v>
      </c>
      <c r="F999" s="1437">
        <f t="shared" si="121"/>
        <v>0</v>
      </c>
      <c r="G999" s="1437">
        <f t="shared" si="122"/>
        <v>0</v>
      </c>
      <c r="H999" s="1437">
        <f t="shared" si="123"/>
        <v>0</v>
      </c>
      <c r="I999" s="1437">
        <v>0</v>
      </c>
      <c r="J999" s="1437">
        <v>0</v>
      </c>
      <c r="K999" s="1438"/>
      <c r="L999" s="1438"/>
      <c r="M999" s="1437">
        <f t="shared" si="120"/>
        <v>0</v>
      </c>
      <c r="N999" s="1437">
        <f t="shared" si="124"/>
        <v>0</v>
      </c>
    </row>
    <row r="1000" spans="1:14" ht="31" outlineLevel="1">
      <c r="A1000" s="1533">
        <f t="shared" si="119"/>
        <v>19</v>
      </c>
      <c r="B1000" s="1534" t="str">
        <f t="shared" si="119"/>
        <v>DPR on ash handling plant improvement scheme for AHP U-8 NPTPS Parli-V.</v>
      </c>
      <c r="C1000" s="1491" t="str">
        <f t="shared" si="119"/>
        <v>Yet to be approved</v>
      </c>
      <c r="D1000" s="1531" t="str">
        <f t="shared" si="119"/>
        <v>-</v>
      </c>
      <c r="E1000" s="1318">
        <f t="shared" si="119"/>
        <v>0</v>
      </c>
      <c r="F1000" s="1437">
        <f t="shared" si="121"/>
        <v>0</v>
      </c>
      <c r="G1000" s="1437">
        <f t="shared" si="122"/>
        <v>0</v>
      </c>
      <c r="H1000" s="1437">
        <f t="shared" si="123"/>
        <v>0</v>
      </c>
      <c r="I1000" s="1437">
        <v>0</v>
      </c>
      <c r="J1000" s="1437">
        <v>0</v>
      </c>
      <c r="K1000" s="1438"/>
      <c r="L1000" s="1438"/>
      <c r="M1000" s="1437">
        <f t="shared" si="120"/>
        <v>0</v>
      </c>
      <c r="N1000" s="1437">
        <f t="shared" si="124"/>
        <v>0</v>
      </c>
    </row>
    <row r="1001" spans="1:14" ht="29" outlineLevel="1">
      <c r="A1001" s="1491">
        <f t="shared" si="119"/>
        <v>19.100000000000001</v>
      </c>
      <c r="B1001" s="1530" t="str">
        <f t="shared" si="119"/>
        <v>Design, supply, erection, installation &amp; comissioning of DM water close loop cooling system for air compressors at AHP U-8.</v>
      </c>
      <c r="C1001" s="1491" t="str">
        <f t="shared" si="119"/>
        <v>Yet to be approved</v>
      </c>
      <c r="D1001" s="1531" t="str">
        <f t="shared" si="119"/>
        <v>-</v>
      </c>
      <c r="E1001" s="1318">
        <f t="shared" si="119"/>
        <v>0</v>
      </c>
      <c r="F1001" s="1437">
        <f t="shared" si="121"/>
        <v>0</v>
      </c>
      <c r="G1001" s="1437">
        <f t="shared" si="122"/>
        <v>0</v>
      </c>
      <c r="H1001" s="1437">
        <f t="shared" si="123"/>
        <v>0</v>
      </c>
      <c r="I1001" s="1437">
        <v>0</v>
      </c>
      <c r="J1001" s="1437">
        <v>0</v>
      </c>
      <c r="K1001" s="1438"/>
      <c r="L1001" s="1438"/>
      <c r="M1001" s="1437">
        <f t="shared" si="120"/>
        <v>0</v>
      </c>
      <c r="N1001" s="1437">
        <f t="shared" si="124"/>
        <v>0</v>
      </c>
    </row>
    <row r="1002" spans="1:14" ht="29" outlineLevel="1">
      <c r="A1002" s="1491">
        <f t="shared" ref="A1002:E1017" si="125">A609</f>
        <v>19.2</v>
      </c>
      <c r="B1002" s="1530" t="str">
        <f t="shared" si="125"/>
        <v>Up-gradation of Existing Schneider make PLC (HMI + PLC hardware) installed at AHP Unit -8 at Parli TPS.</v>
      </c>
      <c r="C1002" s="1491" t="str">
        <f t="shared" si="125"/>
        <v>Yet to be approved</v>
      </c>
      <c r="D1002" s="1531" t="str">
        <f t="shared" si="125"/>
        <v>-</v>
      </c>
      <c r="E1002" s="1318">
        <f t="shared" si="125"/>
        <v>0</v>
      </c>
      <c r="F1002" s="1437">
        <f t="shared" si="121"/>
        <v>0</v>
      </c>
      <c r="G1002" s="1437">
        <f t="shared" si="122"/>
        <v>0</v>
      </c>
      <c r="H1002" s="1437">
        <f t="shared" si="123"/>
        <v>0</v>
      </c>
      <c r="I1002" s="1437">
        <v>0</v>
      </c>
      <c r="J1002" s="1437">
        <v>0</v>
      </c>
      <c r="K1002" s="1438"/>
      <c r="L1002" s="1438"/>
      <c r="M1002" s="1437">
        <f t="shared" si="120"/>
        <v>0</v>
      </c>
      <c r="N1002" s="1437">
        <f t="shared" si="124"/>
        <v>0</v>
      </c>
    </row>
    <row r="1003" spans="1:14" outlineLevel="1">
      <c r="A1003" s="1491">
        <f t="shared" si="125"/>
        <v>19.3</v>
      </c>
      <c r="B1003" s="1530" t="str">
        <f t="shared" si="125"/>
        <v>Procurement of HT motors for AHP U-8 Parli TPS.</v>
      </c>
      <c r="C1003" s="1491" t="str">
        <f t="shared" si="125"/>
        <v>Yet to be approved</v>
      </c>
      <c r="D1003" s="1531" t="str">
        <f t="shared" si="125"/>
        <v>-</v>
      </c>
      <c r="E1003" s="1318">
        <f t="shared" si="125"/>
        <v>0</v>
      </c>
      <c r="F1003" s="1437">
        <f t="shared" si="121"/>
        <v>0</v>
      </c>
      <c r="G1003" s="1437">
        <f t="shared" si="122"/>
        <v>0</v>
      </c>
      <c r="H1003" s="1437">
        <f t="shared" si="123"/>
        <v>0</v>
      </c>
      <c r="I1003" s="1437">
        <v>0</v>
      </c>
      <c r="J1003" s="1437">
        <v>0</v>
      </c>
      <c r="K1003" s="1438"/>
      <c r="L1003" s="1438"/>
      <c r="M1003" s="1437">
        <f t="shared" si="120"/>
        <v>0</v>
      </c>
      <c r="N1003" s="1437">
        <f t="shared" si="124"/>
        <v>0</v>
      </c>
    </row>
    <row r="1004" spans="1:14" ht="43.5" outlineLevel="1">
      <c r="A1004" s="1491">
        <f t="shared" si="125"/>
        <v>19.399999999999999</v>
      </c>
      <c r="B1004" s="1530" t="str">
        <f t="shared" si="125"/>
        <v>PROCUREMENT OF CRITICAL GEARBOXES AND FLUID COUPLINGS INTERNAL ASSEMBLIES FOR SLURRY PUMPS AND SILO HCSD SYSTEM INSTALLED AT AHP, PARLI TPS.</v>
      </c>
      <c r="C1004" s="1491" t="str">
        <f t="shared" si="125"/>
        <v>Yet to be approved</v>
      </c>
      <c r="D1004" s="1531" t="str">
        <f t="shared" si="125"/>
        <v>-</v>
      </c>
      <c r="E1004" s="1318">
        <f t="shared" si="125"/>
        <v>0</v>
      </c>
      <c r="F1004" s="1437">
        <f t="shared" si="121"/>
        <v>0</v>
      </c>
      <c r="G1004" s="1437">
        <f t="shared" si="122"/>
        <v>0</v>
      </c>
      <c r="H1004" s="1437">
        <f t="shared" si="123"/>
        <v>0</v>
      </c>
      <c r="I1004" s="1437">
        <v>0</v>
      </c>
      <c r="J1004" s="1437">
        <v>0</v>
      </c>
      <c r="K1004" s="1438"/>
      <c r="L1004" s="1438"/>
      <c r="M1004" s="1437">
        <f t="shared" si="120"/>
        <v>0</v>
      </c>
      <c r="N1004" s="1437">
        <f t="shared" si="124"/>
        <v>0</v>
      </c>
    </row>
    <row r="1005" spans="1:14" ht="43.5" outlineLevel="1">
      <c r="A1005" s="1491">
        <f t="shared" si="125"/>
        <v>19.5</v>
      </c>
      <c r="B1005" s="1530" t="str">
        <f t="shared" si="125"/>
        <v>Procurement of Atlas Copco Make Instrument Air Compressors Critical/Non-Critical Spares sub-assembly for performance improvement</v>
      </c>
      <c r="C1005" s="1491" t="str">
        <f t="shared" si="125"/>
        <v>Yet to be approved</v>
      </c>
      <c r="D1005" s="1531" t="str">
        <f t="shared" si="125"/>
        <v>-</v>
      </c>
      <c r="E1005" s="1318">
        <f t="shared" si="125"/>
        <v>0</v>
      </c>
      <c r="F1005" s="1437">
        <f t="shared" si="121"/>
        <v>0</v>
      </c>
      <c r="G1005" s="1437">
        <f t="shared" si="122"/>
        <v>0</v>
      </c>
      <c r="H1005" s="1437">
        <f t="shared" si="123"/>
        <v>0</v>
      </c>
      <c r="I1005" s="1437">
        <v>0</v>
      </c>
      <c r="J1005" s="1437">
        <v>0</v>
      </c>
      <c r="K1005" s="1438"/>
      <c r="L1005" s="1438"/>
      <c r="M1005" s="1437">
        <f t="shared" si="120"/>
        <v>0</v>
      </c>
      <c r="N1005" s="1437">
        <f t="shared" si="124"/>
        <v>0</v>
      </c>
    </row>
    <row r="1006" spans="1:14" ht="43.5" outlineLevel="1">
      <c r="A1006" s="1491">
        <f t="shared" si="125"/>
        <v>19.600000000000001</v>
      </c>
      <c r="B1006" s="1530" t="str">
        <f t="shared" si="125"/>
        <v>Upgradation and improvement in Hopper Temperature monitoring system by providing Rf Type Hopper Level Sensors for performance improvement of conveying of Dry ash evacuation system.</v>
      </c>
      <c r="C1006" s="1491" t="str">
        <f t="shared" si="125"/>
        <v>Yet to be approved</v>
      </c>
      <c r="D1006" s="1531" t="str">
        <f t="shared" si="125"/>
        <v>-</v>
      </c>
      <c r="E1006" s="1318">
        <f t="shared" si="125"/>
        <v>0</v>
      </c>
      <c r="F1006" s="1437">
        <f t="shared" si="121"/>
        <v>0</v>
      </c>
      <c r="G1006" s="1437">
        <f t="shared" si="122"/>
        <v>0</v>
      </c>
      <c r="H1006" s="1437">
        <f t="shared" si="123"/>
        <v>0</v>
      </c>
      <c r="I1006" s="1437">
        <v>0</v>
      </c>
      <c r="J1006" s="1437">
        <v>0</v>
      </c>
      <c r="K1006" s="1438"/>
      <c r="L1006" s="1438"/>
      <c r="M1006" s="1437">
        <f t="shared" si="120"/>
        <v>0</v>
      </c>
      <c r="N1006" s="1437">
        <f t="shared" si="124"/>
        <v>0</v>
      </c>
    </row>
    <row r="1007" spans="1:14" ht="31" outlineLevel="1">
      <c r="A1007" s="1533">
        <f t="shared" si="125"/>
        <v>20</v>
      </c>
      <c r="B1007" s="1534" t="str">
        <f t="shared" si="125"/>
        <v>DPR on ash handling plant improvement scheme for AHP U-8 NPTPS Parli-V.</v>
      </c>
      <c r="C1007" s="1491" t="str">
        <f t="shared" si="125"/>
        <v>Yet to be approved</v>
      </c>
      <c r="D1007" s="1531" t="str">
        <f t="shared" si="125"/>
        <v>-</v>
      </c>
      <c r="E1007" s="1318">
        <f t="shared" si="125"/>
        <v>0</v>
      </c>
      <c r="F1007" s="1437">
        <f t="shared" si="121"/>
        <v>0</v>
      </c>
      <c r="G1007" s="1437">
        <f t="shared" si="122"/>
        <v>0</v>
      </c>
      <c r="H1007" s="1437">
        <f t="shared" si="123"/>
        <v>0</v>
      </c>
      <c r="I1007" s="1437">
        <v>0</v>
      </c>
      <c r="J1007" s="1437">
        <v>0</v>
      </c>
      <c r="K1007" s="1438"/>
      <c r="L1007" s="1438"/>
      <c r="M1007" s="1437">
        <f t="shared" si="120"/>
        <v>0</v>
      </c>
      <c r="N1007" s="1437">
        <f t="shared" si="124"/>
        <v>0</v>
      </c>
    </row>
    <row r="1008" spans="1:14" ht="29" outlineLevel="1">
      <c r="A1008" s="1491">
        <f t="shared" si="125"/>
        <v>20.100000000000001</v>
      </c>
      <c r="B1008" s="1530" t="str">
        <f t="shared" si="125"/>
        <v xml:space="preserve"> Design, supply, erection, installation &amp; comissioning ESP 1st &amp; 2nd field dry fly ash evacuation &amp; conveying system at AHP U-8.</v>
      </c>
      <c r="C1008" s="1491" t="str">
        <f t="shared" si="125"/>
        <v>Yet to be approved</v>
      </c>
      <c r="D1008" s="1531" t="str">
        <f t="shared" si="125"/>
        <v>-</v>
      </c>
      <c r="E1008" s="1318">
        <f t="shared" si="125"/>
        <v>0</v>
      </c>
      <c r="F1008" s="1437">
        <f t="shared" si="121"/>
        <v>0</v>
      </c>
      <c r="G1008" s="1437">
        <f t="shared" si="122"/>
        <v>0</v>
      </c>
      <c r="H1008" s="1437">
        <f t="shared" si="123"/>
        <v>0</v>
      </c>
      <c r="I1008" s="1437">
        <v>0</v>
      </c>
      <c r="J1008" s="1437">
        <v>0</v>
      </c>
      <c r="K1008" s="1438"/>
      <c r="L1008" s="1438"/>
      <c r="M1008" s="1437">
        <f t="shared" si="120"/>
        <v>0</v>
      </c>
      <c r="N1008" s="1437">
        <f t="shared" si="124"/>
        <v>0</v>
      </c>
    </row>
    <row r="1009" spans="1:14" ht="43.5" outlineLevel="1">
      <c r="A1009" s="1491">
        <f t="shared" si="125"/>
        <v>20.2</v>
      </c>
      <c r="B1009" s="1530" t="str">
        <f t="shared" si="125"/>
        <v>Design, supply, erection, installation &amp; comissioning of dry ash evacuation &amp; conveying system for APH &amp; Economiser ash hoppers at AHP U-8.</v>
      </c>
      <c r="C1009" s="1491" t="str">
        <f t="shared" si="125"/>
        <v>Yet to be approved</v>
      </c>
      <c r="D1009" s="1531" t="str">
        <f t="shared" si="125"/>
        <v>-</v>
      </c>
      <c r="E1009" s="1318">
        <f t="shared" si="125"/>
        <v>0</v>
      </c>
      <c r="F1009" s="1437">
        <f t="shared" si="121"/>
        <v>0</v>
      </c>
      <c r="G1009" s="1437">
        <f t="shared" si="122"/>
        <v>0</v>
      </c>
      <c r="H1009" s="1437">
        <f t="shared" si="123"/>
        <v>0</v>
      </c>
      <c r="I1009" s="1437">
        <v>0</v>
      </c>
      <c r="J1009" s="1437">
        <v>0</v>
      </c>
      <c r="K1009" s="1438"/>
      <c r="L1009" s="1438"/>
      <c r="M1009" s="1437">
        <f t="shared" si="120"/>
        <v>0</v>
      </c>
      <c r="N1009" s="1437">
        <f t="shared" si="124"/>
        <v>0</v>
      </c>
    </row>
    <row r="1010" spans="1:14" ht="15.5" outlineLevel="1">
      <c r="A1010" s="1533">
        <f t="shared" si="125"/>
        <v>21</v>
      </c>
      <c r="B1010" s="1534" t="str">
        <f t="shared" si="125"/>
        <v>Verious Civil schemes in Unit 8 NPTPS  Parli V.</v>
      </c>
      <c r="C1010" s="1491" t="str">
        <f t="shared" si="125"/>
        <v>Yet to be approved</v>
      </c>
      <c r="D1010" s="1531" t="str">
        <f t="shared" si="125"/>
        <v>-</v>
      </c>
      <c r="E1010" s="1318">
        <f t="shared" si="125"/>
        <v>0</v>
      </c>
      <c r="F1010" s="1437">
        <f t="shared" si="121"/>
        <v>0</v>
      </c>
      <c r="G1010" s="1437">
        <f t="shared" si="122"/>
        <v>0</v>
      </c>
      <c r="H1010" s="1437">
        <f t="shared" si="123"/>
        <v>0</v>
      </c>
      <c r="I1010" s="1437">
        <v>0</v>
      </c>
      <c r="J1010" s="1437">
        <v>0</v>
      </c>
      <c r="K1010" s="1438"/>
      <c r="L1010" s="1438"/>
      <c r="M1010" s="1437">
        <f t="shared" si="120"/>
        <v>0</v>
      </c>
      <c r="N1010" s="1437">
        <f t="shared" si="124"/>
        <v>0</v>
      </c>
    </row>
    <row r="1011" spans="1:14" outlineLevel="1">
      <c r="A1011" s="1491">
        <f t="shared" si="125"/>
        <v>21.1</v>
      </c>
      <c r="B1011" s="1530" t="str">
        <f t="shared" si="125"/>
        <v>Construction of chemical laboratory building at Unit 8, NPTPS, Parli V.</v>
      </c>
      <c r="C1011" s="1491" t="str">
        <f t="shared" si="125"/>
        <v>Yet to be approved</v>
      </c>
      <c r="D1011" s="1531" t="str">
        <f t="shared" si="125"/>
        <v>-</v>
      </c>
      <c r="E1011" s="1318">
        <f t="shared" si="125"/>
        <v>0</v>
      </c>
      <c r="F1011" s="1437">
        <f t="shared" si="121"/>
        <v>0</v>
      </c>
      <c r="G1011" s="1437">
        <f t="shared" si="122"/>
        <v>0</v>
      </c>
      <c r="H1011" s="1437">
        <f t="shared" si="123"/>
        <v>0</v>
      </c>
      <c r="I1011" s="1437">
        <v>0</v>
      </c>
      <c r="J1011" s="1437">
        <v>0</v>
      </c>
      <c r="K1011" s="1438"/>
      <c r="L1011" s="1438"/>
      <c r="M1011" s="1437">
        <f t="shared" si="120"/>
        <v>0</v>
      </c>
      <c r="N1011" s="1437">
        <f t="shared" si="124"/>
        <v>0</v>
      </c>
    </row>
    <row r="1012" spans="1:14" ht="29" outlineLevel="1">
      <c r="A1012" s="1491">
        <f t="shared" si="125"/>
        <v>21.2</v>
      </c>
      <c r="B1012" s="1530" t="str">
        <f t="shared" si="125"/>
        <v>Construction of Alum/salt storage area at Unit No.8 (1X250MW) NPTPS Parli Vaijnath.</v>
      </c>
      <c r="C1012" s="1491" t="str">
        <f t="shared" si="125"/>
        <v>Yet to be approved</v>
      </c>
      <c r="D1012" s="1531" t="str">
        <f t="shared" si="125"/>
        <v>-</v>
      </c>
      <c r="E1012" s="1318">
        <f t="shared" si="125"/>
        <v>0</v>
      </c>
      <c r="F1012" s="1437">
        <f t="shared" si="121"/>
        <v>0</v>
      </c>
      <c r="G1012" s="1437">
        <f t="shared" si="122"/>
        <v>0</v>
      </c>
      <c r="H1012" s="1437">
        <f t="shared" si="123"/>
        <v>0</v>
      </c>
      <c r="I1012" s="1437">
        <v>0</v>
      </c>
      <c r="J1012" s="1437">
        <v>0</v>
      </c>
      <c r="K1012" s="1438"/>
      <c r="L1012" s="1438"/>
      <c r="M1012" s="1437">
        <f t="shared" si="120"/>
        <v>0</v>
      </c>
      <c r="N1012" s="1437">
        <f t="shared" si="124"/>
        <v>0</v>
      </c>
    </row>
    <row r="1013" spans="1:14" outlineLevel="1">
      <c r="A1013" s="1491">
        <f t="shared" si="125"/>
        <v>21.3</v>
      </c>
      <c r="B1013" s="1530" t="str">
        <f t="shared" si="125"/>
        <v>Construction of Fire Fighting station  at Unit-8,  NPTPS  Parli V.</v>
      </c>
      <c r="C1013" s="1491" t="str">
        <f t="shared" si="125"/>
        <v>Yet to be approved</v>
      </c>
      <c r="D1013" s="1531" t="str">
        <f t="shared" si="125"/>
        <v>-</v>
      </c>
      <c r="E1013" s="1318">
        <f t="shared" si="125"/>
        <v>0</v>
      </c>
      <c r="F1013" s="1437">
        <f t="shared" si="121"/>
        <v>0</v>
      </c>
      <c r="G1013" s="1437">
        <f t="shared" si="122"/>
        <v>0</v>
      </c>
      <c r="H1013" s="1437">
        <f t="shared" si="123"/>
        <v>0</v>
      </c>
      <c r="I1013" s="1437">
        <v>0</v>
      </c>
      <c r="J1013" s="1437">
        <v>0</v>
      </c>
      <c r="K1013" s="1438"/>
      <c r="L1013" s="1438"/>
      <c r="M1013" s="1437">
        <f t="shared" si="120"/>
        <v>0</v>
      </c>
      <c r="N1013" s="1437">
        <f t="shared" si="124"/>
        <v>0</v>
      </c>
    </row>
    <row r="1014" spans="1:14" outlineLevel="1">
      <c r="A1014" s="1491">
        <f t="shared" si="125"/>
        <v>21.4</v>
      </c>
      <c r="B1014" s="1530" t="str">
        <f t="shared" si="125"/>
        <v xml:space="preserve">Construction of workshop building at Unit-8,  NPTPS  Parli V. </v>
      </c>
      <c r="C1014" s="1491" t="str">
        <f t="shared" si="125"/>
        <v>Yet to be approved</v>
      </c>
      <c r="D1014" s="1531" t="str">
        <f t="shared" si="125"/>
        <v>-</v>
      </c>
      <c r="E1014" s="1318">
        <f t="shared" si="125"/>
        <v>0</v>
      </c>
      <c r="F1014" s="1437">
        <f t="shared" si="121"/>
        <v>0</v>
      </c>
      <c r="G1014" s="1437">
        <f t="shared" si="122"/>
        <v>0</v>
      </c>
      <c r="H1014" s="1437">
        <f t="shared" si="123"/>
        <v>0</v>
      </c>
      <c r="I1014" s="1437">
        <v>0</v>
      </c>
      <c r="J1014" s="1437">
        <v>0</v>
      </c>
      <c r="K1014" s="1438"/>
      <c r="L1014" s="1438"/>
      <c r="M1014" s="1437">
        <f t="shared" si="120"/>
        <v>0</v>
      </c>
      <c r="N1014" s="1437">
        <f t="shared" si="124"/>
        <v>0</v>
      </c>
    </row>
    <row r="1015" spans="1:14" ht="15.5" outlineLevel="1">
      <c r="A1015" s="1533">
        <f t="shared" si="125"/>
        <v>22</v>
      </c>
      <c r="B1015" s="1534" t="str">
        <f t="shared" si="125"/>
        <v>CHP improvement scheme at 250 MW</v>
      </c>
      <c r="C1015" s="1491">
        <f t="shared" si="125"/>
        <v>0</v>
      </c>
      <c r="D1015" s="1531" t="str">
        <f t="shared" si="125"/>
        <v>-</v>
      </c>
      <c r="E1015" s="1318">
        <f t="shared" si="125"/>
        <v>0</v>
      </c>
      <c r="F1015" s="1437">
        <f t="shared" si="121"/>
        <v>0</v>
      </c>
      <c r="G1015" s="1437">
        <f t="shared" si="122"/>
        <v>0</v>
      </c>
      <c r="H1015" s="1437">
        <f t="shared" si="123"/>
        <v>0</v>
      </c>
      <c r="I1015" s="1437">
        <v>0</v>
      </c>
      <c r="J1015" s="1437">
        <v>0</v>
      </c>
      <c r="K1015" s="1438"/>
      <c r="L1015" s="1438"/>
      <c r="M1015" s="1437">
        <f t="shared" si="120"/>
        <v>0</v>
      </c>
      <c r="N1015" s="1437">
        <f t="shared" si="124"/>
        <v>0</v>
      </c>
    </row>
    <row r="1016" spans="1:14" outlineLevel="1">
      <c r="A1016" s="1491">
        <f t="shared" si="125"/>
        <v>22.1</v>
      </c>
      <c r="B1016" s="1530" t="str">
        <f t="shared" si="125"/>
        <v>CHP improvement scheme at 250 MW</v>
      </c>
      <c r="C1016" s="1491">
        <f t="shared" si="125"/>
        <v>0</v>
      </c>
      <c r="D1016" s="1531" t="str">
        <f t="shared" si="125"/>
        <v>-</v>
      </c>
      <c r="E1016" s="1318">
        <f t="shared" si="125"/>
        <v>0</v>
      </c>
      <c r="F1016" s="1437">
        <f t="shared" si="121"/>
        <v>0</v>
      </c>
      <c r="G1016" s="1437">
        <f t="shared" si="122"/>
        <v>0</v>
      </c>
      <c r="H1016" s="1437">
        <f t="shared" si="123"/>
        <v>0</v>
      </c>
      <c r="I1016" s="1437">
        <v>0</v>
      </c>
      <c r="J1016" s="1437">
        <v>0</v>
      </c>
      <c r="K1016" s="1438"/>
      <c r="L1016" s="1438"/>
      <c r="M1016" s="1437">
        <f t="shared" si="120"/>
        <v>0</v>
      </c>
      <c r="N1016" s="1437">
        <f t="shared" si="124"/>
        <v>0</v>
      </c>
    </row>
    <row r="1017" spans="1:14" outlineLevel="1">
      <c r="A1017" s="1420">
        <f t="shared" si="125"/>
        <v>0</v>
      </c>
      <c r="B1017" s="1421" t="str">
        <f t="shared" si="125"/>
        <v>B) Non-DPR</v>
      </c>
      <c r="C1017" s="1491">
        <f t="shared" si="125"/>
        <v>0</v>
      </c>
      <c r="D1017" s="1531" t="str">
        <f t="shared" si="125"/>
        <v>-</v>
      </c>
      <c r="E1017" s="1318">
        <f t="shared" si="125"/>
        <v>0</v>
      </c>
      <c r="F1017" s="1437">
        <f t="shared" si="121"/>
        <v>0</v>
      </c>
      <c r="G1017" s="1437">
        <f t="shared" si="122"/>
        <v>0</v>
      </c>
      <c r="H1017" s="1437">
        <f t="shared" si="123"/>
        <v>0</v>
      </c>
      <c r="I1017" s="1437">
        <v>0</v>
      </c>
      <c r="J1017" s="1437">
        <v>0</v>
      </c>
      <c r="K1017" s="1438"/>
      <c r="L1017" s="1438"/>
      <c r="M1017" s="1437">
        <f t="shared" si="120"/>
        <v>0</v>
      </c>
      <c r="N1017" s="1437">
        <f t="shared" si="124"/>
        <v>0</v>
      </c>
    </row>
    <row r="1018" spans="1:14" ht="15.5" outlineLevel="1">
      <c r="A1018" s="1533">
        <f t="shared" ref="A1018:E1033" si="126">A625</f>
        <v>0</v>
      </c>
      <c r="B1018" s="1534">
        <f t="shared" si="126"/>
        <v>0</v>
      </c>
      <c r="C1018" s="1491">
        <f t="shared" si="126"/>
        <v>0</v>
      </c>
      <c r="D1018" s="1531" t="str">
        <f t="shared" si="126"/>
        <v>-</v>
      </c>
      <c r="E1018" s="1318">
        <f t="shared" si="126"/>
        <v>0</v>
      </c>
      <c r="F1018" s="1437">
        <f t="shared" si="121"/>
        <v>0.56615120600000002</v>
      </c>
      <c r="G1018" s="1437">
        <f t="shared" si="122"/>
        <v>0.56615120600000002</v>
      </c>
      <c r="H1018" s="1437">
        <f t="shared" si="123"/>
        <v>0</v>
      </c>
      <c r="I1018" s="1437">
        <v>0</v>
      </c>
      <c r="J1018" s="1437">
        <v>0</v>
      </c>
      <c r="K1018" s="1438"/>
      <c r="L1018" s="1438"/>
      <c r="M1018" s="1437">
        <f t="shared" si="120"/>
        <v>0</v>
      </c>
      <c r="N1018" s="1437">
        <f t="shared" si="124"/>
        <v>0</v>
      </c>
    </row>
    <row r="1019" spans="1:14" ht="15.5" outlineLevel="1">
      <c r="A1019" s="1493">
        <f t="shared" si="126"/>
        <v>0</v>
      </c>
      <c r="B1019" s="1494" t="str">
        <f t="shared" si="126"/>
        <v>B) GA</v>
      </c>
      <c r="C1019" s="1491">
        <f t="shared" si="126"/>
        <v>0</v>
      </c>
      <c r="D1019" s="1531" t="str">
        <f t="shared" si="126"/>
        <v>-</v>
      </c>
      <c r="E1019" s="1318">
        <f t="shared" si="126"/>
        <v>0</v>
      </c>
      <c r="F1019" s="1437">
        <f t="shared" si="121"/>
        <v>0.34312365099999997</v>
      </c>
      <c r="G1019" s="1437">
        <f t="shared" si="122"/>
        <v>0.40371165099999995</v>
      </c>
      <c r="H1019" s="1437">
        <f t="shared" si="123"/>
        <v>-6.0587999999999975E-2</v>
      </c>
      <c r="I1019" s="1437">
        <v>0</v>
      </c>
      <c r="J1019" s="1437">
        <v>0</v>
      </c>
      <c r="K1019" s="1438"/>
      <c r="L1019" s="1438"/>
      <c r="M1019" s="1437">
        <f t="shared" si="120"/>
        <v>0</v>
      </c>
      <c r="N1019" s="1437">
        <f t="shared" si="124"/>
        <v>-6.0587999999999975E-2</v>
      </c>
    </row>
    <row r="1020" spans="1:14" outlineLevel="1">
      <c r="A1020" s="1499">
        <f t="shared" si="126"/>
        <v>0</v>
      </c>
      <c r="B1020" s="1539">
        <f t="shared" si="126"/>
        <v>0</v>
      </c>
      <c r="C1020" s="1491">
        <f t="shared" si="126"/>
        <v>0</v>
      </c>
      <c r="D1020" s="1531" t="str">
        <f t="shared" si="126"/>
        <v>-</v>
      </c>
      <c r="E1020" s="1318">
        <f t="shared" si="126"/>
        <v>0</v>
      </c>
      <c r="F1020" s="1437">
        <f t="shared" si="121"/>
        <v>0</v>
      </c>
      <c r="G1020" s="1437">
        <f t="shared" si="122"/>
        <v>0</v>
      </c>
      <c r="H1020" s="1437">
        <f t="shared" si="123"/>
        <v>0</v>
      </c>
      <c r="I1020" s="1437">
        <v>0.28999999999999998</v>
      </c>
      <c r="J1020" s="1437">
        <v>0</v>
      </c>
      <c r="K1020" s="1438"/>
      <c r="L1020" s="1438"/>
      <c r="M1020" s="1437">
        <f t="shared" si="120"/>
        <v>0</v>
      </c>
      <c r="N1020" s="1437">
        <f t="shared" si="124"/>
        <v>0.28999999999999998</v>
      </c>
    </row>
    <row r="1021" spans="1:14" ht="15.5" outlineLevel="1">
      <c r="A1021" s="1493">
        <f t="shared" si="126"/>
        <v>0</v>
      </c>
      <c r="B1021" s="1494" t="str">
        <f t="shared" si="126"/>
        <v>C) Asset received from Project U#8</v>
      </c>
      <c r="C1021" s="1491">
        <f t="shared" si="126"/>
        <v>0</v>
      </c>
      <c r="D1021" s="1531" t="str">
        <f t="shared" si="126"/>
        <v>-</v>
      </c>
      <c r="E1021" s="1318">
        <f t="shared" si="126"/>
        <v>0</v>
      </c>
      <c r="F1021" s="1437">
        <f t="shared" si="121"/>
        <v>0</v>
      </c>
      <c r="G1021" s="1437">
        <f t="shared" si="122"/>
        <v>0</v>
      </c>
      <c r="H1021" s="1437">
        <f t="shared" si="123"/>
        <v>0</v>
      </c>
      <c r="I1021" s="1437">
        <v>0</v>
      </c>
      <c r="J1021" s="1437">
        <v>0</v>
      </c>
      <c r="K1021" s="1438"/>
      <c r="L1021" s="1438"/>
      <c r="M1021" s="1437">
        <f t="shared" si="120"/>
        <v>0</v>
      </c>
      <c r="N1021" s="1437">
        <f t="shared" si="124"/>
        <v>0</v>
      </c>
    </row>
    <row r="1022" spans="1:14" outlineLevel="1">
      <c r="A1022" s="1499">
        <f t="shared" si="126"/>
        <v>1</v>
      </c>
      <c r="B1022" s="1539" t="str">
        <f t="shared" si="126"/>
        <v>Asset Recived From Civil-U#8-Land-10101</v>
      </c>
      <c r="C1022" s="1491" t="str">
        <f t="shared" si="126"/>
        <v>N.A.</v>
      </c>
      <c r="D1022" s="1531" t="str">
        <f t="shared" si="126"/>
        <v>-</v>
      </c>
      <c r="E1022" s="1318">
        <f t="shared" si="126"/>
        <v>0</v>
      </c>
      <c r="F1022" s="1437">
        <f t="shared" si="121"/>
        <v>3.1293089999999998E-3</v>
      </c>
      <c r="G1022" s="1437">
        <f t="shared" si="122"/>
        <v>0</v>
      </c>
      <c r="H1022" s="1437">
        <f t="shared" si="123"/>
        <v>3.1293089999999998E-3</v>
      </c>
      <c r="I1022" s="1437">
        <v>0</v>
      </c>
      <c r="J1022" s="1437">
        <v>0</v>
      </c>
      <c r="K1022" s="1438"/>
      <c r="L1022" s="1438"/>
      <c r="M1022" s="1437">
        <f t="shared" si="120"/>
        <v>0</v>
      </c>
      <c r="N1022" s="1437">
        <f t="shared" si="124"/>
        <v>3.1293089999999998E-3</v>
      </c>
    </row>
    <row r="1023" spans="1:14" outlineLevel="1">
      <c r="A1023" s="1499">
        <f t="shared" si="126"/>
        <v>2</v>
      </c>
      <c r="B1023" s="1539" t="str">
        <f t="shared" si="126"/>
        <v>Asset Recived From Civil-U#8-T.G. Building-10201</v>
      </c>
      <c r="C1023" s="1491" t="str">
        <f t="shared" si="126"/>
        <v>N.A.</v>
      </c>
      <c r="D1023" s="1531" t="str">
        <f t="shared" si="126"/>
        <v>-</v>
      </c>
      <c r="E1023" s="1318">
        <f t="shared" si="126"/>
        <v>0</v>
      </c>
      <c r="F1023" s="1437">
        <f t="shared" si="121"/>
        <v>1.0037712000000001E-2</v>
      </c>
      <c r="G1023" s="1437">
        <f t="shared" si="122"/>
        <v>0</v>
      </c>
      <c r="H1023" s="1437">
        <f t="shared" si="123"/>
        <v>1.0037712000000001E-2</v>
      </c>
      <c r="I1023" s="1437">
        <v>0</v>
      </c>
      <c r="J1023" s="1437">
        <v>0</v>
      </c>
      <c r="K1023" s="1438"/>
      <c r="L1023" s="1438"/>
      <c r="M1023" s="1437">
        <f t="shared" si="120"/>
        <v>0</v>
      </c>
      <c r="N1023" s="1437">
        <f t="shared" si="124"/>
        <v>1.0037712000000001E-2</v>
      </c>
    </row>
    <row r="1024" spans="1:14" ht="29" outlineLevel="1">
      <c r="A1024" s="1499">
        <f t="shared" si="126"/>
        <v>3</v>
      </c>
      <c r="B1024" s="1539" t="str">
        <f t="shared" si="126"/>
        <v>Asset Recived From Civil-U#8-T.G. Building(BC)bay&amp;control room-10201</v>
      </c>
      <c r="C1024" s="1491" t="str">
        <f t="shared" si="126"/>
        <v>N.A.</v>
      </c>
      <c r="D1024" s="1531" t="str">
        <f t="shared" si="126"/>
        <v>-</v>
      </c>
      <c r="E1024" s="1318">
        <f t="shared" si="126"/>
        <v>0</v>
      </c>
      <c r="F1024" s="1437">
        <f t="shared" si="121"/>
        <v>4.578426E-3</v>
      </c>
      <c r="G1024" s="1437">
        <f t="shared" si="122"/>
        <v>0</v>
      </c>
      <c r="H1024" s="1437">
        <f t="shared" si="123"/>
        <v>4.578426E-3</v>
      </c>
      <c r="I1024" s="1437">
        <v>0</v>
      </c>
      <c r="J1024" s="1437">
        <v>0</v>
      </c>
      <c r="K1024" s="1438"/>
      <c r="L1024" s="1438"/>
      <c r="M1024" s="1437">
        <f t="shared" si="120"/>
        <v>0</v>
      </c>
      <c r="N1024" s="1437">
        <f t="shared" si="124"/>
        <v>4.578426E-3</v>
      </c>
    </row>
    <row r="1025" spans="1:14" ht="29" outlineLevel="1">
      <c r="A1025" s="1499">
        <f t="shared" si="126"/>
        <v>4</v>
      </c>
      <c r="B1025" s="1539" t="str">
        <f t="shared" si="126"/>
        <v>Asset Recived From Civil-U#8-StructuralSteelWorks4TGBldgA2EBays-10201</v>
      </c>
      <c r="C1025" s="1491" t="str">
        <f t="shared" si="126"/>
        <v>N.A.</v>
      </c>
      <c r="D1025" s="1531" t="str">
        <f t="shared" si="126"/>
        <v>-</v>
      </c>
      <c r="E1025" s="1318">
        <f t="shared" si="126"/>
        <v>0</v>
      </c>
      <c r="F1025" s="1437">
        <f t="shared" si="121"/>
        <v>1.397639E-3</v>
      </c>
      <c r="G1025" s="1437">
        <f t="shared" si="122"/>
        <v>0</v>
      </c>
      <c r="H1025" s="1437">
        <f t="shared" si="123"/>
        <v>1.397639E-3</v>
      </c>
      <c r="I1025" s="1437">
        <v>0</v>
      </c>
      <c r="J1025" s="1437">
        <v>0</v>
      </c>
      <c r="K1025" s="1438"/>
      <c r="L1025" s="1438"/>
      <c r="M1025" s="1437">
        <f t="shared" si="120"/>
        <v>0</v>
      </c>
      <c r="N1025" s="1437">
        <f t="shared" si="124"/>
        <v>1.397639E-3</v>
      </c>
    </row>
    <row r="1026" spans="1:14" outlineLevel="1">
      <c r="A1026" s="1499">
        <f t="shared" si="126"/>
        <v>5</v>
      </c>
      <c r="B1026" s="1539" t="str">
        <f t="shared" si="126"/>
        <v>Asset Recived From Civil-U#8-WTP Building-10201</v>
      </c>
      <c r="C1026" s="1491" t="str">
        <f t="shared" si="126"/>
        <v>N.A.</v>
      </c>
      <c r="D1026" s="1531" t="str">
        <f t="shared" si="126"/>
        <v>-</v>
      </c>
      <c r="E1026" s="1318">
        <f t="shared" si="126"/>
        <v>0</v>
      </c>
      <c r="F1026" s="1437">
        <f t="shared" si="121"/>
        <v>1.14825E-4</v>
      </c>
      <c r="G1026" s="1437">
        <f t="shared" si="122"/>
        <v>0</v>
      </c>
      <c r="H1026" s="1437">
        <f t="shared" si="123"/>
        <v>1.14825E-4</v>
      </c>
      <c r="I1026" s="1437">
        <v>0</v>
      </c>
      <c r="J1026" s="1437">
        <v>0</v>
      </c>
      <c r="K1026" s="1438"/>
      <c r="L1026" s="1438"/>
      <c r="M1026" s="1437">
        <f t="shared" si="120"/>
        <v>0</v>
      </c>
      <c r="N1026" s="1437">
        <f t="shared" si="124"/>
        <v>1.14825E-4</v>
      </c>
    </row>
    <row r="1027" spans="1:14" ht="29" outlineLevel="1">
      <c r="A1027" s="1499">
        <f t="shared" si="126"/>
        <v>6</v>
      </c>
      <c r="B1027" s="1539" t="str">
        <f t="shared" si="126"/>
        <v>Asset Recived From Civil-U#8-DG SET ROOM CUM AIR COMP. HOUSE-10201</v>
      </c>
      <c r="C1027" s="1491" t="str">
        <f t="shared" si="126"/>
        <v>N.A.</v>
      </c>
      <c r="D1027" s="1531" t="str">
        <f t="shared" si="126"/>
        <v>-</v>
      </c>
      <c r="E1027" s="1318">
        <f t="shared" si="126"/>
        <v>0</v>
      </c>
      <c r="F1027" s="1437">
        <f t="shared" si="121"/>
        <v>1.05983E-4</v>
      </c>
      <c r="G1027" s="1437">
        <f t="shared" si="122"/>
        <v>0</v>
      </c>
      <c r="H1027" s="1437">
        <f t="shared" si="123"/>
        <v>1.05983E-4</v>
      </c>
      <c r="I1027" s="1437">
        <v>0</v>
      </c>
      <c r="J1027" s="1437">
        <v>0</v>
      </c>
      <c r="K1027" s="1438"/>
      <c r="L1027" s="1438"/>
      <c r="M1027" s="1437">
        <f t="shared" si="120"/>
        <v>0</v>
      </c>
      <c r="N1027" s="1437">
        <f t="shared" si="124"/>
        <v>1.05983E-4</v>
      </c>
    </row>
    <row r="1028" spans="1:14" ht="29" outlineLevel="1">
      <c r="A1028" s="1499">
        <f t="shared" si="126"/>
        <v>7</v>
      </c>
      <c r="B1028" s="1539" t="str">
        <f t="shared" si="126"/>
        <v>Asset Recived From Civil-U#8-WTP-Raw/Fire water pump House-10233</v>
      </c>
      <c r="C1028" s="1491" t="str">
        <f t="shared" si="126"/>
        <v>N.A.</v>
      </c>
      <c r="D1028" s="1531" t="str">
        <f t="shared" si="126"/>
        <v>-</v>
      </c>
      <c r="E1028" s="1318">
        <f t="shared" si="126"/>
        <v>0</v>
      </c>
      <c r="F1028" s="1437">
        <f t="shared" si="121"/>
        <v>6.9018599999999997E-4</v>
      </c>
      <c r="G1028" s="1437">
        <f t="shared" si="122"/>
        <v>0</v>
      </c>
      <c r="H1028" s="1437">
        <f t="shared" si="123"/>
        <v>6.9018599999999997E-4</v>
      </c>
      <c r="I1028" s="1437">
        <v>0</v>
      </c>
      <c r="J1028" s="1437">
        <v>0</v>
      </c>
      <c r="K1028" s="1438"/>
      <c r="L1028" s="1438"/>
      <c r="M1028" s="1437">
        <f t="shared" si="120"/>
        <v>0</v>
      </c>
      <c r="N1028" s="1437">
        <f t="shared" si="124"/>
        <v>6.9018599999999997E-4</v>
      </c>
    </row>
    <row r="1029" spans="1:14" outlineLevel="1">
      <c r="A1029" s="1499">
        <f t="shared" si="126"/>
        <v>8</v>
      </c>
      <c r="B1029" s="1539" t="str">
        <f t="shared" si="126"/>
        <v>Asset Recived From Civil-U#8-SERVICE BUILDING -10211</v>
      </c>
      <c r="C1029" s="1491" t="str">
        <f t="shared" si="126"/>
        <v>N.A.</v>
      </c>
      <c r="D1029" s="1531" t="str">
        <f t="shared" si="126"/>
        <v>-</v>
      </c>
      <c r="E1029" s="1318">
        <f t="shared" si="126"/>
        <v>0</v>
      </c>
      <c r="F1029" s="1437">
        <f t="shared" si="121"/>
        <v>5.51437E-4</v>
      </c>
      <c r="G1029" s="1437">
        <f t="shared" si="122"/>
        <v>0</v>
      </c>
      <c r="H1029" s="1437">
        <f t="shared" si="123"/>
        <v>5.51437E-4</v>
      </c>
      <c r="I1029" s="1437">
        <v>0</v>
      </c>
      <c r="J1029" s="1437">
        <v>0</v>
      </c>
      <c r="K1029" s="1438"/>
      <c r="L1029" s="1438"/>
      <c r="M1029" s="1437">
        <f t="shared" si="120"/>
        <v>0</v>
      </c>
      <c r="N1029" s="1437">
        <f t="shared" si="124"/>
        <v>5.51437E-4</v>
      </c>
    </row>
    <row r="1030" spans="1:14" outlineLevel="1">
      <c r="A1030" s="1499">
        <f t="shared" si="126"/>
        <v>9</v>
      </c>
      <c r="B1030" s="1539" t="str">
        <f t="shared" si="126"/>
        <v>Asset Recived From Civil-U#8-Canteen -10233</v>
      </c>
      <c r="C1030" s="1491" t="str">
        <f t="shared" si="126"/>
        <v>N.A.</v>
      </c>
      <c r="D1030" s="1531" t="str">
        <f t="shared" si="126"/>
        <v>-</v>
      </c>
      <c r="E1030" s="1318">
        <f t="shared" si="126"/>
        <v>0</v>
      </c>
      <c r="F1030" s="1437">
        <f t="shared" si="121"/>
        <v>7.2491400000000001E-4</v>
      </c>
      <c r="G1030" s="1437">
        <f t="shared" si="122"/>
        <v>0</v>
      </c>
      <c r="H1030" s="1437">
        <f t="shared" si="123"/>
        <v>7.2491400000000001E-4</v>
      </c>
      <c r="I1030" s="1437">
        <v>0</v>
      </c>
      <c r="J1030" s="1437">
        <v>0</v>
      </c>
      <c r="K1030" s="1438"/>
      <c r="L1030" s="1438"/>
      <c r="M1030" s="1437">
        <f t="shared" si="120"/>
        <v>0</v>
      </c>
      <c r="N1030" s="1437">
        <f t="shared" si="124"/>
        <v>7.2491400000000001E-4</v>
      </c>
    </row>
    <row r="1031" spans="1:14" outlineLevel="1">
      <c r="A1031" s="1499">
        <f t="shared" si="126"/>
        <v>10</v>
      </c>
      <c r="B1031" s="1539" t="str">
        <f t="shared" si="126"/>
        <v>Asset Recived From Civil-U#8-PARKING SHED -10233</v>
      </c>
      <c r="C1031" s="1491" t="str">
        <f t="shared" si="126"/>
        <v>N.A.</v>
      </c>
      <c r="D1031" s="1531" t="str">
        <f t="shared" si="126"/>
        <v>-</v>
      </c>
      <c r="E1031" s="1318">
        <f t="shared" si="126"/>
        <v>0</v>
      </c>
      <c r="F1031" s="1437">
        <f t="shared" si="121"/>
        <v>6.1109999999999996E-6</v>
      </c>
      <c r="G1031" s="1437">
        <f t="shared" si="122"/>
        <v>0</v>
      </c>
      <c r="H1031" s="1437">
        <f t="shared" si="123"/>
        <v>6.1109999999999996E-6</v>
      </c>
      <c r="I1031" s="1437">
        <v>0</v>
      </c>
      <c r="J1031" s="1437">
        <v>0</v>
      </c>
      <c r="K1031" s="1438"/>
      <c r="L1031" s="1438"/>
      <c r="M1031" s="1437">
        <f t="shared" si="120"/>
        <v>0</v>
      </c>
      <c r="N1031" s="1437">
        <f t="shared" si="124"/>
        <v>6.1109999999999996E-6</v>
      </c>
    </row>
    <row r="1032" spans="1:14" outlineLevel="1">
      <c r="A1032" s="1499">
        <f t="shared" si="126"/>
        <v>11</v>
      </c>
      <c r="B1032" s="1539" t="str">
        <f t="shared" si="126"/>
        <v>Asset Recived From Civil-U#8-Time Security Building -10233</v>
      </c>
      <c r="C1032" s="1491" t="str">
        <f t="shared" si="126"/>
        <v>N.A.</v>
      </c>
      <c r="D1032" s="1531" t="str">
        <f t="shared" si="126"/>
        <v>-</v>
      </c>
      <c r="E1032" s="1318">
        <f t="shared" si="126"/>
        <v>0</v>
      </c>
      <c r="F1032" s="1437">
        <f t="shared" si="121"/>
        <v>3.595E-5</v>
      </c>
      <c r="G1032" s="1437">
        <f t="shared" si="122"/>
        <v>0</v>
      </c>
      <c r="H1032" s="1437">
        <f t="shared" si="123"/>
        <v>3.595E-5</v>
      </c>
      <c r="I1032" s="1437">
        <v>0</v>
      </c>
      <c r="J1032" s="1437">
        <v>0</v>
      </c>
      <c r="K1032" s="1438"/>
      <c r="L1032" s="1438"/>
      <c r="M1032" s="1437">
        <f t="shared" si="120"/>
        <v>0</v>
      </c>
      <c r="N1032" s="1437">
        <f t="shared" si="124"/>
        <v>3.595E-5</v>
      </c>
    </row>
    <row r="1033" spans="1:14" ht="29" outlineLevel="1">
      <c r="A1033" s="1499">
        <f t="shared" si="126"/>
        <v>12</v>
      </c>
      <c r="B1033" s="1539" t="str">
        <f t="shared" si="126"/>
        <v>Asset Recived From Civil-U#8-Misc.Building/structure/Watchtower-10233</v>
      </c>
      <c r="C1033" s="1491" t="str">
        <f t="shared" si="126"/>
        <v>N.A.</v>
      </c>
      <c r="D1033" s="1531" t="str">
        <f t="shared" si="126"/>
        <v>-</v>
      </c>
      <c r="E1033" s="1318">
        <f t="shared" si="126"/>
        <v>0</v>
      </c>
      <c r="F1033" s="1437">
        <f t="shared" si="121"/>
        <v>1.7243E-4</v>
      </c>
      <c r="G1033" s="1437">
        <f t="shared" si="122"/>
        <v>0</v>
      </c>
      <c r="H1033" s="1437">
        <f t="shared" si="123"/>
        <v>1.7243E-4</v>
      </c>
      <c r="I1033" s="1437">
        <v>0</v>
      </c>
      <c r="J1033" s="1437">
        <v>0</v>
      </c>
      <c r="K1033" s="1438"/>
      <c r="L1033" s="1438"/>
      <c r="M1033" s="1437">
        <f t="shared" si="120"/>
        <v>0</v>
      </c>
      <c r="N1033" s="1437">
        <f t="shared" si="124"/>
        <v>1.7243E-4</v>
      </c>
    </row>
    <row r="1034" spans="1:14" outlineLevel="1">
      <c r="A1034" s="1499">
        <f t="shared" ref="A1034:E1049" si="127">A641</f>
        <v>13</v>
      </c>
      <c r="B1034" s="1539" t="str">
        <f t="shared" si="127"/>
        <v>Asset Recived From Civil-U#8-Boundry compound wall Mall-10233</v>
      </c>
      <c r="C1034" s="1491" t="str">
        <f t="shared" si="127"/>
        <v>N.A.</v>
      </c>
      <c r="D1034" s="1531" t="str">
        <f t="shared" si="127"/>
        <v>-</v>
      </c>
      <c r="E1034" s="1318">
        <f t="shared" si="127"/>
        <v>0</v>
      </c>
      <c r="F1034" s="1437">
        <f t="shared" si="121"/>
        <v>0.15765880700000001</v>
      </c>
      <c r="G1034" s="1437">
        <f t="shared" si="122"/>
        <v>0</v>
      </c>
      <c r="H1034" s="1437">
        <f t="shared" si="123"/>
        <v>0.15765880700000001</v>
      </c>
      <c r="I1034" s="1437">
        <v>0</v>
      </c>
      <c r="J1034" s="1437">
        <v>0</v>
      </c>
      <c r="K1034" s="1438"/>
      <c r="L1034" s="1438"/>
      <c r="M1034" s="1437">
        <f t="shared" si="120"/>
        <v>0</v>
      </c>
      <c r="N1034" s="1437">
        <f t="shared" si="124"/>
        <v>0.15765880700000001</v>
      </c>
    </row>
    <row r="1035" spans="1:14" outlineLevel="1">
      <c r="A1035" s="1499">
        <f t="shared" si="127"/>
        <v>14</v>
      </c>
      <c r="B1035" s="1539" t="str">
        <f t="shared" si="127"/>
        <v>Asset Recived From Civil-U#8-Workshop civil work-10233</v>
      </c>
      <c r="C1035" s="1491" t="str">
        <f t="shared" si="127"/>
        <v>N.A.</v>
      </c>
      <c r="D1035" s="1531" t="str">
        <f t="shared" si="127"/>
        <v>-</v>
      </c>
      <c r="E1035" s="1318">
        <f t="shared" si="127"/>
        <v>0</v>
      </c>
      <c r="F1035" s="1437">
        <f t="shared" si="121"/>
        <v>4.1879999999999999E-5</v>
      </c>
      <c r="G1035" s="1437">
        <f t="shared" si="122"/>
        <v>0</v>
      </c>
      <c r="H1035" s="1437">
        <f t="shared" si="123"/>
        <v>4.1879999999999999E-5</v>
      </c>
      <c r="I1035" s="1437">
        <v>0</v>
      </c>
      <c r="J1035" s="1437">
        <v>0</v>
      </c>
      <c r="K1035" s="1438"/>
      <c r="L1035" s="1438"/>
      <c r="M1035" s="1437">
        <f t="shared" si="120"/>
        <v>0</v>
      </c>
      <c r="N1035" s="1437">
        <f t="shared" si="124"/>
        <v>4.1879999999999999E-5</v>
      </c>
    </row>
    <row r="1036" spans="1:14" outlineLevel="1">
      <c r="A1036" s="1499">
        <f t="shared" si="127"/>
        <v>15</v>
      </c>
      <c r="B1036" s="1539" t="str">
        <f t="shared" si="127"/>
        <v>Asset Recived From Civil-U#8-Interior Work for CEC-I Office-10233</v>
      </c>
      <c r="C1036" s="1491" t="str">
        <f t="shared" si="127"/>
        <v>N.A.</v>
      </c>
      <c r="D1036" s="1531" t="str">
        <f t="shared" si="127"/>
        <v>-</v>
      </c>
      <c r="E1036" s="1318">
        <f t="shared" si="127"/>
        <v>0</v>
      </c>
      <c r="F1036" s="1437">
        <f t="shared" si="121"/>
        <v>5.6437999999999997E-5</v>
      </c>
      <c r="G1036" s="1437">
        <f t="shared" si="122"/>
        <v>0</v>
      </c>
      <c r="H1036" s="1437">
        <f t="shared" si="123"/>
        <v>5.6437999999999997E-5</v>
      </c>
      <c r="I1036" s="1437">
        <v>0</v>
      </c>
      <c r="J1036" s="1437">
        <v>0</v>
      </c>
      <c r="K1036" s="1438"/>
      <c r="L1036" s="1438"/>
      <c r="M1036" s="1437">
        <f t="shared" si="120"/>
        <v>0</v>
      </c>
      <c r="N1036" s="1437">
        <f t="shared" si="124"/>
        <v>5.6437999999999997E-5</v>
      </c>
    </row>
    <row r="1037" spans="1:14" outlineLevel="1">
      <c r="A1037" s="1499">
        <f t="shared" si="127"/>
        <v>16</v>
      </c>
      <c r="B1037" s="1539" t="str">
        <f t="shared" si="127"/>
        <v>Asset Recived From Civil-U#8-WTP-Raw water reservoir -10305</v>
      </c>
      <c r="C1037" s="1491" t="str">
        <f t="shared" si="127"/>
        <v>N.A.</v>
      </c>
      <c r="D1037" s="1531" t="str">
        <f t="shared" si="127"/>
        <v>-</v>
      </c>
      <c r="E1037" s="1318">
        <f t="shared" si="127"/>
        <v>0</v>
      </c>
      <c r="F1037" s="1437">
        <f t="shared" si="121"/>
        <v>1.224798E-3</v>
      </c>
      <c r="G1037" s="1437">
        <f t="shared" si="122"/>
        <v>0</v>
      </c>
      <c r="H1037" s="1437">
        <f t="shared" si="123"/>
        <v>1.224798E-3</v>
      </c>
      <c r="I1037" s="1437">
        <v>0</v>
      </c>
      <c r="J1037" s="1437">
        <v>0</v>
      </c>
      <c r="K1037" s="1438"/>
      <c r="L1037" s="1438"/>
      <c r="M1037" s="1437">
        <f t="shared" si="120"/>
        <v>0</v>
      </c>
      <c r="N1037" s="1437">
        <f t="shared" si="124"/>
        <v>1.224798E-3</v>
      </c>
    </row>
    <row r="1038" spans="1:14" outlineLevel="1">
      <c r="A1038" s="1499">
        <f t="shared" si="127"/>
        <v>17</v>
      </c>
      <c r="B1038" s="1539" t="str">
        <f t="shared" si="127"/>
        <v>Asset Recived From Civil-U#8-WTP-Clarifier -10305</v>
      </c>
      <c r="C1038" s="1491" t="str">
        <f t="shared" si="127"/>
        <v>N.A.</v>
      </c>
      <c r="D1038" s="1531" t="str">
        <f t="shared" si="127"/>
        <v>-</v>
      </c>
      <c r="E1038" s="1318">
        <f t="shared" si="127"/>
        <v>0</v>
      </c>
      <c r="F1038" s="1437">
        <f t="shared" si="121"/>
        <v>1.1651750000000001E-3</v>
      </c>
      <c r="G1038" s="1437">
        <f t="shared" si="122"/>
        <v>0</v>
      </c>
      <c r="H1038" s="1437">
        <f t="shared" si="123"/>
        <v>1.1651750000000001E-3</v>
      </c>
      <c r="I1038" s="1437">
        <v>0</v>
      </c>
      <c r="J1038" s="1437">
        <v>0</v>
      </c>
      <c r="K1038" s="1438"/>
      <c r="L1038" s="1438"/>
      <c r="M1038" s="1437">
        <f t="shared" si="120"/>
        <v>0</v>
      </c>
      <c r="N1038" s="1437">
        <f t="shared" si="124"/>
        <v>1.1651750000000001E-3</v>
      </c>
    </row>
    <row r="1039" spans="1:14" ht="29" outlineLevel="1">
      <c r="A1039" s="1499">
        <f t="shared" si="127"/>
        <v>18</v>
      </c>
      <c r="B1039" s="1539" t="str">
        <f t="shared" si="127"/>
        <v>Asset Recived From Civil-U#8-WTP-Clarifier Water Storage Tank-10305</v>
      </c>
      <c r="C1039" s="1491" t="str">
        <f t="shared" si="127"/>
        <v>N.A.</v>
      </c>
      <c r="D1039" s="1531" t="str">
        <f t="shared" si="127"/>
        <v>-</v>
      </c>
      <c r="E1039" s="1318">
        <f t="shared" si="127"/>
        <v>0</v>
      </c>
      <c r="F1039" s="1437">
        <f t="shared" si="121"/>
        <v>1.9514200000000001E-4</v>
      </c>
      <c r="G1039" s="1437">
        <f t="shared" si="122"/>
        <v>0</v>
      </c>
      <c r="H1039" s="1437">
        <f t="shared" si="123"/>
        <v>1.9514200000000001E-4</v>
      </c>
      <c r="I1039" s="1437">
        <v>0</v>
      </c>
      <c r="J1039" s="1437">
        <v>0</v>
      </c>
      <c r="K1039" s="1438"/>
      <c r="L1039" s="1438"/>
      <c r="M1039" s="1437">
        <f t="shared" si="120"/>
        <v>0</v>
      </c>
      <c r="N1039" s="1437">
        <f t="shared" si="124"/>
        <v>1.9514200000000001E-4</v>
      </c>
    </row>
    <row r="1040" spans="1:14" outlineLevel="1">
      <c r="A1040" s="1499">
        <f t="shared" si="127"/>
        <v>19</v>
      </c>
      <c r="B1040" s="1539" t="str">
        <f t="shared" si="127"/>
        <v>Asset Recived From Civil-U#8-C.W. pump house &amp; forebay-10310</v>
      </c>
      <c r="C1040" s="1491" t="str">
        <f t="shared" si="127"/>
        <v>N.A.</v>
      </c>
      <c r="D1040" s="1531" t="str">
        <f t="shared" si="127"/>
        <v>-</v>
      </c>
      <c r="E1040" s="1318">
        <f t="shared" si="127"/>
        <v>0</v>
      </c>
      <c r="F1040" s="1437">
        <f t="shared" si="121"/>
        <v>5.2946099999999995E-4</v>
      </c>
      <c r="G1040" s="1437">
        <f t="shared" si="122"/>
        <v>0</v>
      </c>
      <c r="H1040" s="1437">
        <f t="shared" si="123"/>
        <v>5.2946099999999995E-4</v>
      </c>
      <c r="I1040" s="1437">
        <v>0</v>
      </c>
      <c r="J1040" s="1437">
        <v>0</v>
      </c>
      <c r="K1040" s="1438"/>
      <c r="L1040" s="1438"/>
      <c r="M1040" s="1437">
        <f t="shared" si="120"/>
        <v>0</v>
      </c>
      <c r="N1040" s="1437">
        <f t="shared" si="124"/>
        <v>5.2946099999999995E-4</v>
      </c>
    </row>
    <row r="1041" spans="1:14" outlineLevel="1">
      <c r="A1041" s="1499">
        <f t="shared" si="127"/>
        <v>20</v>
      </c>
      <c r="B1041" s="1539" t="str">
        <f t="shared" si="127"/>
        <v>Asset Recived From Civil-U#8-Construction of STP for Colony-10322</v>
      </c>
      <c r="C1041" s="1491" t="str">
        <f t="shared" si="127"/>
        <v>N.A.</v>
      </c>
      <c r="D1041" s="1531" t="str">
        <f t="shared" si="127"/>
        <v>-</v>
      </c>
      <c r="E1041" s="1318">
        <f t="shared" si="127"/>
        <v>0</v>
      </c>
      <c r="F1041" s="1437">
        <f t="shared" si="121"/>
        <v>1.79662E-4</v>
      </c>
      <c r="G1041" s="1437">
        <f t="shared" si="122"/>
        <v>0</v>
      </c>
      <c r="H1041" s="1437">
        <f t="shared" si="123"/>
        <v>1.79662E-4</v>
      </c>
      <c r="I1041" s="1437">
        <v>0</v>
      </c>
      <c r="J1041" s="1437">
        <v>0</v>
      </c>
      <c r="K1041" s="1438"/>
      <c r="L1041" s="1438"/>
      <c r="M1041" s="1437">
        <f t="shared" si="120"/>
        <v>0</v>
      </c>
      <c r="N1041" s="1437">
        <f t="shared" si="124"/>
        <v>1.79662E-4</v>
      </c>
    </row>
    <row r="1042" spans="1:14" outlineLevel="1">
      <c r="A1042" s="1499">
        <f t="shared" si="127"/>
        <v>21</v>
      </c>
      <c r="B1042" s="1539" t="str">
        <f t="shared" si="127"/>
        <v>Asset Recived From Civil-U#8-Cooling Towers-10311</v>
      </c>
      <c r="C1042" s="1491" t="str">
        <f t="shared" si="127"/>
        <v>N.A.</v>
      </c>
      <c r="D1042" s="1531" t="str">
        <f t="shared" si="127"/>
        <v>-</v>
      </c>
      <c r="E1042" s="1318">
        <f t="shared" si="127"/>
        <v>0</v>
      </c>
      <c r="F1042" s="1437">
        <f t="shared" si="121"/>
        <v>0.37627639299999999</v>
      </c>
      <c r="G1042" s="1437">
        <f t="shared" si="122"/>
        <v>0</v>
      </c>
      <c r="H1042" s="1437">
        <f t="shared" si="123"/>
        <v>0.37627639299999999</v>
      </c>
      <c r="I1042" s="1437">
        <v>0</v>
      </c>
      <c r="J1042" s="1437">
        <v>0</v>
      </c>
      <c r="K1042" s="1438"/>
      <c r="L1042" s="1438"/>
      <c r="M1042" s="1437">
        <f t="shared" si="120"/>
        <v>0</v>
      </c>
      <c r="N1042" s="1437">
        <f t="shared" si="124"/>
        <v>0.37627639299999999</v>
      </c>
    </row>
    <row r="1043" spans="1:14" outlineLevel="1">
      <c r="A1043" s="1499">
        <f t="shared" si="127"/>
        <v>22</v>
      </c>
      <c r="B1043" s="1539" t="str">
        <f t="shared" si="127"/>
        <v>Asset Recived From Civil-U#8-Railway sidings-10412</v>
      </c>
      <c r="C1043" s="1491" t="str">
        <f t="shared" si="127"/>
        <v>N.A.</v>
      </c>
      <c r="D1043" s="1531" t="str">
        <f t="shared" si="127"/>
        <v>-</v>
      </c>
      <c r="E1043" s="1318">
        <f t="shared" si="127"/>
        <v>0</v>
      </c>
      <c r="F1043" s="1437">
        <f t="shared" si="121"/>
        <v>0.13615478800000003</v>
      </c>
      <c r="G1043" s="1437">
        <f t="shared" si="122"/>
        <v>0</v>
      </c>
      <c r="H1043" s="1437">
        <f t="shared" si="123"/>
        <v>0.13615478800000003</v>
      </c>
      <c r="I1043" s="1437">
        <v>0</v>
      </c>
      <c r="J1043" s="1437">
        <v>0</v>
      </c>
      <c r="K1043" s="1438"/>
      <c r="L1043" s="1438"/>
      <c r="M1043" s="1437">
        <f t="shared" si="120"/>
        <v>0</v>
      </c>
      <c r="N1043" s="1437">
        <f t="shared" si="124"/>
        <v>0.13615478800000003</v>
      </c>
    </row>
    <row r="1044" spans="1:14" outlineLevel="1">
      <c r="A1044" s="1499">
        <f t="shared" si="127"/>
        <v>23</v>
      </c>
      <c r="B1044" s="1539" t="str">
        <f t="shared" si="127"/>
        <v>Asset Recived From Civil-U#8-In plant Roads -10401</v>
      </c>
      <c r="C1044" s="1491" t="str">
        <f t="shared" si="127"/>
        <v>N.A.</v>
      </c>
      <c r="D1044" s="1531" t="str">
        <f t="shared" si="127"/>
        <v>-</v>
      </c>
      <c r="E1044" s="1318">
        <f t="shared" si="127"/>
        <v>0</v>
      </c>
      <c r="F1044" s="1437">
        <f t="shared" si="121"/>
        <v>9.1029900000000005E-4</v>
      </c>
      <c r="G1044" s="1437">
        <f t="shared" si="122"/>
        <v>0</v>
      </c>
      <c r="H1044" s="1437">
        <f t="shared" si="123"/>
        <v>9.1029900000000005E-4</v>
      </c>
      <c r="I1044" s="1437">
        <v>0</v>
      </c>
      <c r="J1044" s="1437">
        <v>0</v>
      </c>
      <c r="K1044" s="1438"/>
      <c r="L1044" s="1438"/>
      <c r="M1044" s="1437">
        <f t="shared" si="120"/>
        <v>0</v>
      </c>
      <c r="N1044" s="1437">
        <f t="shared" si="124"/>
        <v>9.1029900000000005E-4</v>
      </c>
    </row>
    <row r="1045" spans="1:14" outlineLevel="1">
      <c r="A1045" s="1499">
        <f t="shared" si="127"/>
        <v>24</v>
      </c>
      <c r="B1045" s="1539" t="str">
        <f t="shared" si="127"/>
        <v>Asset Recived From Civil-U#8-Pipe Rack -10419</v>
      </c>
      <c r="C1045" s="1491" t="str">
        <f t="shared" si="127"/>
        <v>N.A.</v>
      </c>
      <c r="D1045" s="1531" t="str">
        <f t="shared" si="127"/>
        <v>-</v>
      </c>
      <c r="E1045" s="1318">
        <f t="shared" si="127"/>
        <v>0</v>
      </c>
      <c r="F1045" s="1437">
        <f t="shared" si="121"/>
        <v>4.1823400000000002E-4</v>
      </c>
      <c r="G1045" s="1437">
        <f t="shared" si="122"/>
        <v>0</v>
      </c>
      <c r="H1045" s="1437">
        <f t="shared" si="123"/>
        <v>4.1823400000000002E-4</v>
      </c>
      <c r="I1045" s="1437">
        <v>0</v>
      </c>
      <c r="J1045" s="1437">
        <v>0</v>
      </c>
      <c r="K1045" s="1438"/>
      <c r="L1045" s="1438"/>
      <c r="M1045" s="1437">
        <f t="shared" si="120"/>
        <v>0</v>
      </c>
      <c r="N1045" s="1437">
        <f t="shared" si="124"/>
        <v>4.1823400000000002E-4</v>
      </c>
    </row>
    <row r="1046" spans="1:14" outlineLevel="1">
      <c r="A1046" s="1499">
        <f t="shared" si="127"/>
        <v>25</v>
      </c>
      <c r="B1046" s="1539" t="str">
        <f t="shared" si="127"/>
        <v>Asset Recived From Civil-U#8-Transformar yard area -10541</v>
      </c>
      <c r="C1046" s="1491" t="str">
        <f t="shared" si="127"/>
        <v>N.A.</v>
      </c>
      <c r="D1046" s="1531" t="str">
        <f t="shared" si="127"/>
        <v>-</v>
      </c>
      <c r="E1046" s="1318">
        <f t="shared" si="127"/>
        <v>0</v>
      </c>
      <c r="F1046" s="1437">
        <f t="shared" si="121"/>
        <v>5.31695E-4</v>
      </c>
      <c r="G1046" s="1437">
        <f t="shared" si="122"/>
        <v>0</v>
      </c>
      <c r="H1046" s="1437">
        <f t="shared" si="123"/>
        <v>5.31695E-4</v>
      </c>
      <c r="I1046" s="1437">
        <v>0</v>
      </c>
      <c r="J1046" s="1437">
        <v>0</v>
      </c>
      <c r="K1046" s="1438"/>
      <c r="L1046" s="1438"/>
      <c r="M1046" s="1437">
        <f t="shared" si="120"/>
        <v>0</v>
      </c>
      <c r="N1046" s="1437">
        <f t="shared" si="124"/>
        <v>5.31695E-4</v>
      </c>
    </row>
    <row r="1047" spans="1:14" ht="29" outlineLevel="1">
      <c r="A1047" s="1499">
        <f t="shared" si="127"/>
        <v>26</v>
      </c>
      <c r="B1047" s="1539" t="str">
        <f t="shared" si="127"/>
        <v>Asset Recived From Civil-U#8-BA-Boiler and Auxilary foundation-10501</v>
      </c>
      <c r="C1047" s="1491" t="str">
        <f t="shared" si="127"/>
        <v>N.A.</v>
      </c>
      <c r="D1047" s="1531" t="str">
        <f t="shared" si="127"/>
        <v>-</v>
      </c>
      <c r="E1047" s="1318">
        <f t="shared" si="127"/>
        <v>0</v>
      </c>
      <c r="F1047" s="1437">
        <f t="shared" si="121"/>
        <v>6.1116199999999999E-3</v>
      </c>
      <c r="G1047" s="1437">
        <f t="shared" si="122"/>
        <v>0</v>
      </c>
      <c r="H1047" s="1437">
        <f t="shared" si="123"/>
        <v>6.1116199999999999E-3</v>
      </c>
      <c r="I1047" s="1437">
        <v>0</v>
      </c>
      <c r="J1047" s="1437">
        <v>0</v>
      </c>
      <c r="K1047" s="1438"/>
      <c r="L1047" s="1438"/>
      <c r="M1047" s="1437">
        <f t="shared" si="120"/>
        <v>0</v>
      </c>
      <c r="N1047" s="1437">
        <f t="shared" si="124"/>
        <v>6.1116199999999999E-3</v>
      </c>
    </row>
    <row r="1048" spans="1:14" outlineLevel="1">
      <c r="A1048" s="1499">
        <f t="shared" si="127"/>
        <v>27</v>
      </c>
      <c r="B1048" s="1539" t="str">
        <f t="shared" si="127"/>
        <v>Asset Recived From Civil-U#8-BA-FD FAN FOUNDATIONS -10501</v>
      </c>
      <c r="C1048" s="1491" t="str">
        <f t="shared" si="127"/>
        <v>N.A.</v>
      </c>
      <c r="D1048" s="1531" t="str">
        <f t="shared" si="127"/>
        <v>-</v>
      </c>
      <c r="E1048" s="1318">
        <f t="shared" si="127"/>
        <v>0</v>
      </c>
      <c r="F1048" s="1437">
        <f t="shared" si="121"/>
        <v>1.11659E-4</v>
      </c>
      <c r="G1048" s="1437">
        <f t="shared" si="122"/>
        <v>0</v>
      </c>
      <c r="H1048" s="1437">
        <f t="shared" si="123"/>
        <v>1.11659E-4</v>
      </c>
      <c r="I1048" s="1437">
        <v>0</v>
      </c>
      <c r="J1048" s="1437">
        <v>0</v>
      </c>
      <c r="K1048" s="1438"/>
      <c r="L1048" s="1438"/>
      <c r="M1048" s="1437">
        <f t="shared" si="120"/>
        <v>0</v>
      </c>
      <c r="N1048" s="1437">
        <f t="shared" si="124"/>
        <v>1.11659E-4</v>
      </c>
    </row>
    <row r="1049" spans="1:14" outlineLevel="1">
      <c r="A1049" s="1499">
        <f t="shared" si="127"/>
        <v>28</v>
      </c>
      <c r="B1049" s="1539" t="str">
        <f t="shared" si="127"/>
        <v>Asset Recived From Civil-U#8-BA-PA FAN FOUNDATION -10501</v>
      </c>
      <c r="C1049" s="1491" t="str">
        <f t="shared" si="127"/>
        <v>N.A.</v>
      </c>
      <c r="D1049" s="1531" t="str">
        <f t="shared" si="127"/>
        <v>-</v>
      </c>
      <c r="E1049" s="1318">
        <f t="shared" si="127"/>
        <v>0</v>
      </c>
      <c r="F1049" s="1437">
        <f t="shared" si="121"/>
        <v>1.11659E-4</v>
      </c>
      <c r="G1049" s="1437">
        <f t="shared" si="122"/>
        <v>0</v>
      </c>
      <c r="H1049" s="1437">
        <f t="shared" si="123"/>
        <v>1.11659E-4</v>
      </c>
      <c r="I1049" s="1437">
        <v>0</v>
      </c>
      <c r="J1049" s="1437">
        <v>0</v>
      </c>
      <c r="K1049" s="1438"/>
      <c r="L1049" s="1438"/>
      <c r="M1049" s="1437">
        <f t="shared" si="120"/>
        <v>0</v>
      </c>
      <c r="N1049" s="1437">
        <f t="shared" si="124"/>
        <v>1.11659E-4</v>
      </c>
    </row>
    <row r="1050" spans="1:14" outlineLevel="1">
      <c r="A1050" s="1499">
        <f t="shared" ref="A1050:E1065" si="128">A657</f>
        <v>29</v>
      </c>
      <c r="B1050" s="1539" t="str">
        <f t="shared" si="128"/>
        <v>Asset Recived From Civil-U#8-BA-I.D. Fan foundation -10501</v>
      </c>
      <c r="C1050" s="1491" t="str">
        <f t="shared" si="128"/>
        <v>N.A.</v>
      </c>
      <c r="D1050" s="1531" t="str">
        <f t="shared" si="128"/>
        <v>-</v>
      </c>
      <c r="E1050" s="1318">
        <f t="shared" si="128"/>
        <v>0</v>
      </c>
      <c r="F1050" s="1437">
        <f t="shared" si="121"/>
        <v>2.23317E-4</v>
      </c>
      <c r="G1050" s="1437">
        <f t="shared" si="122"/>
        <v>0</v>
      </c>
      <c r="H1050" s="1437">
        <f t="shared" si="123"/>
        <v>2.23317E-4</v>
      </c>
      <c r="I1050" s="1437">
        <v>0</v>
      </c>
      <c r="J1050" s="1437">
        <v>0</v>
      </c>
      <c r="K1050" s="1438"/>
      <c r="L1050" s="1438"/>
      <c r="M1050" s="1437">
        <f t="shared" si="120"/>
        <v>0</v>
      </c>
      <c r="N1050" s="1437">
        <f t="shared" si="124"/>
        <v>2.23317E-4</v>
      </c>
    </row>
    <row r="1051" spans="1:14" outlineLevel="1">
      <c r="A1051" s="1499">
        <f t="shared" si="128"/>
        <v>30</v>
      </c>
      <c r="B1051" s="1539" t="str">
        <f t="shared" si="128"/>
        <v>Asset Recived From Civil-U#8-BA-MILL FOUNDATION-10501</v>
      </c>
      <c r="C1051" s="1491" t="str">
        <f t="shared" si="128"/>
        <v>N.A.</v>
      </c>
      <c r="D1051" s="1531" t="str">
        <f t="shared" si="128"/>
        <v>-</v>
      </c>
      <c r="E1051" s="1318">
        <f t="shared" si="128"/>
        <v>0</v>
      </c>
      <c r="F1051" s="1437">
        <f t="shared" si="121"/>
        <v>1.98259E-4</v>
      </c>
      <c r="G1051" s="1437">
        <f t="shared" si="122"/>
        <v>0</v>
      </c>
      <c r="H1051" s="1437">
        <f t="shared" si="123"/>
        <v>1.98259E-4</v>
      </c>
      <c r="I1051" s="1437">
        <v>0</v>
      </c>
      <c r="J1051" s="1437">
        <v>0</v>
      </c>
      <c r="K1051" s="1438"/>
      <c r="L1051" s="1438"/>
      <c r="M1051" s="1437">
        <f t="shared" si="120"/>
        <v>0</v>
      </c>
      <c r="N1051" s="1437">
        <f t="shared" si="124"/>
        <v>1.98259E-4</v>
      </c>
    </row>
    <row r="1052" spans="1:14" ht="29" outlineLevel="1">
      <c r="A1052" s="1499">
        <f t="shared" si="128"/>
        <v>31</v>
      </c>
      <c r="B1052" s="1539" t="str">
        <f t="shared" si="128"/>
        <v>Asset Recived From Civil-U#8-BA-BUNKER FOUNDATION &amp; STRUCTURE-10515</v>
      </c>
      <c r="C1052" s="1491" t="str">
        <f t="shared" si="128"/>
        <v>N.A.</v>
      </c>
      <c r="D1052" s="1531" t="str">
        <f t="shared" si="128"/>
        <v>-</v>
      </c>
      <c r="E1052" s="1318">
        <f t="shared" si="128"/>
        <v>0</v>
      </c>
      <c r="F1052" s="1437">
        <f t="shared" si="121"/>
        <v>1.392536E-3</v>
      </c>
      <c r="G1052" s="1437">
        <f t="shared" si="122"/>
        <v>0</v>
      </c>
      <c r="H1052" s="1437">
        <f t="shared" si="123"/>
        <v>1.392536E-3</v>
      </c>
      <c r="I1052" s="1437">
        <v>0</v>
      </c>
      <c r="J1052" s="1437">
        <v>0</v>
      </c>
      <c r="K1052" s="1438"/>
      <c r="L1052" s="1438"/>
      <c r="M1052" s="1437">
        <f t="shared" ref="M1052:M1115" si="129">SUM(J1052:L1052)</f>
        <v>0</v>
      </c>
      <c r="N1052" s="1437">
        <f t="shared" si="124"/>
        <v>1.392536E-3</v>
      </c>
    </row>
    <row r="1053" spans="1:14" outlineLevel="1">
      <c r="A1053" s="1499">
        <f t="shared" si="128"/>
        <v>32</v>
      </c>
      <c r="B1053" s="1539" t="str">
        <f t="shared" si="128"/>
        <v>Asset Recived From Civil-U#8-ESP-10501</v>
      </c>
      <c r="C1053" s="1491" t="str">
        <f t="shared" si="128"/>
        <v>N.A.</v>
      </c>
      <c r="D1053" s="1531" t="str">
        <f t="shared" si="128"/>
        <v>-</v>
      </c>
      <c r="E1053" s="1318">
        <f t="shared" si="128"/>
        <v>0</v>
      </c>
      <c r="F1053" s="1437">
        <f t="shared" ref="F1053:F1116" si="130">F660+I660</f>
        <v>7.0722000000000005E-4</v>
      </c>
      <c r="G1053" s="1437">
        <f t="shared" ref="G1053:G1116" si="131">G660+M660</f>
        <v>0</v>
      </c>
      <c r="H1053" s="1437">
        <f t="shared" si="123"/>
        <v>7.0722000000000005E-4</v>
      </c>
      <c r="I1053" s="1437">
        <v>0</v>
      </c>
      <c r="J1053" s="1437">
        <v>0</v>
      </c>
      <c r="K1053" s="1438"/>
      <c r="L1053" s="1438"/>
      <c r="M1053" s="1437">
        <f t="shared" si="129"/>
        <v>0</v>
      </c>
      <c r="N1053" s="1437">
        <f t="shared" si="124"/>
        <v>7.0722000000000005E-4</v>
      </c>
    </row>
    <row r="1054" spans="1:14" outlineLevel="1">
      <c r="A1054" s="1499">
        <f t="shared" si="128"/>
        <v>33</v>
      </c>
      <c r="B1054" s="1539" t="str">
        <f t="shared" si="128"/>
        <v>Asset Recived From Civil-U#8-ESP Control Room-10501</v>
      </c>
      <c r="C1054" s="1491" t="str">
        <f t="shared" si="128"/>
        <v>N.A.</v>
      </c>
      <c r="D1054" s="1531" t="str">
        <f t="shared" si="128"/>
        <v>-</v>
      </c>
      <c r="E1054" s="1318">
        <f t="shared" si="128"/>
        <v>0</v>
      </c>
      <c r="F1054" s="1437">
        <f t="shared" si="130"/>
        <v>4.2763499999999999E-4</v>
      </c>
      <c r="G1054" s="1437">
        <f t="shared" si="131"/>
        <v>0</v>
      </c>
      <c r="H1054" s="1437">
        <f t="shared" ref="H1054:H1117" si="132">F1054-G1054</f>
        <v>4.2763499999999999E-4</v>
      </c>
      <c r="I1054" s="1437">
        <v>0</v>
      </c>
      <c r="J1054" s="1437">
        <v>0</v>
      </c>
      <c r="K1054" s="1438"/>
      <c r="L1054" s="1438"/>
      <c r="M1054" s="1437">
        <f t="shared" si="129"/>
        <v>0</v>
      </c>
      <c r="N1054" s="1437">
        <f t="shared" ref="N1054:N1117" si="133">H1054+I1054-M1054</f>
        <v>4.2763499999999999E-4</v>
      </c>
    </row>
    <row r="1055" spans="1:14" outlineLevel="1">
      <c r="A1055" s="1499">
        <f t="shared" si="128"/>
        <v>34</v>
      </c>
      <c r="B1055" s="1539" t="str">
        <f t="shared" si="128"/>
        <v>Asset Recived From Civil-U#8-RCC Chimney -10501</v>
      </c>
      <c r="C1055" s="1491" t="str">
        <f t="shared" si="128"/>
        <v>N.A.</v>
      </c>
      <c r="D1055" s="1531" t="str">
        <f t="shared" si="128"/>
        <v>-</v>
      </c>
      <c r="E1055" s="1318">
        <f t="shared" si="128"/>
        <v>0</v>
      </c>
      <c r="F1055" s="1437">
        <f t="shared" si="130"/>
        <v>4.612672E-3</v>
      </c>
      <c r="G1055" s="1437">
        <f t="shared" si="131"/>
        <v>0</v>
      </c>
      <c r="H1055" s="1437">
        <f t="shared" si="132"/>
        <v>4.612672E-3</v>
      </c>
      <c r="I1055" s="1437">
        <v>0</v>
      </c>
      <c r="J1055" s="1437">
        <v>0</v>
      </c>
      <c r="K1055" s="1438"/>
      <c r="L1055" s="1438"/>
      <c r="M1055" s="1437">
        <f t="shared" si="129"/>
        <v>0</v>
      </c>
      <c r="N1055" s="1437">
        <f t="shared" si="133"/>
        <v>4.612672E-3</v>
      </c>
    </row>
    <row r="1056" spans="1:14" ht="29" outlineLevel="1">
      <c r="A1056" s="1499">
        <f t="shared" si="128"/>
        <v>35</v>
      </c>
      <c r="B1056" s="1539" t="str">
        <f t="shared" si="128"/>
        <v>Asset Recived From Civil-U#8-WTP-D.M.Plant equipment fdn. etc.-10509</v>
      </c>
      <c r="C1056" s="1491" t="str">
        <f t="shared" si="128"/>
        <v>N.A.</v>
      </c>
      <c r="D1056" s="1531" t="str">
        <f t="shared" si="128"/>
        <v>-</v>
      </c>
      <c r="E1056" s="1318">
        <f t="shared" si="128"/>
        <v>0</v>
      </c>
      <c r="F1056" s="1437">
        <f t="shared" si="130"/>
        <v>6.3898000000000004E-5</v>
      </c>
      <c r="G1056" s="1437">
        <f t="shared" si="131"/>
        <v>0</v>
      </c>
      <c r="H1056" s="1437">
        <f t="shared" si="132"/>
        <v>6.3898000000000004E-5</v>
      </c>
      <c r="I1056" s="1437">
        <v>0</v>
      </c>
      <c r="J1056" s="1437">
        <v>0</v>
      </c>
      <c r="K1056" s="1438"/>
      <c r="L1056" s="1438"/>
      <c r="M1056" s="1437">
        <f t="shared" si="129"/>
        <v>0</v>
      </c>
      <c r="N1056" s="1437">
        <f t="shared" si="133"/>
        <v>6.3898000000000004E-5</v>
      </c>
    </row>
    <row r="1057" spans="1:14" outlineLevel="1">
      <c r="A1057" s="1499">
        <f t="shared" si="128"/>
        <v>36</v>
      </c>
      <c r="B1057" s="1539" t="str">
        <f t="shared" si="128"/>
        <v>Asset Recived From Civil-U#8-CHP-Wagon Tippler-10515</v>
      </c>
      <c r="C1057" s="1491" t="str">
        <f t="shared" si="128"/>
        <v>N.A.</v>
      </c>
      <c r="D1057" s="1531" t="str">
        <f t="shared" si="128"/>
        <v>-</v>
      </c>
      <c r="E1057" s="1318">
        <f t="shared" si="128"/>
        <v>0</v>
      </c>
      <c r="F1057" s="1437">
        <f t="shared" si="130"/>
        <v>9.4041100000000005E-4</v>
      </c>
      <c r="G1057" s="1437">
        <f t="shared" si="131"/>
        <v>0</v>
      </c>
      <c r="H1057" s="1437">
        <f t="shared" si="132"/>
        <v>9.4041100000000005E-4</v>
      </c>
      <c r="I1057" s="1437">
        <v>0</v>
      </c>
      <c r="J1057" s="1437">
        <v>0</v>
      </c>
      <c r="K1057" s="1438"/>
      <c r="L1057" s="1438"/>
      <c r="M1057" s="1437">
        <f t="shared" si="129"/>
        <v>0</v>
      </c>
      <c r="N1057" s="1437">
        <f t="shared" si="133"/>
        <v>9.4041100000000005E-4</v>
      </c>
    </row>
    <row r="1058" spans="1:14" outlineLevel="1">
      <c r="A1058" s="1499">
        <f t="shared" si="128"/>
        <v>37</v>
      </c>
      <c r="B1058" s="1539" t="str">
        <f t="shared" si="128"/>
        <v>Asset Recived From Civil-U#8-CHP-Crusher House -10515</v>
      </c>
      <c r="C1058" s="1491" t="str">
        <f t="shared" si="128"/>
        <v>N.A.</v>
      </c>
      <c r="D1058" s="1531" t="str">
        <f t="shared" si="128"/>
        <v>-</v>
      </c>
      <c r="E1058" s="1318">
        <f t="shared" si="128"/>
        <v>0</v>
      </c>
      <c r="F1058" s="1437">
        <f t="shared" si="130"/>
        <v>7.4704199999999995E-4</v>
      </c>
      <c r="G1058" s="1437">
        <f t="shared" si="131"/>
        <v>0</v>
      </c>
      <c r="H1058" s="1437">
        <f t="shared" si="132"/>
        <v>7.4704199999999995E-4</v>
      </c>
      <c r="I1058" s="1437">
        <v>0</v>
      </c>
      <c r="J1058" s="1437">
        <v>0</v>
      </c>
      <c r="K1058" s="1438"/>
      <c r="L1058" s="1438"/>
      <c r="M1058" s="1437">
        <f t="shared" si="129"/>
        <v>0</v>
      </c>
      <c r="N1058" s="1437">
        <f t="shared" si="133"/>
        <v>7.4704199999999995E-4</v>
      </c>
    </row>
    <row r="1059" spans="1:14" outlineLevel="1">
      <c r="A1059" s="1499">
        <f t="shared" si="128"/>
        <v>38</v>
      </c>
      <c r="B1059" s="1539" t="str">
        <f t="shared" si="128"/>
        <v>Asset Recived From Civil-U#8-CHP-Stacker Reclaimer -10515</v>
      </c>
      <c r="C1059" s="1491" t="str">
        <f t="shared" si="128"/>
        <v>N.A.</v>
      </c>
      <c r="D1059" s="1531" t="str">
        <f t="shared" si="128"/>
        <v>-</v>
      </c>
      <c r="E1059" s="1318">
        <f t="shared" si="128"/>
        <v>0</v>
      </c>
      <c r="F1059" s="1437">
        <f t="shared" si="130"/>
        <v>2.8485300000000001E-4</v>
      </c>
      <c r="G1059" s="1437">
        <f t="shared" si="131"/>
        <v>0</v>
      </c>
      <c r="H1059" s="1437">
        <f t="shared" si="132"/>
        <v>2.8485300000000001E-4</v>
      </c>
      <c r="I1059" s="1437">
        <v>0</v>
      </c>
      <c r="J1059" s="1437">
        <v>0</v>
      </c>
      <c r="K1059" s="1438"/>
      <c r="L1059" s="1438"/>
      <c r="M1059" s="1437">
        <f t="shared" si="129"/>
        <v>0</v>
      </c>
      <c r="N1059" s="1437">
        <f t="shared" si="133"/>
        <v>2.8485300000000001E-4</v>
      </c>
    </row>
    <row r="1060" spans="1:14" outlineLevel="1">
      <c r="A1060" s="1499">
        <f t="shared" si="128"/>
        <v>39</v>
      </c>
      <c r="B1060" s="1539" t="str">
        <f t="shared" si="128"/>
        <v>Asset Recived From Civil-U#8-CHP-Stock Yard-10515</v>
      </c>
      <c r="C1060" s="1491" t="str">
        <f t="shared" si="128"/>
        <v>N.A.</v>
      </c>
      <c r="D1060" s="1531" t="str">
        <f t="shared" si="128"/>
        <v>-</v>
      </c>
      <c r="E1060" s="1318">
        <f t="shared" si="128"/>
        <v>0</v>
      </c>
      <c r="F1060" s="1437">
        <f t="shared" si="130"/>
        <v>1.5851400000000001E-4</v>
      </c>
      <c r="G1060" s="1437">
        <f t="shared" si="131"/>
        <v>0</v>
      </c>
      <c r="H1060" s="1437">
        <f t="shared" si="132"/>
        <v>1.5851400000000001E-4</v>
      </c>
      <c r="I1060" s="1437">
        <v>0</v>
      </c>
      <c r="J1060" s="1437">
        <v>0</v>
      </c>
      <c r="K1060" s="1438"/>
      <c r="L1060" s="1438"/>
      <c r="M1060" s="1437">
        <f t="shared" si="129"/>
        <v>0</v>
      </c>
      <c r="N1060" s="1437">
        <f t="shared" si="133"/>
        <v>1.5851400000000001E-4</v>
      </c>
    </row>
    <row r="1061" spans="1:14" ht="29" outlineLevel="1">
      <c r="A1061" s="1499">
        <f t="shared" si="128"/>
        <v>40</v>
      </c>
      <c r="B1061" s="1539" t="str">
        <f t="shared" si="128"/>
        <v>Asset Recived From Civil-U#8-CHP-ConveyorPedetals&amp;TransferPoint-10515</v>
      </c>
      <c r="C1061" s="1491" t="str">
        <f t="shared" si="128"/>
        <v>N.A.</v>
      </c>
      <c r="D1061" s="1531" t="str">
        <f t="shared" si="128"/>
        <v>-</v>
      </c>
      <c r="E1061" s="1318">
        <f t="shared" si="128"/>
        <v>0</v>
      </c>
      <c r="F1061" s="1437">
        <f t="shared" si="130"/>
        <v>5.5407899999999996E-4</v>
      </c>
      <c r="G1061" s="1437">
        <f t="shared" si="131"/>
        <v>0</v>
      </c>
      <c r="H1061" s="1437">
        <f t="shared" si="132"/>
        <v>5.5407899999999996E-4</v>
      </c>
      <c r="I1061" s="1437">
        <v>0</v>
      </c>
      <c r="J1061" s="1437">
        <v>0</v>
      </c>
      <c r="K1061" s="1438"/>
      <c r="L1061" s="1438"/>
      <c r="M1061" s="1437">
        <f t="shared" si="129"/>
        <v>0</v>
      </c>
      <c r="N1061" s="1437">
        <f t="shared" si="133"/>
        <v>5.5407899999999996E-4</v>
      </c>
    </row>
    <row r="1062" spans="1:14" outlineLevel="1">
      <c r="A1062" s="1499">
        <f t="shared" si="128"/>
        <v>41</v>
      </c>
      <c r="B1062" s="1539" t="str">
        <f t="shared" si="128"/>
        <v>Asset Recived From Civil-U#8-CHP-MCC ROOM -10515</v>
      </c>
      <c r="C1062" s="1491" t="str">
        <f t="shared" si="128"/>
        <v>N.A.</v>
      </c>
      <c r="D1062" s="1531" t="str">
        <f t="shared" si="128"/>
        <v>-</v>
      </c>
      <c r="E1062" s="1318">
        <f t="shared" si="128"/>
        <v>0</v>
      </c>
      <c r="F1062" s="1437">
        <f t="shared" si="130"/>
        <v>2.6945000000000002E-4</v>
      </c>
      <c r="G1062" s="1437">
        <f t="shared" si="131"/>
        <v>0</v>
      </c>
      <c r="H1062" s="1437">
        <f t="shared" si="132"/>
        <v>2.6945000000000002E-4</v>
      </c>
      <c r="I1062" s="1437">
        <v>0</v>
      </c>
      <c r="J1062" s="1437">
        <v>0</v>
      </c>
      <c r="K1062" s="1438"/>
      <c r="L1062" s="1438"/>
      <c r="M1062" s="1437">
        <f t="shared" si="129"/>
        <v>0</v>
      </c>
      <c r="N1062" s="1437">
        <f t="shared" si="133"/>
        <v>2.6945000000000002E-4</v>
      </c>
    </row>
    <row r="1063" spans="1:14" outlineLevel="1">
      <c r="A1063" s="1499">
        <f t="shared" si="128"/>
        <v>42</v>
      </c>
      <c r="B1063" s="1539" t="str">
        <f t="shared" si="128"/>
        <v>Asset Recived From Civil-U#8-AHP-RCC Ash Silo -10501</v>
      </c>
      <c r="C1063" s="1491" t="str">
        <f t="shared" si="128"/>
        <v>N.A.</v>
      </c>
      <c r="D1063" s="1531" t="str">
        <f t="shared" si="128"/>
        <v>-</v>
      </c>
      <c r="E1063" s="1318">
        <f t="shared" si="128"/>
        <v>0</v>
      </c>
      <c r="F1063" s="1437">
        <f t="shared" si="130"/>
        <v>1.64229E-4</v>
      </c>
      <c r="G1063" s="1437">
        <f t="shared" si="131"/>
        <v>0</v>
      </c>
      <c r="H1063" s="1437">
        <f t="shared" si="132"/>
        <v>1.64229E-4</v>
      </c>
      <c r="I1063" s="1437">
        <v>0</v>
      </c>
      <c r="J1063" s="1437">
        <v>0</v>
      </c>
      <c r="K1063" s="1438"/>
      <c r="L1063" s="1438"/>
      <c r="M1063" s="1437">
        <f t="shared" si="129"/>
        <v>0</v>
      </c>
      <c r="N1063" s="1437">
        <f t="shared" si="133"/>
        <v>1.64229E-4</v>
      </c>
    </row>
    <row r="1064" spans="1:14" outlineLevel="1">
      <c r="A1064" s="1499">
        <f t="shared" si="128"/>
        <v>43</v>
      </c>
      <c r="B1064" s="1539" t="str">
        <f t="shared" si="128"/>
        <v>Asset Recived From Civil-U#8-AHP-Staicase near Silo-10501</v>
      </c>
      <c r="C1064" s="1491" t="str">
        <f t="shared" si="128"/>
        <v>N.A.</v>
      </c>
      <c r="D1064" s="1531" t="str">
        <f t="shared" si="128"/>
        <v>-</v>
      </c>
      <c r="E1064" s="1318">
        <f t="shared" si="128"/>
        <v>0</v>
      </c>
      <c r="F1064" s="1437">
        <f t="shared" si="130"/>
        <v>1.7302000000000001E-5</v>
      </c>
      <c r="G1064" s="1437">
        <f t="shared" si="131"/>
        <v>0</v>
      </c>
      <c r="H1064" s="1437">
        <f t="shared" si="132"/>
        <v>1.7302000000000001E-5</v>
      </c>
      <c r="I1064" s="1437">
        <v>0</v>
      </c>
      <c r="J1064" s="1437">
        <v>0</v>
      </c>
      <c r="K1064" s="1438"/>
      <c r="L1064" s="1438"/>
      <c r="M1064" s="1437">
        <f t="shared" si="129"/>
        <v>0</v>
      </c>
      <c r="N1064" s="1437">
        <f t="shared" si="133"/>
        <v>1.7302000000000001E-5</v>
      </c>
    </row>
    <row r="1065" spans="1:14" outlineLevel="1">
      <c r="A1065" s="1499">
        <f t="shared" si="128"/>
        <v>44</v>
      </c>
      <c r="B1065" s="1539" t="str">
        <f t="shared" si="128"/>
        <v>Asset Recived From Civil-U#8-AHP-Drain sump in Silo Area -10501</v>
      </c>
      <c r="C1065" s="1491" t="str">
        <f t="shared" si="128"/>
        <v>N.A.</v>
      </c>
      <c r="D1065" s="1531" t="str">
        <f t="shared" si="128"/>
        <v>-</v>
      </c>
      <c r="E1065" s="1318">
        <f t="shared" si="128"/>
        <v>0</v>
      </c>
      <c r="F1065" s="1437">
        <f t="shared" si="130"/>
        <v>8.551E-6</v>
      </c>
      <c r="G1065" s="1437">
        <f t="shared" si="131"/>
        <v>0</v>
      </c>
      <c r="H1065" s="1437">
        <f t="shared" si="132"/>
        <v>8.551E-6</v>
      </c>
      <c r="I1065" s="1437">
        <v>0</v>
      </c>
      <c r="J1065" s="1437">
        <v>0</v>
      </c>
      <c r="K1065" s="1438"/>
      <c r="L1065" s="1438"/>
      <c r="M1065" s="1437">
        <f t="shared" si="129"/>
        <v>0</v>
      </c>
      <c r="N1065" s="1437">
        <f t="shared" si="133"/>
        <v>8.551E-6</v>
      </c>
    </row>
    <row r="1066" spans="1:14" outlineLevel="1">
      <c r="A1066" s="1499">
        <f t="shared" ref="A1066:E1081" si="134">A673</f>
        <v>45</v>
      </c>
      <c r="B1066" s="1539" t="str">
        <f t="shared" si="134"/>
        <v>Asset Recived From Civil-U#8-AHP-Slurry Mixing Tank Fdn.-10501</v>
      </c>
      <c r="C1066" s="1491" t="str">
        <f t="shared" si="134"/>
        <v>N.A.</v>
      </c>
      <c r="D1066" s="1531" t="str">
        <f t="shared" si="134"/>
        <v>-</v>
      </c>
      <c r="E1066" s="1318">
        <f t="shared" si="134"/>
        <v>0</v>
      </c>
      <c r="F1066" s="1437">
        <f t="shared" si="130"/>
        <v>1.6923E-5</v>
      </c>
      <c r="G1066" s="1437">
        <f t="shared" si="131"/>
        <v>0</v>
      </c>
      <c r="H1066" s="1437">
        <f t="shared" si="132"/>
        <v>1.6923E-5</v>
      </c>
      <c r="I1066" s="1437">
        <v>0</v>
      </c>
      <c r="J1066" s="1437">
        <v>0</v>
      </c>
      <c r="K1066" s="1438"/>
      <c r="L1066" s="1438"/>
      <c r="M1066" s="1437">
        <f t="shared" si="129"/>
        <v>0</v>
      </c>
      <c r="N1066" s="1437">
        <f t="shared" si="133"/>
        <v>1.6923E-5</v>
      </c>
    </row>
    <row r="1067" spans="1:14" outlineLevel="1">
      <c r="A1067" s="1499">
        <f t="shared" si="134"/>
        <v>46</v>
      </c>
      <c r="B1067" s="1539" t="str">
        <f t="shared" si="134"/>
        <v>Asset Recived From Civil-U#8-AHP-HCSD PUMP HOUSE-10501</v>
      </c>
      <c r="C1067" s="1491" t="str">
        <f t="shared" si="134"/>
        <v>N.A.</v>
      </c>
      <c r="D1067" s="1531" t="str">
        <f t="shared" si="134"/>
        <v>-</v>
      </c>
      <c r="E1067" s="1318">
        <f t="shared" si="134"/>
        <v>0</v>
      </c>
      <c r="F1067" s="1437">
        <f t="shared" si="130"/>
        <v>5.8934000000000002E-5</v>
      </c>
      <c r="G1067" s="1437">
        <f t="shared" si="131"/>
        <v>0</v>
      </c>
      <c r="H1067" s="1437">
        <f t="shared" si="132"/>
        <v>5.8934000000000002E-5</v>
      </c>
      <c r="I1067" s="1437">
        <v>0</v>
      </c>
      <c r="J1067" s="1437">
        <v>0</v>
      </c>
      <c r="K1067" s="1438"/>
      <c r="L1067" s="1438"/>
      <c r="M1067" s="1437">
        <f t="shared" si="129"/>
        <v>0</v>
      </c>
      <c r="N1067" s="1437">
        <f t="shared" si="133"/>
        <v>5.8934000000000002E-5</v>
      </c>
    </row>
    <row r="1068" spans="1:14" outlineLevel="1">
      <c r="A1068" s="1499">
        <f t="shared" si="134"/>
        <v>47</v>
      </c>
      <c r="B1068" s="1539" t="str">
        <f t="shared" si="134"/>
        <v>Asset Recived From Civil-U#8-AHP-Ash Slurry Pump House -10501</v>
      </c>
      <c r="C1068" s="1491" t="str">
        <f t="shared" si="134"/>
        <v>N.A.</v>
      </c>
      <c r="D1068" s="1531" t="str">
        <f t="shared" si="134"/>
        <v>-</v>
      </c>
      <c r="E1068" s="1318">
        <f t="shared" si="134"/>
        <v>0</v>
      </c>
      <c r="F1068" s="1437">
        <f t="shared" si="130"/>
        <v>1.4947300000000001E-4</v>
      </c>
      <c r="G1068" s="1437">
        <f t="shared" si="131"/>
        <v>0</v>
      </c>
      <c r="H1068" s="1437">
        <f t="shared" si="132"/>
        <v>1.4947300000000001E-4</v>
      </c>
      <c r="I1068" s="1437">
        <v>0</v>
      </c>
      <c r="J1068" s="1437">
        <v>0</v>
      </c>
      <c r="K1068" s="1438"/>
      <c r="L1068" s="1438"/>
      <c r="M1068" s="1437">
        <f t="shared" si="129"/>
        <v>0</v>
      </c>
      <c r="N1068" s="1437">
        <f t="shared" si="133"/>
        <v>1.4947300000000001E-4</v>
      </c>
    </row>
    <row r="1069" spans="1:14" outlineLevel="1">
      <c r="A1069" s="1499">
        <f t="shared" si="134"/>
        <v>48</v>
      </c>
      <c r="B1069" s="1539" t="str">
        <f t="shared" si="134"/>
        <v>Asset Recived From Civil-U#8-AHP-Ash Slurry Sump-10501</v>
      </c>
      <c r="C1069" s="1491" t="str">
        <f t="shared" si="134"/>
        <v>N.A.</v>
      </c>
      <c r="D1069" s="1531" t="str">
        <f t="shared" si="134"/>
        <v>-</v>
      </c>
      <c r="E1069" s="1318">
        <f t="shared" si="134"/>
        <v>0</v>
      </c>
      <c r="F1069" s="1437">
        <f t="shared" si="130"/>
        <v>4.5158999999999999E-5</v>
      </c>
      <c r="G1069" s="1437">
        <f t="shared" si="131"/>
        <v>0</v>
      </c>
      <c r="H1069" s="1437">
        <f t="shared" si="132"/>
        <v>4.5158999999999999E-5</v>
      </c>
      <c r="I1069" s="1437">
        <v>0</v>
      </c>
      <c r="J1069" s="1437">
        <v>0</v>
      </c>
      <c r="K1069" s="1438"/>
      <c r="L1069" s="1438"/>
      <c r="M1069" s="1437">
        <f t="shared" si="129"/>
        <v>0</v>
      </c>
      <c r="N1069" s="1437">
        <f t="shared" si="133"/>
        <v>4.5158999999999999E-5</v>
      </c>
    </row>
    <row r="1070" spans="1:14" outlineLevel="1">
      <c r="A1070" s="1499">
        <f t="shared" si="134"/>
        <v>49</v>
      </c>
      <c r="B1070" s="1539" t="str">
        <f t="shared" si="134"/>
        <v>Asset Recived From Civil-U#8-AHP-Ash Water Tank-10501</v>
      </c>
      <c r="C1070" s="1491" t="str">
        <f t="shared" si="134"/>
        <v>N.A.</v>
      </c>
      <c r="D1070" s="1531" t="str">
        <f t="shared" si="134"/>
        <v>-</v>
      </c>
      <c r="E1070" s="1318">
        <f t="shared" si="134"/>
        <v>0</v>
      </c>
      <c r="F1070" s="1437">
        <f t="shared" si="130"/>
        <v>3.4220000000000001E-5</v>
      </c>
      <c r="G1070" s="1437">
        <f t="shared" si="131"/>
        <v>0</v>
      </c>
      <c r="H1070" s="1437">
        <f t="shared" si="132"/>
        <v>3.4220000000000001E-5</v>
      </c>
      <c r="I1070" s="1437">
        <v>0</v>
      </c>
      <c r="J1070" s="1437">
        <v>0</v>
      </c>
      <c r="K1070" s="1438"/>
      <c r="L1070" s="1438"/>
      <c r="M1070" s="1437">
        <f t="shared" si="129"/>
        <v>0</v>
      </c>
      <c r="N1070" s="1437">
        <f t="shared" si="133"/>
        <v>3.4220000000000001E-5</v>
      </c>
    </row>
    <row r="1071" spans="1:14" outlineLevel="1">
      <c r="A1071" s="1499">
        <f t="shared" si="134"/>
        <v>50</v>
      </c>
      <c r="B1071" s="1539" t="str">
        <f t="shared" si="134"/>
        <v>Asset Recived From Civil-U#8-AHP-Bottom Ash Hopper-10501</v>
      </c>
      <c r="C1071" s="1491" t="str">
        <f t="shared" si="134"/>
        <v>N.A.</v>
      </c>
      <c r="D1071" s="1531" t="str">
        <f t="shared" si="134"/>
        <v>-</v>
      </c>
      <c r="E1071" s="1318">
        <f t="shared" si="134"/>
        <v>0</v>
      </c>
      <c r="F1071" s="1437">
        <f t="shared" si="130"/>
        <v>4.409E-5</v>
      </c>
      <c r="G1071" s="1437">
        <f t="shared" si="131"/>
        <v>0</v>
      </c>
      <c r="H1071" s="1437">
        <f t="shared" si="132"/>
        <v>4.409E-5</v>
      </c>
      <c r="I1071" s="1437">
        <v>0</v>
      </c>
      <c r="J1071" s="1437">
        <v>0</v>
      </c>
      <c r="K1071" s="1438"/>
      <c r="L1071" s="1438"/>
      <c r="M1071" s="1437">
        <f t="shared" si="129"/>
        <v>0</v>
      </c>
      <c r="N1071" s="1437">
        <f t="shared" si="133"/>
        <v>4.409E-5</v>
      </c>
    </row>
    <row r="1072" spans="1:14" outlineLevel="1">
      <c r="A1072" s="1499">
        <f t="shared" si="134"/>
        <v>51</v>
      </c>
      <c r="B1072" s="1539" t="str">
        <f t="shared" si="134"/>
        <v>Asset Recived From Civil-U#8-AHP-Drain sump in BAH Area -10501</v>
      </c>
      <c r="C1072" s="1491" t="str">
        <f t="shared" si="134"/>
        <v>N.A.</v>
      </c>
      <c r="D1072" s="1531" t="str">
        <f t="shared" si="134"/>
        <v>-</v>
      </c>
      <c r="E1072" s="1318">
        <f t="shared" si="134"/>
        <v>0</v>
      </c>
      <c r="F1072" s="1437">
        <f t="shared" si="130"/>
        <v>8.5750000000000001E-6</v>
      </c>
      <c r="G1072" s="1437">
        <f t="shared" si="131"/>
        <v>0</v>
      </c>
      <c r="H1072" s="1437">
        <f t="shared" si="132"/>
        <v>8.5750000000000001E-6</v>
      </c>
      <c r="I1072" s="1437">
        <v>0</v>
      </c>
      <c r="J1072" s="1437">
        <v>0</v>
      </c>
      <c r="K1072" s="1438"/>
      <c r="L1072" s="1438"/>
      <c r="M1072" s="1437">
        <f t="shared" si="129"/>
        <v>0</v>
      </c>
      <c r="N1072" s="1437">
        <f t="shared" si="133"/>
        <v>8.5750000000000001E-6</v>
      </c>
    </row>
    <row r="1073" spans="1:14" ht="29" outlineLevel="1">
      <c r="A1073" s="1499">
        <f t="shared" si="134"/>
        <v>52</v>
      </c>
      <c r="B1073" s="1539" t="str">
        <f t="shared" si="134"/>
        <v>Asset Recived From Civil-U#8-Ash Slurry Pipe Line AHP-Pedestals-10501</v>
      </c>
      <c r="C1073" s="1491" t="str">
        <f t="shared" si="134"/>
        <v>N.A.</v>
      </c>
      <c r="D1073" s="1531" t="str">
        <f t="shared" si="134"/>
        <v>-</v>
      </c>
      <c r="E1073" s="1318">
        <f t="shared" si="134"/>
        <v>0</v>
      </c>
      <c r="F1073" s="1437">
        <f t="shared" si="130"/>
        <v>1.38462E-4</v>
      </c>
      <c r="G1073" s="1437">
        <f t="shared" si="131"/>
        <v>0</v>
      </c>
      <c r="H1073" s="1437">
        <f t="shared" si="132"/>
        <v>1.38462E-4</v>
      </c>
      <c r="I1073" s="1437">
        <v>0</v>
      </c>
      <c r="J1073" s="1437">
        <v>0</v>
      </c>
      <c r="K1073" s="1438"/>
      <c r="L1073" s="1438"/>
      <c r="M1073" s="1437">
        <f t="shared" si="129"/>
        <v>0</v>
      </c>
      <c r="N1073" s="1437">
        <f t="shared" si="133"/>
        <v>1.38462E-4</v>
      </c>
    </row>
    <row r="1074" spans="1:14" outlineLevel="1">
      <c r="A1074" s="1499">
        <f t="shared" si="134"/>
        <v>53</v>
      </c>
      <c r="B1074" s="1539" t="str">
        <f t="shared" si="134"/>
        <v>Asset Recived From Civil-U#8-AHP-Buffer Hopper Foundation-10501</v>
      </c>
      <c r="C1074" s="1491" t="str">
        <f t="shared" si="134"/>
        <v>N.A.</v>
      </c>
      <c r="D1074" s="1531" t="str">
        <f t="shared" si="134"/>
        <v>-</v>
      </c>
      <c r="E1074" s="1318">
        <f t="shared" si="134"/>
        <v>0</v>
      </c>
      <c r="F1074" s="1437">
        <f t="shared" si="130"/>
        <v>3.5627999999999998E-5</v>
      </c>
      <c r="G1074" s="1437">
        <f t="shared" si="131"/>
        <v>0</v>
      </c>
      <c r="H1074" s="1437">
        <f t="shared" si="132"/>
        <v>3.5627999999999998E-5</v>
      </c>
      <c r="I1074" s="1437">
        <v>0</v>
      </c>
      <c r="J1074" s="1437">
        <v>0</v>
      </c>
      <c r="K1074" s="1438"/>
      <c r="L1074" s="1438"/>
      <c r="M1074" s="1437">
        <f t="shared" si="129"/>
        <v>0</v>
      </c>
      <c r="N1074" s="1437">
        <f t="shared" si="133"/>
        <v>3.5627999999999998E-5</v>
      </c>
    </row>
    <row r="1075" spans="1:14" ht="29" outlineLevel="1">
      <c r="A1075" s="1499">
        <f t="shared" si="134"/>
        <v>54</v>
      </c>
      <c r="B1075" s="1539" t="str">
        <f t="shared" si="134"/>
        <v>Asset Recived From Civil-U#8-AHP-Mill reject hopper foundation-10501</v>
      </c>
      <c r="C1075" s="1491" t="str">
        <f t="shared" si="134"/>
        <v>N.A.</v>
      </c>
      <c r="D1075" s="1531" t="str">
        <f t="shared" si="134"/>
        <v>-</v>
      </c>
      <c r="E1075" s="1318">
        <f t="shared" si="134"/>
        <v>0</v>
      </c>
      <c r="F1075" s="1437">
        <f t="shared" si="130"/>
        <v>1.7813999999999999E-5</v>
      </c>
      <c r="G1075" s="1437">
        <f t="shared" si="131"/>
        <v>0</v>
      </c>
      <c r="H1075" s="1437">
        <f t="shared" si="132"/>
        <v>1.7813999999999999E-5</v>
      </c>
      <c r="I1075" s="1437">
        <v>0</v>
      </c>
      <c r="J1075" s="1437">
        <v>0</v>
      </c>
      <c r="K1075" s="1438"/>
      <c r="L1075" s="1438"/>
      <c r="M1075" s="1437">
        <f t="shared" si="129"/>
        <v>0</v>
      </c>
      <c r="N1075" s="1437">
        <f t="shared" si="133"/>
        <v>1.7813999999999999E-5</v>
      </c>
    </row>
    <row r="1076" spans="1:14" outlineLevel="1">
      <c r="A1076" s="1499">
        <f t="shared" si="134"/>
        <v>55</v>
      </c>
      <c r="B1076" s="1539" t="str">
        <f t="shared" si="134"/>
        <v>Asset Recived From Civil-U#8-FHP-Fuel Oil pump house-10516</v>
      </c>
      <c r="C1076" s="1491" t="str">
        <f t="shared" si="134"/>
        <v>N.A.</v>
      </c>
      <c r="D1076" s="1531" t="str">
        <f t="shared" si="134"/>
        <v>-</v>
      </c>
      <c r="E1076" s="1318">
        <f t="shared" si="134"/>
        <v>0</v>
      </c>
      <c r="F1076" s="1437">
        <f t="shared" si="130"/>
        <v>6.5769099999999996E-4</v>
      </c>
      <c r="G1076" s="1437">
        <f t="shared" si="131"/>
        <v>0</v>
      </c>
      <c r="H1076" s="1437">
        <f t="shared" si="132"/>
        <v>6.5769099999999996E-4</v>
      </c>
      <c r="I1076" s="1437">
        <v>0</v>
      </c>
      <c r="J1076" s="1437">
        <v>0</v>
      </c>
      <c r="K1076" s="1438"/>
      <c r="L1076" s="1438"/>
      <c r="M1076" s="1437">
        <f t="shared" si="129"/>
        <v>0</v>
      </c>
      <c r="N1076" s="1437">
        <f t="shared" si="133"/>
        <v>6.5769099999999996E-4</v>
      </c>
    </row>
    <row r="1077" spans="1:14" outlineLevel="1">
      <c r="A1077" s="1499">
        <f t="shared" si="134"/>
        <v>56</v>
      </c>
      <c r="B1077" s="1539" t="str">
        <f t="shared" si="134"/>
        <v>Asset Recived From Civil-U#8-FHP-DYKE AREA -10516</v>
      </c>
      <c r="C1077" s="1491" t="str">
        <f t="shared" si="134"/>
        <v>N.A.</v>
      </c>
      <c r="D1077" s="1531" t="str">
        <f t="shared" si="134"/>
        <v>-</v>
      </c>
      <c r="E1077" s="1318">
        <f t="shared" si="134"/>
        <v>0</v>
      </c>
      <c r="F1077" s="1437">
        <f t="shared" si="130"/>
        <v>1.9338999999999999E-5</v>
      </c>
      <c r="G1077" s="1437">
        <f t="shared" si="131"/>
        <v>0</v>
      </c>
      <c r="H1077" s="1437">
        <f t="shared" si="132"/>
        <v>1.9338999999999999E-5</v>
      </c>
      <c r="I1077" s="1437">
        <v>0</v>
      </c>
      <c r="J1077" s="1437">
        <v>0</v>
      </c>
      <c r="K1077" s="1438"/>
      <c r="L1077" s="1438"/>
      <c r="M1077" s="1437">
        <f t="shared" si="129"/>
        <v>0</v>
      </c>
      <c r="N1077" s="1437">
        <f t="shared" si="133"/>
        <v>1.9338999999999999E-5</v>
      </c>
    </row>
    <row r="1078" spans="1:14" outlineLevel="1">
      <c r="A1078" s="1499">
        <f t="shared" si="134"/>
        <v>57</v>
      </c>
      <c r="B1078" s="1539" t="str">
        <f t="shared" si="134"/>
        <v>Asset Recived From Civil-U#8-Effulent Treatment Plant -10509</v>
      </c>
      <c r="C1078" s="1491" t="str">
        <f t="shared" si="134"/>
        <v>N.A.</v>
      </c>
      <c r="D1078" s="1531" t="str">
        <f t="shared" si="134"/>
        <v>-</v>
      </c>
      <c r="E1078" s="1318">
        <f t="shared" si="134"/>
        <v>0</v>
      </c>
      <c r="F1078" s="1437">
        <f t="shared" si="130"/>
        <v>1.4134799999999999E-4</v>
      </c>
      <c r="G1078" s="1437">
        <f t="shared" si="131"/>
        <v>0</v>
      </c>
      <c r="H1078" s="1437">
        <f t="shared" si="132"/>
        <v>1.4134799999999999E-4</v>
      </c>
      <c r="I1078" s="1437">
        <v>0</v>
      </c>
      <c r="J1078" s="1437">
        <v>0</v>
      </c>
      <c r="K1078" s="1438"/>
      <c r="L1078" s="1438"/>
      <c r="M1078" s="1437">
        <f t="shared" si="129"/>
        <v>0</v>
      </c>
      <c r="N1078" s="1437">
        <f t="shared" si="133"/>
        <v>1.4134799999999999E-4</v>
      </c>
    </row>
    <row r="1079" spans="1:14" outlineLevel="1">
      <c r="A1079" s="1499">
        <f t="shared" si="134"/>
        <v>58</v>
      </c>
      <c r="B1079" s="1539" t="str">
        <f t="shared" si="134"/>
        <v>Asset Recived From Project-U#8-Boiler Pressure parts-10501</v>
      </c>
      <c r="C1079" s="1491" t="str">
        <f t="shared" si="134"/>
        <v>N.A.</v>
      </c>
      <c r="D1079" s="1531" t="str">
        <f t="shared" si="134"/>
        <v>-</v>
      </c>
      <c r="E1079" s="1318">
        <f t="shared" si="134"/>
        <v>0</v>
      </c>
      <c r="F1079" s="1437">
        <f t="shared" si="130"/>
        <v>6.5490000000000007E-2</v>
      </c>
      <c r="G1079" s="1437">
        <f t="shared" si="131"/>
        <v>0</v>
      </c>
      <c r="H1079" s="1437">
        <f t="shared" si="132"/>
        <v>6.5490000000000007E-2</v>
      </c>
      <c r="I1079" s="1437">
        <v>0</v>
      </c>
      <c r="J1079" s="1437">
        <v>0</v>
      </c>
      <c r="K1079" s="1438"/>
      <c r="L1079" s="1438"/>
      <c r="M1079" s="1437">
        <f t="shared" si="129"/>
        <v>0</v>
      </c>
      <c r="N1079" s="1437">
        <f t="shared" si="133"/>
        <v>6.5490000000000007E-2</v>
      </c>
    </row>
    <row r="1080" spans="1:14" outlineLevel="1">
      <c r="A1080" s="1499">
        <f t="shared" si="134"/>
        <v>59</v>
      </c>
      <c r="B1080" s="1539" t="str">
        <f t="shared" si="134"/>
        <v>Asset Recived From Project-U#8-Mandatory Spares from BHEL–Trichy</v>
      </c>
      <c r="C1080" s="1491" t="str">
        <f t="shared" si="134"/>
        <v>N.A.</v>
      </c>
      <c r="D1080" s="1531" t="str">
        <f t="shared" si="134"/>
        <v>-</v>
      </c>
      <c r="E1080" s="1318">
        <f t="shared" si="134"/>
        <v>0</v>
      </c>
      <c r="F1080" s="1437">
        <f t="shared" si="130"/>
        <v>7.4618999999999996E-3</v>
      </c>
      <c r="G1080" s="1437">
        <f t="shared" si="131"/>
        <v>0</v>
      </c>
      <c r="H1080" s="1437">
        <f t="shared" si="132"/>
        <v>7.4618999999999996E-3</v>
      </c>
      <c r="I1080" s="1437">
        <v>0</v>
      </c>
      <c r="J1080" s="1437">
        <v>0</v>
      </c>
      <c r="K1080" s="1438"/>
      <c r="L1080" s="1438"/>
      <c r="M1080" s="1437">
        <f t="shared" si="129"/>
        <v>0</v>
      </c>
      <c r="N1080" s="1437">
        <f t="shared" si="133"/>
        <v>7.4618999999999996E-3</v>
      </c>
    </row>
    <row r="1081" spans="1:14" outlineLevel="1">
      <c r="A1081" s="1499">
        <f t="shared" si="134"/>
        <v>60</v>
      </c>
      <c r="B1081" s="1539" t="str">
        <f t="shared" si="134"/>
        <v>Asset Recived From Civil-U#8-Coal mill reject trench at coal mill D&amp;E</v>
      </c>
      <c r="C1081" s="1491" t="str">
        <f t="shared" si="134"/>
        <v>N.A.</v>
      </c>
      <c r="D1081" s="1531" t="str">
        <f t="shared" si="134"/>
        <v>-</v>
      </c>
      <c r="E1081" s="1318">
        <f t="shared" si="134"/>
        <v>0</v>
      </c>
      <c r="F1081" s="1437">
        <f t="shared" si="130"/>
        <v>4.6610299000000001E-2</v>
      </c>
      <c r="G1081" s="1437">
        <f t="shared" si="131"/>
        <v>0</v>
      </c>
      <c r="H1081" s="1437">
        <f t="shared" si="132"/>
        <v>4.6610299000000001E-2</v>
      </c>
      <c r="I1081" s="1437">
        <v>0</v>
      </c>
      <c r="J1081" s="1437">
        <v>0</v>
      </c>
      <c r="K1081" s="1438"/>
      <c r="L1081" s="1438"/>
      <c r="M1081" s="1437">
        <f t="shared" si="129"/>
        <v>0</v>
      </c>
      <c r="N1081" s="1437">
        <f t="shared" si="133"/>
        <v>4.6610299000000001E-2</v>
      </c>
    </row>
    <row r="1082" spans="1:14" ht="29" outlineLevel="1">
      <c r="A1082" s="1499">
        <f t="shared" ref="A1082:E1097" si="135">A689</f>
        <v>61</v>
      </c>
      <c r="B1082" s="1539" t="str">
        <f t="shared" si="135"/>
        <v>Asset Recived From Project-U#8-Canteen Equipments &amp; kitchen Utensils</v>
      </c>
      <c r="C1082" s="1491" t="str">
        <f t="shared" si="135"/>
        <v>N.A.</v>
      </c>
      <c r="D1082" s="1531" t="str">
        <f t="shared" si="135"/>
        <v>-</v>
      </c>
      <c r="E1082" s="1318">
        <f t="shared" si="135"/>
        <v>0</v>
      </c>
      <c r="F1082" s="1437">
        <f t="shared" si="130"/>
        <v>0.21887515400000002</v>
      </c>
      <c r="G1082" s="1437">
        <f t="shared" si="131"/>
        <v>0</v>
      </c>
      <c r="H1082" s="1437">
        <f t="shared" si="132"/>
        <v>0.21887515400000002</v>
      </c>
      <c r="I1082" s="1437">
        <v>0</v>
      </c>
      <c r="J1082" s="1437">
        <v>0</v>
      </c>
      <c r="K1082" s="1438"/>
      <c r="L1082" s="1438"/>
      <c r="M1082" s="1437">
        <f t="shared" si="129"/>
        <v>0</v>
      </c>
      <c r="N1082" s="1437">
        <f t="shared" si="133"/>
        <v>0.21887515400000002</v>
      </c>
    </row>
    <row r="1083" spans="1:14" ht="29" outlineLevel="1">
      <c r="A1083" s="1499">
        <f t="shared" si="135"/>
        <v>62</v>
      </c>
      <c r="B1083" s="1539" t="str">
        <f t="shared" si="135"/>
        <v>Asset Recived From Project-U#8-Supply &amp; Erection of ACW system-10310</v>
      </c>
      <c r="C1083" s="1491" t="str">
        <f t="shared" si="135"/>
        <v>N.A.</v>
      </c>
      <c r="D1083" s="1531" t="str">
        <f t="shared" si="135"/>
        <v>-</v>
      </c>
      <c r="E1083" s="1318">
        <f t="shared" si="135"/>
        <v>0</v>
      </c>
      <c r="F1083" s="1437">
        <f t="shared" si="130"/>
        <v>8.3684199999999997E-4</v>
      </c>
      <c r="G1083" s="1437">
        <f t="shared" si="131"/>
        <v>0</v>
      </c>
      <c r="H1083" s="1437">
        <f t="shared" si="132"/>
        <v>8.3684199999999997E-4</v>
      </c>
      <c r="I1083" s="1437">
        <v>0</v>
      </c>
      <c r="J1083" s="1437">
        <v>0</v>
      </c>
      <c r="K1083" s="1438"/>
      <c r="L1083" s="1438"/>
      <c r="M1083" s="1437">
        <f t="shared" si="129"/>
        <v>0</v>
      </c>
      <c r="N1083" s="1437">
        <f t="shared" si="133"/>
        <v>8.3684199999999997E-4</v>
      </c>
    </row>
    <row r="1084" spans="1:14" ht="29" outlineLevel="1">
      <c r="A1084" s="1499">
        <f t="shared" si="135"/>
        <v>63</v>
      </c>
      <c r="B1084" s="1539" t="str">
        <f t="shared" si="135"/>
        <v>Asset Recived From Project-U#8-SUPPLY &amp; ERECTION OF CCW SYSTEM-10310</v>
      </c>
      <c r="C1084" s="1491" t="str">
        <f t="shared" si="135"/>
        <v>N.A.</v>
      </c>
      <c r="D1084" s="1531" t="str">
        <f t="shared" si="135"/>
        <v>-</v>
      </c>
      <c r="E1084" s="1318">
        <f t="shared" si="135"/>
        <v>0</v>
      </c>
      <c r="F1084" s="1437">
        <f t="shared" si="130"/>
        <v>4.8560299999999999E-3</v>
      </c>
      <c r="G1084" s="1437">
        <f t="shared" si="131"/>
        <v>0</v>
      </c>
      <c r="H1084" s="1437">
        <f t="shared" si="132"/>
        <v>4.8560299999999999E-3</v>
      </c>
      <c r="I1084" s="1437">
        <v>0</v>
      </c>
      <c r="J1084" s="1437">
        <v>0</v>
      </c>
      <c r="K1084" s="1438"/>
      <c r="L1084" s="1438"/>
      <c r="M1084" s="1437">
        <f t="shared" si="129"/>
        <v>0</v>
      </c>
      <c r="N1084" s="1437">
        <f t="shared" si="133"/>
        <v>4.8560299999999999E-3</v>
      </c>
    </row>
    <row r="1085" spans="1:14" ht="29" outlineLevel="1">
      <c r="A1085" s="1499">
        <f t="shared" si="135"/>
        <v>64</v>
      </c>
      <c r="B1085" s="1539" t="str">
        <f t="shared" si="135"/>
        <v>Asset Recived From Project-U#8-TG set &amp; its auxilleries-HP/LPFeedWate</v>
      </c>
      <c r="C1085" s="1491" t="str">
        <f t="shared" si="135"/>
        <v>N.A.</v>
      </c>
      <c r="D1085" s="1531" t="str">
        <f t="shared" si="135"/>
        <v>-</v>
      </c>
      <c r="E1085" s="1318">
        <f t="shared" si="135"/>
        <v>0</v>
      </c>
      <c r="F1085" s="1437">
        <f t="shared" si="130"/>
        <v>1.6841648000000001E-2</v>
      </c>
      <c r="G1085" s="1437">
        <f t="shared" si="131"/>
        <v>0</v>
      </c>
      <c r="H1085" s="1437">
        <f t="shared" si="132"/>
        <v>1.6841648000000001E-2</v>
      </c>
      <c r="I1085" s="1437">
        <v>0</v>
      </c>
      <c r="J1085" s="1437">
        <v>0</v>
      </c>
      <c r="K1085" s="1438"/>
      <c r="L1085" s="1438"/>
      <c r="M1085" s="1437">
        <f t="shared" si="129"/>
        <v>0</v>
      </c>
      <c r="N1085" s="1437">
        <f t="shared" si="133"/>
        <v>1.6841648000000001E-2</v>
      </c>
    </row>
    <row r="1086" spans="1:14" outlineLevel="1">
      <c r="A1086" s="1499">
        <f t="shared" si="135"/>
        <v>65</v>
      </c>
      <c r="B1086" s="1539" t="str">
        <f t="shared" si="135"/>
        <v>Asset Recived From Project-U#8-TG set and its auxilleries- Boilerfeed</v>
      </c>
      <c r="C1086" s="1491" t="str">
        <f t="shared" si="135"/>
        <v>N.A.</v>
      </c>
      <c r="D1086" s="1531" t="str">
        <f t="shared" si="135"/>
        <v>-</v>
      </c>
      <c r="E1086" s="1318">
        <f t="shared" si="135"/>
        <v>0</v>
      </c>
      <c r="F1086" s="1437">
        <f t="shared" si="130"/>
        <v>1.8479445000000001E-2</v>
      </c>
      <c r="G1086" s="1437">
        <f t="shared" si="131"/>
        <v>0</v>
      </c>
      <c r="H1086" s="1437">
        <f t="shared" si="132"/>
        <v>1.8479445000000001E-2</v>
      </c>
      <c r="I1086" s="1437">
        <v>0</v>
      </c>
      <c r="J1086" s="1437">
        <v>0</v>
      </c>
      <c r="K1086" s="1438"/>
      <c r="L1086" s="1438"/>
      <c r="M1086" s="1437">
        <f t="shared" si="129"/>
        <v>0</v>
      </c>
      <c r="N1086" s="1437">
        <f t="shared" si="133"/>
        <v>1.8479445000000001E-2</v>
      </c>
    </row>
    <row r="1087" spans="1:14" ht="29" outlineLevel="1">
      <c r="A1087" s="1499">
        <f t="shared" si="135"/>
        <v>66</v>
      </c>
      <c r="B1087" s="1539" t="str">
        <f t="shared" si="135"/>
        <v>Asset Recived From Project-U#8-Air Conditioning-MandatorySpares-10576</v>
      </c>
      <c r="C1087" s="1491" t="str">
        <f t="shared" si="135"/>
        <v>N.A.</v>
      </c>
      <c r="D1087" s="1531" t="str">
        <f t="shared" si="135"/>
        <v>-</v>
      </c>
      <c r="E1087" s="1318">
        <f t="shared" si="135"/>
        <v>0</v>
      </c>
      <c r="F1087" s="1437">
        <f t="shared" si="130"/>
        <v>1.7255999999999999E-5</v>
      </c>
      <c r="G1087" s="1437">
        <f t="shared" si="131"/>
        <v>0</v>
      </c>
      <c r="H1087" s="1437">
        <f t="shared" si="132"/>
        <v>1.7255999999999999E-5</v>
      </c>
      <c r="I1087" s="1437">
        <v>0</v>
      </c>
      <c r="J1087" s="1437">
        <v>0</v>
      </c>
      <c r="K1087" s="1438"/>
      <c r="L1087" s="1438"/>
      <c r="M1087" s="1437">
        <f t="shared" si="129"/>
        <v>0</v>
      </c>
      <c r="N1087" s="1437">
        <f t="shared" si="133"/>
        <v>1.7255999999999999E-5</v>
      </c>
    </row>
    <row r="1088" spans="1:14" outlineLevel="1">
      <c r="A1088" s="1499">
        <f t="shared" si="135"/>
        <v>67</v>
      </c>
      <c r="B1088" s="1539" t="str">
        <f t="shared" si="135"/>
        <v>Asset Recived From Project-U#8-Air Conditioning system-10576</v>
      </c>
      <c r="C1088" s="1491" t="str">
        <f t="shared" si="135"/>
        <v>N.A.</v>
      </c>
      <c r="D1088" s="1531" t="str">
        <f t="shared" si="135"/>
        <v>-</v>
      </c>
      <c r="E1088" s="1318">
        <f t="shared" si="135"/>
        <v>0</v>
      </c>
      <c r="F1088" s="1437">
        <f t="shared" si="130"/>
        <v>1.344619E-3</v>
      </c>
      <c r="G1088" s="1437">
        <f t="shared" si="131"/>
        <v>0</v>
      </c>
      <c r="H1088" s="1437">
        <f t="shared" si="132"/>
        <v>1.344619E-3</v>
      </c>
      <c r="I1088" s="1437">
        <v>0</v>
      </c>
      <c r="J1088" s="1437">
        <v>0</v>
      </c>
      <c r="K1088" s="1438"/>
      <c r="L1088" s="1438"/>
      <c r="M1088" s="1437">
        <f t="shared" si="129"/>
        <v>0</v>
      </c>
      <c r="N1088" s="1437">
        <f t="shared" si="133"/>
        <v>1.344619E-3</v>
      </c>
    </row>
    <row r="1089" spans="1:14" outlineLevel="1">
      <c r="A1089" s="1499">
        <f t="shared" si="135"/>
        <v>68</v>
      </c>
      <c r="B1089" s="1539" t="str">
        <f t="shared" si="135"/>
        <v>Asset Recived From Project-U#8-AHP-FLY ASH &amp; HCSD-SYSTEM-10501</v>
      </c>
      <c r="C1089" s="1491" t="str">
        <f t="shared" si="135"/>
        <v>N.A.</v>
      </c>
      <c r="D1089" s="1531" t="str">
        <f t="shared" si="135"/>
        <v>-</v>
      </c>
      <c r="E1089" s="1318">
        <f t="shared" si="135"/>
        <v>0</v>
      </c>
      <c r="F1089" s="1437">
        <f t="shared" si="130"/>
        <v>2.1652109999999998E-3</v>
      </c>
      <c r="G1089" s="1437">
        <f t="shared" si="131"/>
        <v>0</v>
      </c>
      <c r="H1089" s="1437">
        <f t="shared" si="132"/>
        <v>2.1652109999999998E-3</v>
      </c>
      <c r="I1089" s="1437">
        <v>0</v>
      </c>
      <c r="J1089" s="1437">
        <v>0</v>
      </c>
      <c r="K1089" s="1438"/>
      <c r="L1089" s="1438"/>
      <c r="M1089" s="1437">
        <f t="shared" si="129"/>
        <v>0</v>
      </c>
      <c r="N1089" s="1437">
        <f t="shared" si="133"/>
        <v>2.1652109999999998E-3</v>
      </c>
    </row>
    <row r="1090" spans="1:14" ht="29" outlineLevel="1">
      <c r="A1090" s="1499">
        <f t="shared" si="135"/>
        <v>69</v>
      </c>
      <c r="B1090" s="1539" t="str">
        <f t="shared" si="135"/>
        <v>Asset Recived From Project-U#8-AHP-FLYASH&amp;HCSD-SYSTEMBOUGHT OUT-10501</v>
      </c>
      <c r="C1090" s="1491" t="str">
        <f t="shared" si="135"/>
        <v>N.A.</v>
      </c>
      <c r="D1090" s="1531" t="str">
        <f t="shared" si="135"/>
        <v>-</v>
      </c>
      <c r="E1090" s="1318">
        <f t="shared" si="135"/>
        <v>0</v>
      </c>
      <c r="F1090" s="1437">
        <f t="shared" si="130"/>
        <v>7.0969070000000004E-3</v>
      </c>
      <c r="G1090" s="1437">
        <f t="shared" si="131"/>
        <v>0</v>
      </c>
      <c r="H1090" s="1437">
        <f t="shared" si="132"/>
        <v>7.0969070000000004E-3</v>
      </c>
      <c r="I1090" s="1437">
        <v>0</v>
      </c>
      <c r="J1090" s="1437">
        <v>0</v>
      </c>
      <c r="K1090" s="1438"/>
      <c r="L1090" s="1438"/>
      <c r="M1090" s="1437">
        <f t="shared" si="129"/>
        <v>0</v>
      </c>
      <c r="N1090" s="1437">
        <f t="shared" si="133"/>
        <v>7.0969070000000004E-3</v>
      </c>
    </row>
    <row r="1091" spans="1:14" outlineLevel="1">
      <c r="A1091" s="1499">
        <f t="shared" si="135"/>
        <v>70</v>
      </c>
      <c r="B1091" s="1539" t="str">
        <f t="shared" si="135"/>
        <v>Asset Recived From Project-U#8-AHP-BOTTOM ASH SYSTEM-10501</v>
      </c>
      <c r="C1091" s="1491" t="str">
        <f t="shared" si="135"/>
        <v>N.A.</v>
      </c>
      <c r="D1091" s="1531" t="str">
        <f t="shared" si="135"/>
        <v>-</v>
      </c>
      <c r="E1091" s="1318">
        <f t="shared" si="135"/>
        <v>0</v>
      </c>
      <c r="F1091" s="1437">
        <f t="shared" si="130"/>
        <v>1.2125858999999999E-2</v>
      </c>
      <c r="G1091" s="1437">
        <f t="shared" si="131"/>
        <v>0</v>
      </c>
      <c r="H1091" s="1437">
        <f t="shared" si="132"/>
        <v>1.2125858999999999E-2</v>
      </c>
      <c r="I1091" s="1437">
        <v>0</v>
      </c>
      <c r="J1091" s="1437">
        <v>0</v>
      </c>
      <c r="K1091" s="1438"/>
      <c r="L1091" s="1438"/>
      <c r="M1091" s="1437">
        <f t="shared" si="129"/>
        <v>0</v>
      </c>
      <c r="N1091" s="1437">
        <f t="shared" si="133"/>
        <v>1.2125858999999999E-2</v>
      </c>
    </row>
    <row r="1092" spans="1:14" outlineLevel="1">
      <c r="A1092" s="1499">
        <f t="shared" si="135"/>
        <v>71</v>
      </c>
      <c r="B1092" s="1539" t="str">
        <f t="shared" si="135"/>
        <v>Asset Recived From Project-U#8-AHP-ELECTRICAL C &amp; I-10501</v>
      </c>
      <c r="C1092" s="1491" t="str">
        <f t="shared" si="135"/>
        <v>N.A.</v>
      </c>
      <c r="D1092" s="1531" t="str">
        <f t="shared" si="135"/>
        <v>-</v>
      </c>
      <c r="E1092" s="1318">
        <f t="shared" si="135"/>
        <v>0</v>
      </c>
      <c r="F1092" s="1437">
        <f t="shared" si="130"/>
        <v>4.0530039999999998E-3</v>
      </c>
      <c r="G1092" s="1437">
        <f t="shared" si="131"/>
        <v>0</v>
      </c>
      <c r="H1092" s="1437">
        <f t="shared" si="132"/>
        <v>4.0530039999999998E-3</v>
      </c>
      <c r="I1092" s="1437">
        <v>0</v>
      </c>
      <c r="J1092" s="1437">
        <v>0</v>
      </c>
      <c r="K1092" s="1438"/>
      <c r="L1092" s="1438"/>
      <c r="M1092" s="1437">
        <f t="shared" si="129"/>
        <v>0</v>
      </c>
      <c r="N1092" s="1437">
        <f t="shared" si="133"/>
        <v>4.0530039999999998E-3</v>
      </c>
    </row>
    <row r="1093" spans="1:14" outlineLevel="1">
      <c r="A1093" s="1499">
        <f t="shared" si="135"/>
        <v>72</v>
      </c>
      <c r="B1093" s="1539" t="str">
        <f t="shared" si="135"/>
        <v>Asset Recived From Project-U#8-AHP-GEHO PUMP-10501</v>
      </c>
      <c r="C1093" s="1491" t="str">
        <f t="shared" si="135"/>
        <v>N.A.</v>
      </c>
      <c r="D1093" s="1531" t="str">
        <f t="shared" si="135"/>
        <v>-</v>
      </c>
      <c r="E1093" s="1318">
        <f t="shared" si="135"/>
        <v>0</v>
      </c>
      <c r="F1093" s="1437">
        <f t="shared" si="130"/>
        <v>9.5127619999999993E-3</v>
      </c>
      <c r="G1093" s="1437">
        <f t="shared" si="131"/>
        <v>0</v>
      </c>
      <c r="H1093" s="1437">
        <f t="shared" si="132"/>
        <v>9.5127619999999993E-3</v>
      </c>
      <c r="I1093" s="1437">
        <v>0</v>
      </c>
      <c r="J1093" s="1437">
        <v>0</v>
      </c>
      <c r="K1093" s="1438"/>
      <c r="L1093" s="1438"/>
      <c r="M1093" s="1437">
        <f t="shared" si="129"/>
        <v>0</v>
      </c>
      <c r="N1093" s="1437">
        <f t="shared" si="133"/>
        <v>9.5127619999999993E-3</v>
      </c>
    </row>
    <row r="1094" spans="1:14" ht="29" outlineLevel="1">
      <c r="A1094" s="1499">
        <f t="shared" si="135"/>
        <v>73</v>
      </c>
      <c r="B1094" s="1539" t="str">
        <f t="shared" si="135"/>
        <v>Asset Recived FromProject-U#8-Boiler&amp;Aux -Power Cycle Piping-10501</v>
      </c>
      <c r="C1094" s="1491" t="str">
        <f t="shared" si="135"/>
        <v>N.A.</v>
      </c>
      <c r="D1094" s="1531" t="str">
        <f t="shared" si="135"/>
        <v>-</v>
      </c>
      <c r="E1094" s="1318">
        <f t="shared" si="135"/>
        <v>0</v>
      </c>
      <c r="F1094" s="1437">
        <f t="shared" si="130"/>
        <v>4.1004594999999998E-2</v>
      </c>
      <c r="G1094" s="1437">
        <f t="shared" si="131"/>
        <v>0</v>
      </c>
      <c r="H1094" s="1437">
        <f t="shared" si="132"/>
        <v>4.1004594999999998E-2</v>
      </c>
      <c r="I1094" s="1437">
        <v>0</v>
      </c>
      <c r="J1094" s="1437">
        <v>0</v>
      </c>
      <c r="K1094" s="1438"/>
      <c r="L1094" s="1438"/>
      <c r="M1094" s="1437">
        <f t="shared" si="129"/>
        <v>0</v>
      </c>
      <c r="N1094" s="1437">
        <f t="shared" si="133"/>
        <v>4.1004594999999998E-2</v>
      </c>
    </row>
    <row r="1095" spans="1:14" ht="29" outlineLevel="1">
      <c r="A1095" s="1499">
        <f t="shared" si="135"/>
        <v>74</v>
      </c>
      <c r="B1095" s="1539" t="str">
        <f t="shared" si="135"/>
        <v>Asset Recived From Project-U#8-Boiler&amp;Aux-SUIT BLOWER &amp; PIPING-10501</v>
      </c>
      <c r="C1095" s="1491" t="str">
        <f t="shared" si="135"/>
        <v>N.A.</v>
      </c>
      <c r="D1095" s="1531" t="str">
        <f t="shared" si="135"/>
        <v>-</v>
      </c>
      <c r="E1095" s="1318">
        <f t="shared" si="135"/>
        <v>0</v>
      </c>
      <c r="F1095" s="1437">
        <f t="shared" si="130"/>
        <v>8.3837327000000003E-2</v>
      </c>
      <c r="G1095" s="1437">
        <f t="shared" si="131"/>
        <v>0</v>
      </c>
      <c r="H1095" s="1437">
        <f t="shared" si="132"/>
        <v>8.3837327000000003E-2</v>
      </c>
      <c r="I1095" s="1437">
        <v>0</v>
      </c>
      <c r="J1095" s="1437">
        <v>0</v>
      </c>
      <c r="K1095" s="1438"/>
      <c r="L1095" s="1438"/>
      <c r="M1095" s="1437">
        <f t="shared" si="129"/>
        <v>0</v>
      </c>
      <c r="N1095" s="1437">
        <f t="shared" si="133"/>
        <v>8.3837327000000003E-2</v>
      </c>
    </row>
    <row r="1096" spans="1:14" outlineLevel="1">
      <c r="A1096" s="1499">
        <f t="shared" si="135"/>
        <v>75</v>
      </c>
      <c r="B1096" s="1539" t="str">
        <f t="shared" si="135"/>
        <v>Asset Recived From Project-U#8-Boiler &amp; Auxillaries - PA FAN-10501</v>
      </c>
      <c r="C1096" s="1491" t="str">
        <f t="shared" si="135"/>
        <v>N.A.</v>
      </c>
      <c r="D1096" s="1531" t="str">
        <f t="shared" si="135"/>
        <v>-</v>
      </c>
      <c r="E1096" s="1318">
        <f t="shared" si="135"/>
        <v>0</v>
      </c>
      <c r="F1096" s="1437">
        <f t="shared" si="130"/>
        <v>1.022551E-3</v>
      </c>
      <c r="G1096" s="1437">
        <f t="shared" si="131"/>
        <v>0</v>
      </c>
      <c r="H1096" s="1437">
        <f t="shared" si="132"/>
        <v>1.022551E-3</v>
      </c>
      <c r="I1096" s="1437">
        <v>0</v>
      </c>
      <c r="J1096" s="1437">
        <v>0</v>
      </c>
      <c r="K1096" s="1438"/>
      <c r="L1096" s="1438"/>
      <c r="M1096" s="1437">
        <f t="shared" si="129"/>
        <v>0</v>
      </c>
      <c r="N1096" s="1437">
        <f t="shared" si="133"/>
        <v>1.022551E-3</v>
      </c>
    </row>
    <row r="1097" spans="1:14" outlineLevel="1">
      <c r="A1097" s="1499">
        <f t="shared" si="135"/>
        <v>76</v>
      </c>
      <c r="B1097" s="1539" t="str">
        <f t="shared" si="135"/>
        <v>Asset Recived From Project-U#8-Boiler&amp;Aux-Air Preheaters-10501</v>
      </c>
      <c r="C1097" s="1491" t="str">
        <f t="shared" si="135"/>
        <v>N.A.</v>
      </c>
      <c r="D1097" s="1531" t="str">
        <f t="shared" si="135"/>
        <v>-</v>
      </c>
      <c r="E1097" s="1318">
        <f t="shared" si="135"/>
        <v>0</v>
      </c>
      <c r="F1097" s="1437">
        <f t="shared" si="130"/>
        <v>1.3280755999999999E-2</v>
      </c>
      <c r="G1097" s="1437">
        <f t="shared" si="131"/>
        <v>0</v>
      </c>
      <c r="H1097" s="1437">
        <f t="shared" si="132"/>
        <v>1.3280755999999999E-2</v>
      </c>
      <c r="I1097" s="1437">
        <v>0</v>
      </c>
      <c r="J1097" s="1437">
        <v>0</v>
      </c>
      <c r="K1097" s="1438"/>
      <c r="L1097" s="1438"/>
      <c r="M1097" s="1437">
        <f t="shared" si="129"/>
        <v>0</v>
      </c>
      <c r="N1097" s="1437">
        <f t="shared" si="133"/>
        <v>1.3280755999999999E-2</v>
      </c>
    </row>
    <row r="1098" spans="1:14" ht="29" outlineLevel="1">
      <c r="A1098" s="1499">
        <f t="shared" ref="A1098:E1113" si="136">A705</f>
        <v>77</v>
      </c>
      <c r="B1098" s="1539" t="str">
        <f t="shared" si="136"/>
        <v>Asset Recived From Project-U#8-Boiler &amp; Auxillaries -COAL MILL-10501</v>
      </c>
      <c r="C1098" s="1491" t="str">
        <f t="shared" si="136"/>
        <v>N.A.</v>
      </c>
      <c r="D1098" s="1531" t="str">
        <f t="shared" si="136"/>
        <v>-</v>
      </c>
      <c r="E1098" s="1318">
        <f t="shared" si="136"/>
        <v>0</v>
      </c>
      <c r="F1098" s="1437">
        <f t="shared" si="130"/>
        <v>5.1243500999999997E-2</v>
      </c>
      <c r="G1098" s="1437">
        <f t="shared" si="131"/>
        <v>0</v>
      </c>
      <c r="H1098" s="1437">
        <f t="shared" si="132"/>
        <v>5.1243500999999997E-2</v>
      </c>
      <c r="I1098" s="1437">
        <v>0</v>
      </c>
      <c r="J1098" s="1437">
        <v>0</v>
      </c>
      <c r="K1098" s="1438"/>
      <c r="L1098" s="1438"/>
      <c r="M1098" s="1437">
        <f t="shared" si="129"/>
        <v>0</v>
      </c>
      <c r="N1098" s="1437">
        <f t="shared" si="133"/>
        <v>5.1243500999999997E-2</v>
      </c>
    </row>
    <row r="1099" spans="1:14" outlineLevel="1">
      <c r="A1099" s="1499">
        <f t="shared" si="136"/>
        <v>78</v>
      </c>
      <c r="B1099" s="1539" t="str">
        <f t="shared" si="136"/>
        <v>Asset Recived From Project-U#8-Boiler &amp; Auxillaries -FD FAN-10501</v>
      </c>
      <c r="C1099" s="1491" t="str">
        <f t="shared" si="136"/>
        <v>N.A.</v>
      </c>
      <c r="D1099" s="1531" t="str">
        <f t="shared" si="136"/>
        <v>-</v>
      </c>
      <c r="E1099" s="1318">
        <f t="shared" si="136"/>
        <v>0</v>
      </c>
      <c r="F1099" s="1437">
        <f t="shared" si="130"/>
        <v>6.8170000000000004E-4</v>
      </c>
      <c r="G1099" s="1437">
        <f t="shared" si="131"/>
        <v>0</v>
      </c>
      <c r="H1099" s="1437">
        <f t="shared" si="132"/>
        <v>6.8170000000000004E-4</v>
      </c>
      <c r="I1099" s="1437">
        <v>0</v>
      </c>
      <c r="J1099" s="1437">
        <v>0</v>
      </c>
      <c r="K1099" s="1438"/>
      <c r="L1099" s="1438"/>
      <c r="M1099" s="1437">
        <f t="shared" si="129"/>
        <v>0</v>
      </c>
      <c r="N1099" s="1437">
        <f t="shared" si="133"/>
        <v>6.8170000000000004E-4</v>
      </c>
    </row>
    <row r="1100" spans="1:14" outlineLevel="1">
      <c r="A1100" s="1499">
        <f t="shared" si="136"/>
        <v>79</v>
      </c>
      <c r="B1100" s="1539" t="str">
        <f t="shared" si="136"/>
        <v>Asset Recived From Project-U#8-Boiler &amp; Auxillaries- ID FAN-10501</v>
      </c>
      <c r="C1100" s="1491" t="str">
        <f t="shared" si="136"/>
        <v>N.A.</v>
      </c>
      <c r="D1100" s="1531" t="str">
        <f t="shared" si="136"/>
        <v>-</v>
      </c>
      <c r="E1100" s="1318">
        <f t="shared" si="136"/>
        <v>0</v>
      </c>
      <c r="F1100" s="1437">
        <f t="shared" si="130"/>
        <v>1.7042509999999999E-3</v>
      </c>
      <c r="G1100" s="1437">
        <f t="shared" si="131"/>
        <v>0</v>
      </c>
      <c r="H1100" s="1437">
        <f t="shared" si="132"/>
        <v>1.7042509999999999E-3</v>
      </c>
      <c r="I1100" s="1437">
        <v>0</v>
      </c>
      <c r="J1100" s="1437">
        <v>0</v>
      </c>
      <c r="K1100" s="1438"/>
      <c r="L1100" s="1438"/>
      <c r="M1100" s="1437">
        <f t="shared" si="129"/>
        <v>0</v>
      </c>
      <c r="N1100" s="1437">
        <f t="shared" si="133"/>
        <v>1.7042509999999999E-3</v>
      </c>
    </row>
    <row r="1101" spans="1:14" ht="29" outlineLevel="1">
      <c r="A1101" s="1499">
        <f t="shared" si="136"/>
        <v>80</v>
      </c>
      <c r="B1101" s="1539" t="str">
        <f t="shared" si="136"/>
        <v>Asset Recived From Project-U#8-Boiler&amp;Aux-Mandatory Spares-10501</v>
      </c>
      <c r="C1101" s="1491" t="str">
        <f t="shared" si="136"/>
        <v>N.A.</v>
      </c>
      <c r="D1101" s="1531" t="str">
        <f t="shared" si="136"/>
        <v>-</v>
      </c>
      <c r="E1101" s="1318">
        <f t="shared" si="136"/>
        <v>0</v>
      </c>
      <c r="F1101" s="1437">
        <f t="shared" si="130"/>
        <v>9.7934579999999997E-3</v>
      </c>
      <c r="G1101" s="1437">
        <f t="shared" si="131"/>
        <v>0</v>
      </c>
      <c r="H1101" s="1437">
        <f t="shared" si="132"/>
        <v>9.7934579999999997E-3</v>
      </c>
      <c r="I1101" s="1437">
        <v>0</v>
      </c>
      <c r="J1101" s="1437">
        <v>0</v>
      </c>
      <c r="K1101" s="1438"/>
      <c r="L1101" s="1438"/>
      <c r="M1101" s="1437">
        <f t="shared" si="129"/>
        <v>0</v>
      </c>
      <c r="N1101" s="1437">
        <f t="shared" si="133"/>
        <v>9.7934579999999997E-3</v>
      </c>
    </row>
    <row r="1102" spans="1:14" ht="29" outlineLevel="1">
      <c r="A1102" s="1499">
        <f t="shared" si="136"/>
        <v>81</v>
      </c>
      <c r="B1102" s="1539" t="str">
        <f t="shared" si="136"/>
        <v>Asset Recived From Project-U#8-Boiler&amp;Aux-PLATFORM,STAIRS,GRATINGS,</v>
      </c>
      <c r="C1102" s="1491" t="str">
        <f t="shared" si="136"/>
        <v>N.A.</v>
      </c>
      <c r="D1102" s="1531" t="str">
        <f t="shared" si="136"/>
        <v>-</v>
      </c>
      <c r="E1102" s="1318">
        <f t="shared" si="136"/>
        <v>0</v>
      </c>
      <c r="F1102" s="1437">
        <f t="shared" si="130"/>
        <v>3.0595908000000002E-2</v>
      </c>
      <c r="G1102" s="1437">
        <f t="shared" si="131"/>
        <v>0</v>
      </c>
      <c r="H1102" s="1437">
        <f t="shared" si="132"/>
        <v>3.0595908000000002E-2</v>
      </c>
      <c r="I1102" s="1437">
        <v>0</v>
      </c>
      <c r="J1102" s="1437">
        <v>0</v>
      </c>
      <c r="K1102" s="1438"/>
      <c r="L1102" s="1438"/>
      <c r="M1102" s="1437">
        <f t="shared" si="129"/>
        <v>0</v>
      </c>
      <c r="N1102" s="1437">
        <f t="shared" si="133"/>
        <v>3.0595908000000002E-2</v>
      </c>
    </row>
    <row r="1103" spans="1:14" outlineLevel="1">
      <c r="A1103" s="1499">
        <f t="shared" si="136"/>
        <v>82</v>
      </c>
      <c r="B1103" s="1539" t="str">
        <f t="shared" si="136"/>
        <v>Asset Recived From Project-U#8-Boiler Pressure parts-10501</v>
      </c>
      <c r="C1103" s="1491" t="str">
        <f t="shared" si="136"/>
        <v>N.A.</v>
      </c>
      <c r="D1103" s="1531" t="str">
        <f t="shared" si="136"/>
        <v>-</v>
      </c>
      <c r="E1103" s="1318">
        <f t="shared" si="136"/>
        <v>0</v>
      </c>
      <c r="F1103" s="1437">
        <f t="shared" si="130"/>
        <v>0.17807421000000001</v>
      </c>
      <c r="G1103" s="1437">
        <f t="shared" si="131"/>
        <v>0</v>
      </c>
      <c r="H1103" s="1437">
        <f t="shared" si="132"/>
        <v>0.17807421000000001</v>
      </c>
      <c r="I1103" s="1437">
        <v>0</v>
      </c>
      <c r="J1103" s="1437">
        <v>0</v>
      </c>
      <c r="K1103" s="1438"/>
      <c r="L1103" s="1438"/>
      <c r="M1103" s="1437">
        <f t="shared" si="129"/>
        <v>0</v>
      </c>
      <c r="N1103" s="1437">
        <f t="shared" si="133"/>
        <v>0.17807421000000001</v>
      </c>
    </row>
    <row r="1104" spans="1:14" ht="29" outlineLevel="1">
      <c r="A1104" s="1499">
        <f t="shared" si="136"/>
        <v>83</v>
      </c>
      <c r="B1104" s="1539" t="str">
        <f t="shared" si="136"/>
        <v>Asset Recived From Project-U#8-220V-BATTERY+CHARGERS-MAIN PLANT-10563</v>
      </c>
      <c r="C1104" s="1491" t="str">
        <f t="shared" si="136"/>
        <v>N.A.</v>
      </c>
      <c r="D1104" s="1531" t="str">
        <f t="shared" si="136"/>
        <v>-</v>
      </c>
      <c r="E1104" s="1318">
        <f t="shared" si="136"/>
        <v>0</v>
      </c>
      <c r="F1104" s="1437">
        <f t="shared" si="130"/>
        <v>2.0848189999999999E-3</v>
      </c>
      <c r="G1104" s="1437">
        <f t="shared" si="131"/>
        <v>0</v>
      </c>
      <c r="H1104" s="1437">
        <f t="shared" si="132"/>
        <v>2.0848189999999999E-3</v>
      </c>
      <c r="I1104" s="1437">
        <v>0</v>
      </c>
      <c r="J1104" s="1437">
        <v>0</v>
      </c>
      <c r="K1104" s="1438"/>
      <c r="L1104" s="1438"/>
      <c r="M1104" s="1437">
        <f t="shared" si="129"/>
        <v>0</v>
      </c>
      <c r="N1104" s="1437">
        <f t="shared" si="133"/>
        <v>2.0848189999999999E-3</v>
      </c>
    </row>
    <row r="1105" spans="1:14" ht="29" outlineLevel="1">
      <c r="A1105" s="1499">
        <f t="shared" si="136"/>
        <v>84</v>
      </c>
      <c r="B1105" s="1539" t="str">
        <f t="shared" si="136"/>
        <v>Asset Recived From Project-U#8-220V -BATTERY WITH CHARGERS(CHP)-10563</v>
      </c>
      <c r="C1105" s="1491" t="str">
        <f t="shared" si="136"/>
        <v>N.A.</v>
      </c>
      <c r="D1105" s="1531" t="str">
        <f t="shared" si="136"/>
        <v>-</v>
      </c>
      <c r="E1105" s="1318">
        <f t="shared" si="136"/>
        <v>0</v>
      </c>
      <c r="F1105" s="1437">
        <f t="shared" si="130"/>
        <v>2.0745099999999999E-4</v>
      </c>
      <c r="G1105" s="1437">
        <f t="shared" si="131"/>
        <v>0</v>
      </c>
      <c r="H1105" s="1437">
        <f t="shared" si="132"/>
        <v>2.0745099999999999E-4</v>
      </c>
      <c r="I1105" s="1437">
        <v>0</v>
      </c>
      <c r="J1105" s="1437">
        <v>0</v>
      </c>
      <c r="K1105" s="1438"/>
      <c r="L1105" s="1438"/>
      <c r="M1105" s="1437">
        <f t="shared" si="129"/>
        <v>0</v>
      </c>
      <c r="N1105" s="1437">
        <f t="shared" si="133"/>
        <v>2.0745099999999999E-4</v>
      </c>
    </row>
    <row r="1106" spans="1:14" ht="29" outlineLevel="1">
      <c r="A1106" s="1499">
        <f t="shared" si="136"/>
        <v>85</v>
      </c>
      <c r="B1106" s="1539" t="str">
        <f t="shared" si="136"/>
        <v>Asset Recived From Project-U#8-220V-BATTERY+CHARG-WAGON TRIP-2N-10563</v>
      </c>
      <c r="C1106" s="1491" t="str">
        <f t="shared" si="136"/>
        <v>N.A.</v>
      </c>
      <c r="D1106" s="1531" t="str">
        <f t="shared" si="136"/>
        <v>-</v>
      </c>
      <c r="E1106" s="1318">
        <f t="shared" si="136"/>
        <v>0</v>
      </c>
      <c r="F1106" s="1437">
        <f t="shared" si="130"/>
        <v>8.4673999999999996E-5</v>
      </c>
      <c r="G1106" s="1437">
        <f t="shared" si="131"/>
        <v>0</v>
      </c>
      <c r="H1106" s="1437">
        <f t="shared" si="132"/>
        <v>8.4673999999999996E-5</v>
      </c>
      <c r="I1106" s="1437">
        <v>0</v>
      </c>
      <c r="J1106" s="1437">
        <v>0</v>
      </c>
      <c r="K1106" s="1438"/>
      <c r="L1106" s="1438"/>
      <c r="M1106" s="1437">
        <f t="shared" si="129"/>
        <v>0</v>
      </c>
      <c r="N1106" s="1437">
        <f t="shared" si="133"/>
        <v>8.4673999999999996E-5</v>
      </c>
    </row>
    <row r="1107" spans="1:14" ht="29" outlineLevel="1">
      <c r="A1107" s="1499">
        <f t="shared" si="136"/>
        <v>86</v>
      </c>
      <c r="B1107" s="1539" t="str">
        <f t="shared" si="136"/>
        <v>Asset Recived From Project-U#8-BOP-OTHER C&amp; i INSTRUMENTS-10509</v>
      </c>
      <c r="C1107" s="1491" t="str">
        <f t="shared" si="136"/>
        <v>N.A.</v>
      </c>
      <c r="D1107" s="1531" t="str">
        <f t="shared" si="136"/>
        <v>-</v>
      </c>
      <c r="E1107" s="1318">
        <f t="shared" si="136"/>
        <v>0</v>
      </c>
      <c r="F1107" s="1437">
        <f t="shared" si="130"/>
        <v>1.3440609999999999E-3</v>
      </c>
      <c r="G1107" s="1437">
        <f t="shared" si="131"/>
        <v>0</v>
      </c>
      <c r="H1107" s="1437">
        <f t="shared" si="132"/>
        <v>1.3440609999999999E-3</v>
      </c>
      <c r="I1107" s="1437">
        <v>0</v>
      </c>
      <c r="J1107" s="1437">
        <v>0</v>
      </c>
      <c r="K1107" s="1438"/>
      <c r="L1107" s="1438"/>
      <c r="M1107" s="1437">
        <f t="shared" si="129"/>
        <v>0</v>
      </c>
      <c r="N1107" s="1437">
        <f t="shared" si="133"/>
        <v>1.3440609999999999E-3</v>
      </c>
    </row>
    <row r="1108" spans="1:14" outlineLevel="1">
      <c r="A1108" s="1499">
        <f t="shared" si="136"/>
        <v>87</v>
      </c>
      <c r="B1108" s="1539" t="str">
        <f t="shared" si="136"/>
        <v>Asset Recived From Project-U#8-CHP-CONVEYOR SYSTEM-10515</v>
      </c>
      <c r="C1108" s="1491" t="str">
        <f t="shared" si="136"/>
        <v>N.A.</v>
      </c>
      <c r="D1108" s="1531" t="str">
        <f t="shared" si="136"/>
        <v>-</v>
      </c>
      <c r="E1108" s="1318">
        <f t="shared" si="136"/>
        <v>0</v>
      </c>
      <c r="F1108" s="1437">
        <f t="shared" si="130"/>
        <v>1.540935E-2</v>
      </c>
      <c r="G1108" s="1437">
        <f t="shared" si="131"/>
        <v>0</v>
      </c>
      <c r="H1108" s="1437">
        <f t="shared" si="132"/>
        <v>1.540935E-2</v>
      </c>
      <c r="I1108" s="1437">
        <v>0</v>
      </c>
      <c r="J1108" s="1437">
        <v>0</v>
      </c>
      <c r="K1108" s="1438"/>
      <c r="L1108" s="1438"/>
      <c r="M1108" s="1437">
        <f t="shared" si="129"/>
        <v>0</v>
      </c>
      <c r="N1108" s="1437">
        <f t="shared" si="133"/>
        <v>1.540935E-2</v>
      </c>
    </row>
    <row r="1109" spans="1:14" outlineLevel="1">
      <c r="A1109" s="1499">
        <f t="shared" si="136"/>
        <v>88</v>
      </c>
      <c r="B1109" s="1539" t="str">
        <f t="shared" si="136"/>
        <v>Asset Recived From Project-U#8-CHP-WOBLER FEEDER-10515</v>
      </c>
      <c r="C1109" s="1491" t="str">
        <f t="shared" si="136"/>
        <v>N.A.</v>
      </c>
      <c r="D1109" s="1531" t="str">
        <f t="shared" si="136"/>
        <v>-</v>
      </c>
      <c r="E1109" s="1318">
        <f t="shared" si="136"/>
        <v>0</v>
      </c>
      <c r="F1109" s="1437">
        <f t="shared" si="130"/>
        <v>5.4613100000000005E-4</v>
      </c>
      <c r="G1109" s="1437">
        <f t="shared" si="131"/>
        <v>0</v>
      </c>
      <c r="H1109" s="1437">
        <f t="shared" si="132"/>
        <v>5.4613100000000005E-4</v>
      </c>
      <c r="I1109" s="1437">
        <v>0</v>
      </c>
      <c r="J1109" s="1437">
        <v>0</v>
      </c>
      <c r="K1109" s="1438"/>
      <c r="L1109" s="1438"/>
      <c r="M1109" s="1437">
        <f t="shared" si="129"/>
        <v>0</v>
      </c>
      <c r="N1109" s="1437">
        <f t="shared" si="133"/>
        <v>5.4613100000000005E-4</v>
      </c>
    </row>
    <row r="1110" spans="1:14" outlineLevel="1">
      <c r="A1110" s="1499">
        <f t="shared" si="136"/>
        <v>89</v>
      </c>
      <c r="B1110" s="1539" t="str">
        <f t="shared" si="136"/>
        <v>Asset Recived From Project-U#8-CHP-APRON FEEDER-10515</v>
      </c>
      <c r="C1110" s="1491" t="str">
        <f t="shared" si="136"/>
        <v>N.A.</v>
      </c>
      <c r="D1110" s="1531" t="str">
        <f t="shared" si="136"/>
        <v>-</v>
      </c>
      <c r="E1110" s="1318">
        <f t="shared" si="136"/>
        <v>0</v>
      </c>
      <c r="F1110" s="1437">
        <f t="shared" si="130"/>
        <v>2.8149E-3</v>
      </c>
      <c r="G1110" s="1437">
        <f t="shared" si="131"/>
        <v>0</v>
      </c>
      <c r="H1110" s="1437">
        <f t="shared" si="132"/>
        <v>2.8149E-3</v>
      </c>
      <c r="I1110" s="1437">
        <v>0</v>
      </c>
      <c r="J1110" s="1437">
        <v>0</v>
      </c>
      <c r="K1110" s="1438"/>
      <c r="L1110" s="1438"/>
      <c r="M1110" s="1437">
        <f t="shared" si="129"/>
        <v>0</v>
      </c>
      <c r="N1110" s="1437">
        <f t="shared" si="133"/>
        <v>2.8149E-3</v>
      </c>
    </row>
    <row r="1111" spans="1:14" ht="29" outlineLevel="1">
      <c r="A1111" s="1499">
        <f t="shared" si="136"/>
        <v>90</v>
      </c>
      <c r="B1111" s="1539" t="str">
        <f t="shared" si="136"/>
        <v>Asset Recived From Project-U#8-CHP-ILMS,METAL DETECTOR,BELT WEIGHER</v>
      </c>
      <c r="C1111" s="1491" t="str">
        <f t="shared" si="136"/>
        <v>N.A.</v>
      </c>
      <c r="D1111" s="1531" t="str">
        <f t="shared" si="136"/>
        <v>-</v>
      </c>
      <c r="E1111" s="1318">
        <f t="shared" si="136"/>
        <v>0</v>
      </c>
      <c r="F1111" s="1437">
        <f t="shared" si="130"/>
        <v>1.170412E-3</v>
      </c>
      <c r="G1111" s="1437">
        <f t="shared" si="131"/>
        <v>0</v>
      </c>
      <c r="H1111" s="1437">
        <f t="shared" si="132"/>
        <v>1.170412E-3</v>
      </c>
      <c r="I1111" s="1437">
        <v>0</v>
      </c>
      <c r="J1111" s="1437">
        <v>0</v>
      </c>
      <c r="K1111" s="1438"/>
      <c r="L1111" s="1438"/>
      <c r="M1111" s="1437">
        <f t="shared" si="129"/>
        <v>0</v>
      </c>
      <c r="N1111" s="1437">
        <f t="shared" si="133"/>
        <v>1.170412E-3</v>
      </c>
    </row>
    <row r="1112" spans="1:14" outlineLevel="1">
      <c r="A1112" s="1499">
        <f t="shared" si="136"/>
        <v>91</v>
      </c>
      <c r="B1112" s="1539" t="str">
        <f t="shared" si="136"/>
        <v>Asset Recived From Project-U#8-CHP-IMPACT CRUSHER-10515</v>
      </c>
      <c r="C1112" s="1491" t="str">
        <f t="shared" si="136"/>
        <v>N.A.</v>
      </c>
      <c r="D1112" s="1531" t="str">
        <f t="shared" si="136"/>
        <v>-</v>
      </c>
      <c r="E1112" s="1318">
        <f t="shared" si="136"/>
        <v>0</v>
      </c>
      <c r="F1112" s="1437">
        <f t="shared" si="130"/>
        <v>2.0637770000000001E-3</v>
      </c>
      <c r="G1112" s="1437">
        <f t="shared" si="131"/>
        <v>0</v>
      </c>
      <c r="H1112" s="1437">
        <f t="shared" si="132"/>
        <v>2.0637770000000001E-3</v>
      </c>
      <c r="I1112" s="1437">
        <v>0</v>
      </c>
      <c r="J1112" s="1437">
        <v>0</v>
      </c>
      <c r="K1112" s="1438"/>
      <c r="L1112" s="1438"/>
      <c r="M1112" s="1437">
        <f t="shared" si="129"/>
        <v>0</v>
      </c>
      <c r="N1112" s="1437">
        <f t="shared" si="133"/>
        <v>2.0637770000000001E-3</v>
      </c>
    </row>
    <row r="1113" spans="1:14" outlineLevel="1">
      <c r="A1113" s="1499">
        <f t="shared" si="136"/>
        <v>92</v>
      </c>
      <c r="B1113" s="1539" t="str">
        <f t="shared" si="136"/>
        <v>Project-U#8-CHP-STRACKER CUM RECLAIMER-10515</v>
      </c>
      <c r="C1113" s="1491" t="str">
        <f t="shared" si="136"/>
        <v>N.A.</v>
      </c>
      <c r="D1113" s="1531" t="str">
        <f t="shared" si="136"/>
        <v>-</v>
      </c>
      <c r="E1113" s="1318">
        <f t="shared" si="136"/>
        <v>0</v>
      </c>
      <c r="F1113" s="1437">
        <f t="shared" si="130"/>
        <v>8.2014210000000004E-3</v>
      </c>
      <c r="G1113" s="1437">
        <f t="shared" si="131"/>
        <v>0</v>
      </c>
      <c r="H1113" s="1437">
        <f t="shared" si="132"/>
        <v>8.2014210000000004E-3</v>
      </c>
      <c r="I1113" s="1437">
        <v>0</v>
      </c>
      <c r="J1113" s="1437">
        <v>0</v>
      </c>
      <c r="K1113" s="1438"/>
      <c r="L1113" s="1438"/>
      <c r="M1113" s="1437">
        <f t="shared" si="129"/>
        <v>0</v>
      </c>
      <c r="N1113" s="1437">
        <f t="shared" si="133"/>
        <v>8.2014210000000004E-3</v>
      </c>
    </row>
    <row r="1114" spans="1:14" outlineLevel="1">
      <c r="A1114" s="1499">
        <f t="shared" ref="A1114:E1129" si="137">A721</f>
        <v>93</v>
      </c>
      <c r="B1114" s="1539" t="str">
        <f t="shared" si="137"/>
        <v>Project-U#8-CHP-SIDE DISCHARGE TYPE WAGON TRIPPLER</v>
      </c>
      <c r="C1114" s="1491" t="str">
        <f t="shared" si="137"/>
        <v>N.A.</v>
      </c>
      <c r="D1114" s="1531" t="str">
        <f t="shared" si="137"/>
        <v>-</v>
      </c>
      <c r="E1114" s="1318">
        <f t="shared" si="137"/>
        <v>0</v>
      </c>
      <c r="F1114" s="1437">
        <f t="shared" si="130"/>
        <v>7.783575E-3</v>
      </c>
      <c r="G1114" s="1437">
        <f t="shared" si="131"/>
        <v>0</v>
      </c>
      <c r="H1114" s="1437">
        <f t="shared" si="132"/>
        <v>7.783575E-3</v>
      </c>
      <c r="I1114" s="1437">
        <v>0</v>
      </c>
      <c r="J1114" s="1437">
        <v>0</v>
      </c>
      <c r="K1114" s="1438"/>
      <c r="L1114" s="1438"/>
      <c r="M1114" s="1437">
        <f t="shared" si="129"/>
        <v>0</v>
      </c>
      <c r="N1114" s="1437">
        <f t="shared" si="133"/>
        <v>7.783575E-3</v>
      </c>
    </row>
    <row r="1115" spans="1:14" outlineLevel="1">
      <c r="A1115" s="1499">
        <f t="shared" si="137"/>
        <v>94</v>
      </c>
      <c r="B1115" s="1539" t="str">
        <f t="shared" si="137"/>
        <v>Project-U#8-Coal Handling Plant-M.S.-10515</v>
      </c>
      <c r="C1115" s="1491" t="str">
        <f t="shared" si="137"/>
        <v>N.A.</v>
      </c>
      <c r="D1115" s="1531" t="str">
        <f t="shared" si="137"/>
        <v>-</v>
      </c>
      <c r="E1115" s="1318">
        <f t="shared" si="137"/>
        <v>0</v>
      </c>
      <c r="F1115" s="1437">
        <f t="shared" si="130"/>
        <v>3.4267400000000001E-4</v>
      </c>
      <c r="G1115" s="1437">
        <f t="shared" si="131"/>
        <v>0</v>
      </c>
      <c r="H1115" s="1437">
        <f t="shared" si="132"/>
        <v>3.4267400000000001E-4</v>
      </c>
      <c r="I1115" s="1437">
        <v>0</v>
      </c>
      <c r="J1115" s="1437">
        <v>0</v>
      </c>
      <c r="K1115" s="1438"/>
      <c r="L1115" s="1438"/>
      <c r="M1115" s="1437">
        <f t="shared" si="129"/>
        <v>0</v>
      </c>
      <c r="N1115" s="1437">
        <f t="shared" si="133"/>
        <v>3.4267400000000001E-4</v>
      </c>
    </row>
    <row r="1116" spans="1:14" outlineLevel="1">
      <c r="A1116" s="1499">
        <f t="shared" si="137"/>
        <v>95</v>
      </c>
      <c r="B1116" s="1539" t="str">
        <f t="shared" si="137"/>
        <v>Project-U#8-communication system-10572</v>
      </c>
      <c r="C1116" s="1491" t="str">
        <f t="shared" si="137"/>
        <v>N.A.</v>
      </c>
      <c r="D1116" s="1531" t="str">
        <f t="shared" si="137"/>
        <v>-</v>
      </c>
      <c r="E1116" s="1318">
        <f t="shared" si="137"/>
        <v>0</v>
      </c>
      <c r="F1116" s="1437">
        <f t="shared" si="130"/>
        <v>1.92531E-3</v>
      </c>
      <c r="G1116" s="1437">
        <f t="shared" si="131"/>
        <v>0</v>
      </c>
      <c r="H1116" s="1437">
        <f t="shared" si="132"/>
        <v>1.92531E-3</v>
      </c>
      <c r="I1116" s="1437">
        <v>0</v>
      </c>
      <c r="J1116" s="1437">
        <v>0</v>
      </c>
      <c r="K1116" s="1438"/>
      <c r="L1116" s="1438"/>
      <c r="M1116" s="1437">
        <f t="shared" ref="M1116:M1179" si="138">SUM(J1116:L1116)</f>
        <v>0</v>
      </c>
      <c r="N1116" s="1437">
        <f t="shared" si="133"/>
        <v>1.92531E-3</v>
      </c>
    </row>
    <row r="1117" spans="1:14" outlineLevel="1">
      <c r="A1117" s="1499">
        <f t="shared" si="137"/>
        <v>96</v>
      </c>
      <c r="B1117" s="1539" t="str">
        <f t="shared" si="137"/>
        <v>Project-U#8-UPS INVERTORS-10563</v>
      </c>
      <c r="C1117" s="1491" t="str">
        <f t="shared" si="137"/>
        <v>N.A.</v>
      </c>
      <c r="D1117" s="1531" t="str">
        <f t="shared" si="137"/>
        <v>-</v>
      </c>
      <c r="E1117" s="1318">
        <f t="shared" si="137"/>
        <v>0</v>
      </c>
      <c r="F1117" s="1437">
        <f t="shared" ref="F1117:F1180" si="139">F724+I724</f>
        <v>5.1465199999999999E-4</v>
      </c>
      <c r="G1117" s="1437">
        <f t="shared" ref="G1117:G1180" si="140">G724+M724</f>
        <v>0</v>
      </c>
      <c r="H1117" s="1437">
        <f t="shared" si="132"/>
        <v>5.1465199999999999E-4</v>
      </c>
      <c r="I1117" s="1437">
        <v>0</v>
      </c>
      <c r="J1117" s="1437">
        <v>0</v>
      </c>
      <c r="K1117" s="1438"/>
      <c r="L1117" s="1438"/>
      <c r="M1117" s="1437">
        <f t="shared" si="138"/>
        <v>0</v>
      </c>
      <c r="N1117" s="1437">
        <f t="shared" si="133"/>
        <v>5.1465199999999999E-4</v>
      </c>
    </row>
    <row r="1118" spans="1:14" outlineLevel="1">
      <c r="A1118" s="1499">
        <f t="shared" si="137"/>
        <v>97</v>
      </c>
      <c r="B1118" s="1539" t="str">
        <f t="shared" si="137"/>
        <v>Project-U#8-UPS ACDS-10563</v>
      </c>
      <c r="C1118" s="1491" t="str">
        <f t="shared" si="137"/>
        <v>N.A.</v>
      </c>
      <c r="D1118" s="1531" t="str">
        <f t="shared" si="137"/>
        <v>-</v>
      </c>
      <c r="E1118" s="1318">
        <f t="shared" si="137"/>
        <v>0</v>
      </c>
      <c r="F1118" s="1437">
        <f t="shared" si="139"/>
        <v>8.9956000000000004E-5</v>
      </c>
      <c r="G1118" s="1437">
        <f t="shared" si="140"/>
        <v>0</v>
      </c>
      <c r="H1118" s="1437">
        <f t="shared" ref="H1118:H1181" si="141">F1118-G1118</f>
        <v>8.9956000000000004E-5</v>
      </c>
      <c r="I1118" s="1437">
        <v>0</v>
      </c>
      <c r="J1118" s="1437">
        <v>0</v>
      </c>
      <c r="K1118" s="1438"/>
      <c r="L1118" s="1438"/>
      <c r="M1118" s="1437">
        <f t="shared" si="138"/>
        <v>0</v>
      </c>
      <c r="N1118" s="1437">
        <f t="shared" ref="N1118:N1181" si="142">H1118+I1118-M1118</f>
        <v>8.9956000000000004E-5</v>
      </c>
    </row>
    <row r="1119" spans="1:14" outlineLevel="1">
      <c r="A1119" s="1499">
        <f t="shared" si="137"/>
        <v>98</v>
      </c>
      <c r="B1119" s="1539" t="str">
        <f t="shared" si="137"/>
        <v>Project-U#8-UPS BATTERIRERS-10563</v>
      </c>
      <c r="C1119" s="1491" t="str">
        <f t="shared" si="137"/>
        <v>N.A.</v>
      </c>
      <c r="D1119" s="1531" t="str">
        <f t="shared" si="137"/>
        <v>-</v>
      </c>
      <c r="E1119" s="1318">
        <f t="shared" si="137"/>
        <v>0</v>
      </c>
      <c r="F1119" s="1437">
        <f t="shared" si="139"/>
        <v>5.1465199999999999E-4</v>
      </c>
      <c r="G1119" s="1437">
        <f t="shared" si="140"/>
        <v>0</v>
      </c>
      <c r="H1119" s="1437">
        <f t="shared" si="141"/>
        <v>5.1465199999999999E-4</v>
      </c>
      <c r="I1119" s="1437">
        <v>0</v>
      </c>
      <c r="J1119" s="1437">
        <v>0</v>
      </c>
      <c r="K1119" s="1438"/>
      <c r="L1119" s="1438"/>
      <c r="M1119" s="1437">
        <f t="shared" si="138"/>
        <v>0</v>
      </c>
      <c r="N1119" s="1437">
        <f t="shared" si="142"/>
        <v>5.1465199999999999E-4</v>
      </c>
    </row>
    <row r="1120" spans="1:14" outlineLevel="1">
      <c r="A1120" s="1499">
        <f t="shared" si="137"/>
        <v>99</v>
      </c>
      <c r="B1120" s="1539" t="str">
        <f t="shared" si="137"/>
        <v>Project-U#8-24V BATTERY CHARGERS (SGTG)-10563</v>
      </c>
      <c r="C1120" s="1491" t="str">
        <f t="shared" si="137"/>
        <v>N.A.</v>
      </c>
      <c r="D1120" s="1531" t="str">
        <f t="shared" si="137"/>
        <v>-</v>
      </c>
      <c r="E1120" s="1318">
        <f t="shared" si="137"/>
        <v>0</v>
      </c>
      <c r="F1120" s="1437">
        <f t="shared" si="139"/>
        <v>2.28734E-4</v>
      </c>
      <c r="G1120" s="1437">
        <f t="shared" si="140"/>
        <v>0</v>
      </c>
      <c r="H1120" s="1437">
        <f t="shared" si="141"/>
        <v>2.28734E-4</v>
      </c>
      <c r="I1120" s="1437">
        <v>0</v>
      </c>
      <c r="J1120" s="1437">
        <v>0</v>
      </c>
      <c r="K1120" s="1438"/>
      <c r="L1120" s="1438"/>
      <c r="M1120" s="1437">
        <f t="shared" si="138"/>
        <v>0</v>
      </c>
      <c r="N1120" s="1437">
        <f t="shared" si="142"/>
        <v>2.28734E-4</v>
      </c>
    </row>
    <row r="1121" spans="1:14" outlineLevel="1">
      <c r="A1121" s="1499">
        <f t="shared" si="137"/>
        <v>100</v>
      </c>
      <c r="B1121" s="1539" t="str">
        <f t="shared" si="137"/>
        <v>Project-U#8-24V BATTERY CHARGERS (BOP)-10563</v>
      </c>
      <c r="C1121" s="1491" t="str">
        <f t="shared" si="137"/>
        <v>N.A.</v>
      </c>
      <c r="D1121" s="1531" t="str">
        <f t="shared" si="137"/>
        <v>-</v>
      </c>
      <c r="E1121" s="1318">
        <f t="shared" si="137"/>
        <v>0</v>
      </c>
      <c r="F1121" s="1437">
        <f t="shared" si="139"/>
        <v>2.28734E-4</v>
      </c>
      <c r="G1121" s="1437">
        <f t="shared" si="140"/>
        <v>0</v>
      </c>
      <c r="H1121" s="1437">
        <f t="shared" si="141"/>
        <v>2.28734E-4</v>
      </c>
      <c r="I1121" s="1437">
        <v>0</v>
      </c>
      <c r="J1121" s="1437">
        <v>0</v>
      </c>
      <c r="K1121" s="1438"/>
      <c r="L1121" s="1438"/>
      <c r="M1121" s="1437">
        <f t="shared" si="138"/>
        <v>0</v>
      </c>
      <c r="N1121" s="1437">
        <f t="shared" si="142"/>
        <v>2.28734E-4</v>
      </c>
    </row>
    <row r="1122" spans="1:14" outlineLevel="1">
      <c r="A1122" s="1499">
        <f t="shared" si="137"/>
        <v>101</v>
      </c>
      <c r="B1122" s="1539" t="str">
        <f t="shared" si="137"/>
        <v>Project-U#8-BATTERIS FOR (SGTG)-10563</v>
      </c>
      <c r="C1122" s="1491" t="str">
        <f t="shared" si="137"/>
        <v>N.A.</v>
      </c>
      <c r="D1122" s="1531" t="str">
        <f t="shared" si="137"/>
        <v>-</v>
      </c>
      <c r="E1122" s="1318">
        <f t="shared" si="137"/>
        <v>0</v>
      </c>
      <c r="F1122" s="1437">
        <f t="shared" si="139"/>
        <v>2.28734E-4</v>
      </c>
      <c r="G1122" s="1437">
        <f t="shared" si="140"/>
        <v>0</v>
      </c>
      <c r="H1122" s="1437">
        <f t="shared" si="141"/>
        <v>2.28734E-4</v>
      </c>
      <c r="I1122" s="1437">
        <v>0</v>
      </c>
      <c r="J1122" s="1437">
        <v>0</v>
      </c>
      <c r="K1122" s="1438"/>
      <c r="L1122" s="1438"/>
      <c r="M1122" s="1437">
        <f t="shared" si="138"/>
        <v>0</v>
      </c>
      <c r="N1122" s="1437">
        <f t="shared" si="142"/>
        <v>2.28734E-4</v>
      </c>
    </row>
    <row r="1123" spans="1:14" outlineLevel="1">
      <c r="A1123" s="1499">
        <f t="shared" si="137"/>
        <v>102</v>
      </c>
      <c r="B1123" s="1539" t="str">
        <f t="shared" si="137"/>
        <v>Project-U#8-BATTERIS FOR (BOP)-10563</v>
      </c>
      <c r="C1123" s="1491" t="str">
        <f t="shared" si="137"/>
        <v>N.A.</v>
      </c>
      <c r="D1123" s="1531" t="str">
        <f t="shared" si="137"/>
        <v>-</v>
      </c>
      <c r="E1123" s="1318">
        <f t="shared" si="137"/>
        <v>0</v>
      </c>
      <c r="F1123" s="1437">
        <f t="shared" si="139"/>
        <v>2.28734E-4</v>
      </c>
      <c r="G1123" s="1437">
        <f t="shared" si="140"/>
        <v>0</v>
      </c>
      <c r="H1123" s="1437">
        <f t="shared" si="141"/>
        <v>2.28734E-4</v>
      </c>
      <c r="I1123" s="1437">
        <v>0</v>
      </c>
      <c r="J1123" s="1437">
        <v>0</v>
      </c>
      <c r="K1123" s="1438"/>
      <c r="L1123" s="1438"/>
      <c r="M1123" s="1437">
        <f t="shared" si="138"/>
        <v>0</v>
      </c>
      <c r="N1123" s="1437">
        <f t="shared" si="142"/>
        <v>2.28734E-4</v>
      </c>
    </row>
    <row r="1124" spans="1:14" outlineLevel="1">
      <c r="A1124" s="1499">
        <f t="shared" si="137"/>
        <v>103</v>
      </c>
      <c r="B1124" s="1539" t="str">
        <f t="shared" si="137"/>
        <v>Project-U#8-DCDB(SGTG)-10563</v>
      </c>
      <c r="C1124" s="1491" t="str">
        <f t="shared" si="137"/>
        <v>N.A.</v>
      </c>
      <c r="D1124" s="1531" t="str">
        <f t="shared" si="137"/>
        <v>-</v>
      </c>
      <c r="E1124" s="1318">
        <f t="shared" si="137"/>
        <v>0</v>
      </c>
      <c r="F1124" s="1437">
        <f t="shared" si="139"/>
        <v>5.7182999999999998E-5</v>
      </c>
      <c r="G1124" s="1437">
        <f t="shared" si="140"/>
        <v>0</v>
      </c>
      <c r="H1124" s="1437">
        <f t="shared" si="141"/>
        <v>5.7182999999999998E-5</v>
      </c>
      <c r="I1124" s="1437">
        <v>0</v>
      </c>
      <c r="J1124" s="1437">
        <v>0</v>
      </c>
      <c r="K1124" s="1438"/>
      <c r="L1124" s="1438"/>
      <c r="M1124" s="1437">
        <f t="shared" si="138"/>
        <v>0</v>
      </c>
      <c r="N1124" s="1437">
        <f t="shared" si="142"/>
        <v>5.7182999999999998E-5</v>
      </c>
    </row>
    <row r="1125" spans="1:14" outlineLevel="1">
      <c r="A1125" s="1499">
        <f t="shared" si="137"/>
        <v>104</v>
      </c>
      <c r="B1125" s="1539" t="str">
        <f t="shared" si="137"/>
        <v>Project-U#8-DCDB(BOP)-10563</v>
      </c>
      <c r="C1125" s="1491" t="str">
        <f t="shared" si="137"/>
        <v>N.A.</v>
      </c>
      <c r="D1125" s="1531" t="str">
        <f t="shared" si="137"/>
        <v>-</v>
      </c>
      <c r="E1125" s="1318">
        <f t="shared" si="137"/>
        <v>0</v>
      </c>
      <c r="F1125" s="1437">
        <f t="shared" si="139"/>
        <v>5.7182999999999998E-5</v>
      </c>
      <c r="G1125" s="1437">
        <f t="shared" si="140"/>
        <v>0</v>
      </c>
      <c r="H1125" s="1437">
        <f t="shared" si="141"/>
        <v>5.7182999999999998E-5</v>
      </c>
      <c r="I1125" s="1437">
        <v>0</v>
      </c>
      <c r="J1125" s="1437">
        <v>0</v>
      </c>
      <c r="K1125" s="1438"/>
      <c r="L1125" s="1438"/>
      <c r="M1125" s="1437">
        <f t="shared" si="138"/>
        <v>0</v>
      </c>
      <c r="N1125" s="1437">
        <f t="shared" si="142"/>
        <v>5.7182999999999998E-5</v>
      </c>
    </row>
    <row r="1126" spans="1:14" outlineLevel="1">
      <c r="A1126" s="1499">
        <f t="shared" si="137"/>
        <v>105</v>
      </c>
      <c r="B1126" s="1539" t="str">
        <f t="shared" si="137"/>
        <v>Project-U#8-Controls &amp; Instru. for Main Plant(BTG)</v>
      </c>
      <c r="C1126" s="1491" t="str">
        <f t="shared" si="137"/>
        <v>N.A.</v>
      </c>
      <c r="D1126" s="1531" t="str">
        <f t="shared" si="137"/>
        <v>-</v>
      </c>
      <c r="E1126" s="1318">
        <f t="shared" si="137"/>
        <v>0</v>
      </c>
      <c r="F1126" s="1437">
        <f t="shared" si="139"/>
        <v>4.4292073000000001E-2</v>
      </c>
      <c r="G1126" s="1437">
        <f t="shared" si="140"/>
        <v>0</v>
      </c>
      <c r="H1126" s="1437">
        <f t="shared" si="141"/>
        <v>4.4292073000000001E-2</v>
      </c>
      <c r="I1126" s="1437">
        <v>0</v>
      </c>
      <c r="J1126" s="1437">
        <v>0</v>
      </c>
      <c r="K1126" s="1438"/>
      <c r="L1126" s="1438"/>
      <c r="M1126" s="1437">
        <f t="shared" si="138"/>
        <v>0</v>
      </c>
      <c r="N1126" s="1437">
        <f t="shared" si="142"/>
        <v>4.4292073000000001E-2</v>
      </c>
    </row>
    <row r="1127" spans="1:14" outlineLevel="1">
      <c r="A1127" s="1499">
        <f t="shared" si="137"/>
        <v>106</v>
      </c>
      <c r="B1127" s="1539" t="str">
        <f t="shared" si="137"/>
        <v>Project-U#8-CW Chlorination system-10509</v>
      </c>
      <c r="C1127" s="1491" t="str">
        <f t="shared" si="137"/>
        <v>N.A.</v>
      </c>
      <c r="D1127" s="1531" t="str">
        <f t="shared" si="137"/>
        <v>-</v>
      </c>
      <c r="E1127" s="1318">
        <f t="shared" si="137"/>
        <v>0</v>
      </c>
      <c r="F1127" s="1437">
        <f t="shared" si="139"/>
        <v>1.1973800000000001E-3</v>
      </c>
      <c r="G1127" s="1437">
        <f t="shared" si="140"/>
        <v>0</v>
      </c>
      <c r="H1127" s="1437">
        <f t="shared" si="141"/>
        <v>1.1973800000000001E-3</v>
      </c>
      <c r="I1127" s="1437">
        <v>0</v>
      </c>
      <c r="J1127" s="1437">
        <v>0</v>
      </c>
      <c r="K1127" s="1438"/>
      <c r="L1127" s="1438"/>
      <c r="M1127" s="1437">
        <f t="shared" si="138"/>
        <v>0</v>
      </c>
      <c r="N1127" s="1437">
        <f t="shared" si="142"/>
        <v>1.1973800000000001E-3</v>
      </c>
    </row>
    <row r="1128" spans="1:14" outlineLevel="1">
      <c r="A1128" s="1499">
        <f t="shared" si="137"/>
        <v>107</v>
      </c>
      <c r="B1128" s="1539" t="str">
        <f t="shared" si="137"/>
        <v>Project-U#8-D.G.SET-10509</v>
      </c>
      <c r="C1128" s="1491" t="str">
        <f t="shared" si="137"/>
        <v>N.A.</v>
      </c>
      <c r="D1128" s="1531" t="str">
        <f t="shared" si="137"/>
        <v>-</v>
      </c>
      <c r="E1128" s="1318">
        <f t="shared" si="137"/>
        <v>0</v>
      </c>
      <c r="F1128" s="1437">
        <f t="shared" si="139"/>
        <v>3.7894E-5</v>
      </c>
      <c r="G1128" s="1437">
        <f t="shared" si="140"/>
        <v>0</v>
      </c>
      <c r="H1128" s="1437">
        <f t="shared" si="141"/>
        <v>3.7894E-5</v>
      </c>
      <c r="I1128" s="1437">
        <v>0</v>
      </c>
      <c r="J1128" s="1437">
        <v>0</v>
      </c>
      <c r="K1128" s="1438"/>
      <c r="L1128" s="1438"/>
      <c r="M1128" s="1437">
        <f t="shared" si="138"/>
        <v>0</v>
      </c>
      <c r="N1128" s="1437">
        <f t="shared" si="142"/>
        <v>3.7894E-5</v>
      </c>
    </row>
    <row r="1129" spans="1:14" outlineLevel="1">
      <c r="A1129" s="1499">
        <f t="shared" si="137"/>
        <v>108</v>
      </c>
      <c r="B1129" s="1539" t="str">
        <f t="shared" si="137"/>
        <v>Project-U#8-D.M.Water System-10509</v>
      </c>
      <c r="C1129" s="1491" t="str">
        <f t="shared" si="137"/>
        <v>N.A.</v>
      </c>
      <c r="D1129" s="1531" t="str">
        <f t="shared" si="137"/>
        <v>-</v>
      </c>
      <c r="E1129" s="1318">
        <f t="shared" si="137"/>
        <v>0</v>
      </c>
      <c r="F1129" s="1437">
        <f t="shared" si="139"/>
        <v>5.7850250000000001E-3</v>
      </c>
      <c r="G1129" s="1437">
        <f t="shared" si="140"/>
        <v>0</v>
      </c>
      <c r="H1129" s="1437">
        <f t="shared" si="141"/>
        <v>5.7850250000000001E-3</v>
      </c>
      <c r="I1129" s="1437">
        <v>0</v>
      </c>
      <c r="J1129" s="1437">
        <v>0</v>
      </c>
      <c r="K1129" s="1438"/>
      <c r="L1129" s="1438"/>
      <c r="M1129" s="1437">
        <f t="shared" si="138"/>
        <v>0</v>
      </c>
      <c r="N1129" s="1437">
        <f t="shared" si="142"/>
        <v>5.7850250000000001E-3</v>
      </c>
    </row>
    <row r="1130" spans="1:14" outlineLevel="1">
      <c r="A1130" s="1499">
        <f t="shared" ref="A1130:E1145" si="143">A737</f>
        <v>109</v>
      </c>
      <c r="B1130" s="1539" t="str">
        <f t="shared" si="143"/>
        <v>Project-U#8-DG set- Manadatory Spares-10509</v>
      </c>
      <c r="C1130" s="1491" t="str">
        <f t="shared" si="143"/>
        <v>N.A.</v>
      </c>
      <c r="D1130" s="1531" t="str">
        <f t="shared" si="143"/>
        <v>-</v>
      </c>
      <c r="E1130" s="1318">
        <f t="shared" si="143"/>
        <v>0</v>
      </c>
      <c r="F1130" s="1437">
        <f t="shared" si="139"/>
        <v>2.5003999999999998E-4</v>
      </c>
      <c r="G1130" s="1437">
        <f t="shared" si="140"/>
        <v>0</v>
      </c>
      <c r="H1130" s="1437">
        <f t="shared" si="141"/>
        <v>2.5003999999999998E-4</v>
      </c>
      <c r="I1130" s="1437">
        <v>0</v>
      </c>
      <c r="J1130" s="1437">
        <v>0</v>
      </c>
      <c r="K1130" s="1438"/>
      <c r="L1130" s="1438"/>
      <c r="M1130" s="1437">
        <f t="shared" si="138"/>
        <v>0</v>
      </c>
      <c r="N1130" s="1437">
        <f t="shared" si="142"/>
        <v>2.5003999999999998E-4</v>
      </c>
    </row>
    <row r="1131" spans="1:14" outlineLevel="1">
      <c r="A1131" s="1499">
        <f t="shared" si="143"/>
        <v>110</v>
      </c>
      <c r="B1131" s="1539" t="str">
        <f t="shared" si="143"/>
        <v>Project-U#8-DG Set Room cum Air Compressor House</v>
      </c>
      <c r="C1131" s="1491" t="str">
        <f t="shared" si="143"/>
        <v>N.A.</v>
      </c>
      <c r="D1131" s="1531" t="str">
        <f t="shared" si="143"/>
        <v>-</v>
      </c>
      <c r="E1131" s="1318">
        <f t="shared" si="143"/>
        <v>0</v>
      </c>
      <c r="F1131" s="1437">
        <f t="shared" si="139"/>
        <v>5.5794089999999996E-3</v>
      </c>
      <c r="G1131" s="1437">
        <f t="shared" si="140"/>
        <v>0</v>
      </c>
      <c r="H1131" s="1437">
        <f t="shared" si="141"/>
        <v>5.5794089999999996E-3</v>
      </c>
      <c r="I1131" s="1437">
        <v>0</v>
      </c>
      <c r="J1131" s="1437">
        <v>0</v>
      </c>
      <c r="K1131" s="1438"/>
      <c r="L1131" s="1438"/>
      <c r="M1131" s="1437">
        <f t="shared" si="138"/>
        <v>0</v>
      </c>
      <c r="N1131" s="1437">
        <f t="shared" si="142"/>
        <v>5.5794089999999996E-3</v>
      </c>
    </row>
    <row r="1132" spans="1:14" outlineLevel="1">
      <c r="A1132" s="1499">
        <f t="shared" si="143"/>
        <v>111</v>
      </c>
      <c r="B1132" s="1539" t="str">
        <f t="shared" si="143"/>
        <v>Project-U#8-Steel for TechnologicalStructure-10501</v>
      </c>
      <c r="C1132" s="1491" t="str">
        <f t="shared" si="143"/>
        <v>N.A.</v>
      </c>
      <c r="D1132" s="1531" t="str">
        <f t="shared" si="143"/>
        <v>-</v>
      </c>
      <c r="E1132" s="1318">
        <f t="shared" si="143"/>
        <v>0</v>
      </c>
      <c r="F1132" s="1437">
        <f t="shared" si="139"/>
        <v>0.14835727600000001</v>
      </c>
      <c r="G1132" s="1437">
        <f t="shared" si="140"/>
        <v>0</v>
      </c>
      <c r="H1132" s="1437">
        <f t="shared" si="141"/>
        <v>0.14835727600000001</v>
      </c>
      <c r="I1132" s="1437">
        <v>0</v>
      </c>
      <c r="J1132" s="1437">
        <v>0</v>
      </c>
      <c r="K1132" s="1438"/>
      <c r="L1132" s="1438"/>
      <c r="M1132" s="1437">
        <f t="shared" si="138"/>
        <v>0</v>
      </c>
      <c r="N1132" s="1437">
        <f t="shared" si="142"/>
        <v>0.14835727600000001</v>
      </c>
    </row>
    <row r="1133" spans="1:14" outlineLevel="1">
      <c r="A1133" s="1499">
        <f t="shared" si="143"/>
        <v>112</v>
      </c>
      <c r="B1133" s="1539" t="str">
        <f t="shared" si="143"/>
        <v>Project-U#8-Electrical Package for BOP-10509</v>
      </c>
      <c r="C1133" s="1491" t="str">
        <f t="shared" si="143"/>
        <v>N.A.</v>
      </c>
      <c r="D1133" s="1531" t="str">
        <f t="shared" si="143"/>
        <v>-</v>
      </c>
      <c r="E1133" s="1318">
        <f t="shared" si="143"/>
        <v>0</v>
      </c>
      <c r="F1133" s="1437">
        <f t="shared" si="139"/>
        <v>2.4904469999999998E-3</v>
      </c>
      <c r="G1133" s="1437">
        <f t="shared" si="140"/>
        <v>0</v>
      </c>
      <c r="H1133" s="1437">
        <f t="shared" si="141"/>
        <v>2.4904469999999998E-3</v>
      </c>
      <c r="I1133" s="1437">
        <v>0</v>
      </c>
      <c r="J1133" s="1437">
        <v>0</v>
      </c>
      <c r="K1133" s="1438"/>
      <c r="L1133" s="1438"/>
      <c r="M1133" s="1437">
        <f t="shared" si="138"/>
        <v>0</v>
      </c>
      <c r="N1133" s="1437">
        <f t="shared" si="142"/>
        <v>2.4904469999999998E-3</v>
      </c>
    </row>
    <row r="1134" spans="1:14" outlineLevel="1">
      <c r="A1134" s="1499">
        <f t="shared" si="143"/>
        <v>113</v>
      </c>
      <c r="B1134" s="1539" t="str">
        <f t="shared" si="143"/>
        <v>Project-U#8-Electrical CHARGES-10509</v>
      </c>
      <c r="C1134" s="1491" t="str">
        <f t="shared" si="143"/>
        <v>N.A.</v>
      </c>
      <c r="D1134" s="1531" t="str">
        <f t="shared" si="143"/>
        <v>-</v>
      </c>
      <c r="E1134" s="1318">
        <f t="shared" si="143"/>
        <v>0</v>
      </c>
      <c r="F1134" s="1437">
        <f t="shared" si="139"/>
        <v>4.1155000000000002E-5</v>
      </c>
      <c r="G1134" s="1437">
        <f t="shared" si="140"/>
        <v>0</v>
      </c>
      <c r="H1134" s="1437">
        <f t="shared" si="141"/>
        <v>4.1155000000000002E-5</v>
      </c>
      <c r="I1134" s="1437">
        <v>0</v>
      </c>
      <c r="J1134" s="1437">
        <v>0</v>
      </c>
      <c r="K1134" s="1438"/>
      <c r="L1134" s="1438"/>
      <c r="M1134" s="1437">
        <f t="shared" si="138"/>
        <v>0</v>
      </c>
      <c r="N1134" s="1437">
        <f t="shared" si="142"/>
        <v>4.1155000000000002E-5</v>
      </c>
    </row>
    <row r="1135" spans="1:14" outlineLevel="1">
      <c r="A1135" s="1499">
        <f t="shared" si="143"/>
        <v>114</v>
      </c>
      <c r="B1135" s="1539" t="str">
        <f t="shared" si="143"/>
        <v>Project-U#8-Electrical Package for BOP-Mandatory</v>
      </c>
      <c r="C1135" s="1491" t="str">
        <f t="shared" si="143"/>
        <v>N.A.</v>
      </c>
      <c r="D1135" s="1531" t="str">
        <f t="shared" si="143"/>
        <v>-</v>
      </c>
      <c r="E1135" s="1318">
        <f t="shared" si="143"/>
        <v>0</v>
      </c>
      <c r="F1135" s="1437">
        <f t="shared" si="139"/>
        <v>2.7569600000000002E-4</v>
      </c>
      <c r="G1135" s="1437">
        <f t="shared" si="140"/>
        <v>0</v>
      </c>
      <c r="H1135" s="1437">
        <f t="shared" si="141"/>
        <v>2.7569600000000002E-4</v>
      </c>
      <c r="I1135" s="1437">
        <v>0</v>
      </c>
      <c r="J1135" s="1437">
        <v>0</v>
      </c>
      <c r="K1135" s="1438"/>
      <c r="L1135" s="1438"/>
      <c r="M1135" s="1437">
        <f t="shared" si="138"/>
        <v>0</v>
      </c>
      <c r="N1135" s="1437">
        <f t="shared" si="142"/>
        <v>2.7569600000000002E-4</v>
      </c>
    </row>
    <row r="1136" spans="1:14" outlineLevel="1">
      <c r="A1136" s="1499">
        <f t="shared" si="143"/>
        <v>115</v>
      </c>
      <c r="B1136" s="1539" t="str">
        <f t="shared" si="143"/>
        <v>Project-U#8-Fire Protection, Alarm &amp; Detection</v>
      </c>
      <c r="C1136" s="1491" t="str">
        <f t="shared" si="143"/>
        <v>N.A.</v>
      </c>
      <c r="D1136" s="1531" t="str">
        <f t="shared" si="143"/>
        <v>-</v>
      </c>
      <c r="E1136" s="1318">
        <f t="shared" si="143"/>
        <v>0</v>
      </c>
      <c r="F1136" s="1437">
        <f t="shared" si="139"/>
        <v>7.1787910000000003E-3</v>
      </c>
      <c r="G1136" s="1437">
        <f t="shared" si="140"/>
        <v>0</v>
      </c>
      <c r="H1136" s="1437">
        <f t="shared" si="141"/>
        <v>7.1787910000000003E-3</v>
      </c>
      <c r="I1136" s="1437">
        <v>0</v>
      </c>
      <c r="J1136" s="1437">
        <v>0</v>
      </c>
      <c r="K1136" s="1438"/>
      <c r="L1136" s="1438"/>
      <c r="M1136" s="1437">
        <f t="shared" si="138"/>
        <v>0</v>
      </c>
      <c r="N1136" s="1437">
        <f t="shared" si="142"/>
        <v>7.1787910000000003E-3</v>
      </c>
    </row>
    <row r="1137" spans="1:14" outlineLevel="1">
      <c r="A1137" s="1499">
        <f t="shared" si="143"/>
        <v>116</v>
      </c>
      <c r="B1137" s="1539" t="str">
        <f t="shared" si="143"/>
        <v>Project-U#8-Fuel Oil Pump House-10516</v>
      </c>
      <c r="C1137" s="1491" t="str">
        <f t="shared" si="143"/>
        <v>N.A.</v>
      </c>
      <c r="D1137" s="1531" t="str">
        <f t="shared" si="143"/>
        <v>-</v>
      </c>
      <c r="E1137" s="1318">
        <f t="shared" si="143"/>
        <v>0</v>
      </c>
      <c r="F1137" s="1437">
        <f t="shared" si="139"/>
        <v>4.0925400000000004E-3</v>
      </c>
      <c r="G1137" s="1437">
        <f t="shared" si="140"/>
        <v>0</v>
      </c>
      <c r="H1137" s="1437">
        <f t="shared" si="141"/>
        <v>4.0925400000000004E-3</v>
      </c>
      <c r="I1137" s="1437">
        <v>0</v>
      </c>
      <c r="J1137" s="1437">
        <v>0</v>
      </c>
      <c r="K1137" s="1438"/>
      <c r="L1137" s="1438"/>
      <c r="M1137" s="1437">
        <f t="shared" si="138"/>
        <v>0</v>
      </c>
      <c r="N1137" s="1437">
        <f t="shared" si="142"/>
        <v>4.0925400000000004E-3</v>
      </c>
    </row>
    <row r="1138" spans="1:14" outlineLevel="1">
      <c r="A1138" s="1499">
        <f t="shared" si="143"/>
        <v>117</v>
      </c>
      <c r="B1138" s="1539" t="str">
        <f t="shared" si="143"/>
        <v>Project-U#8-Generator Transformer-10541</v>
      </c>
      <c r="C1138" s="1491" t="str">
        <f t="shared" si="143"/>
        <v>N.A.</v>
      </c>
      <c r="D1138" s="1531" t="str">
        <f t="shared" si="143"/>
        <v>-</v>
      </c>
      <c r="E1138" s="1318">
        <f t="shared" si="143"/>
        <v>0</v>
      </c>
      <c r="F1138" s="1437">
        <f t="shared" si="139"/>
        <v>1.2655415999999999E-2</v>
      </c>
      <c r="G1138" s="1437">
        <f t="shared" si="140"/>
        <v>0</v>
      </c>
      <c r="H1138" s="1437">
        <f t="shared" si="141"/>
        <v>1.2655415999999999E-2</v>
      </c>
      <c r="I1138" s="1437">
        <v>0</v>
      </c>
      <c r="J1138" s="1437">
        <v>0</v>
      </c>
      <c r="K1138" s="1438"/>
      <c r="L1138" s="1438"/>
      <c r="M1138" s="1437">
        <f t="shared" si="138"/>
        <v>0</v>
      </c>
      <c r="N1138" s="1437">
        <f t="shared" si="142"/>
        <v>1.2655415999999999E-2</v>
      </c>
    </row>
    <row r="1139" spans="1:14" outlineLevel="1">
      <c r="A1139" s="1499">
        <f t="shared" si="143"/>
        <v>118</v>
      </c>
      <c r="B1139" s="1539" t="str">
        <f t="shared" si="143"/>
        <v>Project-U#8-Generator/Transformer protection</v>
      </c>
      <c r="C1139" s="1491" t="str">
        <f t="shared" si="143"/>
        <v>N.A.</v>
      </c>
      <c r="D1139" s="1531" t="str">
        <f t="shared" si="143"/>
        <v>-</v>
      </c>
      <c r="E1139" s="1318">
        <f t="shared" si="143"/>
        <v>0</v>
      </c>
      <c r="F1139" s="1437">
        <f t="shared" si="139"/>
        <v>2.45393E-4</v>
      </c>
      <c r="G1139" s="1437">
        <f t="shared" si="140"/>
        <v>0</v>
      </c>
      <c r="H1139" s="1437">
        <f t="shared" si="141"/>
        <v>2.45393E-4</v>
      </c>
      <c r="I1139" s="1437">
        <v>0</v>
      </c>
      <c r="J1139" s="1437">
        <v>0</v>
      </c>
      <c r="K1139" s="1438"/>
      <c r="L1139" s="1438"/>
      <c r="M1139" s="1437">
        <f t="shared" si="138"/>
        <v>0</v>
      </c>
      <c r="N1139" s="1437">
        <f t="shared" si="142"/>
        <v>2.45393E-4</v>
      </c>
    </row>
    <row r="1140" spans="1:14" outlineLevel="1">
      <c r="A1140" s="1499">
        <f t="shared" si="143"/>
        <v>119</v>
      </c>
      <c r="B1140" s="1539" t="str">
        <f t="shared" si="143"/>
        <v>Project-U#8-H.T.Switchgear for main plant-10561</v>
      </c>
      <c r="C1140" s="1491" t="str">
        <f t="shared" si="143"/>
        <v>N.A.</v>
      </c>
      <c r="D1140" s="1531" t="str">
        <f t="shared" si="143"/>
        <v>-</v>
      </c>
      <c r="E1140" s="1318">
        <f t="shared" si="143"/>
        <v>0</v>
      </c>
      <c r="F1140" s="1437">
        <f t="shared" si="139"/>
        <v>2.5188164999999998E-2</v>
      </c>
      <c r="G1140" s="1437">
        <f t="shared" si="140"/>
        <v>0</v>
      </c>
      <c r="H1140" s="1437">
        <f t="shared" si="141"/>
        <v>2.5188164999999998E-2</v>
      </c>
      <c r="I1140" s="1437">
        <v>0</v>
      </c>
      <c r="J1140" s="1437">
        <v>0</v>
      </c>
      <c r="K1140" s="1438"/>
      <c r="L1140" s="1438"/>
      <c r="M1140" s="1437">
        <f t="shared" si="138"/>
        <v>0</v>
      </c>
      <c r="N1140" s="1437">
        <f t="shared" si="142"/>
        <v>2.5188164999999998E-2</v>
      </c>
    </row>
    <row r="1141" spans="1:14" outlineLevel="1">
      <c r="A1141" s="1499">
        <f t="shared" si="143"/>
        <v>120</v>
      </c>
      <c r="B1141" s="1539" t="str">
        <f t="shared" si="143"/>
        <v>Project-U#8-Indoor &amp; Outdoor plant lighting-10599</v>
      </c>
      <c r="C1141" s="1491" t="str">
        <f t="shared" si="143"/>
        <v>N.A.</v>
      </c>
      <c r="D1141" s="1531" t="str">
        <f t="shared" si="143"/>
        <v>-</v>
      </c>
      <c r="E1141" s="1318">
        <f t="shared" si="143"/>
        <v>0</v>
      </c>
      <c r="F1141" s="1437">
        <f t="shared" si="139"/>
        <v>4.0770299999999998E-4</v>
      </c>
      <c r="G1141" s="1437">
        <f t="shared" si="140"/>
        <v>0</v>
      </c>
      <c r="H1141" s="1437">
        <f t="shared" si="141"/>
        <v>4.0770299999999998E-4</v>
      </c>
      <c r="I1141" s="1437">
        <v>0</v>
      </c>
      <c r="J1141" s="1437">
        <v>0</v>
      </c>
      <c r="K1141" s="1438"/>
      <c r="L1141" s="1438"/>
      <c r="M1141" s="1437">
        <f t="shared" si="138"/>
        <v>0</v>
      </c>
      <c r="N1141" s="1437">
        <f t="shared" si="142"/>
        <v>4.0770299999999998E-4</v>
      </c>
    </row>
    <row r="1142" spans="1:14" outlineLevel="1">
      <c r="A1142" s="1499">
        <f t="shared" si="143"/>
        <v>121</v>
      </c>
      <c r="B1142" s="1539" t="str">
        <f t="shared" si="143"/>
        <v>Project-U#8-L.P.Piping including valves-10509</v>
      </c>
      <c r="C1142" s="1491" t="str">
        <f t="shared" si="143"/>
        <v>N.A.</v>
      </c>
      <c r="D1142" s="1531" t="str">
        <f t="shared" si="143"/>
        <v>-</v>
      </c>
      <c r="E1142" s="1318">
        <f t="shared" si="143"/>
        <v>0</v>
      </c>
      <c r="F1142" s="1437">
        <f t="shared" si="139"/>
        <v>3.8246069999999998E-3</v>
      </c>
      <c r="G1142" s="1437">
        <f t="shared" si="140"/>
        <v>0</v>
      </c>
      <c r="H1142" s="1437">
        <f t="shared" si="141"/>
        <v>3.8246069999999998E-3</v>
      </c>
      <c r="I1142" s="1437">
        <v>0</v>
      </c>
      <c r="J1142" s="1437">
        <v>0</v>
      </c>
      <c r="K1142" s="1438"/>
      <c r="L1142" s="1438"/>
      <c r="M1142" s="1437">
        <f t="shared" si="138"/>
        <v>0</v>
      </c>
      <c r="N1142" s="1437">
        <f t="shared" si="142"/>
        <v>3.8246069999999998E-3</v>
      </c>
    </row>
    <row r="1143" spans="1:14" outlineLevel="1">
      <c r="A1143" s="1499">
        <f t="shared" si="143"/>
        <v>122</v>
      </c>
      <c r="B1143" s="1539" t="str">
        <f t="shared" si="143"/>
        <v>Project-U#8-L.T. Electrical for main plant.-10561</v>
      </c>
      <c r="C1143" s="1491" t="str">
        <f t="shared" si="143"/>
        <v>N.A.</v>
      </c>
      <c r="D1143" s="1531" t="str">
        <f t="shared" si="143"/>
        <v>-</v>
      </c>
      <c r="E1143" s="1318">
        <f t="shared" si="143"/>
        <v>0</v>
      </c>
      <c r="F1143" s="1437">
        <f t="shared" si="139"/>
        <v>8.7066999999999998E-5</v>
      </c>
      <c r="G1143" s="1437">
        <f t="shared" si="140"/>
        <v>0</v>
      </c>
      <c r="H1143" s="1437">
        <f t="shared" si="141"/>
        <v>8.7066999999999998E-5</v>
      </c>
      <c r="I1143" s="1437">
        <v>0</v>
      </c>
      <c r="J1143" s="1437">
        <v>0</v>
      </c>
      <c r="K1143" s="1438"/>
      <c r="L1143" s="1438"/>
      <c r="M1143" s="1437">
        <f t="shared" si="138"/>
        <v>0</v>
      </c>
      <c r="N1143" s="1437">
        <f t="shared" si="142"/>
        <v>8.7066999999999998E-5</v>
      </c>
    </row>
    <row r="1144" spans="1:14" outlineLevel="1">
      <c r="A1144" s="1499">
        <f t="shared" si="143"/>
        <v>123</v>
      </c>
      <c r="B1144" s="1539" t="str">
        <f t="shared" si="143"/>
        <v>Project-U#8-Laying&amp;Termination of HT cables-10561</v>
      </c>
      <c r="C1144" s="1491" t="str">
        <f t="shared" si="143"/>
        <v>N.A.</v>
      </c>
      <c r="D1144" s="1531" t="str">
        <f t="shared" si="143"/>
        <v>-</v>
      </c>
      <c r="E1144" s="1318">
        <f t="shared" si="143"/>
        <v>0</v>
      </c>
      <c r="F1144" s="1437">
        <f t="shared" si="139"/>
        <v>8.2310499999999997E-4</v>
      </c>
      <c r="G1144" s="1437">
        <f t="shared" si="140"/>
        <v>0</v>
      </c>
      <c r="H1144" s="1437">
        <f t="shared" si="141"/>
        <v>8.2310499999999997E-4</v>
      </c>
      <c r="I1144" s="1437">
        <v>0</v>
      </c>
      <c r="J1144" s="1437">
        <v>0</v>
      </c>
      <c r="K1144" s="1438"/>
      <c r="L1144" s="1438"/>
      <c r="M1144" s="1437">
        <f t="shared" si="138"/>
        <v>0</v>
      </c>
      <c r="N1144" s="1437">
        <f t="shared" si="142"/>
        <v>8.2310499999999997E-4</v>
      </c>
    </row>
    <row r="1145" spans="1:14" outlineLevel="1">
      <c r="A1145" s="1499">
        <f t="shared" si="143"/>
        <v>124</v>
      </c>
      <c r="B1145" s="1539" t="str">
        <f t="shared" si="143"/>
        <v>Project-U#8-MainBoiler Structure&amp;foundations-10501</v>
      </c>
      <c r="C1145" s="1491" t="str">
        <f t="shared" si="143"/>
        <v>N.A.</v>
      </c>
      <c r="D1145" s="1531" t="str">
        <f t="shared" si="143"/>
        <v>-</v>
      </c>
      <c r="E1145" s="1318">
        <f t="shared" si="143"/>
        <v>0</v>
      </c>
      <c r="F1145" s="1437">
        <f t="shared" si="139"/>
        <v>9.9409977999999996E-2</v>
      </c>
      <c r="G1145" s="1437">
        <f t="shared" si="140"/>
        <v>0</v>
      </c>
      <c r="H1145" s="1437">
        <f t="shared" si="141"/>
        <v>9.9409977999999996E-2</v>
      </c>
      <c r="I1145" s="1437">
        <v>0</v>
      </c>
      <c r="J1145" s="1437">
        <v>0</v>
      </c>
      <c r="K1145" s="1438"/>
      <c r="L1145" s="1438"/>
      <c r="M1145" s="1437">
        <f t="shared" si="138"/>
        <v>0</v>
      </c>
      <c r="N1145" s="1437">
        <f t="shared" si="142"/>
        <v>9.9409977999999996E-2</v>
      </c>
    </row>
    <row r="1146" spans="1:14" outlineLevel="1">
      <c r="A1146" s="1499">
        <f t="shared" ref="A1146:E1161" si="144">A753</f>
        <v>125</v>
      </c>
      <c r="B1146" s="1539" t="str">
        <f t="shared" si="144"/>
        <v>Project-U#8-Mandatory Spares for Ash HandlingPlant</v>
      </c>
      <c r="C1146" s="1491" t="str">
        <f t="shared" si="144"/>
        <v>N.A.</v>
      </c>
      <c r="D1146" s="1531" t="str">
        <f t="shared" si="144"/>
        <v>-</v>
      </c>
      <c r="E1146" s="1318">
        <f t="shared" si="144"/>
        <v>0</v>
      </c>
      <c r="F1146" s="1437">
        <f t="shared" si="139"/>
        <v>1.561633E-3</v>
      </c>
      <c r="G1146" s="1437">
        <f t="shared" si="140"/>
        <v>0</v>
      </c>
      <c r="H1146" s="1437">
        <f t="shared" si="141"/>
        <v>1.561633E-3</v>
      </c>
      <c r="I1146" s="1437">
        <v>0</v>
      </c>
      <c r="J1146" s="1437">
        <v>0</v>
      </c>
      <c r="K1146" s="1438"/>
      <c r="L1146" s="1438"/>
      <c r="M1146" s="1437">
        <f t="shared" si="138"/>
        <v>0</v>
      </c>
      <c r="N1146" s="1437">
        <f t="shared" si="142"/>
        <v>1.561633E-3</v>
      </c>
    </row>
    <row r="1147" spans="1:14" outlineLevel="1">
      <c r="A1147" s="1499">
        <f t="shared" si="144"/>
        <v>126</v>
      </c>
      <c r="B1147" s="1539" t="str">
        <f t="shared" si="144"/>
        <v>Project-U#8-Mandatory spares for C&amp;I of Main Plant</v>
      </c>
      <c r="C1147" s="1491" t="str">
        <f t="shared" si="144"/>
        <v>N.A.</v>
      </c>
      <c r="D1147" s="1531" t="str">
        <f t="shared" si="144"/>
        <v>-</v>
      </c>
      <c r="E1147" s="1318">
        <f t="shared" si="144"/>
        <v>0</v>
      </c>
      <c r="F1147" s="1437">
        <f t="shared" si="139"/>
        <v>5.0294800000000002E-3</v>
      </c>
      <c r="G1147" s="1437">
        <f t="shared" si="140"/>
        <v>0</v>
      </c>
      <c r="H1147" s="1437">
        <f t="shared" si="141"/>
        <v>5.0294800000000002E-3</v>
      </c>
      <c r="I1147" s="1437">
        <v>0</v>
      </c>
      <c r="J1147" s="1437">
        <v>0</v>
      </c>
      <c r="K1147" s="1438"/>
      <c r="L1147" s="1438"/>
      <c r="M1147" s="1437">
        <f t="shared" si="138"/>
        <v>0</v>
      </c>
      <c r="N1147" s="1437">
        <f t="shared" si="142"/>
        <v>5.0294800000000002E-3</v>
      </c>
    </row>
    <row r="1148" spans="1:14" outlineLevel="1">
      <c r="A1148" s="1499">
        <f t="shared" si="144"/>
        <v>127</v>
      </c>
      <c r="B1148" s="1539" t="str">
        <f t="shared" si="144"/>
        <v>Project-U#8-Mandatory Spares for Electrical MainPa</v>
      </c>
      <c r="C1148" s="1491" t="str">
        <f t="shared" si="144"/>
        <v>N.A.</v>
      </c>
      <c r="D1148" s="1531" t="str">
        <f t="shared" si="144"/>
        <v>-</v>
      </c>
      <c r="E1148" s="1318">
        <f t="shared" si="144"/>
        <v>0</v>
      </c>
      <c r="F1148" s="1437">
        <f t="shared" si="139"/>
        <v>1.5600531000000001E-2</v>
      </c>
      <c r="G1148" s="1437">
        <f t="shared" si="140"/>
        <v>0</v>
      </c>
      <c r="H1148" s="1437">
        <f t="shared" si="141"/>
        <v>1.5600531000000001E-2</v>
      </c>
      <c r="I1148" s="1437">
        <v>0</v>
      </c>
      <c r="J1148" s="1437">
        <v>0</v>
      </c>
      <c r="K1148" s="1438"/>
      <c r="L1148" s="1438"/>
      <c r="M1148" s="1437">
        <f t="shared" si="138"/>
        <v>0</v>
      </c>
      <c r="N1148" s="1437">
        <f t="shared" si="142"/>
        <v>1.5600531000000001E-2</v>
      </c>
    </row>
    <row r="1149" spans="1:14" outlineLevel="1">
      <c r="A1149" s="1499">
        <f t="shared" si="144"/>
        <v>128</v>
      </c>
      <c r="B1149" s="1539" t="str">
        <f t="shared" si="144"/>
        <v>Project-U#8-Mandatory Spares For TG &amp; Auxilliaries</v>
      </c>
      <c r="C1149" s="1491" t="str">
        <f t="shared" si="144"/>
        <v>N.A.</v>
      </c>
      <c r="D1149" s="1531" t="str">
        <f t="shared" si="144"/>
        <v>-</v>
      </c>
      <c r="E1149" s="1318">
        <f t="shared" si="144"/>
        <v>0</v>
      </c>
      <c r="F1149" s="1437">
        <f t="shared" si="139"/>
        <v>6.2588310000000003E-3</v>
      </c>
      <c r="G1149" s="1437">
        <f t="shared" si="140"/>
        <v>0</v>
      </c>
      <c r="H1149" s="1437">
        <f t="shared" si="141"/>
        <v>6.2588310000000003E-3</v>
      </c>
      <c r="I1149" s="1437">
        <v>0</v>
      </c>
      <c r="J1149" s="1437">
        <v>0</v>
      </c>
      <c r="K1149" s="1438"/>
      <c r="L1149" s="1438"/>
      <c r="M1149" s="1437">
        <f t="shared" si="138"/>
        <v>0</v>
      </c>
      <c r="N1149" s="1437">
        <f t="shared" si="142"/>
        <v>6.2588310000000003E-3</v>
      </c>
    </row>
    <row r="1150" spans="1:14" outlineLevel="1">
      <c r="A1150" s="1499">
        <f t="shared" si="144"/>
        <v>129</v>
      </c>
      <c r="B1150" s="1539" t="str">
        <f t="shared" si="144"/>
        <v>Project-U#8-Misc. Cranes &amp; hoists-10553</v>
      </c>
      <c r="C1150" s="1491" t="str">
        <f t="shared" si="144"/>
        <v>N.A.</v>
      </c>
      <c r="D1150" s="1531" t="str">
        <f t="shared" si="144"/>
        <v>-</v>
      </c>
      <c r="E1150" s="1318">
        <f t="shared" si="144"/>
        <v>0</v>
      </c>
      <c r="F1150" s="1437">
        <f t="shared" si="139"/>
        <v>2.353651E-3</v>
      </c>
      <c r="G1150" s="1437">
        <f t="shared" si="140"/>
        <v>0</v>
      </c>
      <c r="H1150" s="1437">
        <f t="shared" si="141"/>
        <v>2.353651E-3</v>
      </c>
      <c r="I1150" s="1437">
        <v>0</v>
      </c>
      <c r="J1150" s="1437">
        <v>0</v>
      </c>
      <c r="K1150" s="1438"/>
      <c r="L1150" s="1438"/>
      <c r="M1150" s="1437">
        <f t="shared" si="138"/>
        <v>0</v>
      </c>
      <c r="N1150" s="1437">
        <f t="shared" si="142"/>
        <v>2.353651E-3</v>
      </c>
    </row>
    <row r="1151" spans="1:14" outlineLevel="1">
      <c r="A1151" s="1499">
        <f t="shared" si="144"/>
        <v>130</v>
      </c>
      <c r="B1151" s="1539" t="str">
        <f t="shared" si="144"/>
        <v>Project-U#8-Miscellaneous Pumps -10599</v>
      </c>
      <c r="C1151" s="1491" t="str">
        <f t="shared" si="144"/>
        <v>N.A.</v>
      </c>
      <c r="D1151" s="1531" t="str">
        <f t="shared" si="144"/>
        <v>-</v>
      </c>
      <c r="E1151" s="1318">
        <f t="shared" si="144"/>
        <v>0</v>
      </c>
      <c r="F1151" s="1437">
        <f t="shared" si="139"/>
        <v>1.5672209999999999E-3</v>
      </c>
      <c r="G1151" s="1437">
        <f t="shared" si="140"/>
        <v>0</v>
      </c>
      <c r="H1151" s="1437">
        <f t="shared" si="141"/>
        <v>1.5672209999999999E-3</v>
      </c>
      <c r="I1151" s="1437">
        <v>0</v>
      </c>
      <c r="J1151" s="1437">
        <v>0</v>
      </c>
      <c r="K1151" s="1438"/>
      <c r="L1151" s="1438"/>
      <c r="M1151" s="1437">
        <f t="shared" si="138"/>
        <v>0</v>
      </c>
      <c r="N1151" s="1437">
        <f t="shared" si="142"/>
        <v>1.5672209999999999E-3</v>
      </c>
    </row>
    <row r="1152" spans="1:14" outlineLevel="1">
      <c r="A1152" s="1499">
        <f t="shared" si="144"/>
        <v>131</v>
      </c>
      <c r="B1152" s="1539" t="str">
        <f t="shared" si="144"/>
        <v>Project-U#8-Passanger lift for TG Building-10599</v>
      </c>
      <c r="C1152" s="1491" t="str">
        <f t="shared" si="144"/>
        <v>N.A.</v>
      </c>
      <c r="D1152" s="1531" t="str">
        <f t="shared" si="144"/>
        <v>-</v>
      </c>
      <c r="E1152" s="1318">
        <f t="shared" si="144"/>
        <v>0</v>
      </c>
      <c r="F1152" s="1437">
        <f t="shared" si="139"/>
        <v>1.635811E-3</v>
      </c>
      <c r="G1152" s="1437">
        <f t="shared" si="140"/>
        <v>0</v>
      </c>
      <c r="H1152" s="1437">
        <f t="shared" si="141"/>
        <v>1.635811E-3</v>
      </c>
      <c r="I1152" s="1437">
        <v>0</v>
      </c>
      <c r="J1152" s="1437">
        <v>0</v>
      </c>
      <c r="K1152" s="1438"/>
      <c r="L1152" s="1438"/>
      <c r="M1152" s="1437">
        <f t="shared" si="138"/>
        <v>0</v>
      </c>
      <c r="N1152" s="1437">
        <f t="shared" si="142"/>
        <v>1.635811E-3</v>
      </c>
    </row>
    <row r="1153" spans="1:14" outlineLevel="1">
      <c r="A1153" s="1499">
        <f t="shared" si="144"/>
        <v>132</v>
      </c>
      <c r="B1153" s="1539" t="str">
        <f t="shared" si="144"/>
        <v>Project-U#8-Passanger/Material Lift at boiler side</v>
      </c>
      <c r="C1153" s="1491" t="str">
        <f t="shared" si="144"/>
        <v>N.A.</v>
      </c>
      <c r="D1153" s="1531" t="str">
        <f t="shared" si="144"/>
        <v>-</v>
      </c>
      <c r="E1153" s="1318">
        <f t="shared" si="144"/>
        <v>0</v>
      </c>
      <c r="F1153" s="1437">
        <f t="shared" si="139"/>
        <v>8.4731499999999996E-4</v>
      </c>
      <c r="G1153" s="1437">
        <f t="shared" si="140"/>
        <v>0</v>
      </c>
      <c r="H1153" s="1437">
        <f t="shared" si="141"/>
        <v>8.4731499999999996E-4</v>
      </c>
      <c r="I1153" s="1437">
        <v>0</v>
      </c>
      <c r="J1153" s="1437">
        <v>0</v>
      </c>
      <c r="K1153" s="1438"/>
      <c r="L1153" s="1438"/>
      <c r="M1153" s="1437">
        <f t="shared" si="138"/>
        <v>0</v>
      </c>
      <c r="N1153" s="1437">
        <f t="shared" si="142"/>
        <v>8.4731499999999996E-4</v>
      </c>
    </row>
    <row r="1154" spans="1:14" outlineLevel="1">
      <c r="A1154" s="1499">
        <f t="shared" si="144"/>
        <v>133</v>
      </c>
      <c r="B1154" s="1539" t="str">
        <f t="shared" si="144"/>
        <v>Project-U#8-Chemical Laboratory -10509</v>
      </c>
      <c r="C1154" s="1491" t="str">
        <f t="shared" si="144"/>
        <v>N.A.</v>
      </c>
      <c r="D1154" s="1531" t="str">
        <f t="shared" si="144"/>
        <v>-</v>
      </c>
      <c r="E1154" s="1318">
        <f t="shared" si="144"/>
        <v>0</v>
      </c>
      <c r="F1154" s="1437">
        <f t="shared" si="139"/>
        <v>1.1647579999999999E-3</v>
      </c>
      <c r="G1154" s="1437">
        <f t="shared" si="140"/>
        <v>0</v>
      </c>
      <c r="H1154" s="1437">
        <f t="shared" si="141"/>
        <v>1.1647579999999999E-3</v>
      </c>
      <c r="I1154" s="1437">
        <v>0</v>
      </c>
      <c r="J1154" s="1437">
        <v>0</v>
      </c>
      <c r="K1154" s="1438"/>
      <c r="L1154" s="1438"/>
      <c r="M1154" s="1437">
        <f t="shared" si="138"/>
        <v>0</v>
      </c>
      <c r="N1154" s="1437">
        <f t="shared" si="142"/>
        <v>1.1647579999999999E-3</v>
      </c>
    </row>
    <row r="1155" spans="1:14" outlineLevel="1">
      <c r="A1155" s="1499">
        <f t="shared" si="144"/>
        <v>134</v>
      </c>
      <c r="B1155" s="1539" t="str">
        <f t="shared" si="144"/>
        <v>Project-U#8-Sewage Treatment Plant-10509</v>
      </c>
      <c r="C1155" s="1491" t="str">
        <f t="shared" si="144"/>
        <v>N.A.</v>
      </c>
      <c r="D1155" s="1531" t="str">
        <f t="shared" si="144"/>
        <v>-</v>
      </c>
      <c r="E1155" s="1318">
        <f t="shared" si="144"/>
        <v>0</v>
      </c>
      <c r="F1155" s="1437">
        <f t="shared" si="139"/>
        <v>1.90058E-3</v>
      </c>
      <c r="G1155" s="1437">
        <f t="shared" si="140"/>
        <v>0</v>
      </c>
      <c r="H1155" s="1437">
        <f t="shared" si="141"/>
        <v>1.90058E-3</v>
      </c>
      <c r="I1155" s="1437">
        <v>0</v>
      </c>
      <c r="J1155" s="1437">
        <v>0</v>
      </c>
      <c r="K1155" s="1438"/>
      <c r="L1155" s="1438"/>
      <c r="M1155" s="1437">
        <f t="shared" si="138"/>
        <v>0</v>
      </c>
      <c r="N1155" s="1437">
        <f t="shared" si="142"/>
        <v>1.90058E-3</v>
      </c>
    </row>
    <row r="1156" spans="1:14" outlineLevel="1">
      <c r="A1156" s="1499">
        <f t="shared" si="144"/>
        <v>135</v>
      </c>
      <c r="B1156" s="1539" t="str">
        <f t="shared" si="144"/>
        <v>Project-U#8-Station Transformer-10541</v>
      </c>
      <c r="C1156" s="1491" t="str">
        <f t="shared" si="144"/>
        <v>N.A.</v>
      </c>
      <c r="D1156" s="1531" t="str">
        <f t="shared" si="144"/>
        <v>-</v>
      </c>
      <c r="E1156" s="1318">
        <f t="shared" si="144"/>
        <v>0</v>
      </c>
      <c r="F1156" s="1437">
        <f t="shared" si="139"/>
        <v>2.6575694E-2</v>
      </c>
      <c r="G1156" s="1437">
        <f t="shared" si="140"/>
        <v>0</v>
      </c>
      <c r="H1156" s="1437">
        <f t="shared" si="141"/>
        <v>2.6575694E-2</v>
      </c>
      <c r="I1156" s="1437">
        <v>0</v>
      </c>
      <c r="J1156" s="1437">
        <v>0</v>
      </c>
      <c r="K1156" s="1438"/>
      <c r="L1156" s="1438"/>
      <c r="M1156" s="1437">
        <f t="shared" si="138"/>
        <v>0</v>
      </c>
      <c r="N1156" s="1437">
        <f t="shared" si="142"/>
        <v>2.6575694E-2</v>
      </c>
    </row>
    <row r="1157" spans="1:14" outlineLevel="1">
      <c r="A1157" s="1499">
        <f t="shared" si="144"/>
        <v>136</v>
      </c>
      <c r="B1157" s="1539" t="str">
        <f t="shared" si="144"/>
        <v>Project-U#8-Steam Turbine set-10503</v>
      </c>
      <c r="C1157" s="1491" t="str">
        <f t="shared" si="144"/>
        <v>N.A.</v>
      </c>
      <c r="D1157" s="1531" t="str">
        <f t="shared" si="144"/>
        <v>-</v>
      </c>
      <c r="E1157" s="1318">
        <f t="shared" si="144"/>
        <v>0</v>
      </c>
      <c r="F1157" s="1437">
        <f t="shared" si="139"/>
        <v>0.138637134</v>
      </c>
      <c r="G1157" s="1437">
        <f t="shared" si="140"/>
        <v>0</v>
      </c>
      <c r="H1157" s="1437">
        <f t="shared" si="141"/>
        <v>0.138637134</v>
      </c>
      <c r="I1157" s="1437">
        <v>0</v>
      </c>
      <c r="J1157" s="1437">
        <v>0</v>
      </c>
      <c r="K1157" s="1438"/>
      <c r="L1157" s="1438"/>
      <c r="M1157" s="1437">
        <f t="shared" si="138"/>
        <v>0</v>
      </c>
      <c r="N1157" s="1437">
        <f t="shared" si="142"/>
        <v>0.138637134</v>
      </c>
    </row>
    <row r="1158" spans="1:14" outlineLevel="1">
      <c r="A1158" s="1499">
        <f t="shared" si="144"/>
        <v>137</v>
      </c>
      <c r="B1158" s="1539" t="str">
        <f t="shared" si="144"/>
        <v>Project-U#8-TG set and its auxilleries- Condensor</v>
      </c>
      <c r="C1158" s="1491" t="str">
        <f t="shared" si="144"/>
        <v>N.A.</v>
      </c>
      <c r="D1158" s="1531" t="str">
        <f t="shared" si="144"/>
        <v>-</v>
      </c>
      <c r="E1158" s="1318">
        <f t="shared" si="144"/>
        <v>0</v>
      </c>
      <c r="F1158" s="1437">
        <f t="shared" si="139"/>
        <v>1.2702985999999999E-2</v>
      </c>
      <c r="G1158" s="1437">
        <f t="shared" si="140"/>
        <v>0</v>
      </c>
      <c r="H1158" s="1437">
        <f t="shared" si="141"/>
        <v>1.2702985999999999E-2</v>
      </c>
      <c r="I1158" s="1437">
        <v>0</v>
      </c>
      <c r="J1158" s="1437">
        <v>0</v>
      </c>
      <c r="K1158" s="1438"/>
      <c r="L1158" s="1438"/>
      <c r="M1158" s="1437">
        <f t="shared" si="138"/>
        <v>0</v>
      </c>
      <c r="N1158" s="1437">
        <f t="shared" si="142"/>
        <v>1.2702985999999999E-2</v>
      </c>
    </row>
    <row r="1159" spans="1:14" outlineLevel="1">
      <c r="A1159" s="1499">
        <f t="shared" si="144"/>
        <v>138</v>
      </c>
      <c r="B1159" s="1539" t="str">
        <f t="shared" si="144"/>
        <v>Project-U#8-TG set and its auxilleries -Generator</v>
      </c>
      <c r="C1159" s="1491" t="str">
        <f t="shared" si="144"/>
        <v>N.A.</v>
      </c>
      <c r="D1159" s="1531" t="str">
        <f t="shared" si="144"/>
        <v>-</v>
      </c>
      <c r="E1159" s="1318">
        <f t="shared" si="144"/>
        <v>0</v>
      </c>
      <c r="F1159" s="1437">
        <f t="shared" si="139"/>
        <v>3.2544958999999998E-2</v>
      </c>
      <c r="G1159" s="1437">
        <f t="shared" si="140"/>
        <v>0</v>
      </c>
      <c r="H1159" s="1437">
        <f t="shared" si="141"/>
        <v>3.2544958999999998E-2</v>
      </c>
      <c r="I1159" s="1437">
        <v>0</v>
      </c>
      <c r="J1159" s="1437">
        <v>0</v>
      </c>
      <c r="K1159" s="1438"/>
      <c r="L1159" s="1438"/>
      <c r="M1159" s="1437">
        <f t="shared" si="138"/>
        <v>0</v>
      </c>
      <c r="N1159" s="1437">
        <f t="shared" si="142"/>
        <v>3.2544958999999998E-2</v>
      </c>
    </row>
    <row r="1160" spans="1:14" outlineLevel="1">
      <c r="A1160" s="1499">
        <f t="shared" si="144"/>
        <v>139</v>
      </c>
      <c r="B1160" s="1539" t="str">
        <f t="shared" si="144"/>
        <v>Project-U#8-TG set and its auxilleries-Condensor</v>
      </c>
      <c r="C1160" s="1491" t="str">
        <f t="shared" si="144"/>
        <v>N.A.</v>
      </c>
      <c r="D1160" s="1531" t="str">
        <f t="shared" si="144"/>
        <v>-</v>
      </c>
      <c r="E1160" s="1318">
        <f t="shared" si="144"/>
        <v>0</v>
      </c>
      <c r="F1160" s="1437">
        <f t="shared" si="139"/>
        <v>2.9272968E-2</v>
      </c>
      <c r="G1160" s="1437">
        <f t="shared" si="140"/>
        <v>0</v>
      </c>
      <c r="H1160" s="1437">
        <f t="shared" si="141"/>
        <v>2.9272968E-2</v>
      </c>
      <c r="I1160" s="1437">
        <v>0</v>
      </c>
      <c r="J1160" s="1437">
        <v>0</v>
      </c>
      <c r="K1160" s="1438"/>
      <c r="L1160" s="1438"/>
      <c r="M1160" s="1437">
        <f t="shared" si="138"/>
        <v>0</v>
      </c>
      <c r="N1160" s="1437">
        <f t="shared" si="142"/>
        <v>2.9272968E-2</v>
      </c>
    </row>
    <row r="1161" spans="1:14" outlineLevel="1">
      <c r="A1161" s="1499">
        <f t="shared" si="144"/>
        <v>140</v>
      </c>
      <c r="B1161" s="1539" t="str">
        <f t="shared" si="144"/>
        <v>Project-U#8-TG set &amp; its auxilleries-Derator-10503</v>
      </c>
      <c r="C1161" s="1491" t="str">
        <f t="shared" si="144"/>
        <v>N.A.</v>
      </c>
      <c r="D1161" s="1531" t="str">
        <f t="shared" si="144"/>
        <v>-</v>
      </c>
      <c r="E1161" s="1318">
        <f t="shared" si="144"/>
        <v>0</v>
      </c>
      <c r="F1161" s="1437">
        <f t="shared" si="139"/>
        <v>2.7579689999999999E-3</v>
      </c>
      <c r="G1161" s="1437">
        <f t="shared" si="140"/>
        <v>0</v>
      </c>
      <c r="H1161" s="1437">
        <f t="shared" si="141"/>
        <v>2.7579689999999999E-3</v>
      </c>
      <c r="I1161" s="1437">
        <v>0</v>
      </c>
      <c r="J1161" s="1437">
        <v>0</v>
      </c>
      <c r="K1161" s="1438"/>
      <c r="L1161" s="1438"/>
      <c r="M1161" s="1437">
        <f t="shared" si="138"/>
        <v>0</v>
      </c>
      <c r="N1161" s="1437">
        <f t="shared" si="142"/>
        <v>2.7579689999999999E-3</v>
      </c>
    </row>
    <row r="1162" spans="1:14" outlineLevel="1">
      <c r="A1162" s="1499">
        <f t="shared" ref="A1162:E1177" si="145">A769</f>
        <v>141</v>
      </c>
      <c r="B1162" s="1539" t="str">
        <f t="shared" si="145"/>
        <v>Project-U#8-TG set and its auxilleries-DMMakeUpSys</v>
      </c>
      <c r="C1162" s="1491" t="str">
        <f t="shared" si="145"/>
        <v>N.A.</v>
      </c>
      <c r="D1162" s="1531" t="str">
        <f t="shared" si="145"/>
        <v>-</v>
      </c>
      <c r="E1162" s="1318">
        <f t="shared" si="145"/>
        <v>0</v>
      </c>
      <c r="F1162" s="1437">
        <f t="shared" si="139"/>
        <v>1.049073E-3</v>
      </c>
      <c r="G1162" s="1437">
        <f t="shared" si="140"/>
        <v>0</v>
      </c>
      <c r="H1162" s="1437">
        <f t="shared" si="141"/>
        <v>1.049073E-3</v>
      </c>
      <c r="I1162" s="1437">
        <v>0</v>
      </c>
      <c r="J1162" s="1437">
        <v>0</v>
      </c>
      <c r="K1162" s="1438"/>
      <c r="L1162" s="1438"/>
      <c r="M1162" s="1437">
        <f t="shared" si="138"/>
        <v>0</v>
      </c>
      <c r="N1162" s="1437">
        <f t="shared" si="142"/>
        <v>1.049073E-3</v>
      </c>
    </row>
    <row r="1163" spans="1:14" outlineLevel="1">
      <c r="A1163" s="1499">
        <f t="shared" si="145"/>
        <v>142</v>
      </c>
      <c r="B1163" s="1539" t="str">
        <f t="shared" si="145"/>
        <v>Project-U#8-TG set and its auxilleries-Gas System</v>
      </c>
      <c r="C1163" s="1491" t="str">
        <f t="shared" si="145"/>
        <v>N.A.</v>
      </c>
      <c r="D1163" s="1531" t="str">
        <f t="shared" si="145"/>
        <v>-</v>
      </c>
      <c r="E1163" s="1318">
        <f t="shared" si="145"/>
        <v>0</v>
      </c>
      <c r="F1163" s="1437">
        <f t="shared" si="139"/>
        <v>5.6178390000000003E-3</v>
      </c>
      <c r="G1163" s="1437">
        <f t="shared" si="140"/>
        <v>0</v>
      </c>
      <c r="H1163" s="1437">
        <f t="shared" si="141"/>
        <v>5.6178390000000003E-3</v>
      </c>
      <c r="I1163" s="1437">
        <v>0</v>
      </c>
      <c r="J1163" s="1437">
        <v>0</v>
      </c>
      <c r="K1163" s="1438"/>
      <c r="L1163" s="1438"/>
      <c r="M1163" s="1437">
        <f t="shared" si="138"/>
        <v>0</v>
      </c>
      <c r="N1163" s="1437">
        <f t="shared" si="142"/>
        <v>5.6178390000000003E-3</v>
      </c>
    </row>
    <row r="1164" spans="1:14" outlineLevel="1">
      <c r="A1164" s="1499">
        <f t="shared" si="145"/>
        <v>143</v>
      </c>
      <c r="B1164" s="1539" t="str">
        <f t="shared" si="145"/>
        <v>Project-U#8-TG set and its auxilleries-GoveringSys</v>
      </c>
      <c r="C1164" s="1491" t="str">
        <f t="shared" si="145"/>
        <v>N.A.</v>
      </c>
      <c r="D1164" s="1531" t="str">
        <f t="shared" si="145"/>
        <v>-</v>
      </c>
      <c r="E1164" s="1318">
        <f t="shared" si="145"/>
        <v>0</v>
      </c>
      <c r="F1164" s="1437">
        <f t="shared" si="139"/>
        <v>4.9465999999999997E-5</v>
      </c>
      <c r="G1164" s="1437">
        <f t="shared" si="140"/>
        <v>0</v>
      </c>
      <c r="H1164" s="1437">
        <f t="shared" si="141"/>
        <v>4.9465999999999997E-5</v>
      </c>
      <c r="I1164" s="1437">
        <v>0</v>
      </c>
      <c r="J1164" s="1437">
        <v>0</v>
      </c>
      <c r="K1164" s="1438"/>
      <c r="L1164" s="1438"/>
      <c r="M1164" s="1437">
        <f t="shared" si="138"/>
        <v>0</v>
      </c>
      <c r="N1164" s="1437">
        <f t="shared" si="142"/>
        <v>4.9465999999999997E-5</v>
      </c>
    </row>
    <row r="1165" spans="1:14" outlineLevel="1">
      <c r="A1165" s="1499">
        <f t="shared" si="145"/>
        <v>144</v>
      </c>
      <c r="B1165" s="1539" t="str">
        <f t="shared" si="145"/>
        <v>Project-U#8-TG set and its auxilleries-HP/LP By-pa</v>
      </c>
      <c r="C1165" s="1491" t="str">
        <f t="shared" si="145"/>
        <v>N.A.</v>
      </c>
      <c r="D1165" s="1531" t="str">
        <f t="shared" si="145"/>
        <v>-</v>
      </c>
      <c r="E1165" s="1318">
        <f t="shared" si="145"/>
        <v>0</v>
      </c>
      <c r="F1165" s="1437">
        <f t="shared" si="139"/>
        <v>1.0752108999999999E-2</v>
      </c>
      <c r="G1165" s="1437">
        <f t="shared" si="140"/>
        <v>0</v>
      </c>
      <c r="H1165" s="1437">
        <f t="shared" si="141"/>
        <v>1.0752108999999999E-2</v>
      </c>
      <c r="I1165" s="1437">
        <v>0</v>
      </c>
      <c r="J1165" s="1437">
        <v>0</v>
      </c>
      <c r="K1165" s="1438"/>
      <c r="L1165" s="1438"/>
      <c r="M1165" s="1437">
        <f t="shared" si="138"/>
        <v>0</v>
      </c>
      <c r="N1165" s="1437">
        <f t="shared" si="142"/>
        <v>1.0752108999999999E-2</v>
      </c>
    </row>
    <row r="1166" spans="1:14" outlineLevel="1">
      <c r="A1166" s="1499">
        <f t="shared" si="145"/>
        <v>145</v>
      </c>
      <c r="B1166" s="1539" t="str">
        <f t="shared" si="145"/>
        <v>Project-U#8-TG set and its auxilleries-HP/LP Dozin</v>
      </c>
      <c r="C1166" s="1491" t="str">
        <f t="shared" si="145"/>
        <v>N.A.</v>
      </c>
      <c r="D1166" s="1531" t="str">
        <f t="shared" si="145"/>
        <v>-</v>
      </c>
      <c r="E1166" s="1318">
        <f t="shared" si="145"/>
        <v>0</v>
      </c>
      <c r="F1166" s="1437">
        <f t="shared" si="139"/>
        <v>3.9941100000000002E-4</v>
      </c>
      <c r="G1166" s="1437">
        <f t="shared" si="140"/>
        <v>0</v>
      </c>
      <c r="H1166" s="1437">
        <f t="shared" si="141"/>
        <v>3.9941100000000002E-4</v>
      </c>
      <c r="I1166" s="1437">
        <v>0</v>
      </c>
      <c r="J1166" s="1437">
        <v>0</v>
      </c>
      <c r="K1166" s="1438"/>
      <c r="L1166" s="1438"/>
      <c r="M1166" s="1437">
        <f t="shared" si="138"/>
        <v>0</v>
      </c>
      <c r="N1166" s="1437">
        <f t="shared" si="142"/>
        <v>3.9941100000000002E-4</v>
      </c>
    </row>
    <row r="1167" spans="1:14" outlineLevel="1">
      <c r="A1167" s="1499">
        <f t="shared" si="145"/>
        <v>146</v>
      </c>
      <c r="B1167" s="1539" t="str">
        <f t="shared" si="145"/>
        <v>Project-U#8-TG set and its auxilleries-SealOilPump</v>
      </c>
      <c r="C1167" s="1491" t="str">
        <f t="shared" si="145"/>
        <v>N.A.</v>
      </c>
      <c r="D1167" s="1531" t="str">
        <f t="shared" si="145"/>
        <v>-</v>
      </c>
      <c r="E1167" s="1318">
        <f t="shared" si="145"/>
        <v>0</v>
      </c>
      <c r="F1167" s="1437">
        <f t="shared" si="139"/>
        <v>9.8566000000000005E-5</v>
      </c>
      <c r="G1167" s="1437">
        <f t="shared" si="140"/>
        <v>0</v>
      </c>
      <c r="H1167" s="1437">
        <f t="shared" si="141"/>
        <v>9.8566000000000005E-5</v>
      </c>
      <c r="I1167" s="1437">
        <v>0</v>
      </c>
      <c r="J1167" s="1437">
        <v>0</v>
      </c>
      <c r="K1167" s="1438"/>
      <c r="L1167" s="1438"/>
      <c r="M1167" s="1437">
        <f t="shared" si="138"/>
        <v>0</v>
      </c>
      <c r="N1167" s="1437">
        <f t="shared" si="142"/>
        <v>9.8566000000000005E-5</v>
      </c>
    </row>
    <row r="1168" spans="1:14" outlineLevel="1">
      <c r="A1168" s="1499">
        <f t="shared" si="145"/>
        <v>147</v>
      </c>
      <c r="B1168" s="1539" t="str">
        <f t="shared" si="145"/>
        <v>Project-U#8-TG set and its auxilleries-Vaccum Syst</v>
      </c>
      <c r="C1168" s="1491" t="str">
        <f t="shared" si="145"/>
        <v>N.A.</v>
      </c>
      <c r="D1168" s="1531" t="str">
        <f t="shared" si="145"/>
        <v>-</v>
      </c>
      <c r="E1168" s="1318">
        <f t="shared" si="145"/>
        <v>0</v>
      </c>
      <c r="F1168" s="1437">
        <f t="shared" si="139"/>
        <v>1.0304429E-2</v>
      </c>
      <c r="G1168" s="1437">
        <f t="shared" si="140"/>
        <v>0</v>
      </c>
      <c r="H1168" s="1437">
        <f t="shared" si="141"/>
        <v>1.0304429E-2</v>
      </c>
      <c r="I1168" s="1437">
        <v>0</v>
      </c>
      <c r="J1168" s="1437">
        <v>0</v>
      </c>
      <c r="K1168" s="1438"/>
      <c r="L1168" s="1438"/>
      <c r="M1168" s="1437">
        <f t="shared" si="138"/>
        <v>0</v>
      </c>
      <c r="N1168" s="1437">
        <f t="shared" si="142"/>
        <v>1.0304429E-2</v>
      </c>
    </row>
    <row r="1169" spans="1:14" outlineLevel="1">
      <c r="A1169" s="1499">
        <f t="shared" si="145"/>
        <v>148</v>
      </c>
      <c r="B1169" s="1539" t="str">
        <f t="shared" si="145"/>
        <v>Project-U#8-Turbine Lub. Oil System With Purifier</v>
      </c>
      <c r="C1169" s="1491" t="str">
        <f t="shared" si="145"/>
        <v>N.A.</v>
      </c>
      <c r="D1169" s="1531" t="str">
        <f t="shared" si="145"/>
        <v>-</v>
      </c>
      <c r="E1169" s="1318">
        <f t="shared" si="145"/>
        <v>0</v>
      </c>
      <c r="F1169" s="1437">
        <f t="shared" si="139"/>
        <v>2.2363740000000002E-3</v>
      </c>
      <c r="G1169" s="1437">
        <f t="shared" si="140"/>
        <v>0</v>
      </c>
      <c r="H1169" s="1437">
        <f t="shared" si="141"/>
        <v>2.2363740000000002E-3</v>
      </c>
      <c r="I1169" s="1437">
        <v>0</v>
      </c>
      <c r="J1169" s="1437">
        <v>0</v>
      </c>
      <c r="K1169" s="1438"/>
      <c r="L1169" s="1438"/>
      <c r="M1169" s="1437">
        <f t="shared" si="138"/>
        <v>0</v>
      </c>
      <c r="N1169" s="1437">
        <f t="shared" si="142"/>
        <v>2.2363740000000002E-3</v>
      </c>
    </row>
    <row r="1170" spans="1:14" outlineLevel="1">
      <c r="A1170" s="1499">
        <f t="shared" si="145"/>
        <v>149</v>
      </c>
      <c r="B1170" s="1539" t="str">
        <f t="shared" si="145"/>
        <v>Project-U#8-Ventillation system-10599</v>
      </c>
      <c r="C1170" s="1491" t="str">
        <f t="shared" si="145"/>
        <v>N.A.</v>
      </c>
      <c r="D1170" s="1531" t="str">
        <f t="shared" si="145"/>
        <v>-</v>
      </c>
      <c r="E1170" s="1318">
        <f t="shared" si="145"/>
        <v>0</v>
      </c>
      <c r="F1170" s="1437">
        <f t="shared" si="139"/>
        <v>1.438855E-3</v>
      </c>
      <c r="G1170" s="1437">
        <f t="shared" si="140"/>
        <v>0</v>
      </c>
      <c r="H1170" s="1437">
        <f t="shared" si="141"/>
        <v>1.438855E-3</v>
      </c>
      <c r="I1170" s="1437">
        <v>0</v>
      </c>
      <c r="J1170" s="1437">
        <v>0</v>
      </c>
      <c r="K1170" s="1438"/>
      <c r="L1170" s="1438"/>
      <c r="M1170" s="1437">
        <f t="shared" si="138"/>
        <v>0</v>
      </c>
      <c r="N1170" s="1437">
        <f t="shared" si="142"/>
        <v>1.438855E-3</v>
      </c>
    </row>
    <row r="1171" spans="1:14" outlineLevel="1">
      <c r="A1171" s="1499">
        <f t="shared" si="145"/>
        <v>150</v>
      </c>
      <c r="B1171" s="1539" t="str">
        <f t="shared" si="145"/>
        <v>Asset Recived From Project-U#8-M.SPARE_Ventillation system-10599</v>
      </c>
      <c r="C1171" s="1491" t="str">
        <f t="shared" si="145"/>
        <v>N.A.</v>
      </c>
      <c r="D1171" s="1531" t="str">
        <f t="shared" si="145"/>
        <v>-</v>
      </c>
      <c r="E1171" s="1318">
        <f t="shared" si="145"/>
        <v>0</v>
      </c>
      <c r="F1171" s="1437">
        <f t="shared" si="139"/>
        <v>8.5482000000000006E-5</v>
      </c>
      <c r="G1171" s="1437">
        <f t="shared" si="140"/>
        <v>0</v>
      </c>
      <c r="H1171" s="1437">
        <f t="shared" si="141"/>
        <v>8.5482000000000006E-5</v>
      </c>
      <c r="I1171" s="1437">
        <v>0</v>
      </c>
      <c r="J1171" s="1437">
        <v>0</v>
      </c>
      <c r="K1171" s="1438"/>
      <c r="L1171" s="1438"/>
      <c r="M1171" s="1437">
        <f t="shared" si="138"/>
        <v>0</v>
      </c>
      <c r="N1171" s="1437">
        <f t="shared" si="142"/>
        <v>8.5482000000000006E-5</v>
      </c>
    </row>
    <row r="1172" spans="1:14" outlineLevel="1">
      <c r="A1172" s="1499">
        <f t="shared" si="145"/>
        <v>151</v>
      </c>
      <c r="B1172" s="1539" t="str">
        <f t="shared" si="145"/>
        <v>Asset Recived From Project-U#8-Water Treatment Plant-10509</v>
      </c>
      <c r="C1172" s="1491" t="str">
        <f t="shared" si="145"/>
        <v>N.A.</v>
      </c>
      <c r="D1172" s="1531" t="str">
        <f t="shared" si="145"/>
        <v>-</v>
      </c>
      <c r="E1172" s="1318">
        <f t="shared" si="145"/>
        <v>0</v>
      </c>
      <c r="F1172" s="1437">
        <f t="shared" si="139"/>
        <v>4.2384409999999999E-3</v>
      </c>
      <c r="G1172" s="1437">
        <f t="shared" si="140"/>
        <v>0</v>
      </c>
      <c r="H1172" s="1437">
        <f t="shared" si="141"/>
        <v>4.2384409999999999E-3</v>
      </c>
      <c r="I1172" s="1437">
        <v>0</v>
      </c>
      <c r="J1172" s="1437">
        <v>0</v>
      </c>
      <c r="K1172" s="1438"/>
      <c r="L1172" s="1438"/>
      <c r="M1172" s="1437">
        <f t="shared" si="138"/>
        <v>0</v>
      </c>
      <c r="N1172" s="1437">
        <f t="shared" si="142"/>
        <v>4.2384409999999999E-3</v>
      </c>
    </row>
    <row r="1173" spans="1:14" outlineLevel="1">
      <c r="A1173" s="1499">
        <f t="shared" si="145"/>
        <v>152</v>
      </c>
      <c r="B1173" s="1539" t="str">
        <f t="shared" si="145"/>
        <v>Asset Recived From Project-U#8-WORK SHOP MAD_SPARE-10565</v>
      </c>
      <c r="C1173" s="1491" t="str">
        <f t="shared" si="145"/>
        <v>N.A.</v>
      </c>
      <c r="D1173" s="1531" t="str">
        <f t="shared" si="145"/>
        <v>-</v>
      </c>
      <c r="E1173" s="1318">
        <f t="shared" si="145"/>
        <v>0</v>
      </c>
      <c r="F1173" s="1437">
        <f t="shared" si="139"/>
        <v>3.0444899999999998E-4</v>
      </c>
      <c r="G1173" s="1437">
        <f t="shared" si="140"/>
        <v>0</v>
      </c>
      <c r="H1173" s="1437">
        <f t="shared" si="141"/>
        <v>3.0444899999999998E-4</v>
      </c>
      <c r="I1173" s="1437">
        <v>0</v>
      </c>
      <c r="J1173" s="1437">
        <v>0</v>
      </c>
      <c r="K1173" s="1438"/>
      <c r="L1173" s="1438"/>
      <c r="M1173" s="1437">
        <f t="shared" si="138"/>
        <v>0</v>
      </c>
      <c r="N1173" s="1437">
        <f t="shared" si="142"/>
        <v>3.0444899999999998E-4</v>
      </c>
    </row>
    <row r="1174" spans="1:14" outlineLevel="1">
      <c r="A1174" s="1499">
        <f t="shared" si="145"/>
        <v>153</v>
      </c>
      <c r="B1174" s="1539" t="str">
        <f t="shared" si="145"/>
        <v>Asset Recived From Project-U#8-Workshop-10565</v>
      </c>
      <c r="C1174" s="1491" t="str">
        <f t="shared" si="145"/>
        <v>N.A.</v>
      </c>
      <c r="D1174" s="1531" t="str">
        <f t="shared" si="145"/>
        <v>-</v>
      </c>
      <c r="E1174" s="1318">
        <f t="shared" si="145"/>
        <v>0</v>
      </c>
      <c r="F1174" s="1437">
        <f t="shared" si="139"/>
        <v>1.3285770000000001E-3</v>
      </c>
      <c r="G1174" s="1437">
        <f t="shared" si="140"/>
        <v>0</v>
      </c>
      <c r="H1174" s="1437">
        <f t="shared" si="141"/>
        <v>1.3285770000000001E-3</v>
      </c>
      <c r="I1174" s="1437">
        <v>0</v>
      </c>
      <c r="J1174" s="1437">
        <v>0</v>
      </c>
      <c r="K1174" s="1438"/>
      <c r="L1174" s="1438"/>
      <c r="M1174" s="1437">
        <f t="shared" si="138"/>
        <v>0</v>
      </c>
      <c r="N1174" s="1437">
        <f t="shared" si="142"/>
        <v>1.3285770000000001E-3</v>
      </c>
    </row>
    <row r="1175" spans="1:14" outlineLevel="1">
      <c r="A1175" s="1499">
        <f t="shared" si="145"/>
        <v>154</v>
      </c>
      <c r="B1175" s="1539" t="str">
        <f t="shared" si="145"/>
        <v>Asset Recived From Project-U#8-CMR SYSTEM-10501</v>
      </c>
      <c r="C1175" s="1491" t="str">
        <f t="shared" si="145"/>
        <v>N.A.</v>
      </c>
      <c r="D1175" s="1531" t="str">
        <f t="shared" si="145"/>
        <v>-</v>
      </c>
      <c r="E1175" s="1318">
        <f t="shared" si="145"/>
        <v>0</v>
      </c>
      <c r="F1175" s="1437">
        <f t="shared" si="139"/>
        <v>2.0736180000000002E-3</v>
      </c>
      <c r="G1175" s="1437">
        <f t="shared" si="140"/>
        <v>0</v>
      </c>
      <c r="H1175" s="1437">
        <f t="shared" si="141"/>
        <v>2.0736180000000002E-3</v>
      </c>
      <c r="I1175" s="1437">
        <v>0</v>
      </c>
      <c r="J1175" s="1437">
        <v>0</v>
      </c>
      <c r="K1175" s="1438"/>
      <c r="L1175" s="1438"/>
      <c r="M1175" s="1437">
        <f t="shared" si="138"/>
        <v>0</v>
      </c>
      <c r="N1175" s="1437">
        <f t="shared" si="142"/>
        <v>2.0736180000000002E-3</v>
      </c>
    </row>
    <row r="1176" spans="1:14" outlineLevel="1">
      <c r="A1176" s="1499">
        <f t="shared" si="145"/>
        <v>155</v>
      </c>
      <c r="B1176" s="1539" t="str">
        <f t="shared" si="145"/>
        <v>Asset Recived From Project-U#8-MandatorySpares-WTP-10.509</v>
      </c>
      <c r="C1176" s="1491" t="str">
        <f t="shared" si="145"/>
        <v>N.A.</v>
      </c>
      <c r="D1176" s="1531" t="str">
        <f t="shared" si="145"/>
        <v>-</v>
      </c>
      <c r="E1176" s="1318">
        <f t="shared" si="145"/>
        <v>0</v>
      </c>
      <c r="F1176" s="1437">
        <f t="shared" si="139"/>
        <v>8.1516999999999999E-5</v>
      </c>
      <c r="G1176" s="1437">
        <f t="shared" si="140"/>
        <v>0</v>
      </c>
      <c r="H1176" s="1437">
        <f t="shared" si="141"/>
        <v>8.1516999999999999E-5</v>
      </c>
      <c r="I1176" s="1437">
        <v>0</v>
      </c>
      <c r="J1176" s="1437">
        <v>0</v>
      </c>
      <c r="K1176" s="1438"/>
      <c r="L1176" s="1438"/>
      <c r="M1176" s="1437">
        <f t="shared" si="138"/>
        <v>0</v>
      </c>
      <c r="N1176" s="1437">
        <f t="shared" si="142"/>
        <v>8.1516999999999999E-5</v>
      </c>
    </row>
    <row r="1177" spans="1:14" ht="29" outlineLevel="1">
      <c r="A1177" s="1499">
        <f t="shared" si="145"/>
        <v>156</v>
      </c>
      <c r="B1177" s="1539" t="str">
        <f t="shared" si="145"/>
        <v>Asset Recived From Project-U#8-E.1.07_MandSpar 4 C&amp;I MS 4MeasuringIns E.1.07_M S for C&amp;I_ MS For Measuring Ins</v>
      </c>
      <c r="C1177" s="1491" t="str">
        <f t="shared" si="145"/>
        <v>N.A.</v>
      </c>
      <c r="D1177" s="1531" t="str">
        <f t="shared" si="145"/>
        <v>-</v>
      </c>
      <c r="E1177" s="1318">
        <f t="shared" si="145"/>
        <v>0</v>
      </c>
      <c r="F1177" s="1437">
        <f t="shared" si="139"/>
        <v>7.8696799999999997E-2</v>
      </c>
      <c r="G1177" s="1437">
        <f t="shared" si="140"/>
        <v>0</v>
      </c>
      <c r="H1177" s="1437">
        <f t="shared" si="141"/>
        <v>7.8696799999999997E-2</v>
      </c>
      <c r="I1177" s="1437">
        <v>0</v>
      </c>
      <c r="J1177" s="1437">
        <v>0</v>
      </c>
      <c r="K1177" s="1438"/>
      <c r="L1177" s="1438"/>
      <c r="M1177" s="1437">
        <f t="shared" si="138"/>
        <v>0</v>
      </c>
      <c r="N1177" s="1437">
        <f t="shared" si="142"/>
        <v>7.8696799999999997E-2</v>
      </c>
    </row>
    <row r="1178" spans="1:14" outlineLevel="1">
      <c r="A1178" s="1499">
        <f t="shared" ref="A1178:E1183" si="146">A785</f>
        <v>157</v>
      </c>
      <c r="B1178" s="1539" t="str">
        <f t="shared" si="146"/>
        <v>Asset Recived From Project-U#8-BOP_ELECTRICAL-10612</v>
      </c>
      <c r="C1178" s="1491" t="str">
        <f t="shared" si="146"/>
        <v>N.A.</v>
      </c>
      <c r="D1178" s="1531" t="str">
        <f t="shared" si="146"/>
        <v>-</v>
      </c>
      <c r="E1178" s="1318">
        <f t="shared" si="146"/>
        <v>0</v>
      </c>
      <c r="F1178" s="1437">
        <f t="shared" si="139"/>
        <v>1.6370498000000001E-2</v>
      </c>
      <c r="G1178" s="1437">
        <f t="shared" si="140"/>
        <v>0</v>
      </c>
      <c r="H1178" s="1437">
        <f t="shared" si="141"/>
        <v>1.6370498000000001E-2</v>
      </c>
      <c r="I1178" s="1437">
        <v>0</v>
      </c>
      <c r="J1178" s="1437">
        <v>0</v>
      </c>
      <c r="K1178" s="1438"/>
      <c r="L1178" s="1438"/>
      <c r="M1178" s="1437">
        <f t="shared" si="138"/>
        <v>0</v>
      </c>
      <c r="N1178" s="1437">
        <f t="shared" si="142"/>
        <v>1.6370498000000001E-2</v>
      </c>
    </row>
    <row r="1179" spans="1:14" outlineLevel="1">
      <c r="A1179" s="1499">
        <f t="shared" si="146"/>
        <v>158</v>
      </c>
      <c r="B1179" s="1539" t="str">
        <f t="shared" si="146"/>
        <v>Asset Recived From Project-U#8-Bus Ducts-10612</v>
      </c>
      <c r="C1179" s="1491" t="str">
        <f t="shared" si="146"/>
        <v>N.A.</v>
      </c>
      <c r="D1179" s="1531" t="str">
        <f t="shared" si="146"/>
        <v>-</v>
      </c>
      <c r="E1179" s="1318">
        <f t="shared" si="146"/>
        <v>0</v>
      </c>
      <c r="F1179" s="1437">
        <f t="shared" si="139"/>
        <v>1.2547599E-2</v>
      </c>
      <c r="G1179" s="1437">
        <f t="shared" si="140"/>
        <v>0</v>
      </c>
      <c r="H1179" s="1437">
        <f t="shared" si="141"/>
        <v>1.2547599E-2</v>
      </c>
      <c r="I1179" s="1437">
        <v>0</v>
      </c>
      <c r="J1179" s="1437">
        <v>0</v>
      </c>
      <c r="K1179" s="1438"/>
      <c r="L1179" s="1438"/>
      <c r="M1179" s="1437">
        <f t="shared" si="138"/>
        <v>0</v>
      </c>
      <c r="N1179" s="1437">
        <f t="shared" si="142"/>
        <v>1.2547599E-2</v>
      </c>
    </row>
    <row r="1180" spans="1:14" outlineLevel="1">
      <c r="A1180" s="1499">
        <f t="shared" si="146"/>
        <v>159</v>
      </c>
      <c r="B1180" s="1539" t="str">
        <f t="shared" si="146"/>
        <v>Asset Recived From Project-U#8-Cable trays &amp; supports-10612</v>
      </c>
      <c r="C1180" s="1491" t="str">
        <f t="shared" si="146"/>
        <v>N.A.</v>
      </c>
      <c r="D1180" s="1531" t="str">
        <f t="shared" si="146"/>
        <v>-</v>
      </c>
      <c r="E1180" s="1318">
        <f t="shared" si="146"/>
        <v>0</v>
      </c>
      <c r="F1180" s="1437">
        <f t="shared" si="139"/>
        <v>3.6008699999999998E-4</v>
      </c>
      <c r="G1180" s="1437">
        <f t="shared" si="140"/>
        <v>0</v>
      </c>
      <c r="H1180" s="1437">
        <f t="shared" si="141"/>
        <v>3.6008699999999998E-4</v>
      </c>
      <c r="I1180" s="1437">
        <v>0</v>
      </c>
      <c r="J1180" s="1437">
        <v>0</v>
      </c>
      <c r="K1180" s="1438"/>
      <c r="L1180" s="1438"/>
      <c r="M1180" s="1437">
        <f t="shared" ref="M1180:M1183" si="147">SUM(J1180:L1180)</f>
        <v>0</v>
      </c>
      <c r="N1180" s="1437">
        <f t="shared" si="142"/>
        <v>3.6008699999999998E-4</v>
      </c>
    </row>
    <row r="1181" spans="1:14" outlineLevel="1">
      <c r="A1181" s="1499">
        <f t="shared" si="146"/>
        <v>160</v>
      </c>
      <c r="B1181" s="1539" t="str">
        <f t="shared" si="146"/>
        <v>Project-U#8-PCR FURNITURE-10810</v>
      </c>
      <c r="C1181" s="1491" t="str">
        <f t="shared" si="146"/>
        <v>N.A.</v>
      </c>
      <c r="D1181" s="1531" t="str">
        <f t="shared" si="146"/>
        <v>-</v>
      </c>
      <c r="E1181" s="1318">
        <f t="shared" si="146"/>
        <v>0</v>
      </c>
      <c r="F1181" s="1437">
        <f t="shared" ref="F1181:F1183" si="148">F788+I788</f>
        <v>3.0684199999999999E-4</v>
      </c>
      <c r="G1181" s="1437">
        <f t="shared" ref="G1181:G1183" si="149">G788+M788</f>
        <v>0</v>
      </c>
      <c r="H1181" s="1437">
        <f t="shared" si="141"/>
        <v>3.0684199999999999E-4</v>
      </c>
      <c r="I1181" s="1437">
        <v>0</v>
      </c>
      <c r="J1181" s="1437">
        <v>0</v>
      </c>
      <c r="K1181" s="1438"/>
      <c r="L1181" s="1438"/>
      <c r="M1181" s="1437">
        <f t="shared" si="147"/>
        <v>0</v>
      </c>
      <c r="N1181" s="1437">
        <f t="shared" si="142"/>
        <v>3.0684199999999999E-4</v>
      </c>
    </row>
    <row r="1182" spans="1:14" outlineLevel="1">
      <c r="A1182" s="1499">
        <f t="shared" si="146"/>
        <v>161</v>
      </c>
      <c r="B1182" s="1539" t="str">
        <f t="shared" si="146"/>
        <v>Project-U#8 Server Intel QUAD CORE 02No. HP Office Server</v>
      </c>
      <c r="C1182" s="1491" t="str">
        <f t="shared" si="146"/>
        <v>N.A.</v>
      </c>
      <c r="D1182" s="1531" t="str">
        <f t="shared" si="146"/>
        <v>-</v>
      </c>
      <c r="E1182" s="1318">
        <f t="shared" si="146"/>
        <v>0</v>
      </c>
      <c r="F1182" s="1437">
        <f t="shared" si="148"/>
        <v>0.11917999999999999</v>
      </c>
      <c r="G1182" s="1437">
        <f t="shared" si="149"/>
        <v>0.11917999999999999</v>
      </c>
      <c r="H1182" s="1437">
        <f t="shared" ref="H1182:H1183" si="150">F1182-G1182</f>
        <v>0</v>
      </c>
      <c r="I1182" s="1437">
        <v>0</v>
      </c>
      <c r="J1182" s="1437">
        <v>0</v>
      </c>
      <c r="K1182" s="1438"/>
      <c r="L1182" s="1438"/>
      <c r="M1182" s="1437">
        <f t="shared" si="147"/>
        <v>0</v>
      </c>
      <c r="N1182" s="1437">
        <f t="shared" ref="N1182:N1183" si="151">H1182+I1182-M1182</f>
        <v>0</v>
      </c>
    </row>
    <row r="1183" spans="1:14" ht="15" outlineLevel="1" thickBot="1">
      <c r="A1183" s="1499">
        <f t="shared" si="146"/>
        <v>162</v>
      </c>
      <c r="B1183" s="1539" t="str">
        <f t="shared" si="146"/>
        <v>Supply Erection testing and commissining of 1000 m3 ETP Civil works</v>
      </c>
      <c r="C1183" s="1491" t="str">
        <f t="shared" si="146"/>
        <v>N.A.</v>
      </c>
      <c r="D1183" s="1531" t="str">
        <f t="shared" si="146"/>
        <v>-</v>
      </c>
      <c r="E1183" s="1318">
        <f t="shared" si="146"/>
        <v>0</v>
      </c>
      <c r="F1183" s="1437">
        <f t="shared" si="148"/>
        <v>0.68323680199999992</v>
      </c>
      <c r="G1183" s="1437">
        <f t="shared" si="149"/>
        <v>0.68323680199999992</v>
      </c>
      <c r="H1183" s="1437">
        <f t="shared" si="150"/>
        <v>0</v>
      </c>
      <c r="I1183" s="1437">
        <v>0</v>
      </c>
      <c r="J1183" s="1437">
        <v>0</v>
      </c>
      <c r="K1183" s="1438"/>
      <c r="L1183" s="1438"/>
      <c r="M1183" s="1437">
        <f t="shared" si="147"/>
        <v>0</v>
      </c>
      <c r="N1183" s="1437">
        <f t="shared" si="151"/>
        <v>0</v>
      </c>
    </row>
    <row r="1184" spans="1:14" ht="15" thickBot="1">
      <c r="A1184" s="1311"/>
      <c r="B1184" s="1431" t="str">
        <f>B791</f>
        <v>Total</v>
      </c>
      <c r="C1184" s="1311"/>
      <c r="D1184" s="1432"/>
      <c r="E1184" s="1431"/>
      <c r="F1184" s="1543">
        <f>SUM(F796:F1183)</f>
        <v>146.753545151</v>
      </c>
      <c r="G1184" s="1543">
        <f t="shared" ref="G1184:N1184" si="152">SUM(G796:G1183)</f>
        <v>135.34262843100001</v>
      </c>
      <c r="H1184" s="1543">
        <f t="shared" si="152"/>
        <v>11.410916719999994</v>
      </c>
      <c r="I1184" s="1543">
        <f t="shared" si="152"/>
        <v>108.28000000000002</v>
      </c>
      <c r="J1184" s="1543">
        <f t="shared" si="152"/>
        <v>17.11</v>
      </c>
      <c r="K1184" s="1543">
        <f t="shared" si="152"/>
        <v>0</v>
      </c>
      <c r="L1184" s="1543">
        <f t="shared" si="152"/>
        <v>0</v>
      </c>
      <c r="M1184" s="1543">
        <f t="shared" si="152"/>
        <v>17.11</v>
      </c>
      <c r="N1184" s="1543">
        <f t="shared" si="152"/>
        <v>102.58091671999998</v>
      </c>
    </row>
    <row r="1185" spans="1:14">
      <c r="F1185" s="1544"/>
      <c r="G1185" s="1544"/>
      <c r="H1185" s="1544"/>
      <c r="I1185" s="1544"/>
      <c r="J1185" s="1544"/>
      <c r="K1185" s="1544"/>
      <c r="L1185" s="1544"/>
      <c r="M1185" s="1544"/>
      <c r="N1185" s="1544"/>
    </row>
    <row r="1186" spans="1:14">
      <c r="A1186" s="1486"/>
      <c r="B1186" s="1433" t="s">
        <v>958</v>
      </c>
      <c r="C1186" s="1309"/>
      <c r="D1186" s="1432"/>
      <c r="E1186" s="1309"/>
      <c r="F1186" s="1433"/>
      <c r="G1186" s="1433"/>
      <c r="H1186" s="1433"/>
      <c r="I1186" s="1433"/>
      <c r="J1186" s="1433"/>
      <c r="K1186" s="1433"/>
      <c r="L1186" s="1433"/>
      <c r="M1186" s="1433"/>
      <c r="N1186" s="1433"/>
    </row>
    <row r="1187" spans="1:14" outlineLevel="1">
      <c r="A1187" s="1487">
        <f t="shared" ref="A1187:E1202" si="153">A794</f>
        <v>0</v>
      </c>
      <c r="B1187" s="1332" t="str">
        <f t="shared" si="153"/>
        <v>Add Cap (As per 296 of 2019)</v>
      </c>
      <c r="C1187" s="1488"/>
      <c r="D1187" s="1489"/>
      <c r="E1187" s="1490"/>
      <c r="F1187" s="1437"/>
      <c r="G1187" s="1437"/>
      <c r="H1187" s="1437"/>
      <c r="I1187" s="1437"/>
      <c r="J1187" s="1437"/>
      <c r="K1187" s="1438"/>
      <c r="L1187" s="1438"/>
      <c r="M1187" s="1437"/>
      <c r="N1187" s="1437"/>
    </row>
    <row r="1188" spans="1:14" ht="17.5" outlineLevel="1">
      <c r="A1188" s="1491" t="str">
        <f t="shared" si="153"/>
        <v>A</v>
      </c>
      <c r="B1188" s="1333" t="str">
        <f t="shared" si="153"/>
        <v xml:space="preserve">Initial spares </v>
      </c>
      <c r="C1188" s="1492" t="str">
        <f t="shared" si="153"/>
        <v>Add Cap (As per 296 of 2019)</v>
      </c>
      <c r="D1188" s="1334" t="str">
        <f t="shared" si="153"/>
        <v>-</v>
      </c>
      <c r="E1188" s="1335">
        <f t="shared" si="153"/>
        <v>0</v>
      </c>
      <c r="F1188" s="1437"/>
      <c r="G1188" s="1437"/>
      <c r="H1188" s="1437"/>
      <c r="I1188" s="1437"/>
      <c r="J1188" s="1437"/>
      <c r="K1188" s="1438"/>
      <c r="L1188" s="1438"/>
      <c r="M1188" s="1437"/>
      <c r="N1188" s="1437"/>
    </row>
    <row r="1189" spans="1:14" ht="15.5" outlineLevel="1">
      <c r="A1189" s="1493">
        <f t="shared" si="153"/>
        <v>1</v>
      </c>
      <c r="B1189" s="1494" t="str">
        <f t="shared" si="153"/>
        <v>Boiler and Auxiliaries</v>
      </c>
      <c r="C1189" s="1495" t="str">
        <f t="shared" si="153"/>
        <v>Add Cap (As per 296 of 2019)</v>
      </c>
      <c r="D1189" s="1341" t="str">
        <f t="shared" si="153"/>
        <v>-</v>
      </c>
      <c r="E1189" s="1496">
        <f t="shared" si="153"/>
        <v>7.2</v>
      </c>
      <c r="F1189" s="1437"/>
      <c r="G1189" s="1437"/>
      <c r="H1189" s="1437"/>
      <c r="I1189" s="1437"/>
      <c r="J1189" s="1437"/>
      <c r="K1189" s="1438"/>
      <c r="L1189" s="1438"/>
      <c r="M1189" s="1437"/>
      <c r="N1189" s="1437"/>
    </row>
    <row r="1190" spans="1:14" ht="31" outlineLevel="1">
      <c r="A1190" s="1491">
        <f t="shared" si="153"/>
        <v>1</v>
      </c>
      <c r="B1190" s="1497" t="str">
        <f t="shared" si="153"/>
        <v>Procurement of Coal Mill XRP-903 Gear Box Type KMP-280 Spares of Unit # 8 at BM-NPTPS Parli-Vaijnath</v>
      </c>
      <c r="C1190" s="1492" t="str">
        <f t="shared" si="153"/>
        <v>Add Cap (As per 296 of 2019)</v>
      </c>
      <c r="D1190" s="1334" t="str">
        <f t="shared" si="153"/>
        <v>-</v>
      </c>
      <c r="E1190" s="1498">
        <f t="shared" si="153"/>
        <v>0</v>
      </c>
      <c r="F1190" s="1437">
        <f t="shared" ref="F1190:F1253" si="154">F797+I797</f>
        <v>1.35</v>
      </c>
      <c r="G1190" s="1437">
        <f t="shared" ref="G1190:G1253" si="155">G797+M797</f>
        <v>1.35</v>
      </c>
      <c r="H1190" s="1437">
        <f t="shared" ref="H1190:H1253" si="156">F1190-G1190</f>
        <v>0</v>
      </c>
      <c r="I1190" s="1437">
        <v>0</v>
      </c>
      <c r="J1190" s="1437">
        <v>0</v>
      </c>
      <c r="K1190" s="1438"/>
      <c r="L1190" s="1438"/>
      <c r="M1190" s="1437">
        <f t="shared" ref="M1190:M1253" si="157">SUM(J1190:L1190)</f>
        <v>0</v>
      </c>
      <c r="N1190" s="1437">
        <f t="shared" ref="N1190:N1253" si="158">H1190+I1190-M1190</f>
        <v>0</v>
      </c>
    </row>
    <row r="1191" spans="1:14" ht="31" outlineLevel="1">
      <c r="A1191" s="1491">
        <f t="shared" si="153"/>
        <v>2</v>
      </c>
      <c r="B1191" s="1497" t="str">
        <f t="shared" si="153"/>
        <v>Supply of Labyrinth Seal Rings with replaceable Inner liners for Coal Mill XRP-903 required for BM Unit-8, NPTPS, Parli-V.</v>
      </c>
      <c r="C1191" s="1492" t="str">
        <f t="shared" si="153"/>
        <v>Add Cap (As per 296 of 2019)</v>
      </c>
      <c r="D1191" s="1334" t="str">
        <f t="shared" si="153"/>
        <v>-</v>
      </c>
      <c r="E1191" s="1498">
        <f t="shared" si="153"/>
        <v>0</v>
      </c>
      <c r="F1191" s="1437">
        <f t="shared" si="154"/>
        <v>0.33134400000000003</v>
      </c>
      <c r="G1191" s="1437">
        <f t="shared" si="155"/>
        <v>0.33134400000000003</v>
      </c>
      <c r="H1191" s="1437">
        <f t="shared" si="156"/>
        <v>0</v>
      </c>
      <c r="I1191" s="1437">
        <v>0</v>
      </c>
      <c r="J1191" s="1437">
        <v>0</v>
      </c>
      <c r="K1191" s="1438"/>
      <c r="L1191" s="1438"/>
      <c r="M1191" s="1437">
        <f t="shared" si="157"/>
        <v>0</v>
      </c>
      <c r="N1191" s="1437">
        <f t="shared" si="158"/>
        <v>0</v>
      </c>
    </row>
    <row r="1192" spans="1:14" ht="31" outlineLevel="1">
      <c r="A1192" s="1491">
        <f t="shared" si="153"/>
        <v>3</v>
      </c>
      <c r="B1192" s="1497" t="str">
        <f t="shared" si="153"/>
        <v>Supply and Installation of coal mill  liners(weld overlay) of XRP-903 Coal Mill in BM U-8, NPTPS,Parli-V.</v>
      </c>
      <c r="C1192" s="1492" t="str">
        <f t="shared" si="153"/>
        <v>Add Cap (As per 296 of 2019)</v>
      </c>
      <c r="D1192" s="1334" t="str">
        <f t="shared" si="153"/>
        <v>-</v>
      </c>
      <c r="E1192" s="1498">
        <f t="shared" si="153"/>
        <v>0</v>
      </c>
      <c r="F1192" s="1437">
        <f t="shared" si="154"/>
        <v>0.33134400000000003</v>
      </c>
      <c r="G1192" s="1437">
        <f t="shared" si="155"/>
        <v>0.33134400000000003</v>
      </c>
      <c r="H1192" s="1437">
        <f t="shared" si="156"/>
        <v>0</v>
      </c>
      <c r="I1192" s="1437">
        <v>0</v>
      </c>
      <c r="J1192" s="1437">
        <v>0</v>
      </c>
      <c r="K1192" s="1438"/>
      <c r="L1192" s="1438"/>
      <c r="M1192" s="1437">
        <f t="shared" si="157"/>
        <v>0</v>
      </c>
      <c r="N1192" s="1437">
        <f t="shared" si="158"/>
        <v>0</v>
      </c>
    </row>
    <row r="1193" spans="1:14" ht="31" outlineLevel="1">
      <c r="A1193" s="1491">
        <f t="shared" si="153"/>
        <v>4</v>
      </c>
      <c r="B1193" s="1497" t="str">
        <f t="shared" si="153"/>
        <v>Procurement of Coal Mill XRP-903 Bowl &amp; Bowl Hub of Unit # 8 at BM-NPTPS Parli-Vaijnath</v>
      </c>
      <c r="C1193" s="1492" t="str">
        <f t="shared" si="153"/>
        <v>Add Cap (As per 296 of 2019)</v>
      </c>
      <c r="D1193" s="1334" t="str">
        <f t="shared" si="153"/>
        <v>-</v>
      </c>
      <c r="E1193" s="1498">
        <f t="shared" si="153"/>
        <v>0</v>
      </c>
      <c r="F1193" s="1437">
        <f t="shared" si="154"/>
        <v>0.73326380000000002</v>
      </c>
      <c r="G1193" s="1437">
        <f t="shared" si="155"/>
        <v>0.73326380000000002</v>
      </c>
      <c r="H1193" s="1437">
        <f t="shared" si="156"/>
        <v>0</v>
      </c>
      <c r="I1193" s="1437">
        <v>0</v>
      </c>
      <c r="J1193" s="1437">
        <v>0</v>
      </c>
      <c r="K1193" s="1438"/>
      <c r="L1193" s="1438"/>
      <c r="M1193" s="1437">
        <f t="shared" si="157"/>
        <v>0</v>
      </c>
      <c r="N1193" s="1437">
        <f t="shared" si="158"/>
        <v>0</v>
      </c>
    </row>
    <row r="1194" spans="1:14" ht="15.5" outlineLevel="1">
      <c r="A1194" s="1491">
        <f t="shared" si="153"/>
        <v>5</v>
      </c>
      <c r="B1194" s="1497" t="str">
        <f t="shared" si="153"/>
        <v>Supply of impeller assembly for ID fan</v>
      </c>
      <c r="C1194" s="1492" t="str">
        <f t="shared" si="153"/>
        <v>Add Cap (As per 296 of 2019)</v>
      </c>
      <c r="D1194" s="1334" t="str">
        <f t="shared" si="153"/>
        <v>-</v>
      </c>
      <c r="E1194" s="1358">
        <f t="shared" si="153"/>
        <v>0</v>
      </c>
      <c r="F1194" s="1437">
        <f t="shared" si="154"/>
        <v>0.52329999999999999</v>
      </c>
      <c r="G1194" s="1437">
        <f t="shared" si="155"/>
        <v>0.52329999999999999</v>
      </c>
      <c r="H1194" s="1437">
        <f t="shared" si="156"/>
        <v>0</v>
      </c>
      <c r="I1194" s="1437">
        <v>0</v>
      </c>
      <c r="J1194" s="1437">
        <v>0</v>
      </c>
      <c r="K1194" s="1438"/>
      <c r="L1194" s="1438"/>
      <c r="M1194" s="1437">
        <f t="shared" si="157"/>
        <v>0</v>
      </c>
      <c r="N1194" s="1437">
        <f t="shared" si="158"/>
        <v>0</v>
      </c>
    </row>
    <row r="1195" spans="1:14" ht="31" outlineLevel="1">
      <c r="A1195" s="1491">
        <f t="shared" si="153"/>
        <v>6</v>
      </c>
      <c r="B1195" s="1497" t="str">
        <f t="shared" si="153"/>
        <v>Procurement of Primary Air Fan &amp; Forced Draught Fan Drive Coupling on OEM basis required at BM U-8, NPTPS, Parli-V</v>
      </c>
      <c r="C1195" s="1492" t="str">
        <f t="shared" si="153"/>
        <v>Add Cap (As per 296 of 2019)</v>
      </c>
      <c r="D1195" s="1334" t="str">
        <f t="shared" si="153"/>
        <v>-</v>
      </c>
      <c r="E1195" s="1358">
        <f t="shared" si="153"/>
        <v>0</v>
      </c>
      <c r="F1195" s="1437">
        <f t="shared" si="154"/>
        <v>0.19409999999999999</v>
      </c>
      <c r="G1195" s="1437">
        <f t="shared" si="155"/>
        <v>0.19409999999999999</v>
      </c>
      <c r="H1195" s="1437">
        <f t="shared" si="156"/>
        <v>0</v>
      </c>
      <c r="I1195" s="1437">
        <v>0</v>
      </c>
      <c r="J1195" s="1437">
        <v>0</v>
      </c>
      <c r="K1195" s="1438"/>
      <c r="L1195" s="1438"/>
      <c r="M1195" s="1437">
        <f t="shared" si="157"/>
        <v>0</v>
      </c>
      <c r="N1195" s="1437">
        <f t="shared" si="158"/>
        <v>0</v>
      </c>
    </row>
    <row r="1196" spans="1:14" ht="46.5" outlineLevel="1">
      <c r="A1196" s="1491">
        <f t="shared" si="153"/>
        <v>7</v>
      </c>
      <c r="B1196" s="1497" t="str">
        <f t="shared" si="153"/>
        <v>Procurement of  Primary Air Fan PAF 17/11.8-2 Hydraulic Adjustment Device on OEM basis required at BM U-8 NPTPS Parli-V</v>
      </c>
      <c r="C1196" s="1492" t="str">
        <f t="shared" si="153"/>
        <v>Add Cap (As per 296 of 2019)</v>
      </c>
      <c r="D1196" s="1334" t="str">
        <f t="shared" si="153"/>
        <v>-</v>
      </c>
      <c r="E1196" s="1359">
        <f t="shared" si="153"/>
        <v>0</v>
      </c>
      <c r="F1196" s="1437">
        <f t="shared" si="154"/>
        <v>0.53521083000000003</v>
      </c>
      <c r="G1196" s="1437">
        <f t="shared" si="155"/>
        <v>0.53521083000000003</v>
      </c>
      <c r="H1196" s="1437">
        <f t="shared" si="156"/>
        <v>0</v>
      </c>
      <c r="I1196" s="1437">
        <v>0</v>
      </c>
      <c r="J1196" s="1437">
        <v>0</v>
      </c>
      <c r="K1196" s="1438"/>
      <c r="L1196" s="1438"/>
      <c r="M1196" s="1437">
        <f t="shared" si="157"/>
        <v>0</v>
      </c>
      <c r="N1196" s="1437">
        <f t="shared" si="158"/>
        <v>0</v>
      </c>
    </row>
    <row r="1197" spans="1:14" ht="31" outlineLevel="1">
      <c r="A1197" s="1491">
        <f t="shared" si="153"/>
        <v>8</v>
      </c>
      <c r="B1197" s="1497" t="str">
        <f t="shared" si="153"/>
        <v>Proc of spares for fabric expansion joints required at BM U-8, NPTPS, Parli-V.</v>
      </c>
      <c r="C1197" s="1492" t="str">
        <f t="shared" si="153"/>
        <v>Add Cap (As per 296 of 2019)</v>
      </c>
      <c r="D1197" s="1334" t="str">
        <f t="shared" si="153"/>
        <v>-</v>
      </c>
      <c r="E1197" s="1358">
        <f t="shared" si="153"/>
        <v>0</v>
      </c>
      <c r="F1197" s="1437">
        <f t="shared" si="154"/>
        <v>0.56971689999999997</v>
      </c>
      <c r="G1197" s="1437">
        <f t="shared" si="155"/>
        <v>0.56971689999999997</v>
      </c>
      <c r="H1197" s="1437">
        <f t="shared" si="156"/>
        <v>0</v>
      </c>
      <c r="I1197" s="1437">
        <v>0</v>
      </c>
      <c r="J1197" s="1437">
        <v>0</v>
      </c>
      <c r="K1197" s="1438"/>
      <c r="L1197" s="1438"/>
      <c r="M1197" s="1437">
        <f t="shared" si="157"/>
        <v>0</v>
      </c>
      <c r="N1197" s="1437">
        <f t="shared" si="158"/>
        <v>0</v>
      </c>
    </row>
    <row r="1198" spans="1:14" ht="31" outlineLevel="1">
      <c r="A1198" s="1491">
        <f t="shared" si="153"/>
        <v>9</v>
      </c>
      <c r="B1198" s="1497" t="str">
        <f t="shared" si="153"/>
        <v>Proc of separator body and seperator top spares for coal mill XRP-903 at BM U-8, NPTPS Parli-V.</v>
      </c>
      <c r="C1198" s="1492" t="str">
        <f t="shared" si="153"/>
        <v>Add Cap (As per 296 of 2019)</v>
      </c>
      <c r="D1198" s="1334" t="str">
        <f t="shared" si="153"/>
        <v>-</v>
      </c>
      <c r="E1198" s="1358">
        <f t="shared" si="153"/>
        <v>0</v>
      </c>
      <c r="F1198" s="1437">
        <f t="shared" si="154"/>
        <v>0.42568995599999998</v>
      </c>
      <c r="G1198" s="1437">
        <f t="shared" si="155"/>
        <v>0.42568995599999998</v>
      </c>
      <c r="H1198" s="1437">
        <f t="shared" si="156"/>
        <v>0</v>
      </c>
      <c r="I1198" s="1437">
        <v>0</v>
      </c>
      <c r="J1198" s="1437">
        <v>0</v>
      </c>
      <c r="K1198" s="1438"/>
      <c r="L1198" s="1438"/>
      <c r="M1198" s="1437">
        <f t="shared" si="157"/>
        <v>0</v>
      </c>
      <c r="N1198" s="1437">
        <f t="shared" si="158"/>
        <v>0</v>
      </c>
    </row>
    <row r="1199" spans="1:14" ht="31" outlineLevel="1">
      <c r="A1199" s="1491">
        <f t="shared" si="153"/>
        <v>10</v>
      </c>
      <c r="B1199" s="1497" t="str">
        <f t="shared" si="153"/>
        <v>Proc of scrapper area &amp; reject system spares for coal mill XRP-903 at BM U-8, NPTPS Parli-V.</v>
      </c>
      <c r="C1199" s="1492" t="str">
        <f t="shared" si="153"/>
        <v>Add Cap (As per 296 of 2019)</v>
      </c>
      <c r="D1199" s="1334" t="str">
        <f t="shared" si="153"/>
        <v>-</v>
      </c>
      <c r="E1199" s="1358">
        <f t="shared" si="153"/>
        <v>0</v>
      </c>
      <c r="F1199" s="1437">
        <f t="shared" si="154"/>
        <v>0.27832896000000001</v>
      </c>
      <c r="G1199" s="1437">
        <f t="shared" si="155"/>
        <v>0.27832896000000001</v>
      </c>
      <c r="H1199" s="1437">
        <f t="shared" si="156"/>
        <v>0</v>
      </c>
      <c r="I1199" s="1437">
        <v>0</v>
      </c>
      <c r="J1199" s="1437">
        <v>0</v>
      </c>
      <c r="K1199" s="1438"/>
      <c r="L1199" s="1438"/>
      <c r="M1199" s="1437">
        <f t="shared" si="157"/>
        <v>0</v>
      </c>
      <c r="N1199" s="1437">
        <f t="shared" si="158"/>
        <v>0</v>
      </c>
    </row>
    <row r="1200" spans="1:14" ht="15.5" outlineLevel="1">
      <c r="A1200" s="1491">
        <f t="shared" si="153"/>
        <v>11</v>
      </c>
      <c r="B1200" s="1497" t="str">
        <f t="shared" si="153"/>
        <v>Proc of seal air fan spares at BM-8 NPTPS, Parli-V.</v>
      </c>
      <c r="C1200" s="1492" t="str">
        <f t="shared" si="153"/>
        <v>Add Cap (As per 296 of 2019)</v>
      </c>
      <c r="D1200" s="1334" t="str">
        <f t="shared" si="153"/>
        <v>-</v>
      </c>
      <c r="E1200" s="1359">
        <f t="shared" si="153"/>
        <v>0</v>
      </c>
      <c r="F1200" s="1437">
        <f t="shared" si="154"/>
        <v>0.26431690000000002</v>
      </c>
      <c r="G1200" s="1437">
        <f t="shared" si="155"/>
        <v>0.26431690000000002</v>
      </c>
      <c r="H1200" s="1437">
        <f t="shared" si="156"/>
        <v>0</v>
      </c>
      <c r="I1200" s="1437">
        <v>0</v>
      </c>
      <c r="J1200" s="1437">
        <v>0</v>
      </c>
      <c r="K1200" s="1438"/>
      <c r="L1200" s="1438"/>
      <c r="M1200" s="1437">
        <f t="shared" si="157"/>
        <v>0</v>
      </c>
      <c r="N1200" s="1437">
        <f t="shared" si="158"/>
        <v>0</v>
      </c>
    </row>
    <row r="1201" spans="1:14" ht="31" outlineLevel="1">
      <c r="A1201" s="1491">
        <f t="shared" si="153"/>
        <v>12</v>
      </c>
      <c r="B1201" s="1497" t="str">
        <f t="shared" si="153"/>
        <v>Procurement of  FD Fan Type FAF 17/9.5-1 Drive Coupling required at BM U-8 NPTPS Parli-V</v>
      </c>
      <c r="C1201" s="1492" t="str">
        <f t="shared" si="153"/>
        <v>Add Cap (As per 296 of 2019)</v>
      </c>
      <c r="D1201" s="1334" t="str">
        <f t="shared" si="153"/>
        <v>-</v>
      </c>
      <c r="E1201" s="1358">
        <f t="shared" si="153"/>
        <v>0</v>
      </c>
      <c r="F1201" s="1437">
        <f t="shared" si="154"/>
        <v>0</v>
      </c>
      <c r="G1201" s="1437">
        <f t="shared" si="155"/>
        <v>0</v>
      </c>
      <c r="H1201" s="1437">
        <f t="shared" si="156"/>
        <v>0</v>
      </c>
      <c r="I1201" s="1437">
        <v>0</v>
      </c>
      <c r="J1201" s="1437">
        <v>0</v>
      </c>
      <c r="K1201" s="1438"/>
      <c r="L1201" s="1438"/>
      <c r="M1201" s="1437">
        <f t="shared" si="157"/>
        <v>0</v>
      </c>
      <c r="N1201" s="1437">
        <f t="shared" si="158"/>
        <v>0</v>
      </c>
    </row>
    <row r="1202" spans="1:14" ht="31" outlineLevel="1">
      <c r="A1202" s="1491">
        <f t="shared" si="153"/>
        <v>13</v>
      </c>
      <c r="B1202" s="1497" t="str">
        <f t="shared" si="153"/>
        <v>Procurement of complete planatary gear box-KMP -280/300 for coal mill XRP-903 at BM U-8 NPTPS Parli-V</v>
      </c>
      <c r="C1202" s="1492" t="str">
        <f t="shared" si="153"/>
        <v>Add Cap (As per 296 of 2019)</v>
      </c>
      <c r="D1202" s="1334" t="str">
        <f t="shared" si="153"/>
        <v>-</v>
      </c>
      <c r="E1202" s="1358">
        <f t="shared" si="153"/>
        <v>0</v>
      </c>
      <c r="F1202" s="1437">
        <f t="shared" si="154"/>
        <v>0</v>
      </c>
      <c r="G1202" s="1437">
        <f t="shared" si="155"/>
        <v>0</v>
      </c>
      <c r="H1202" s="1437">
        <f t="shared" si="156"/>
        <v>0</v>
      </c>
      <c r="I1202" s="1437">
        <v>0</v>
      </c>
      <c r="J1202" s="1437">
        <v>0</v>
      </c>
      <c r="K1202" s="1438"/>
      <c r="L1202" s="1438"/>
      <c r="M1202" s="1437">
        <f t="shared" si="157"/>
        <v>0</v>
      </c>
      <c r="N1202" s="1437">
        <f t="shared" si="158"/>
        <v>0</v>
      </c>
    </row>
    <row r="1203" spans="1:14" ht="15.5" outlineLevel="1">
      <c r="A1203" s="1493">
        <f t="shared" ref="A1203:E1218" si="159">A810</f>
        <v>2</v>
      </c>
      <c r="B1203" s="1494" t="str">
        <f t="shared" si="159"/>
        <v>Turbine and Auxiliaries</v>
      </c>
      <c r="C1203" s="1495" t="str">
        <f t="shared" si="159"/>
        <v>Add Cap (As per 296 of 2019)</v>
      </c>
      <c r="D1203" s="1341" t="str">
        <f t="shared" si="159"/>
        <v>-</v>
      </c>
      <c r="E1203" s="1496">
        <f t="shared" si="159"/>
        <v>4.3</v>
      </c>
      <c r="F1203" s="1437">
        <f t="shared" si="154"/>
        <v>0</v>
      </c>
      <c r="G1203" s="1437">
        <f t="shared" si="155"/>
        <v>0</v>
      </c>
      <c r="H1203" s="1437">
        <f t="shared" si="156"/>
        <v>0</v>
      </c>
      <c r="I1203" s="1437">
        <v>0</v>
      </c>
      <c r="J1203" s="1437">
        <v>0</v>
      </c>
      <c r="K1203" s="1438"/>
      <c r="L1203" s="1438"/>
      <c r="M1203" s="1437">
        <f t="shared" si="157"/>
        <v>0</v>
      </c>
      <c r="N1203" s="1437">
        <f t="shared" si="158"/>
        <v>0</v>
      </c>
    </row>
    <row r="1204" spans="1:14" ht="46.5" outlineLevel="1">
      <c r="A1204" s="1499">
        <f t="shared" si="159"/>
        <v>1</v>
      </c>
      <c r="B1204" s="1497" t="str">
        <f t="shared" si="159"/>
        <v>Procurement of spares for Equipment Cooling Water Pumps (Make-FLOWMORE) of model FIG-5824 (SG Side) and FIG-5822 (TG side) at Unit-8 NPTPS Parli-V</v>
      </c>
      <c r="C1204" s="1492" t="str">
        <f t="shared" si="159"/>
        <v>Add Cap (As per 296 of 2019)</v>
      </c>
      <c r="D1204" s="1334" t="str">
        <f t="shared" si="159"/>
        <v>-</v>
      </c>
      <c r="E1204" s="1358">
        <f t="shared" si="159"/>
        <v>0</v>
      </c>
      <c r="F1204" s="1437">
        <f t="shared" si="154"/>
        <v>0.51811829399999998</v>
      </c>
      <c r="G1204" s="1437">
        <f t="shared" si="155"/>
        <v>0.51811829399999998</v>
      </c>
      <c r="H1204" s="1437">
        <f t="shared" si="156"/>
        <v>0</v>
      </c>
      <c r="I1204" s="1437">
        <v>0</v>
      </c>
      <c r="J1204" s="1437">
        <v>0</v>
      </c>
      <c r="K1204" s="1438"/>
      <c r="L1204" s="1438"/>
      <c r="M1204" s="1437">
        <f t="shared" si="157"/>
        <v>0</v>
      </c>
      <c r="N1204" s="1437">
        <f t="shared" si="158"/>
        <v>0</v>
      </c>
    </row>
    <row r="1205" spans="1:14" ht="15.5" outlineLevel="1">
      <c r="A1205" s="1499">
        <f t="shared" si="159"/>
        <v>2</v>
      </c>
      <c r="B1205" s="1497" t="str">
        <f t="shared" si="159"/>
        <v>Supply of spars for recovery &amp; FF Pumps along with work  at U#8</v>
      </c>
      <c r="C1205" s="1492" t="str">
        <f t="shared" si="159"/>
        <v>Add Cap (As per 296 of 2019)</v>
      </c>
      <c r="D1205" s="1334" t="str">
        <f t="shared" si="159"/>
        <v>-</v>
      </c>
      <c r="E1205" s="1359">
        <f t="shared" si="159"/>
        <v>0</v>
      </c>
      <c r="F1205" s="1437">
        <f t="shared" si="154"/>
        <v>0.37712800000000002</v>
      </c>
      <c r="G1205" s="1437">
        <f t="shared" si="155"/>
        <v>0.37712800000000002</v>
      </c>
      <c r="H1205" s="1437">
        <f t="shared" si="156"/>
        <v>0</v>
      </c>
      <c r="I1205" s="1437">
        <v>0</v>
      </c>
      <c r="J1205" s="1437">
        <v>0</v>
      </c>
      <c r="K1205" s="1438"/>
      <c r="L1205" s="1438"/>
      <c r="M1205" s="1437">
        <f t="shared" si="157"/>
        <v>0</v>
      </c>
      <c r="N1205" s="1437">
        <f t="shared" si="158"/>
        <v>0</v>
      </c>
    </row>
    <row r="1206" spans="1:14" ht="15.5" outlineLevel="1">
      <c r="A1206" s="1499">
        <f t="shared" si="159"/>
        <v>3</v>
      </c>
      <c r="B1206" s="1497" t="str">
        <f t="shared" si="159"/>
        <v>Supply of seal oil vacuum pump  in unit 08</v>
      </c>
      <c r="C1206" s="1492" t="str">
        <f t="shared" si="159"/>
        <v>Add Cap (As per 296 of 2019)</v>
      </c>
      <c r="D1206" s="1334" t="str">
        <f t="shared" si="159"/>
        <v>-</v>
      </c>
      <c r="E1206" s="1358">
        <f t="shared" si="159"/>
        <v>0</v>
      </c>
      <c r="F1206" s="1437">
        <f t="shared" si="154"/>
        <v>0.27501740000000002</v>
      </c>
      <c r="G1206" s="1437">
        <f t="shared" si="155"/>
        <v>0.27501740000000002</v>
      </c>
      <c r="H1206" s="1437">
        <f t="shared" si="156"/>
        <v>0</v>
      </c>
      <c r="I1206" s="1437">
        <v>0</v>
      </c>
      <c r="J1206" s="1437">
        <v>0</v>
      </c>
      <c r="K1206" s="1438"/>
      <c r="L1206" s="1438"/>
      <c r="M1206" s="1437">
        <f t="shared" si="157"/>
        <v>0</v>
      </c>
      <c r="N1206" s="1437">
        <f t="shared" si="158"/>
        <v>0</v>
      </c>
    </row>
    <row r="1207" spans="1:14" ht="46.5" outlineLevel="1">
      <c r="A1207" s="1499">
        <f t="shared" si="159"/>
        <v>4</v>
      </c>
      <c r="B1207" s="1497" t="str">
        <f t="shared" si="159"/>
        <v>Procurement of AC pressure pipes (235MM OD, 200MM ID, 4.5M Length) for NDCT hot spray water distribution system in Unit-8 NPTPS Parli-Vaijnath</v>
      </c>
      <c r="C1207" s="1492" t="str">
        <f t="shared" si="159"/>
        <v>Add Cap (As per 296 of 2019)</v>
      </c>
      <c r="D1207" s="1334" t="str">
        <f t="shared" si="159"/>
        <v>-</v>
      </c>
      <c r="E1207" s="1358">
        <f t="shared" si="159"/>
        <v>0</v>
      </c>
      <c r="F1207" s="1437">
        <f t="shared" si="154"/>
        <v>0.42522480000000001</v>
      </c>
      <c r="G1207" s="1437">
        <f t="shared" si="155"/>
        <v>0.42522480000000001</v>
      </c>
      <c r="H1207" s="1437">
        <f t="shared" si="156"/>
        <v>0</v>
      </c>
      <c r="I1207" s="1437">
        <v>0</v>
      </c>
      <c r="J1207" s="1437">
        <v>0</v>
      </c>
      <c r="K1207" s="1438"/>
      <c r="L1207" s="1438"/>
      <c r="M1207" s="1437">
        <f t="shared" si="157"/>
        <v>0</v>
      </c>
      <c r="N1207" s="1437">
        <f t="shared" si="158"/>
        <v>0</v>
      </c>
    </row>
    <row r="1208" spans="1:14" ht="31" outlineLevel="1">
      <c r="A1208" s="1499">
        <f t="shared" si="159"/>
        <v>5</v>
      </c>
      <c r="B1208" s="1497" t="str">
        <f t="shared" si="159"/>
        <v>Supply of M/s Summits make Instrument Air Dryer &amp; spares at U # 8 TM, Parli-V</v>
      </c>
      <c r="C1208" s="1492" t="str">
        <f t="shared" si="159"/>
        <v>Add Cap (As per 296 of 2019)</v>
      </c>
      <c r="D1208" s="1334" t="str">
        <f t="shared" si="159"/>
        <v>-</v>
      </c>
      <c r="E1208" s="1358">
        <f t="shared" si="159"/>
        <v>0</v>
      </c>
      <c r="F1208" s="1437">
        <f t="shared" si="154"/>
        <v>0.54787163999999999</v>
      </c>
      <c r="G1208" s="1437">
        <f t="shared" si="155"/>
        <v>0.54787163999999999</v>
      </c>
      <c r="H1208" s="1437">
        <f t="shared" si="156"/>
        <v>0</v>
      </c>
      <c r="I1208" s="1437">
        <v>0</v>
      </c>
      <c r="J1208" s="1437">
        <v>0</v>
      </c>
      <c r="K1208" s="1438"/>
      <c r="L1208" s="1438"/>
      <c r="M1208" s="1437">
        <f t="shared" si="157"/>
        <v>0</v>
      </c>
      <c r="N1208" s="1437">
        <f t="shared" si="158"/>
        <v>0</v>
      </c>
    </row>
    <row r="1209" spans="1:14" ht="15.5" outlineLevel="1">
      <c r="A1209" s="1499">
        <f t="shared" si="159"/>
        <v>6</v>
      </c>
      <c r="B1209" s="1497" t="str">
        <f t="shared" si="159"/>
        <v>Supply of PVC fills for NDCTs at U # 8 TM, Parli-V</v>
      </c>
      <c r="C1209" s="1492" t="str">
        <f t="shared" si="159"/>
        <v>Add Cap (As per 296 of 2019)</v>
      </c>
      <c r="D1209" s="1334" t="str">
        <f t="shared" si="159"/>
        <v>-</v>
      </c>
      <c r="E1209" s="1358">
        <f t="shared" si="159"/>
        <v>0</v>
      </c>
      <c r="F1209" s="1437">
        <f t="shared" si="154"/>
        <v>0.58244799999999997</v>
      </c>
      <c r="G1209" s="1437">
        <f t="shared" si="155"/>
        <v>0.58244799999999997</v>
      </c>
      <c r="H1209" s="1437">
        <f t="shared" si="156"/>
        <v>0</v>
      </c>
      <c r="I1209" s="1437">
        <v>0</v>
      </c>
      <c r="J1209" s="1437">
        <v>0</v>
      </c>
      <c r="K1209" s="1438"/>
      <c r="L1209" s="1438"/>
      <c r="M1209" s="1437">
        <f t="shared" si="157"/>
        <v>0</v>
      </c>
      <c r="N1209" s="1437">
        <f t="shared" si="158"/>
        <v>0</v>
      </c>
    </row>
    <row r="1210" spans="1:14" ht="31" outlineLevel="1">
      <c r="A1210" s="1499">
        <f t="shared" si="159"/>
        <v>7</v>
      </c>
      <c r="B1210" s="1497" t="str">
        <f t="shared" si="159"/>
        <v>Procurement of NB 600MM Gate valves for ACW self cleaning strainers in U#8 TM NPTPS Parli-V</v>
      </c>
      <c r="C1210" s="1492" t="str">
        <f t="shared" si="159"/>
        <v>Add Cap (As per 296 of 2019)</v>
      </c>
      <c r="D1210" s="1334" t="str">
        <f t="shared" si="159"/>
        <v>-</v>
      </c>
      <c r="E1210" s="1358">
        <f t="shared" si="159"/>
        <v>0</v>
      </c>
      <c r="F1210" s="1437">
        <f t="shared" si="154"/>
        <v>0.42338399999999998</v>
      </c>
      <c r="G1210" s="1437">
        <f t="shared" si="155"/>
        <v>0.42338399999999998</v>
      </c>
      <c r="H1210" s="1437">
        <f t="shared" si="156"/>
        <v>0</v>
      </c>
      <c r="I1210" s="1437">
        <v>0</v>
      </c>
      <c r="J1210" s="1437">
        <v>0</v>
      </c>
      <c r="K1210" s="1438"/>
      <c r="L1210" s="1438"/>
      <c r="M1210" s="1437">
        <f t="shared" si="157"/>
        <v>0</v>
      </c>
      <c r="N1210" s="1437">
        <f t="shared" si="158"/>
        <v>0</v>
      </c>
    </row>
    <row r="1211" spans="1:14" ht="31" outlineLevel="1">
      <c r="A1211" s="1499">
        <f t="shared" si="159"/>
        <v>8</v>
      </c>
      <c r="B1211" s="1497" t="str">
        <f t="shared" si="159"/>
        <v>Procurement of Mechanical seals ( Make Leak-Proof) for various pumps in TM Unit-8 NPTPS Parli.</v>
      </c>
      <c r="C1211" s="1492" t="str">
        <f t="shared" si="159"/>
        <v>Add Cap (As per 296 of 2019)</v>
      </c>
      <c r="D1211" s="1334" t="str">
        <f t="shared" si="159"/>
        <v>-</v>
      </c>
      <c r="E1211" s="1359">
        <f t="shared" si="159"/>
        <v>0</v>
      </c>
      <c r="F1211" s="1437">
        <f t="shared" si="154"/>
        <v>0.49233139999999997</v>
      </c>
      <c r="G1211" s="1437">
        <f t="shared" si="155"/>
        <v>0.49233139999999997</v>
      </c>
      <c r="H1211" s="1437">
        <f t="shared" si="156"/>
        <v>0</v>
      </c>
      <c r="I1211" s="1437">
        <v>0</v>
      </c>
      <c r="J1211" s="1437">
        <v>0</v>
      </c>
      <c r="K1211" s="1438"/>
      <c r="L1211" s="1438"/>
      <c r="M1211" s="1437">
        <f t="shared" si="157"/>
        <v>0</v>
      </c>
      <c r="N1211" s="1437">
        <f t="shared" si="158"/>
        <v>0</v>
      </c>
    </row>
    <row r="1212" spans="1:14" ht="15.5" outlineLevel="1">
      <c r="A1212" s="1499">
        <f t="shared" si="159"/>
        <v>9</v>
      </c>
      <c r="B1212" s="1497" t="str">
        <f t="shared" si="159"/>
        <v>Supply of SS 304 pipes &amp; others at U # 8 TM, Parli-V.</v>
      </c>
      <c r="C1212" s="1492" t="str">
        <f t="shared" si="159"/>
        <v>Add Cap (As per 296 of 2019)</v>
      </c>
      <c r="D1212" s="1334" t="str">
        <f t="shared" si="159"/>
        <v>-</v>
      </c>
      <c r="E1212" s="1366">
        <f t="shared" si="159"/>
        <v>0</v>
      </c>
      <c r="F1212" s="1437">
        <f t="shared" si="154"/>
        <v>0.52905441600000003</v>
      </c>
      <c r="G1212" s="1437">
        <f t="shared" si="155"/>
        <v>0.52905441600000003</v>
      </c>
      <c r="H1212" s="1437">
        <f t="shared" si="156"/>
        <v>0</v>
      </c>
      <c r="I1212" s="1437">
        <v>0</v>
      </c>
      <c r="J1212" s="1437">
        <v>0</v>
      </c>
      <c r="K1212" s="1438"/>
      <c r="L1212" s="1438"/>
      <c r="M1212" s="1437">
        <f t="shared" si="157"/>
        <v>0</v>
      </c>
      <c r="N1212" s="1437">
        <f t="shared" si="158"/>
        <v>0</v>
      </c>
    </row>
    <row r="1213" spans="1:14" ht="15.5" outlineLevel="1">
      <c r="A1213" s="1493">
        <f t="shared" si="159"/>
        <v>3</v>
      </c>
      <c r="B1213" s="1494" t="str">
        <f t="shared" si="159"/>
        <v xml:space="preserve">Electrical and Instrumentation </v>
      </c>
      <c r="C1213" s="1495" t="str">
        <f t="shared" si="159"/>
        <v>Add Cap (As per 296 of 2019)</v>
      </c>
      <c r="D1213" s="1341" t="str">
        <f t="shared" si="159"/>
        <v>-</v>
      </c>
      <c r="E1213" s="1496">
        <f t="shared" si="159"/>
        <v>6.1</v>
      </c>
      <c r="F1213" s="1437">
        <f t="shared" si="154"/>
        <v>0</v>
      </c>
      <c r="G1213" s="1437">
        <f t="shared" si="155"/>
        <v>0</v>
      </c>
      <c r="H1213" s="1437">
        <f t="shared" si="156"/>
        <v>0</v>
      </c>
      <c r="I1213" s="1437">
        <v>0</v>
      </c>
      <c r="J1213" s="1437">
        <v>0</v>
      </c>
      <c r="K1213" s="1438"/>
      <c r="L1213" s="1438"/>
      <c r="M1213" s="1437">
        <f t="shared" si="157"/>
        <v>0</v>
      </c>
      <c r="N1213" s="1437">
        <f t="shared" si="158"/>
        <v>0</v>
      </c>
    </row>
    <row r="1214" spans="1:14" ht="31" outlineLevel="1">
      <c r="A1214" s="1499">
        <f t="shared" si="159"/>
        <v>1</v>
      </c>
      <c r="B1214" s="1500" t="str">
        <f t="shared" si="159"/>
        <v>Supply of Instrumentation Spares of LP Bypass System at Unit-8.</v>
      </c>
      <c r="C1214" s="1492" t="str">
        <f t="shared" si="159"/>
        <v>Add Cap (As per 296 of 2019)</v>
      </c>
      <c r="D1214" s="1334" t="str">
        <f t="shared" si="159"/>
        <v>-</v>
      </c>
      <c r="E1214" s="1366">
        <f t="shared" si="159"/>
        <v>0</v>
      </c>
      <c r="F1214" s="1437">
        <f t="shared" si="154"/>
        <v>1.9614571240000001</v>
      </c>
      <c r="G1214" s="1437">
        <f t="shared" si="155"/>
        <v>1.9614571240000001</v>
      </c>
      <c r="H1214" s="1437">
        <f t="shared" si="156"/>
        <v>0</v>
      </c>
      <c r="I1214" s="1437">
        <v>0</v>
      </c>
      <c r="J1214" s="1437">
        <v>0</v>
      </c>
      <c r="K1214" s="1438"/>
      <c r="L1214" s="1438"/>
      <c r="M1214" s="1437">
        <f t="shared" si="157"/>
        <v>0</v>
      </c>
      <c r="N1214" s="1437">
        <f t="shared" si="158"/>
        <v>0</v>
      </c>
    </row>
    <row r="1215" spans="1:14" ht="31" outlineLevel="1">
      <c r="A1215" s="1499">
        <f t="shared" si="159"/>
        <v>2</v>
      </c>
      <c r="B1215" s="1501" t="str">
        <f t="shared" si="159"/>
        <v>Procurement of Schneider MICOM Numerical Relays for GRP and STPR swithcgear at NPTPS Unit-8 Testing</v>
      </c>
      <c r="C1215" s="1492" t="str">
        <f t="shared" si="159"/>
        <v>Add Cap (As per 296 of 2019)</v>
      </c>
      <c r="D1215" s="1334" t="str">
        <f t="shared" si="159"/>
        <v>-</v>
      </c>
      <c r="E1215" s="1366">
        <f t="shared" si="159"/>
        <v>0</v>
      </c>
      <c r="F1215" s="1437">
        <f t="shared" si="154"/>
        <v>0.47613</v>
      </c>
      <c r="G1215" s="1437">
        <f t="shared" si="155"/>
        <v>0.47613</v>
      </c>
      <c r="H1215" s="1437">
        <f t="shared" si="156"/>
        <v>0</v>
      </c>
      <c r="I1215" s="1437">
        <v>0</v>
      </c>
      <c r="J1215" s="1437">
        <v>0</v>
      </c>
      <c r="K1215" s="1438"/>
      <c r="L1215" s="1438"/>
      <c r="M1215" s="1437">
        <f t="shared" si="157"/>
        <v>0</v>
      </c>
      <c r="N1215" s="1437">
        <f t="shared" si="158"/>
        <v>0</v>
      </c>
    </row>
    <row r="1216" spans="1:14" ht="31" outlineLevel="1">
      <c r="A1216" s="1502">
        <f t="shared" si="159"/>
        <v>3</v>
      </c>
      <c r="B1216" s="1501" t="str">
        <f t="shared" si="159"/>
        <v xml:space="preserve">Procurement of 220V DC Chloride make (formally caldyne) make battery chargers Spre of Unit 8 NPTPS Parli-V                           </v>
      </c>
      <c r="C1216" s="1492" t="str">
        <f t="shared" si="159"/>
        <v>Add Cap (As per 296 of 2019)</v>
      </c>
      <c r="D1216" s="1334" t="str">
        <f t="shared" si="159"/>
        <v>-</v>
      </c>
      <c r="E1216" s="1359">
        <f t="shared" si="159"/>
        <v>0</v>
      </c>
      <c r="F1216" s="1437">
        <f t="shared" si="154"/>
        <v>0.23365298000000001</v>
      </c>
      <c r="G1216" s="1437">
        <f t="shared" si="155"/>
        <v>0.23365298000000001</v>
      </c>
      <c r="H1216" s="1437">
        <f t="shared" si="156"/>
        <v>0</v>
      </c>
      <c r="I1216" s="1437">
        <v>0</v>
      </c>
      <c r="J1216" s="1437">
        <v>0</v>
      </c>
      <c r="K1216" s="1438"/>
      <c r="L1216" s="1438"/>
      <c r="M1216" s="1437">
        <f t="shared" si="157"/>
        <v>0</v>
      </c>
      <c r="N1216" s="1437">
        <f t="shared" si="158"/>
        <v>0</v>
      </c>
    </row>
    <row r="1217" spans="1:14" ht="31" outlineLevel="1">
      <c r="A1217" s="1502">
        <f t="shared" si="159"/>
        <v>4</v>
      </c>
      <c r="B1217" s="1501" t="str">
        <f t="shared" si="159"/>
        <v>Procurement of 24V DC Chhabi make make battery chargers Spare of Unit 8 NPTPS Parli-V</v>
      </c>
      <c r="C1217" s="1492" t="str">
        <f t="shared" si="159"/>
        <v>Add Cap (As per 296 of 2019)</v>
      </c>
      <c r="D1217" s="1334" t="str">
        <f t="shared" si="159"/>
        <v>-</v>
      </c>
      <c r="E1217" s="1358">
        <f t="shared" si="159"/>
        <v>0</v>
      </c>
      <c r="F1217" s="1437">
        <f t="shared" si="154"/>
        <v>0.22464893999999999</v>
      </c>
      <c r="G1217" s="1437">
        <f t="shared" si="155"/>
        <v>0.22464893999999999</v>
      </c>
      <c r="H1217" s="1437">
        <f t="shared" si="156"/>
        <v>0</v>
      </c>
      <c r="I1217" s="1437">
        <v>0</v>
      </c>
      <c r="J1217" s="1437">
        <v>0</v>
      </c>
      <c r="K1217" s="1438"/>
      <c r="L1217" s="1438"/>
      <c r="M1217" s="1437">
        <f t="shared" si="157"/>
        <v>0</v>
      </c>
      <c r="N1217" s="1437">
        <f t="shared" si="158"/>
        <v>0</v>
      </c>
    </row>
    <row r="1218" spans="1:14" ht="31" outlineLevel="1">
      <c r="A1218" s="1499">
        <f t="shared" si="159"/>
        <v>5</v>
      </c>
      <c r="B1218" s="1501" t="str">
        <f t="shared" si="159"/>
        <v xml:space="preserve"> Procurement of Spare for Hitachi Hi-Rel make UPS systems installed at Unit-8 NPTPS Parli Vaijnath.</v>
      </c>
      <c r="C1218" s="1492" t="str">
        <f t="shared" si="159"/>
        <v>Add Cap (As per 296 of 2019)</v>
      </c>
      <c r="D1218" s="1334" t="str">
        <f t="shared" si="159"/>
        <v>-</v>
      </c>
      <c r="E1218" s="1358">
        <f t="shared" si="159"/>
        <v>0</v>
      </c>
      <c r="F1218" s="1437">
        <f t="shared" si="154"/>
        <v>0.19186271399999999</v>
      </c>
      <c r="G1218" s="1437">
        <f t="shared" si="155"/>
        <v>0.19186271399999999</v>
      </c>
      <c r="H1218" s="1437">
        <f t="shared" si="156"/>
        <v>0</v>
      </c>
      <c r="I1218" s="1437">
        <v>0</v>
      </c>
      <c r="J1218" s="1437">
        <v>0</v>
      </c>
      <c r="K1218" s="1438"/>
      <c r="L1218" s="1438"/>
      <c r="M1218" s="1437">
        <f t="shared" si="157"/>
        <v>0</v>
      </c>
      <c r="N1218" s="1437">
        <f t="shared" si="158"/>
        <v>0</v>
      </c>
    </row>
    <row r="1219" spans="1:14" ht="62" outlineLevel="1">
      <c r="A1219" s="1502">
        <f t="shared" ref="A1219:E1234" si="160">A826</f>
        <v>6</v>
      </c>
      <c r="B1219" s="1501" t="str">
        <f t="shared" si="160"/>
        <v>Procurement of various test kit for testing U#8 such as energy meter calibration kit, DC earth faulth locator kit, promary current injection kit, breaker time measurement kit, numeric relay test kit and other testing instruments.</v>
      </c>
      <c r="C1219" s="1492" t="str">
        <f t="shared" si="160"/>
        <v>Add Cap (As per 296 of 2019)</v>
      </c>
      <c r="D1219" s="1334" t="str">
        <f t="shared" si="160"/>
        <v>-</v>
      </c>
      <c r="E1219" s="1359">
        <f t="shared" si="160"/>
        <v>0</v>
      </c>
      <c r="F1219" s="1437">
        <f t="shared" si="154"/>
        <v>0.6734502</v>
      </c>
      <c r="G1219" s="1437">
        <f t="shared" si="155"/>
        <v>0.6734502</v>
      </c>
      <c r="H1219" s="1437">
        <f t="shared" si="156"/>
        <v>0</v>
      </c>
      <c r="I1219" s="1437">
        <v>0</v>
      </c>
      <c r="J1219" s="1437">
        <v>0</v>
      </c>
      <c r="K1219" s="1438"/>
      <c r="L1219" s="1438"/>
      <c r="M1219" s="1437">
        <f t="shared" si="157"/>
        <v>0</v>
      </c>
      <c r="N1219" s="1437">
        <f t="shared" si="158"/>
        <v>0</v>
      </c>
    </row>
    <row r="1220" spans="1:14" ht="46.5" outlineLevel="1">
      <c r="A1220" s="1499">
        <f t="shared" si="160"/>
        <v>7</v>
      </c>
      <c r="B1220" s="1501" t="str">
        <f t="shared" si="160"/>
        <v>Procurement of   Energymeter Caliberation Software Module and hardware for upgrading Numeric Relay Test kit at Unit -8 Testing.</v>
      </c>
      <c r="C1220" s="1492" t="str">
        <f t="shared" si="160"/>
        <v>Add Cap (As per 296 of 2019)</v>
      </c>
      <c r="D1220" s="1334" t="str">
        <f t="shared" si="160"/>
        <v>-</v>
      </c>
      <c r="E1220" s="1367">
        <f t="shared" si="160"/>
        <v>0</v>
      </c>
      <c r="F1220" s="1437">
        <f t="shared" si="154"/>
        <v>0.118629766</v>
      </c>
      <c r="G1220" s="1437">
        <f t="shared" si="155"/>
        <v>0.118629766</v>
      </c>
      <c r="H1220" s="1437">
        <f t="shared" si="156"/>
        <v>0</v>
      </c>
      <c r="I1220" s="1437">
        <v>0</v>
      </c>
      <c r="J1220" s="1437">
        <v>0</v>
      </c>
      <c r="K1220" s="1438"/>
      <c r="L1220" s="1438"/>
      <c r="M1220" s="1437">
        <f t="shared" si="157"/>
        <v>0</v>
      </c>
      <c r="N1220" s="1437">
        <f t="shared" si="158"/>
        <v>0</v>
      </c>
    </row>
    <row r="1221" spans="1:14" ht="15.5" outlineLevel="1">
      <c r="A1221" s="1502">
        <f t="shared" si="160"/>
        <v>8</v>
      </c>
      <c r="B1221" s="1503" t="str">
        <f t="shared" si="160"/>
        <v>Procurement of H T Motors.</v>
      </c>
      <c r="C1221" s="1492" t="str">
        <f t="shared" si="160"/>
        <v>Add Cap (As per 296 of 2019)</v>
      </c>
      <c r="D1221" s="1334" t="str">
        <f t="shared" si="160"/>
        <v>-</v>
      </c>
      <c r="E1221" s="1359">
        <f t="shared" si="160"/>
        <v>0</v>
      </c>
      <c r="F1221" s="1437">
        <f t="shared" si="154"/>
        <v>0</v>
      </c>
      <c r="G1221" s="1437">
        <f t="shared" si="155"/>
        <v>0</v>
      </c>
      <c r="H1221" s="1437">
        <f t="shared" si="156"/>
        <v>0</v>
      </c>
      <c r="I1221" s="1437">
        <v>0</v>
      </c>
      <c r="J1221" s="1437">
        <v>0</v>
      </c>
      <c r="K1221" s="1438"/>
      <c r="L1221" s="1438"/>
      <c r="M1221" s="1437">
        <f t="shared" si="157"/>
        <v>0</v>
      </c>
      <c r="N1221" s="1437">
        <f t="shared" si="158"/>
        <v>0</v>
      </c>
    </row>
    <row r="1222" spans="1:14" ht="15.5" outlineLevel="1">
      <c r="A1222" s="1499">
        <f t="shared" si="160"/>
        <v>9</v>
      </c>
      <c r="B1222" s="1503" t="str">
        <f t="shared" si="160"/>
        <v>Procurement of critical L T Motors</v>
      </c>
      <c r="C1222" s="1492" t="str">
        <f t="shared" si="160"/>
        <v>Add Cap (As per 296 of 2019)</v>
      </c>
      <c r="D1222" s="1334" t="str">
        <f t="shared" si="160"/>
        <v>-</v>
      </c>
      <c r="E1222" s="1368">
        <f t="shared" si="160"/>
        <v>0</v>
      </c>
      <c r="F1222" s="1437">
        <f t="shared" si="154"/>
        <v>0</v>
      </c>
      <c r="G1222" s="1437">
        <f t="shared" si="155"/>
        <v>0</v>
      </c>
      <c r="H1222" s="1437">
        <f t="shared" si="156"/>
        <v>0</v>
      </c>
      <c r="I1222" s="1437">
        <v>0</v>
      </c>
      <c r="J1222" s="1437">
        <v>0</v>
      </c>
      <c r="K1222" s="1438"/>
      <c r="L1222" s="1438"/>
      <c r="M1222" s="1437">
        <f t="shared" si="157"/>
        <v>0</v>
      </c>
      <c r="N1222" s="1437">
        <f t="shared" si="158"/>
        <v>0</v>
      </c>
    </row>
    <row r="1223" spans="1:14" ht="62" outlineLevel="1">
      <c r="A1223" s="1502">
        <f t="shared" si="160"/>
        <v>10</v>
      </c>
      <c r="B1223" s="1501" t="str">
        <f t="shared" si="160"/>
        <v xml:space="preserve">Procurement  of ESP Hopper heaters (As a initial spares) Installed at EM U-8, NPTPS, Parli-Vaijnath under add cap scheme.
</v>
      </c>
      <c r="C1223" s="1492" t="str">
        <f t="shared" si="160"/>
        <v>Add Cap (As per 296 of 2019)</v>
      </c>
      <c r="D1223" s="1334" t="str">
        <f t="shared" si="160"/>
        <v>-</v>
      </c>
      <c r="E1223" s="1359">
        <f t="shared" si="160"/>
        <v>0</v>
      </c>
      <c r="F1223" s="1437">
        <f t="shared" si="154"/>
        <v>0.38585999999999998</v>
      </c>
      <c r="G1223" s="1437">
        <f t="shared" si="155"/>
        <v>0.38585999999999998</v>
      </c>
      <c r="H1223" s="1437">
        <f t="shared" si="156"/>
        <v>0</v>
      </c>
      <c r="I1223" s="1437">
        <v>0</v>
      </c>
      <c r="J1223" s="1437">
        <v>0</v>
      </c>
      <c r="K1223" s="1438"/>
      <c r="L1223" s="1438"/>
      <c r="M1223" s="1437">
        <f t="shared" si="157"/>
        <v>0</v>
      </c>
      <c r="N1223" s="1437">
        <f t="shared" si="158"/>
        <v>0</v>
      </c>
    </row>
    <row r="1224" spans="1:14" ht="15.5" outlineLevel="1">
      <c r="A1224" s="1493">
        <f t="shared" si="160"/>
        <v>4</v>
      </c>
      <c r="B1224" s="1494" t="str">
        <f t="shared" si="160"/>
        <v>Outdoor Plant(CHP/AHP/WTP)</v>
      </c>
      <c r="C1224" s="1495" t="str">
        <f t="shared" si="160"/>
        <v>Add Cap (As per 296 of 2019)</v>
      </c>
      <c r="D1224" s="1341" t="str">
        <f t="shared" si="160"/>
        <v>-</v>
      </c>
      <c r="E1224" s="1496">
        <f t="shared" si="160"/>
        <v>6.64</v>
      </c>
      <c r="F1224" s="1437">
        <f t="shared" si="154"/>
        <v>0</v>
      </c>
      <c r="G1224" s="1437">
        <f t="shared" si="155"/>
        <v>0</v>
      </c>
      <c r="H1224" s="1437">
        <f t="shared" si="156"/>
        <v>0</v>
      </c>
      <c r="I1224" s="1437">
        <v>0</v>
      </c>
      <c r="J1224" s="1437">
        <v>0</v>
      </c>
      <c r="K1224" s="1438"/>
      <c r="L1224" s="1438"/>
      <c r="M1224" s="1437">
        <f t="shared" si="157"/>
        <v>0</v>
      </c>
      <c r="N1224" s="1437">
        <f t="shared" si="158"/>
        <v>0</v>
      </c>
    </row>
    <row r="1225" spans="1:14" ht="15.5" outlineLevel="1">
      <c r="A1225" s="1504">
        <f t="shared" si="160"/>
        <v>1</v>
      </c>
      <c r="B1225" s="1497" t="str">
        <f t="shared" si="160"/>
        <v>Supply of Apron Feeder spares installed at CHP NPTPS Parli-V</v>
      </c>
      <c r="C1225" s="1492" t="str">
        <f t="shared" si="160"/>
        <v>Add Cap (As per 296 of 2019)</v>
      </c>
      <c r="D1225" s="1334" t="str">
        <f t="shared" si="160"/>
        <v>-</v>
      </c>
      <c r="E1225" s="1359">
        <f t="shared" si="160"/>
        <v>0</v>
      </c>
      <c r="F1225" s="1437">
        <f t="shared" si="154"/>
        <v>1.6232788</v>
      </c>
      <c r="G1225" s="1437">
        <f t="shared" si="155"/>
        <v>1.6232788</v>
      </c>
      <c r="H1225" s="1437">
        <f t="shared" si="156"/>
        <v>0</v>
      </c>
      <c r="I1225" s="1437">
        <v>0</v>
      </c>
      <c r="J1225" s="1437">
        <v>0</v>
      </c>
      <c r="K1225" s="1438"/>
      <c r="L1225" s="1438"/>
      <c r="M1225" s="1437">
        <f t="shared" si="157"/>
        <v>0</v>
      </c>
      <c r="N1225" s="1437">
        <f t="shared" si="158"/>
        <v>0</v>
      </c>
    </row>
    <row r="1226" spans="1:14" ht="15.5" outlineLevel="1">
      <c r="A1226" s="1504">
        <f t="shared" si="160"/>
        <v>2</v>
      </c>
      <c r="B1226" s="1497" t="str">
        <f t="shared" si="160"/>
        <v>Supply of various drive and non drive pulleys for CHP U-8.</v>
      </c>
      <c r="C1226" s="1492" t="str">
        <f t="shared" si="160"/>
        <v>Add Cap (As per 296 of 2019)</v>
      </c>
      <c r="D1226" s="1334" t="str">
        <f t="shared" si="160"/>
        <v>-</v>
      </c>
      <c r="E1226" s="1368">
        <f t="shared" si="160"/>
        <v>0</v>
      </c>
      <c r="F1226" s="1437">
        <f t="shared" si="154"/>
        <v>0.54529209999999995</v>
      </c>
      <c r="G1226" s="1437">
        <f t="shared" si="155"/>
        <v>0.54529209999999995</v>
      </c>
      <c r="H1226" s="1437">
        <f t="shared" si="156"/>
        <v>0</v>
      </c>
      <c r="I1226" s="1437">
        <v>0</v>
      </c>
      <c r="J1226" s="1437">
        <v>0</v>
      </c>
      <c r="K1226" s="1438"/>
      <c r="L1226" s="1438"/>
      <c r="M1226" s="1437">
        <f t="shared" si="157"/>
        <v>0</v>
      </c>
      <c r="N1226" s="1437">
        <f t="shared" si="158"/>
        <v>0</v>
      </c>
    </row>
    <row r="1227" spans="1:14" ht="31" outlineLevel="1">
      <c r="A1227" s="1504">
        <f t="shared" si="160"/>
        <v>3</v>
      </c>
      <c r="B1227" s="1497" t="str">
        <f t="shared" si="160"/>
        <v>Supply and installation of clamp pads &amp; resting pads for Side Beam of Wagon Tippler for CHP U-8</v>
      </c>
      <c r="C1227" s="1492" t="str">
        <f t="shared" si="160"/>
        <v>Add Cap (As per 296 of 2019)</v>
      </c>
      <c r="D1227" s="1334" t="str">
        <f t="shared" si="160"/>
        <v>-</v>
      </c>
      <c r="E1227" s="1368">
        <f t="shared" si="160"/>
        <v>0</v>
      </c>
      <c r="F1227" s="1437">
        <f t="shared" si="154"/>
        <v>0.54801796000000003</v>
      </c>
      <c r="G1227" s="1437">
        <f t="shared" si="155"/>
        <v>0.54801796000000003</v>
      </c>
      <c r="H1227" s="1437">
        <f t="shared" si="156"/>
        <v>0</v>
      </c>
      <c r="I1227" s="1437">
        <v>0</v>
      </c>
      <c r="J1227" s="1437">
        <v>0</v>
      </c>
      <c r="K1227" s="1438"/>
      <c r="L1227" s="1438"/>
      <c r="M1227" s="1437">
        <f t="shared" si="157"/>
        <v>0</v>
      </c>
      <c r="N1227" s="1437">
        <f t="shared" si="158"/>
        <v>0</v>
      </c>
    </row>
    <row r="1228" spans="1:14" ht="31" outlineLevel="1">
      <c r="A1228" s="1504">
        <f t="shared" si="160"/>
        <v>4</v>
      </c>
      <c r="B1228" s="1497" t="str">
        <f t="shared" si="160"/>
        <v>Supply of unbalance motorozied vibrating feeder for S/R of U-7/8 CHP NPTPS Parli-V.</v>
      </c>
      <c r="C1228" s="1492" t="str">
        <f t="shared" si="160"/>
        <v>Add Cap (As per 296 of 2019)</v>
      </c>
      <c r="D1228" s="1334" t="str">
        <f t="shared" si="160"/>
        <v>-</v>
      </c>
      <c r="E1228" s="1318">
        <f t="shared" si="160"/>
        <v>0</v>
      </c>
      <c r="F1228" s="1437">
        <f t="shared" si="154"/>
        <v>0.39579560000000003</v>
      </c>
      <c r="G1228" s="1437">
        <f t="shared" si="155"/>
        <v>0.39579560000000003</v>
      </c>
      <c r="H1228" s="1437">
        <f t="shared" si="156"/>
        <v>0</v>
      </c>
      <c r="I1228" s="1437">
        <v>0</v>
      </c>
      <c r="J1228" s="1437">
        <v>0</v>
      </c>
      <c r="K1228" s="1438"/>
      <c r="L1228" s="1438"/>
      <c r="M1228" s="1437">
        <f t="shared" si="157"/>
        <v>0</v>
      </c>
      <c r="N1228" s="1437">
        <f t="shared" si="158"/>
        <v>0</v>
      </c>
    </row>
    <row r="1229" spans="1:14" ht="31" outlineLevel="1">
      <c r="A1229" s="1504">
        <f t="shared" si="160"/>
        <v>5</v>
      </c>
      <c r="B1229" s="1501" t="str">
        <f t="shared" si="160"/>
        <v>Procurement of conveying and Instrument air compressor spares at AHP U#8</v>
      </c>
      <c r="C1229" s="1492" t="str">
        <f t="shared" si="160"/>
        <v>Add Cap (As per 296 of 2019)</v>
      </c>
      <c r="D1229" s="1334" t="str">
        <f t="shared" si="160"/>
        <v>-</v>
      </c>
      <c r="E1229" s="1359">
        <f t="shared" si="160"/>
        <v>0</v>
      </c>
      <c r="F1229" s="1437">
        <f t="shared" si="154"/>
        <v>1.769983804</v>
      </c>
      <c r="G1229" s="1437">
        <f t="shared" si="155"/>
        <v>1.769983804</v>
      </c>
      <c r="H1229" s="1437">
        <f t="shared" si="156"/>
        <v>0</v>
      </c>
      <c r="I1229" s="1437">
        <v>0</v>
      </c>
      <c r="J1229" s="1437">
        <v>0</v>
      </c>
      <c r="K1229" s="1438"/>
      <c r="L1229" s="1438"/>
      <c r="M1229" s="1437">
        <f t="shared" si="157"/>
        <v>0</v>
      </c>
      <c r="N1229" s="1437">
        <f t="shared" si="158"/>
        <v>0</v>
      </c>
    </row>
    <row r="1230" spans="1:14" ht="15.5" outlineLevel="1">
      <c r="A1230" s="1504">
        <f t="shared" si="160"/>
        <v>6</v>
      </c>
      <c r="B1230" s="1501" t="str">
        <f t="shared" si="160"/>
        <v>Procurement of vacuum pump spares at AHP U#8</v>
      </c>
      <c r="C1230" s="1492" t="str">
        <f t="shared" si="160"/>
        <v>Add Cap (As per 296 of 2019)</v>
      </c>
      <c r="D1230" s="1334" t="str">
        <f t="shared" si="160"/>
        <v>-</v>
      </c>
      <c r="E1230" s="1368">
        <f t="shared" si="160"/>
        <v>0</v>
      </c>
      <c r="F1230" s="1437">
        <f t="shared" si="154"/>
        <v>0.229104904</v>
      </c>
      <c r="G1230" s="1437">
        <f t="shared" si="155"/>
        <v>0.229104904</v>
      </c>
      <c r="H1230" s="1437">
        <f t="shared" si="156"/>
        <v>0</v>
      </c>
      <c r="I1230" s="1437">
        <v>0</v>
      </c>
      <c r="J1230" s="1437">
        <v>0</v>
      </c>
      <c r="K1230" s="1438"/>
      <c r="L1230" s="1438"/>
      <c r="M1230" s="1437">
        <f t="shared" si="157"/>
        <v>0</v>
      </c>
      <c r="N1230" s="1437">
        <f t="shared" si="158"/>
        <v>0</v>
      </c>
    </row>
    <row r="1231" spans="1:14" ht="15.5" outlineLevel="1">
      <c r="A1231" s="1504">
        <f t="shared" si="160"/>
        <v>7</v>
      </c>
      <c r="B1231" s="1501" t="str">
        <f t="shared" si="160"/>
        <v>Procurement of fluidizing blower spares at AHP U#8</v>
      </c>
      <c r="C1231" s="1492" t="str">
        <f t="shared" si="160"/>
        <v>Add Cap (As per 296 of 2019)</v>
      </c>
      <c r="D1231" s="1334" t="str">
        <f t="shared" si="160"/>
        <v>-</v>
      </c>
      <c r="E1231" s="1359">
        <f t="shared" si="160"/>
        <v>0</v>
      </c>
      <c r="F1231" s="1437">
        <f t="shared" si="154"/>
        <v>0.11795988</v>
      </c>
      <c r="G1231" s="1437">
        <f t="shared" si="155"/>
        <v>0.11795988</v>
      </c>
      <c r="H1231" s="1437">
        <f t="shared" si="156"/>
        <v>0</v>
      </c>
      <c r="I1231" s="1437">
        <v>0</v>
      </c>
      <c r="J1231" s="1437">
        <v>0</v>
      </c>
      <c r="K1231" s="1438"/>
      <c r="L1231" s="1438"/>
      <c r="M1231" s="1437">
        <f t="shared" si="157"/>
        <v>0</v>
      </c>
      <c r="N1231" s="1437">
        <f t="shared" si="158"/>
        <v>0</v>
      </c>
    </row>
    <row r="1232" spans="1:14" ht="15.5" outlineLevel="1">
      <c r="A1232" s="1504">
        <f t="shared" si="160"/>
        <v>8</v>
      </c>
      <c r="B1232" s="1501" t="str">
        <f t="shared" si="160"/>
        <v>Procurement of slurry pump spares at AHP U#8</v>
      </c>
      <c r="C1232" s="1492" t="str">
        <f t="shared" si="160"/>
        <v>Add Cap (As per 296 of 2019)</v>
      </c>
      <c r="D1232" s="1334" t="str">
        <f t="shared" si="160"/>
        <v>-</v>
      </c>
      <c r="E1232" s="1368">
        <f t="shared" si="160"/>
        <v>0</v>
      </c>
      <c r="F1232" s="1437">
        <f t="shared" si="154"/>
        <v>0</v>
      </c>
      <c r="G1232" s="1437">
        <f t="shared" si="155"/>
        <v>0</v>
      </c>
      <c r="H1232" s="1437">
        <f t="shared" si="156"/>
        <v>0</v>
      </c>
      <c r="I1232" s="1437">
        <v>0</v>
      </c>
      <c r="J1232" s="1437">
        <v>0</v>
      </c>
      <c r="K1232" s="1438"/>
      <c r="L1232" s="1438"/>
      <c r="M1232" s="1437">
        <f t="shared" si="157"/>
        <v>0</v>
      </c>
      <c r="N1232" s="1437">
        <f t="shared" si="158"/>
        <v>0</v>
      </c>
    </row>
    <row r="1233" spans="1:14" ht="15.5" outlineLevel="1">
      <c r="A1233" s="1504">
        <f t="shared" si="160"/>
        <v>9</v>
      </c>
      <c r="B1233" s="1501" t="str">
        <f t="shared" si="160"/>
        <v>Procurement of Clinker grinder spares at AHP U#8</v>
      </c>
      <c r="C1233" s="1492" t="str">
        <f t="shared" si="160"/>
        <v>Add Cap (As per 296 of 2019)</v>
      </c>
      <c r="D1233" s="1334" t="str">
        <f t="shared" si="160"/>
        <v>-</v>
      </c>
      <c r="E1233" s="1368">
        <f t="shared" si="160"/>
        <v>0</v>
      </c>
      <c r="F1233" s="1437">
        <f t="shared" si="154"/>
        <v>0.1233369</v>
      </c>
      <c r="G1233" s="1437">
        <f t="shared" si="155"/>
        <v>0.1233369</v>
      </c>
      <c r="H1233" s="1437">
        <f t="shared" si="156"/>
        <v>0</v>
      </c>
      <c r="I1233" s="1437">
        <v>0</v>
      </c>
      <c r="J1233" s="1437">
        <v>0</v>
      </c>
      <c r="K1233" s="1438"/>
      <c r="L1233" s="1438"/>
      <c r="M1233" s="1437">
        <f t="shared" si="157"/>
        <v>0</v>
      </c>
      <c r="N1233" s="1437">
        <f t="shared" si="158"/>
        <v>0</v>
      </c>
    </row>
    <row r="1234" spans="1:14" outlineLevel="1">
      <c r="A1234" s="1505">
        <f t="shared" si="160"/>
        <v>0</v>
      </c>
      <c r="B1234" s="1506">
        <f t="shared" si="160"/>
        <v>0</v>
      </c>
      <c r="C1234" s="1507">
        <f t="shared" si="160"/>
        <v>0</v>
      </c>
      <c r="D1234" s="1508" t="str">
        <f t="shared" si="160"/>
        <v>-</v>
      </c>
      <c r="E1234" s="1359">
        <f t="shared" si="160"/>
        <v>0</v>
      </c>
      <c r="F1234" s="1437">
        <f t="shared" si="154"/>
        <v>0</v>
      </c>
      <c r="G1234" s="1437">
        <f t="shared" si="155"/>
        <v>0</v>
      </c>
      <c r="H1234" s="1437">
        <f t="shared" si="156"/>
        <v>0</v>
      </c>
      <c r="I1234" s="1437">
        <v>0</v>
      </c>
      <c r="J1234" s="1437">
        <v>0</v>
      </c>
      <c r="K1234" s="1438"/>
      <c r="L1234" s="1438"/>
      <c r="M1234" s="1437">
        <f t="shared" si="157"/>
        <v>0</v>
      </c>
      <c r="N1234" s="1437">
        <f t="shared" si="158"/>
        <v>0</v>
      </c>
    </row>
    <row r="1235" spans="1:14" ht="31" outlineLevel="1">
      <c r="A1235" s="1493" t="str">
        <f t="shared" ref="A1235:E1250" si="161">A842</f>
        <v>B</v>
      </c>
      <c r="B1235" s="1494" t="str">
        <f t="shared" si="161"/>
        <v>Reassessment of remaining BOP work after insolvency of M/s Sunil Hi-Tech</v>
      </c>
      <c r="C1235" s="1495">
        <f t="shared" si="161"/>
        <v>0</v>
      </c>
      <c r="D1235" s="1341" t="str">
        <f t="shared" si="161"/>
        <v>-</v>
      </c>
      <c r="E1235" s="1496">
        <f t="shared" si="161"/>
        <v>0</v>
      </c>
      <c r="F1235" s="1437">
        <f t="shared" si="154"/>
        <v>0</v>
      </c>
      <c r="G1235" s="1437">
        <f t="shared" si="155"/>
        <v>0</v>
      </c>
      <c r="H1235" s="1437">
        <f t="shared" si="156"/>
        <v>0</v>
      </c>
      <c r="I1235" s="1437">
        <v>0</v>
      </c>
      <c r="J1235" s="1437">
        <v>0</v>
      </c>
      <c r="K1235" s="1438"/>
      <c r="L1235" s="1438"/>
      <c r="M1235" s="1437">
        <f t="shared" si="157"/>
        <v>0</v>
      </c>
      <c r="N1235" s="1437">
        <f t="shared" si="158"/>
        <v>0</v>
      </c>
    </row>
    <row r="1236" spans="1:14" ht="31" outlineLevel="1">
      <c r="A1236" s="1493">
        <f t="shared" si="161"/>
        <v>0</v>
      </c>
      <c r="B1236" s="1494" t="str">
        <f t="shared" si="161"/>
        <v>Project balance E&amp;M  and procurement of mandetory spares</v>
      </c>
      <c r="C1236" s="1495" t="str">
        <f t="shared" si="161"/>
        <v>MERC CAPEX Approval in MTR Order 296 of 2019</v>
      </c>
      <c r="D1236" s="1341" t="str">
        <f t="shared" si="161"/>
        <v>Order 296 of 2019</v>
      </c>
      <c r="E1236" s="1509">
        <f t="shared" si="161"/>
        <v>41.453400000000002</v>
      </c>
      <c r="F1236" s="1437">
        <f t="shared" si="154"/>
        <v>0</v>
      </c>
      <c r="G1236" s="1437">
        <f t="shared" si="155"/>
        <v>0</v>
      </c>
      <c r="H1236" s="1437">
        <f t="shared" si="156"/>
        <v>0</v>
      </c>
      <c r="I1236" s="1437">
        <v>0</v>
      </c>
      <c r="J1236" s="1437">
        <v>0</v>
      </c>
      <c r="K1236" s="1438"/>
      <c r="L1236" s="1438"/>
      <c r="M1236" s="1437">
        <f t="shared" si="157"/>
        <v>0</v>
      </c>
      <c r="N1236" s="1437">
        <f t="shared" si="158"/>
        <v>0</v>
      </c>
    </row>
    <row r="1237" spans="1:14" ht="43.5" outlineLevel="1">
      <c r="A1237" s="1499">
        <f t="shared" si="161"/>
        <v>1</v>
      </c>
      <c r="B1237" s="1510" t="str">
        <f t="shared" si="161"/>
        <v>Work order for Contract of Supply and application of Fire Stop Mortar Seal and Fire Retardant Cable Coating Compound at NPTP U-8 Parli Project</v>
      </c>
      <c r="C1237" s="1511" t="str">
        <f t="shared" si="161"/>
        <v>MERC CAPEX Approval in MTR Order 296 of 2019</v>
      </c>
      <c r="D1237" s="1334" t="str">
        <f t="shared" si="161"/>
        <v>-</v>
      </c>
      <c r="E1237" s="1430">
        <f t="shared" si="161"/>
        <v>0</v>
      </c>
      <c r="F1237" s="1437">
        <f t="shared" si="154"/>
        <v>3.4589155919999999</v>
      </c>
      <c r="G1237" s="1437">
        <f t="shared" si="155"/>
        <v>3.4589155919999999</v>
      </c>
      <c r="H1237" s="1437">
        <f t="shared" si="156"/>
        <v>0</v>
      </c>
      <c r="I1237" s="1437">
        <v>0</v>
      </c>
      <c r="J1237" s="1437">
        <v>0</v>
      </c>
      <c r="K1237" s="1438"/>
      <c r="L1237" s="1438"/>
      <c r="M1237" s="1437">
        <f t="shared" si="157"/>
        <v>0</v>
      </c>
      <c r="N1237" s="1437">
        <f t="shared" si="158"/>
        <v>0</v>
      </c>
    </row>
    <row r="1238" spans="1:14" ht="29" outlineLevel="1">
      <c r="A1238" s="1499">
        <f t="shared" si="161"/>
        <v>2</v>
      </c>
      <c r="B1238" s="1510" t="str">
        <f t="shared" si="161"/>
        <v>Work order for contract for Supply Installaion Testing &amp; Commissioning Smoke Detection &amp; alaram system</v>
      </c>
      <c r="C1238" s="1511" t="str">
        <f t="shared" si="161"/>
        <v>MERC CAPEX Approval in MTR Order 296 of 2019</v>
      </c>
      <c r="D1238" s="1334" t="str">
        <f t="shared" si="161"/>
        <v>-</v>
      </c>
      <c r="E1238" s="1430">
        <f t="shared" si="161"/>
        <v>0</v>
      </c>
      <c r="F1238" s="1437">
        <f t="shared" si="154"/>
        <v>2.5606</v>
      </c>
      <c r="G1238" s="1437">
        <f t="shared" si="155"/>
        <v>2.5606</v>
      </c>
      <c r="H1238" s="1437">
        <f t="shared" si="156"/>
        <v>0</v>
      </c>
      <c r="I1238" s="1437">
        <v>0</v>
      </c>
      <c r="J1238" s="1437">
        <v>0</v>
      </c>
      <c r="K1238" s="1438"/>
      <c r="L1238" s="1438"/>
      <c r="M1238" s="1437">
        <f t="shared" si="157"/>
        <v>0</v>
      </c>
      <c r="N1238" s="1437">
        <f t="shared" si="158"/>
        <v>0</v>
      </c>
    </row>
    <row r="1239" spans="1:14" ht="43.5" outlineLevel="1">
      <c r="A1239" s="1499">
        <f t="shared" si="161"/>
        <v>3</v>
      </c>
      <c r="B1239" s="1510" t="str">
        <f t="shared" si="161"/>
        <v>Work order for contract for Supply Installaion Testing &amp; Commissioning of Balance Fire Fighting System at NPTP U-8 Parli Project</v>
      </c>
      <c r="C1239" s="1511" t="str">
        <f t="shared" si="161"/>
        <v>MERC CAPEX Approval in MTR Order 296 of 2019</v>
      </c>
      <c r="D1239" s="1334" t="str">
        <f t="shared" si="161"/>
        <v>-</v>
      </c>
      <c r="E1239" s="1430">
        <f t="shared" si="161"/>
        <v>0</v>
      </c>
      <c r="F1239" s="1437">
        <f t="shared" si="154"/>
        <v>1.0502</v>
      </c>
      <c r="G1239" s="1437">
        <f t="shared" si="155"/>
        <v>1.0502</v>
      </c>
      <c r="H1239" s="1437">
        <f t="shared" si="156"/>
        <v>0</v>
      </c>
      <c r="I1239" s="1437">
        <v>0</v>
      </c>
      <c r="J1239" s="1437">
        <v>0</v>
      </c>
      <c r="K1239" s="1438"/>
      <c r="L1239" s="1438"/>
      <c r="M1239" s="1437">
        <f t="shared" si="157"/>
        <v>0</v>
      </c>
      <c r="N1239" s="1437">
        <f t="shared" si="158"/>
        <v>0</v>
      </c>
    </row>
    <row r="1240" spans="1:14" ht="58" outlineLevel="1">
      <c r="A1240" s="1499">
        <f t="shared" si="161"/>
        <v>4</v>
      </c>
      <c r="B1240" s="1510" t="str">
        <f t="shared" si="161"/>
        <v>Supply, Errection, testing &amp; commissioning works of RWP, PT potable chlorination system, ETP system control panel, automation of LDO, HFO tank foam system Hose boxes with RRL hoses and branch pipe and allied system at NPTP</v>
      </c>
      <c r="C1240" s="1511" t="str">
        <f t="shared" si="161"/>
        <v>MERC CAPEX Approval in MTR Order 296 of 2019</v>
      </c>
      <c r="D1240" s="1334" t="str">
        <f t="shared" si="161"/>
        <v>-</v>
      </c>
      <c r="E1240" s="1430">
        <f t="shared" si="161"/>
        <v>0</v>
      </c>
      <c r="F1240" s="1437">
        <f t="shared" si="154"/>
        <v>0.84960000000000002</v>
      </c>
      <c r="G1240" s="1437">
        <f t="shared" si="155"/>
        <v>0.84960000000000002</v>
      </c>
      <c r="H1240" s="1437">
        <f t="shared" si="156"/>
        <v>0</v>
      </c>
      <c r="I1240" s="1437">
        <v>0</v>
      </c>
      <c r="J1240" s="1437">
        <v>0</v>
      </c>
      <c r="K1240" s="1438"/>
      <c r="L1240" s="1438"/>
      <c r="M1240" s="1437">
        <f t="shared" si="157"/>
        <v>0</v>
      </c>
      <c r="N1240" s="1437">
        <f t="shared" si="158"/>
        <v>0</v>
      </c>
    </row>
    <row r="1241" spans="1:14" ht="43.5" outlineLevel="1">
      <c r="A1241" s="1499">
        <f t="shared" si="161"/>
        <v>5</v>
      </c>
      <c r="B1241" s="1510" t="str">
        <f t="shared" si="161"/>
        <v xml:space="preserve">Work Order contract for supply, installation Testing &amp; Commissioning of telephone exchange (EPBAX) &amp; Telephone System at NPTP U-8 Parli project  </v>
      </c>
      <c r="C1241" s="1511" t="str">
        <f t="shared" si="161"/>
        <v>MERC CAPEX Approval in MTR Order 296 of 2019</v>
      </c>
      <c r="D1241" s="1334" t="str">
        <f t="shared" si="161"/>
        <v>-</v>
      </c>
      <c r="E1241" s="1430">
        <f t="shared" si="161"/>
        <v>0</v>
      </c>
      <c r="F1241" s="1437">
        <f t="shared" si="154"/>
        <v>0.91256150000000003</v>
      </c>
      <c r="G1241" s="1437">
        <f t="shared" si="155"/>
        <v>0.91256150000000003</v>
      </c>
      <c r="H1241" s="1437">
        <f t="shared" si="156"/>
        <v>0</v>
      </c>
      <c r="I1241" s="1437">
        <v>0</v>
      </c>
      <c r="J1241" s="1437">
        <v>0</v>
      </c>
      <c r="K1241" s="1438"/>
      <c r="L1241" s="1438"/>
      <c r="M1241" s="1437">
        <f t="shared" si="157"/>
        <v>0</v>
      </c>
      <c r="N1241" s="1437">
        <f t="shared" si="158"/>
        <v>0</v>
      </c>
    </row>
    <row r="1242" spans="1:14" ht="29" outlineLevel="1">
      <c r="A1242" s="1499">
        <f t="shared" si="161"/>
        <v>6</v>
      </c>
      <c r="B1242" s="1510" t="str">
        <f t="shared" si="161"/>
        <v>Balance Supply of Electrical Lab Equipment  at NPTP parli-V</v>
      </c>
      <c r="C1242" s="1511" t="str">
        <f t="shared" si="161"/>
        <v>MERC CAPEX Approval in MTR Order 296 of 2019</v>
      </c>
      <c r="D1242" s="1334" t="str">
        <f t="shared" si="161"/>
        <v>-</v>
      </c>
      <c r="E1242" s="1430">
        <f t="shared" si="161"/>
        <v>0</v>
      </c>
      <c r="F1242" s="1437">
        <f t="shared" si="154"/>
        <v>0.60826469999999999</v>
      </c>
      <c r="G1242" s="1437">
        <f t="shared" si="155"/>
        <v>0.60826469999999999</v>
      </c>
      <c r="H1242" s="1437">
        <f t="shared" si="156"/>
        <v>0</v>
      </c>
      <c r="I1242" s="1437">
        <v>0</v>
      </c>
      <c r="J1242" s="1437">
        <v>0</v>
      </c>
      <c r="K1242" s="1438"/>
      <c r="L1242" s="1438"/>
      <c r="M1242" s="1437">
        <f t="shared" si="157"/>
        <v>0</v>
      </c>
      <c r="N1242" s="1437">
        <f t="shared" si="158"/>
        <v>0</v>
      </c>
    </row>
    <row r="1243" spans="1:14" ht="43.5" outlineLevel="1">
      <c r="A1243" s="1499">
        <f t="shared" si="161"/>
        <v>7</v>
      </c>
      <c r="B1243" s="1510" t="str">
        <f t="shared" si="161"/>
        <v>Work order for contract for Supply Installaion Testing &amp; Commissioning with required material to complete  Balance CHP work at NPTP U-8 Parli Project</v>
      </c>
      <c r="C1243" s="1511" t="str">
        <f t="shared" si="161"/>
        <v>MERC CAPEX Approval in MTR Order 296 of 2019</v>
      </c>
      <c r="D1243" s="1334" t="str">
        <f t="shared" si="161"/>
        <v>-</v>
      </c>
      <c r="E1243" s="1430">
        <f t="shared" si="161"/>
        <v>0</v>
      </c>
      <c r="F1243" s="1437">
        <f t="shared" si="154"/>
        <v>0.41</v>
      </c>
      <c r="G1243" s="1437">
        <f t="shared" si="155"/>
        <v>0.41</v>
      </c>
      <c r="H1243" s="1437">
        <f t="shared" si="156"/>
        <v>0</v>
      </c>
      <c r="I1243" s="1437">
        <v>0</v>
      </c>
      <c r="J1243" s="1437">
        <v>0</v>
      </c>
      <c r="K1243" s="1438"/>
      <c r="L1243" s="1438"/>
      <c r="M1243" s="1437">
        <f t="shared" si="157"/>
        <v>0</v>
      </c>
      <c r="N1243" s="1437">
        <f t="shared" si="158"/>
        <v>0</v>
      </c>
    </row>
    <row r="1244" spans="1:14" ht="43.5" outlineLevel="1">
      <c r="A1244" s="1499">
        <f t="shared" si="161"/>
        <v>8</v>
      </c>
      <c r="B1244" s="1510" t="str">
        <f t="shared" si="161"/>
        <v>Supply, Errection, testing &amp; commissioning of Interconnecting Conveyor no.9 &amp; 10 from U-8 to U-6&amp;7 of CHP at NPTP U-8, Parli-V</v>
      </c>
      <c r="C1244" s="1511" t="str">
        <f t="shared" si="161"/>
        <v>MERC CAPEX Approval in MTR Order 296 of 2019</v>
      </c>
      <c r="D1244" s="1334" t="str">
        <f t="shared" si="161"/>
        <v>-</v>
      </c>
      <c r="E1244" s="1430">
        <f t="shared" si="161"/>
        <v>0</v>
      </c>
      <c r="F1244" s="1437">
        <f t="shared" si="154"/>
        <v>5.3318899999999996</v>
      </c>
      <c r="G1244" s="1437">
        <f t="shared" si="155"/>
        <v>5.3262307</v>
      </c>
      <c r="H1244" s="1437">
        <f t="shared" si="156"/>
        <v>5.6592999999995897E-3</v>
      </c>
      <c r="I1244" s="1437">
        <v>0</v>
      </c>
      <c r="J1244" s="1437">
        <v>0</v>
      </c>
      <c r="K1244" s="1438"/>
      <c r="L1244" s="1438"/>
      <c r="M1244" s="1437">
        <f t="shared" si="157"/>
        <v>0</v>
      </c>
      <c r="N1244" s="1437">
        <f t="shared" si="158"/>
        <v>5.6592999999995897E-3</v>
      </c>
    </row>
    <row r="1245" spans="1:14" ht="29" outlineLevel="1">
      <c r="A1245" s="1499">
        <f t="shared" si="161"/>
        <v>9</v>
      </c>
      <c r="B1245" s="1510" t="str">
        <f t="shared" si="161"/>
        <v>SUPPLY ,INSTA,TEST ,COMM ELECTRICAL SYS</v>
      </c>
      <c r="C1245" s="1511" t="str">
        <f t="shared" si="161"/>
        <v>MERC CAPEX Approval in MTR Order 296 of 2019</v>
      </c>
      <c r="D1245" s="1334" t="str">
        <f t="shared" si="161"/>
        <v>-</v>
      </c>
      <c r="E1245" s="1430">
        <f t="shared" si="161"/>
        <v>0</v>
      </c>
      <c r="F1245" s="1437">
        <f t="shared" si="154"/>
        <v>0</v>
      </c>
      <c r="G1245" s="1437">
        <f t="shared" si="155"/>
        <v>0</v>
      </c>
      <c r="H1245" s="1437">
        <f t="shared" si="156"/>
        <v>0</v>
      </c>
      <c r="I1245" s="1437">
        <v>0</v>
      </c>
      <c r="J1245" s="1437">
        <v>0</v>
      </c>
      <c r="K1245" s="1438"/>
      <c r="L1245" s="1438"/>
      <c r="M1245" s="1437">
        <f t="shared" si="157"/>
        <v>0</v>
      </c>
      <c r="N1245" s="1437">
        <f t="shared" si="158"/>
        <v>0</v>
      </c>
    </row>
    <row r="1246" spans="1:14" ht="29" outlineLevel="1">
      <c r="A1246" s="1499">
        <f t="shared" si="161"/>
        <v>10</v>
      </c>
      <c r="B1246" s="1510" t="str">
        <f t="shared" si="161"/>
        <v>SUPPLY,INSTAL,TEST,COMM OF  CRANS&amp;HOIST</v>
      </c>
      <c r="C1246" s="1511" t="str">
        <f t="shared" si="161"/>
        <v>MERC CAPEX Approval in MTR Order 296 of 2019</v>
      </c>
      <c r="D1246" s="1334" t="str">
        <f t="shared" si="161"/>
        <v>-</v>
      </c>
      <c r="E1246" s="1430">
        <f t="shared" si="161"/>
        <v>0</v>
      </c>
      <c r="F1246" s="1437">
        <f t="shared" si="154"/>
        <v>1.8104819999999999</v>
      </c>
      <c r="G1246" s="1437">
        <f t="shared" si="155"/>
        <v>3.6223049999999999</v>
      </c>
      <c r="H1246" s="1437">
        <f t="shared" si="156"/>
        <v>-1.811823</v>
      </c>
      <c r="I1246" s="1437">
        <v>0</v>
      </c>
      <c r="J1246" s="1437">
        <v>0</v>
      </c>
      <c r="K1246" s="1438"/>
      <c r="L1246" s="1438"/>
      <c r="M1246" s="1437">
        <f t="shared" si="157"/>
        <v>0</v>
      </c>
      <c r="N1246" s="1437">
        <f t="shared" si="158"/>
        <v>-1.811823</v>
      </c>
    </row>
    <row r="1247" spans="1:14" ht="29" outlineLevel="1">
      <c r="A1247" s="1499">
        <f t="shared" si="161"/>
        <v>11</v>
      </c>
      <c r="B1247" s="1510" t="str">
        <f t="shared" si="161"/>
        <v>Supply, Errection, testing &amp; commissioning of Dust Extraction system at NPTP U-8, Parli-V</v>
      </c>
      <c r="C1247" s="1511" t="str">
        <f t="shared" si="161"/>
        <v>MERC CAPEX Approval in MTR Order 296 of 2019</v>
      </c>
      <c r="D1247" s="1334" t="str">
        <f t="shared" si="161"/>
        <v>-</v>
      </c>
      <c r="E1247" s="1430">
        <f t="shared" si="161"/>
        <v>0</v>
      </c>
      <c r="F1247" s="1437">
        <f t="shared" si="154"/>
        <v>1.8060844</v>
      </c>
      <c r="G1247" s="1437">
        <f t="shared" si="155"/>
        <v>0</v>
      </c>
      <c r="H1247" s="1437">
        <f t="shared" si="156"/>
        <v>1.8060844</v>
      </c>
      <c r="I1247" s="1437">
        <v>0</v>
      </c>
      <c r="J1247" s="1437">
        <v>0</v>
      </c>
      <c r="K1247" s="1438"/>
      <c r="L1247" s="1438"/>
      <c r="M1247" s="1437">
        <f t="shared" si="157"/>
        <v>0</v>
      </c>
      <c r="N1247" s="1437">
        <f t="shared" si="158"/>
        <v>1.8060844</v>
      </c>
    </row>
    <row r="1248" spans="1:14" ht="29" outlineLevel="1">
      <c r="A1248" s="1499">
        <f t="shared" si="161"/>
        <v>12</v>
      </c>
      <c r="B1248" s="1510" t="str">
        <f t="shared" si="161"/>
        <v>Supply, Errection, testing &amp; commissioning of DSS &amp; DFDS at NPTP U-8, Parli-V</v>
      </c>
      <c r="C1248" s="1511" t="str">
        <f t="shared" si="161"/>
        <v>MERC CAPEX Approval in MTR Order 296 of 2019</v>
      </c>
      <c r="D1248" s="1334" t="str">
        <f t="shared" si="161"/>
        <v>-</v>
      </c>
      <c r="E1248" s="1430">
        <f t="shared" si="161"/>
        <v>0</v>
      </c>
      <c r="F1248" s="1437">
        <f t="shared" si="154"/>
        <v>4.3391143999999997</v>
      </c>
      <c r="G1248" s="1437">
        <f t="shared" si="155"/>
        <v>4.34</v>
      </c>
      <c r="H1248" s="1437">
        <f t="shared" si="156"/>
        <v>-8.8560000000015293E-4</v>
      </c>
      <c r="I1248" s="1437">
        <v>0</v>
      </c>
      <c r="J1248" s="1437">
        <v>0</v>
      </c>
      <c r="K1248" s="1438"/>
      <c r="L1248" s="1438"/>
      <c r="M1248" s="1437">
        <f t="shared" si="157"/>
        <v>0</v>
      </c>
      <c r="N1248" s="1437">
        <f t="shared" si="158"/>
        <v>-8.8560000000015293E-4</v>
      </c>
    </row>
    <row r="1249" spans="1:14" ht="29" outlineLevel="1">
      <c r="A1249" s="1499">
        <f t="shared" si="161"/>
        <v>13</v>
      </c>
      <c r="B1249" s="1510" t="str">
        <f t="shared" si="161"/>
        <v>Supply, Errection, testing &amp; commissioning of Monorail at NPTP U-8, Parli-V</v>
      </c>
      <c r="C1249" s="1511" t="str">
        <f t="shared" si="161"/>
        <v>MERC CAPEX Approval in MTR Order 296 of 2019</v>
      </c>
      <c r="D1249" s="1334" t="str">
        <f t="shared" si="161"/>
        <v>-</v>
      </c>
      <c r="E1249" s="1430">
        <f t="shared" si="161"/>
        <v>0</v>
      </c>
      <c r="F1249" s="1437">
        <f t="shared" si="154"/>
        <v>1.1891777000000001</v>
      </c>
      <c r="G1249" s="1437">
        <f t="shared" si="155"/>
        <v>1.1891</v>
      </c>
      <c r="H1249" s="1437">
        <f t="shared" si="156"/>
        <v>7.770000000006938E-5</v>
      </c>
      <c r="I1249" s="1437">
        <v>0</v>
      </c>
      <c r="J1249" s="1437">
        <v>0</v>
      </c>
      <c r="K1249" s="1438"/>
      <c r="L1249" s="1438"/>
      <c r="M1249" s="1437">
        <f t="shared" si="157"/>
        <v>0</v>
      </c>
      <c r="N1249" s="1437">
        <f t="shared" si="158"/>
        <v>7.770000000006938E-5</v>
      </c>
    </row>
    <row r="1250" spans="1:14" ht="29" outlineLevel="1">
      <c r="A1250" s="1499">
        <f t="shared" si="161"/>
        <v>14</v>
      </c>
      <c r="B1250" s="1510" t="str">
        <f t="shared" si="161"/>
        <v>Supply, Errection, testing &amp; commissioning of various Control &amp; Instrumentation equipments at NPTP U-8, Parli-V</v>
      </c>
      <c r="C1250" s="1511" t="str">
        <f t="shared" si="161"/>
        <v>MERC CAPEX Approval in MTR Order 296 of 2019</v>
      </c>
      <c r="D1250" s="1334" t="str">
        <f t="shared" si="161"/>
        <v>-</v>
      </c>
      <c r="E1250" s="1430">
        <f t="shared" si="161"/>
        <v>0</v>
      </c>
      <c r="F1250" s="1437">
        <f t="shared" si="154"/>
        <v>0.72225269999999997</v>
      </c>
      <c r="G1250" s="1437">
        <f t="shared" si="155"/>
        <v>0.72225269999999997</v>
      </c>
      <c r="H1250" s="1437">
        <f t="shared" si="156"/>
        <v>0</v>
      </c>
      <c r="I1250" s="1437">
        <v>0</v>
      </c>
      <c r="J1250" s="1437">
        <v>0</v>
      </c>
      <c r="K1250" s="1438"/>
      <c r="L1250" s="1438"/>
      <c r="M1250" s="1437">
        <f t="shared" si="157"/>
        <v>0</v>
      </c>
      <c r="N1250" s="1437">
        <f t="shared" si="158"/>
        <v>0</v>
      </c>
    </row>
    <row r="1251" spans="1:14" ht="29" outlineLevel="1">
      <c r="A1251" s="1499">
        <f t="shared" ref="A1251:E1266" si="162">A858</f>
        <v>15</v>
      </c>
      <c r="B1251" s="1510" t="str">
        <f t="shared" si="162"/>
        <v>Supply, Errection, testing &amp; commissioning of Air Conditioning System at NPTP U-8, Parli-V</v>
      </c>
      <c r="C1251" s="1511" t="str">
        <f t="shared" si="162"/>
        <v>MERC CAPEX Approval in MTR Order 296 of 2019</v>
      </c>
      <c r="D1251" s="1334" t="str">
        <f t="shared" si="162"/>
        <v>-</v>
      </c>
      <c r="E1251" s="1430">
        <f t="shared" si="162"/>
        <v>0</v>
      </c>
      <c r="F1251" s="1437">
        <f t="shared" si="154"/>
        <v>0.15304309999999999</v>
      </c>
      <c r="G1251" s="1437">
        <f t="shared" si="155"/>
        <v>0.44729429999999998</v>
      </c>
      <c r="H1251" s="1437">
        <f t="shared" si="156"/>
        <v>-0.29425119999999999</v>
      </c>
      <c r="I1251" s="1437">
        <v>0</v>
      </c>
      <c r="J1251" s="1437">
        <v>0</v>
      </c>
      <c r="K1251" s="1438"/>
      <c r="L1251" s="1438"/>
      <c r="M1251" s="1437">
        <f t="shared" si="157"/>
        <v>0</v>
      </c>
      <c r="N1251" s="1437">
        <f t="shared" si="158"/>
        <v>-0.29425119999999999</v>
      </c>
    </row>
    <row r="1252" spans="1:14" ht="29" outlineLevel="1">
      <c r="A1252" s="1499">
        <f t="shared" si="162"/>
        <v>16</v>
      </c>
      <c r="B1252" s="1510" t="str">
        <f t="shared" si="162"/>
        <v>Supply, Errection, testing &amp; commissioning of Ventilation  System at NPTP U-8, Parli-V</v>
      </c>
      <c r="C1252" s="1511" t="str">
        <f t="shared" si="162"/>
        <v>MERC CAPEX Approval in MTR Order 296 of 2019</v>
      </c>
      <c r="D1252" s="1334" t="str">
        <f t="shared" si="162"/>
        <v>-</v>
      </c>
      <c r="E1252" s="1430">
        <f t="shared" si="162"/>
        <v>0</v>
      </c>
      <c r="F1252" s="1437">
        <f t="shared" si="154"/>
        <v>2.1135999999999999</v>
      </c>
      <c r="G1252" s="1437">
        <f t="shared" si="155"/>
        <v>1.2036</v>
      </c>
      <c r="H1252" s="1437">
        <f t="shared" si="156"/>
        <v>0.90999999999999992</v>
      </c>
      <c r="I1252" s="1437">
        <v>0</v>
      </c>
      <c r="J1252" s="1437">
        <v>0</v>
      </c>
      <c r="K1252" s="1438"/>
      <c r="L1252" s="1438"/>
      <c r="M1252" s="1437">
        <f t="shared" si="157"/>
        <v>0</v>
      </c>
      <c r="N1252" s="1437">
        <f t="shared" si="158"/>
        <v>0.90999999999999992</v>
      </c>
    </row>
    <row r="1253" spans="1:14" ht="29" outlineLevel="1">
      <c r="A1253" s="1499">
        <f t="shared" si="162"/>
        <v>17</v>
      </c>
      <c r="B1253" s="1510" t="str">
        <f t="shared" si="162"/>
        <v>Supply, Errection, testing &amp; commissioning of Elevator works.</v>
      </c>
      <c r="C1253" s="1511" t="str">
        <f t="shared" si="162"/>
        <v>MERC CAPEX Approval in MTR Order 296 of 2019</v>
      </c>
      <c r="D1253" s="1334" t="str">
        <f t="shared" si="162"/>
        <v>-</v>
      </c>
      <c r="E1253" s="1430">
        <f t="shared" si="162"/>
        <v>0</v>
      </c>
      <c r="F1253" s="1437">
        <f t="shared" si="154"/>
        <v>3.5173187000000001</v>
      </c>
      <c r="G1253" s="1437">
        <f t="shared" si="155"/>
        <v>4.4273186999999998</v>
      </c>
      <c r="H1253" s="1437">
        <f t="shared" si="156"/>
        <v>-0.9099999999999997</v>
      </c>
      <c r="I1253" s="1437">
        <v>0</v>
      </c>
      <c r="J1253" s="1437">
        <v>0</v>
      </c>
      <c r="K1253" s="1438"/>
      <c r="L1253" s="1438"/>
      <c r="M1253" s="1437">
        <f t="shared" si="157"/>
        <v>0</v>
      </c>
      <c r="N1253" s="1437">
        <f t="shared" si="158"/>
        <v>-0.9099999999999997</v>
      </c>
    </row>
    <row r="1254" spans="1:14" ht="29" outlineLevel="1">
      <c r="A1254" s="1499">
        <f t="shared" si="162"/>
        <v>18</v>
      </c>
      <c r="B1254" s="1510" t="str">
        <f t="shared" si="162"/>
        <v>Work contract for dismentaling, supply, erection &amp; commissioning of MRHS</v>
      </c>
      <c r="C1254" s="1511" t="str">
        <f t="shared" si="162"/>
        <v>MERC CAPEX Approval in MTR Order 296 of 2019</v>
      </c>
      <c r="D1254" s="1334" t="str">
        <f t="shared" si="162"/>
        <v>-</v>
      </c>
      <c r="E1254" s="1430">
        <f t="shared" si="162"/>
        <v>0</v>
      </c>
      <c r="F1254" s="1437">
        <f t="shared" ref="F1254:F1317" si="163">F861+I861</f>
        <v>2.2335039999999999</v>
      </c>
      <c r="G1254" s="1437">
        <f t="shared" ref="G1254:G1317" si="164">G861+M861</f>
        <v>2.2335039999999999</v>
      </c>
      <c r="H1254" s="1437">
        <f t="shared" ref="H1254:H1317" si="165">F1254-G1254</f>
        <v>0</v>
      </c>
      <c r="I1254" s="1437">
        <v>0</v>
      </c>
      <c r="J1254" s="1437">
        <v>0</v>
      </c>
      <c r="K1254" s="1438"/>
      <c r="L1254" s="1438"/>
      <c r="M1254" s="1437">
        <f t="shared" ref="M1254:M1314" si="166">SUM(J1254:L1254)</f>
        <v>0</v>
      </c>
      <c r="N1254" s="1437">
        <f t="shared" ref="N1254:N1317" si="167">H1254+I1254-M1254</f>
        <v>0</v>
      </c>
    </row>
    <row r="1255" spans="1:14" ht="43.5" outlineLevel="1">
      <c r="A1255" s="1499">
        <f t="shared" si="162"/>
        <v>19</v>
      </c>
      <c r="B1255" s="1510" t="str">
        <f t="shared" si="162"/>
        <v>Supply, Errection, testing &amp; commissioning of FF System, Smoke detection &amp; Fire stop mortar &amp; Fire retradant cable coating for conveyor 09 &amp; 10</v>
      </c>
      <c r="C1255" s="1511" t="str">
        <f t="shared" si="162"/>
        <v>MERC CAPEX Approval in MTR Order 296 of 2019</v>
      </c>
      <c r="D1255" s="1334" t="str">
        <f t="shared" si="162"/>
        <v>-</v>
      </c>
      <c r="E1255" s="1430">
        <f t="shared" si="162"/>
        <v>0</v>
      </c>
      <c r="F1255" s="1437">
        <f t="shared" si="163"/>
        <v>0.22170519999999999</v>
      </c>
      <c r="G1255" s="1437">
        <f t="shared" si="164"/>
        <v>0.51866310000000004</v>
      </c>
      <c r="H1255" s="1437">
        <f t="shared" si="165"/>
        <v>-0.29695790000000005</v>
      </c>
      <c r="I1255" s="1437">
        <v>0</v>
      </c>
      <c r="J1255" s="1437">
        <v>0</v>
      </c>
      <c r="K1255" s="1438"/>
      <c r="L1255" s="1438"/>
      <c r="M1255" s="1437">
        <f t="shared" si="166"/>
        <v>0</v>
      </c>
      <c r="N1255" s="1437">
        <f t="shared" si="167"/>
        <v>-0.29695790000000005</v>
      </c>
    </row>
    <row r="1256" spans="1:14" ht="29" outlineLevel="1">
      <c r="A1256" s="1499">
        <f t="shared" si="162"/>
        <v>20</v>
      </c>
      <c r="B1256" s="1510" t="str">
        <f t="shared" si="162"/>
        <v>Supply, Errection, testing &amp; commissioning of Chimney Elevator</v>
      </c>
      <c r="C1256" s="1511" t="str">
        <f t="shared" si="162"/>
        <v>MERC CAPEX Approval in MTR Order 296 of 2019</v>
      </c>
      <c r="D1256" s="1334" t="str">
        <f t="shared" si="162"/>
        <v>-</v>
      </c>
      <c r="E1256" s="1430">
        <f t="shared" si="162"/>
        <v>0</v>
      </c>
      <c r="F1256" s="1437">
        <f t="shared" si="163"/>
        <v>1.060802</v>
      </c>
      <c r="G1256" s="1437">
        <f t="shared" si="164"/>
        <v>0</v>
      </c>
      <c r="H1256" s="1437">
        <f t="shared" si="165"/>
        <v>1.060802</v>
      </c>
      <c r="I1256" s="1437">
        <v>0</v>
      </c>
      <c r="J1256" s="1437">
        <v>0</v>
      </c>
      <c r="K1256" s="1438"/>
      <c r="L1256" s="1438"/>
      <c r="M1256" s="1437">
        <f t="shared" si="166"/>
        <v>0</v>
      </c>
      <c r="N1256" s="1437">
        <f t="shared" si="167"/>
        <v>1.060802</v>
      </c>
    </row>
    <row r="1257" spans="1:14" ht="29" outlineLevel="1">
      <c r="A1257" s="1499">
        <f t="shared" si="162"/>
        <v>21</v>
      </c>
      <c r="B1257" s="1510" t="str">
        <f t="shared" si="162"/>
        <v>Supply, Errection, testing &amp; commissioning work of GEHO Pumps.</v>
      </c>
      <c r="C1257" s="1511" t="str">
        <f t="shared" si="162"/>
        <v>MERC CAPEX Approval in MTR Order 296 of 2019</v>
      </c>
      <c r="D1257" s="1334" t="str">
        <f t="shared" si="162"/>
        <v>-</v>
      </c>
      <c r="E1257" s="1430">
        <f t="shared" si="162"/>
        <v>0</v>
      </c>
      <c r="F1257" s="1437">
        <f t="shared" si="163"/>
        <v>0</v>
      </c>
      <c r="G1257" s="1437">
        <f t="shared" si="164"/>
        <v>1.06</v>
      </c>
      <c r="H1257" s="1437">
        <f t="shared" si="165"/>
        <v>-1.06</v>
      </c>
      <c r="I1257" s="1437">
        <v>0</v>
      </c>
      <c r="J1257" s="1437">
        <v>0</v>
      </c>
      <c r="K1257" s="1438"/>
      <c r="L1257" s="1438"/>
      <c r="M1257" s="1437">
        <f t="shared" si="166"/>
        <v>0</v>
      </c>
      <c r="N1257" s="1437">
        <f t="shared" si="167"/>
        <v>-1.06</v>
      </c>
    </row>
    <row r="1258" spans="1:14" ht="29" outlineLevel="1">
      <c r="A1258" s="1499">
        <f t="shared" si="162"/>
        <v>22</v>
      </c>
      <c r="B1258" s="1510" t="str">
        <f t="shared" si="162"/>
        <v>Procurement of various Mandetory spares of BOP packages</v>
      </c>
      <c r="C1258" s="1511" t="str">
        <f t="shared" si="162"/>
        <v>MERC CAPEX Approval in MTR Order 296 of 2019</v>
      </c>
      <c r="D1258" s="1334" t="str">
        <f t="shared" si="162"/>
        <v>-</v>
      </c>
      <c r="E1258" s="1430">
        <f t="shared" si="162"/>
        <v>0</v>
      </c>
      <c r="F1258" s="1437">
        <f t="shared" si="163"/>
        <v>5.47</v>
      </c>
      <c r="G1258" s="1437">
        <f t="shared" si="164"/>
        <v>6.54</v>
      </c>
      <c r="H1258" s="1437">
        <f t="shared" si="165"/>
        <v>-1.0700000000000003</v>
      </c>
      <c r="I1258" s="1437">
        <v>0</v>
      </c>
      <c r="J1258" s="1437">
        <v>0</v>
      </c>
      <c r="K1258" s="1438"/>
      <c r="L1258" s="1438"/>
      <c r="M1258" s="1437">
        <f t="shared" si="166"/>
        <v>0</v>
      </c>
      <c r="N1258" s="1437">
        <f t="shared" si="167"/>
        <v>-1.0700000000000003</v>
      </c>
    </row>
    <row r="1259" spans="1:14" ht="31" outlineLevel="1">
      <c r="A1259" s="1493">
        <f t="shared" si="162"/>
        <v>0</v>
      </c>
      <c r="B1259" s="1494" t="str">
        <f t="shared" si="162"/>
        <v>Balance civil work of BOP scope at 250 MW Parli-V</v>
      </c>
      <c r="C1259" s="1495" t="str">
        <f t="shared" si="162"/>
        <v>MERC CAPEX Approval in MTR Order 296 of 2019</v>
      </c>
      <c r="D1259" s="1341" t="str">
        <f t="shared" si="162"/>
        <v>-</v>
      </c>
      <c r="E1259" s="1509">
        <f t="shared" si="162"/>
        <v>45.323799999999991</v>
      </c>
      <c r="F1259" s="1437">
        <f t="shared" si="163"/>
        <v>0.55711806000000097</v>
      </c>
      <c r="G1259" s="1437">
        <f t="shared" si="164"/>
        <v>16.720000000000002</v>
      </c>
      <c r="H1259" s="1437">
        <f t="shared" si="165"/>
        <v>-16.162881940000002</v>
      </c>
      <c r="I1259" s="1437">
        <v>0</v>
      </c>
      <c r="J1259" s="1437">
        <v>0</v>
      </c>
      <c r="K1259" s="1438"/>
      <c r="L1259" s="1438"/>
      <c r="M1259" s="1437">
        <f t="shared" si="166"/>
        <v>0</v>
      </c>
      <c r="N1259" s="1437">
        <f t="shared" si="167"/>
        <v>-16.162881940000002</v>
      </c>
    </row>
    <row r="1260" spans="1:14" ht="29" outlineLevel="1">
      <c r="A1260" s="1499">
        <f t="shared" si="162"/>
        <v>1</v>
      </c>
      <c r="B1260" s="1512" t="str">
        <f t="shared" si="162"/>
        <v>Area grading</v>
      </c>
      <c r="C1260" s="1511" t="str">
        <f t="shared" si="162"/>
        <v>MERC CAPEX Approval in MTR Order 296 of 2019</v>
      </c>
      <c r="D1260" s="1334" t="str">
        <f t="shared" si="162"/>
        <v>-</v>
      </c>
      <c r="E1260" s="1430">
        <f t="shared" si="162"/>
        <v>0</v>
      </c>
      <c r="F1260" s="1437">
        <f t="shared" si="163"/>
        <v>6.9866406799999998</v>
      </c>
      <c r="G1260" s="1437">
        <f t="shared" si="164"/>
        <v>0.89</v>
      </c>
      <c r="H1260" s="1437">
        <f t="shared" si="165"/>
        <v>6.0966406800000001</v>
      </c>
      <c r="I1260" s="1437">
        <v>0</v>
      </c>
      <c r="J1260" s="1437">
        <v>0</v>
      </c>
      <c r="K1260" s="1438"/>
      <c r="L1260" s="1438"/>
      <c r="M1260" s="1437">
        <f t="shared" si="166"/>
        <v>0</v>
      </c>
      <c r="N1260" s="1437">
        <f t="shared" si="167"/>
        <v>6.0966406800000001</v>
      </c>
    </row>
    <row r="1261" spans="1:14" ht="29" outlineLevel="1">
      <c r="A1261" s="1499">
        <f t="shared" si="162"/>
        <v>2</v>
      </c>
      <c r="B1261" s="1512" t="str">
        <f t="shared" si="162"/>
        <v>CMD</v>
      </c>
      <c r="C1261" s="1511" t="str">
        <f t="shared" si="162"/>
        <v>MERC CAPEX Approval in MTR Order 296 of 2019</v>
      </c>
      <c r="D1261" s="1334" t="str">
        <f t="shared" si="162"/>
        <v>-</v>
      </c>
      <c r="E1261" s="1430">
        <f t="shared" si="162"/>
        <v>0</v>
      </c>
      <c r="F1261" s="1437">
        <f t="shared" si="163"/>
        <v>1.2410745000000012</v>
      </c>
      <c r="G1261" s="1437">
        <f t="shared" si="164"/>
        <v>1.3549000000000009</v>
      </c>
      <c r="H1261" s="1437">
        <f t="shared" si="165"/>
        <v>-0.11382549999999969</v>
      </c>
      <c r="I1261" s="1437">
        <v>0</v>
      </c>
      <c r="J1261" s="1437">
        <v>0</v>
      </c>
      <c r="K1261" s="1438"/>
      <c r="L1261" s="1438"/>
      <c r="M1261" s="1437">
        <f t="shared" si="166"/>
        <v>0</v>
      </c>
      <c r="N1261" s="1437">
        <f t="shared" si="167"/>
        <v>-0.11382549999999969</v>
      </c>
    </row>
    <row r="1262" spans="1:14" ht="29" outlineLevel="1">
      <c r="A1262" s="1499">
        <f t="shared" si="162"/>
        <v>3</v>
      </c>
      <c r="B1262" s="1512" t="str">
        <f t="shared" si="162"/>
        <v>Conveyor 09, 10 &amp; TP 06</v>
      </c>
      <c r="C1262" s="1511" t="str">
        <f t="shared" si="162"/>
        <v>MERC CAPEX Approval in MTR Order 296 of 2019</v>
      </c>
      <c r="D1262" s="1334" t="str">
        <f t="shared" si="162"/>
        <v>-</v>
      </c>
      <c r="E1262" s="1430">
        <f t="shared" si="162"/>
        <v>0</v>
      </c>
      <c r="F1262" s="1437">
        <f t="shared" si="163"/>
        <v>14.560539259999999</v>
      </c>
      <c r="G1262" s="1437">
        <f t="shared" si="164"/>
        <v>12.129999999999999</v>
      </c>
      <c r="H1262" s="1437">
        <f t="shared" si="165"/>
        <v>2.4305392599999998</v>
      </c>
      <c r="I1262" s="1437">
        <v>0</v>
      </c>
      <c r="J1262" s="1437">
        <v>0</v>
      </c>
      <c r="K1262" s="1438"/>
      <c r="L1262" s="1438"/>
      <c r="M1262" s="1437">
        <f t="shared" si="166"/>
        <v>0</v>
      </c>
      <c r="N1262" s="1437">
        <f t="shared" si="167"/>
        <v>2.4305392599999998</v>
      </c>
    </row>
    <row r="1263" spans="1:14" ht="29" outlineLevel="1">
      <c r="A1263" s="1499">
        <f t="shared" si="162"/>
        <v>4</v>
      </c>
      <c r="B1263" s="1512" t="str">
        <f t="shared" si="162"/>
        <v>Finishing item</v>
      </c>
      <c r="C1263" s="1511" t="str">
        <f t="shared" si="162"/>
        <v>MERC CAPEX Approval in MTR Order 296 of 2019</v>
      </c>
      <c r="D1263" s="1334" t="str">
        <f t="shared" si="162"/>
        <v>-</v>
      </c>
      <c r="E1263" s="1430">
        <f t="shared" si="162"/>
        <v>0</v>
      </c>
      <c r="F1263" s="1437">
        <f t="shared" si="163"/>
        <v>8.0849650400000002</v>
      </c>
      <c r="G1263" s="1437">
        <f t="shared" si="164"/>
        <v>4.6505999999999998</v>
      </c>
      <c r="H1263" s="1437">
        <f t="shared" si="165"/>
        <v>3.4343650400000003</v>
      </c>
      <c r="I1263" s="1437">
        <v>0</v>
      </c>
      <c r="J1263" s="1437">
        <v>0</v>
      </c>
      <c r="K1263" s="1438"/>
      <c r="L1263" s="1438"/>
      <c r="M1263" s="1437">
        <f t="shared" si="166"/>
        <v>0</v>
      </c>
      <c r="N1263" s="1437">
        <f t="shared" si="167"/>
        <v>3.4343650400000003</v>
      </c>
    </row>
    <row r="1264" spans="1:14" ht="29" outlineLevel="1">
      <c r="A1264" s="1499">
        <f t="shared" si="162"/>
        <v>5</v>
      </c>
      <c r="B1264" s="1512" t="str">
        <f t="shared" si="162"/>
        <v>Drain &amp; nala</v>
      </c>
      <c r="C1264" s="1511" t="str">
        <f t="shared" si="162"/>
        <v>MERC CAPEX Approval in MTR Order 296 of 2019</v>
      </c>
      <c r="D1264" s="1334" t="str">
        <f t="shared" si="162"/>
        <v>-</v>
      </c>
      <c r="E1264" s="1430">
        <f t="shared" si="162"/>
        <v>0</v>
      </c>
      <c r="F1264" s="1437">
        <f t="shared" si="163"/>
        <v>5.08483324</v>
      </c>
      <c r="G1264" s="1437">
        <f t="shared" si="164"/>
        <v>11.79</v>
      </c>
      <c r="H1264" s="1437">
        <f t="shared" si="165"/>
        <v>-6.7051667599999991</v>
      </c>
      <c r="I1264" s="1437">
        <v>0</v>
      </c>
      <c r="J1264" s="1437">
        <v>0</v>
      </c>
      <c r="K1264" s="1438"/>
      <c r="L1264" s="1438"/>
      <c r="M1264" s="1437">
        <f t="shared" si="166"/>
        <v>0</v>
      </c>
      <c r="N1264" s="1437">
        <f t="shared" si="167"/>
        <v>-6.7051667599999991</v>
      </c>
    </row>
    <row r="1265" spans="1:16" ht="29" outlineLevel="1">
      <c r="A1265" s="1499">
        <f t="shared" si="162"/>
        <v>6</v>
      </c>
      <c r="B1265" s="1512" t="str">
        <f t="shared" si="162"/>
        <v>Internal roads</v>
      </c>
      <c r="C1265" s="1511" t="str">
        <f t="shared" si="162"/>
        <v>MERC CAPEX Approval in MTR Order 296 of 2019</v>
      </c>
      <c r="D1265" s="1334" t="str">
        <f t="shared" si="162"/>
        <v>-</v>
      </c>
      <c r="E1265" s="1430">
        <f t="shared" si="162"/>
        <v>0</v>
      </c>
      <c r="F1265" s="1437">
        <f t="shared" si="163"/>
        <v>9.7521449799999989</v>
      </c>
      <c r="G1265" s="1437">
        <f t="shared" si="164"/>
        <v>1.5</v>
      </c>
      <c r="H1265" s="1437">
        <f t="shared" si="165"/>
        <v>8.2521449799999989</v>
      </c>
      <c r="I1265" s="1437">
        <v>0</v>
      </c>
      <c r="J1265" s="1437">
        <v>0</v>
      </c>
      <c r="K1265" s="1438"/>
      <c r="L1265" s="1438"/>
      <c r="M1265" s="1437">
        <f t="shared" si="166"/>
        <v>0</v>
      </c>
      <c r="N1265" s="1437">
        <f t="shared" si="167"/>
        <v>8.2521449799999989</v>
      </c>
    </row>
    <row r="1266" spans="1:16" ht="29" outlineLevel="1">
      <c r="A1266" s="1499">
        <f t="shared" si="162"/>
        <v>7</v>
      </c>
      <c r="B1266" s="1512" t="str">
        <f t="shared" si="162"/>
        <v>Stacker &amp; reclaimer</v>
      </c>
      <c r="C1266" s="1511" t="str">
        <f t="shared" si="162"/>
        <v>MERC CAPEX Approval in MTR Order 296 of 2019</v>
      </c>
      <c r="D1266" s="1334" t="str">
        <f t="shared" si="162"/>
        <v>-</v>
      </c>
      <c r="E1266" s="1430">
        <f t="shared" si="162"/>
        <v>0</v>
      </c>
      <c r="F1266" s="1437">
        <f t="shared" si="163"/>
        <v>1.1626842399999999</v>
      </c>
      <c r="G1266" s="1437">
        <f t="shared" si="164"/>
        <v>0</v>
      </c>
      <c r="H1266" s="1437">
        <f t="shared" si="165"/>
        <v>1.1626842399999999</v>
      </c>
      <c r="I1266" s="1437">
        <v>0</v>
      </c>
      <c r="J1266" s="1437">
        <v>0</v>
      </c>
      <c r="K1266" s="1438"/>
      <c r="L1266" s="1438"/>
      <c r="M1266" s="1437">
        <f t="shared" si="166"/>
        <v>0</v>
      </c>
      <c r="N1266" s="1437">
        <f t="shared" si="167"/>
        <v>1.1626842399999999</v>
      </c>
    </row>
    <row r="1267" spans="1:16" ht="15.5" outlineLevel="1">
      <c r="A1267" s="1493">
        <f t="shared" ref="A1267:E1282" si="168">A874</f>
        <v>0</v>
      </c>
      <c r="B1267" s="1494" t="str">
        <f t="shared" si="168"/>
        <v>Other Add Cap</v>
      </c>
      <c r="C1267" s="1495">
        <f t="shared" si="168"/>
        <v>0</v>
      </c>
      <c r="D1267" s="1341" t="str">
        <f t="shared" si="168"/>
        <v>-</v>
      </c>
      <c r="E1267" s="1496">
        <f t="shared" si="168"/>
        <v>0</v>
      </c>
      <c r="F1267" s="1437">
        <f t="shared" si="163"/>
        <v>0</v>
      </c>
      <c r="G1267" s="1437">
        <f t="shared" si="164"/>
        <v>0</v>
      </c>
      <c r="H1267" s="1437">
        <f t="shared" si="165"/>
        <v>0</v>
      </c>
      <c r="I1267" s="1437">
        <v>0</v>
      </c>
      <c r="J1267" s="1437">
        <v>0</v>
      </c>
      <c r="K1267" s="1438"/>
      <c r="L1267" s="1438"/>
      <c r="M1267" s="1437">
        <f t="shared" si="166"/>
        <v>0</v>
      </c>
      <c r="N1267" s="1437">
        <f t="shared" si="167"/>
        <v>0</v>
      </c>
    </row>
    <row r="1268" spans="1:16" ht="15.5" outlineLevel="1">
      <c r="A1268" s="1491">
        <f t="shared" si="168"/>
        <v>0</v>
      </c>
      <c r="B1268" s="1377" t="str">
        <f t="shared" si="168"/>
        <v>Laboratory set up</v>
      </c>
      <c r="C1268" s="1492" t="str">
        <f t="shared" si="168"/>
        <v>Add Cap (As per 296 of 2019)</v>
      </c>
      <c r="D1268" s="1334" t="str">
        <f t="shared" si="168"/>
        <v>-</v>
      </c>
      <c r="E1268" s="1378">
        <f t="shared" si="168"/>
        <v>0</v>
      </c>
      <c r="F1268" s="1437">
        <f t="shared" si="163"/>
        <v>0</v>
      </c>
      <c r="G1268" s="1437">
        <f t="shared" si="164"/>
        <v>0</v>
      </c>
      <c r="H1268" s="1437">
        <f t="shared" si="165"/>
        <v>0</v>
      </c>
      <c r="I1268" s="1437">
        <v>0</v>
      </c>
      <c r="J1268" s="1437">
        <v>0</v>
      </c>
      <c r="K1268" s="1438"/>
      <c r="L1268" s="1438"/>
      <c r="M1268" s="1437">
        <f t="shared" si="166"/>
        <v>0</v>
      </c>
      <c r="N1268" s="1437">
        <f t="shared" si="167"/>
        <v>0</v>
      </c>
    </row>
    <row r="1269" spans="1:16" ht="31" outlineLevel="1">
      <c r="A1269" s="1491">
        <f t="shared" si="168"/>
        <v>1</v>
      </c>
      <c r="B1269" s="1513" t="str">
        <f t="shared" si="168"/>
        <v>Supply of Analytical Instruments for condition monitoring Laboratory for 1X250 MW of   NPTPS, Parli-V.</v>
      </c>
      <c r="C1269" s="1492" t="str">
        <f t="shared" si="168"/>
        <v>Add Cap (As per 296 of 2019)</v>
      </c>
      <c r="D1269" s="1514" t="str">
        <f t="shared" si="168"/>
        <v>-</v>
      </c>
      <c r="E1269" s="1382">
        <f t="shared" si="168"/>
        <v>0.5</v>
      </c>
      <c r="F1269" s="1437">
        <f t="shared" si="163"/>
        <v>0.49655460000000001</v>
      </c>
      <c r="G1269" s="1437">
        <f t="shared" si="164"/>
        <v>0.49655460000000001</v>
      </c>
      <c r="H1269" s="1437">
        <f t="shared" si="165"/>
        <v>0</v>
      </c>
      <c r="I1269" s="1437">
        <v>0</v>
      </c>
      <c r="J1269" s="1437">
        <v>0</v>
      </c>
      <c r="K1269" s="1438"/>
      <c r="L1269" s="1438"/>
      <c r="M1269" s="1437">
        <f t="shared" si="166"/>
        <v>0</v>
      </c>
      <c r="N1269" s="1437">
        <f t="shared" si="167"/>
        <v>0</v>
      </c>
    </row>
    <row r="1270" spans="1:16" ht="31" outlineLevel="1">
      <c r="A1270" s="1491">
        <f t="shared" si="168"/>
        <v>2</v>
      </c>
      <c r="B1270" s="1513" t="str">
        <f t="shared" si="168"/>
        <v>Supply of Analytical Instruments for Water Analysis Laboratory for 1X250 MW of   NPTPS, Parli-V</v>
      </c>
      <c r="C1270" s="1492" t="str">
        <f t="shared" si="168"/>
        <v>Add Cap (As per 296 of 2019)</v>
      </c>
      <c r="D1270" s="1334" t="str">
        <f t="shared" si="168"/>
        <v>-</v>
      </c>
      <c r="E1270" s="1382">
        <f t="shared" si="168"/>
        <v>1.23</v>
      </c>
      <c r="F1270" s="1437">
        <f t="shared" si="163"/>
        <v>0.29846889999999998</v>
      </c>
      <c r="G1270" s="1437">
        <f t="shared" si="164"/>
        <v>0.29846889999999998</v>
      </c>
      <c r="H1270" s="1437">
        <f t="shared" si="165"/>
        <v>0</v>
      </c>
      <c r="I1270" s="1437">
        <v>0</v>
      </c>
      <c r="J1270" s="1437">
        <v>0</v>
      </c>
      <c r="K1270" s="1438"/>
      <c r="L1270" s="1438"/>
      <c r="M1270" s="1437">
        <f t="shared" si="166"/>
        <v>0</v>
      </c>
      <c r="N1270" s="1437">
        <f t="shared" si="167"/>
        <v>0</v>
      </c>
    </row>
    <row r="1271" spans="1:16" ht="31" outlineLevel="1">
      <c r="A1271" s="1491">
        <f t="shared" si="168"/>
        <v>3</v>
      </c>
      <c r="B1271" s="1513" t="str">
        <f t="shared" si="168"/>
        <v>Supply of Analytical Instruments for Environment Laboratory for 1 x 250 MW, NPTPS, Parli-V.</v>
      </c>
      <c r="C1271" s="1492" t="str">
        <f t="shared" si="168"/>
        <v>Add Cap (As per 296 of 2019)</v>
      </c>
      <c r="D1271" s="1514" t="str">
        <f t="shared" si="168"/>
        <v>-</v>
      </c>
      <c r="E1271" s="1382">
        <f t="shared" si="168"/>
        <v>0.39</v>
      </c>
      <c r="F1271" s="1437">
        <f t="shared" si="163"/>
        <v>0.36579919999999999</v>
      </c>
      <c r="G1271" s="1437">
        <f t="shared" si="164"/>
        <v>0.36579919999999999</v>
      </c>
      <c r="H1271" s="1437">
        <f t="shared" si="165"/>
        <v>0</v>
      </c>
      <c r="I1271" s="1437">
        <v>0</v>
      </c>
      <c r="J1271" s="1437">
        <v>0</v>
      </c>
      <c r="K1271" s="1438"/>
      <c r="L1271" s="1438"/>
      <c r="M1271" s="1437">
        <f t="shared" si="166"/>
        <v>0</v>
      </c>
      <c r="N1271" s="1437">
        <f t="shared" si="167"/>
        <v>0</v>
      </c>
    </row>
    <row r="1272" spans="1:16" ht="31" outlineLevel="1">
      <c r="A1272" s="1491">
        <f t="shared" si="168"/>
        <v>4</v>
      </c>
      <c r="B1272" s="1513" t="str">
        <f t="shared" si="168"/>
        <v>Supply of Analytical Instruments for Precision Laboratory for 1 x 250 MW, NPTPS, Parli-V.</v>
      </c>
      <c r="C1272" s="1492" t="str">
        <f t="shared" si="168"/>
        <v>Add Cap (As per 296 of 2019)</v>
      </c>
      <c r="D1272" s="1334" t="str">
        <f t="shared" si="168"/>
        <v>-</v>
      </c>
      <c r="E1272" s="1382">
        <f t="shared" si="168"/>
        <v>1</v>
      </c>
      <c r="F1272" s="1437">
        <f t="shared" si="163"/>
        <v>0</v>
      </c>
      <c r="G1272" s="1437">
        <f t="shared" si="164"/>
        <v>0</v>
      </c>
      <c r="H1272" s="1437">
        <f t="shared" si="165"/>
        <v>0</v>
      </c>
      <c r="I1272" s="1437">
        <v>0</v>
      </c>
      <c r="J1272" s="1437">
        <v>0</v>
      </c>
      <c r="K1272" s="1438"/>
      <c r="L1272" s="1438"/>
      <c r="M1272" s="1437">
        <f t="shared" si="166"/>
        <v>0</v>
      </c>
      <c r="N1272" s="1437">
        <f t="shared" si="167"/>
        <v>0</v>
      </c>
    </row>
    <row r="1273" spans="1:16" ht="31" outlineLevel="1">
      <c r="A1273" s="1491">
        <f t="shared" si="168"/>
        <v>5</v>
      </c>
      <c r="B1273" s="1513" t="str">
        <f t="shared" si="168"/>
        <v>Supply of Analytical Instruments for General Laboratory of Water Treatment Plant of 1 x 250 MW, NPTPS, Parli-V.</v>
      </c>
      <c r="C1273" s="1492" t="str">
        <f t="shared" si="168"/>
        <v>Add Cap (As per 296 of 2019)</v>
      </c>
      <c r="D1273" s="1334" t="str">
        <f t="shared" si="168"/>
        <v>-</v>
      </c>
      <c r="E1273" s="1382">
        <f t="shared" si="168"/>
        <v>0.93</v>
      </c>
      <c r="F1273" s="1437">
        <f t="shared" si="163"/>
        <v>0</v>
      </c>
      <c r="G1273" s="1437">
        <f t="shared" si="164"/>
        <v>0</v>
      </c>
      <c r="H1273" s="1437">
        <f t="shared" si="165"/>
        <v>0</v>
      </c>
      <c r="I1273" s="1437">
        <v>0</v>
      </c>
      <c r="J1273" s="1437">
        <v>0</v>
      </c>
      <c r="K1273" s="1438"/>
      <c r="L1273" s="1438"/>
      <c r="M1273" s="1437">
        <f t="shared" si="166"/>
        <v>0</v>
      </c>
      <c r="N1273" s="1437">
        <f t="shared" si="167"/>
        <v>0</v>
      </c>
    </row>
    <row r="1274" spans="1:16" ht="31" outlineLevel="1">
      <c r="A1274" s="1491">
        <f t="shared" si="168"/>
        <v>6</v>
      </c>
      <c r="B1274" s="1513" t="str">
        <f t="shared" si="168"/>
        <v>Supply of Corrosion Monitor/Meter, Corrosion Coupon &amp; Coupon Rack for 1X250 MW of   NPTPS, Parli-V.</v>
      </c>
      <c r="C1274" s="1492" t="str">
        <f t="shared" si="168"/>
        <v>Add Cap (As per 296 of 2019)</v>
      </c>
      <c r="D1274" s="1334" t="str">
        <f t="shared" si="168"/>
        <v>-</v>
      </c>
      <c r="E1274" s="1382">
        <f t="shared" si="168"/>
        <v>0.34</v>
      </c>
      <c r="F1274" s="1437">
        <f t="shared" si="163"/>
        <v>0.347356836</v>
      </c>
      <c r="G1274" s="1437">
        <f t="shared" si="164"/>
        <v>0.347356836</v>
      </c>
      <c r="H1274" s="1437">
        <f t="shared" si="165"/>
        <v>0</v>
      </c>
      <c r="I1274" s="1437">
        <v>0</v>
      </c>
      <c r="J1274" s="1437">
        <v>0</v>
      </c>
      <c r="K1274" s="1438"/>
      <c r="L1274" s="1438"/>
      <c r="M1274" s="1437">
        <f t="shared" si="166"/>
        <v>0</v>
      </c>
      <c r="N1274" s="1437">
        <f t="shared" si="167"/>
        <v>0</v>
      </c>
    </row>
    <row r="1275" spans="1:16" ht="31" outlineLevel="1">
      <c r="A1275" s="1491">
        <f t="shared" si="168"/>
        <v>7</v>
      </c>
      <c r="B1275" s="1515" t="str">
        <f t="shared" si="168"/>
        <v>Supply of Analytical Instruments for Coal Analysis Laboratory for 1X250 MW of   NPTPS, Parli-V</v>
      </c>
      <c r="C1275" s="1492" t="str">
        <f t="shared" si="168"/>
        <v>Add Cap (As per 296 of 2019)</v>
      </c>
      <c r="D1275" s="1334" t="str">
        <f t="shared" si="168"/>
        <v>-</v>
      </c>
      <c r="E1275" s="1382">
        <f t="shared" si="168"/>
        <v>1.65</v>
      </c>
      <c r="F1275" s="1437">
        <f t="shared" si="163"/>
        <v>0.39444410000000002</v>
      </c>
      <c r="G1275" s="1437">
        <f t="shared" si="164"/>
        <v>0.39444410000000002</v>
      </c>
      <c r="H1275" s="1437">
        <f t="shared" si="165"/>
        <v>0</v>
      </c>
      <c r="I1275" s="1437">
        <v>0</v>
      </c>
      <c r="J1275" s="1437">
        <v>0</v>
      </c>
      <c r="K1275" s="1438"/>
      <c r="L1275" s="1438"/>
      <c r="M1275" s="1437">
        <f t="shared" si="166"/>
        <v>0</v>
      </c>
      <c r="N1275" s="1437">
        <f t="shared" si="167"/>
        <v>0</v>
      </c>
      <c r="O1275" s="1529">
        <f t="shared" ref="O1275:O1277" si="169">MAX(0,IF(M1275=0,0,IF(G1275+M1275&lt;E1275,M1275,E1275-G1275)))</f>
        <v>0</v>
      </c>
      <c r="P1275" s="1439">
        <f t="shared" ref="P1275:P1277" si="170">M1275-O1275</f>
        <v>0</v>
      </c>
    </row>
    <row r="1276" spans="1:16" ht="15.5" outlineLevel="1">
      <c r="A1276" s="1491">
        <f t="shared" si="168"/>
        <v>9</v>
      </c>
      <c r="B1276" s="1377" t="str">
        <f t="shared" si="168"/>
        <v>Grade slab (WTP Area)</v>
      </c>
      <c r="C1276" s="1492" t="str">
        <f t="shared" si="168"/>
        <v>Add Cap (As per 296 of 2019)</v>
      </c>
      <c r="D1276" s="1334" t="str">
        <f t="shared" si="168"/>
        <v>-</v>
      </c>
      <c r="E1276" s="1378">
        <f t="shared" si="168"/>
        <v>1</v>
      </c>
      <c r="F1276" s="1437">
        <f t="shared" si="163"/>
        <v>0.99752063400000002</v>
      </c>
      <c r="G1276" s="1437">
        <f t="shared" si="164"/>
        <v>0.99752063400000002</v>
      </c>
      <c r="H1276" s="1437">
        <f t="shared" si="165"/>
        <v>0</v>
      </c>
      <c r="I1276" s="1437">
        <v>0</v>
      </c>
      <c r="J1276" s="1437">
        <v>0</v>
      </c>
      <c r="K1276" s="1438"/>
      <c r="L1276" s="1438"/>
      <c r="M1276" s="1437">
        <f t="shared" si="166"/>
        <v>0</v>
      </c>
      <c r="N1276" s="1437">
        <f t="shared" si="167"/>
        <v>0</v>
      </c>
      <c r="O1276" s="1529">
        <f t="shared" si="169"/>
        <v>0</v>
      </c>
      <c r="P1276" s="1439">
        <f t="shared" si="170"/>
        <v>0</v>
      </c>
    </row>
    <row r="1277" spans="1:16" ht="15.5" outlineLevel="1">
      <c r="A1277" s="1491">
        <f t="shared" si="168"/>
        <v>10</v>
      </c>
      <c r="B1277" s="1377" t="str">
        <f t="shared" si="168"/>
        <v>Grade slab (Near AHP Building)</v>
      </c>
      <c r="C1277" s="1492" t="str">
        <f t="shared" si="168"/>
        <v>Add Cap (As per 296 of 2019)</v>
      </c>
      <c r="D1277" s="1334" t="str">
        <f t="shared" si="168"/>
        <v>-</v>
      </c>
      <c r="E1277" s="1384">
        <f t="shared" si="168"/>
        <v>0.75</v>
      </c>
      <c r="F1277" s="1437">
        <f t="shared" si="163"/>
        <v>0.74556261000000001</v>
      </c>
      <c r="G1277" s="1437">
        <f t="shared" si="164"/>
        <v>0.74556261000000001</v>
      </c>
      <c r="H1277" s="1437">
        <f t="shared" si="165"/>
        <v>0</v>
      </c>
      <c r="I1277" s="1437">
        <v>0</v>
      </c>
      <c r="J1277" s="1437">
        <v>0</v>
      </c>
      <c r="K1277" s="1438"/>
      <c r="L1277" s="1438"/>
      <c r="M1277" s="1437">
        <f t="shared" si="166"/>
        <v>0</v>
      </c>
      <c r="N1277" s="1437">
        <f t="shared" si="167"/>
        <v>0</v>
      </c>
      <c r="O1277" s="1529">
        <f t="shared" si="169"/>
        <v>0</v>
      </c>
      <c r="P1277" s="1439">
        <f t="shared" si="170"/>
        <v>0</v>
      </c>
    </row>
    <row r="1278" spans="1:16" ht="15.5" outlineLevel="1">
      <c r="A1278" s="1516">
        <f t="shared" si="168"/>
        <v>11</v>
      </c>
      <c r="B1278" s="1385" t="str">
        <f t="shared" si="168"/>
        <v>Temporary shed for empty barrles &amp; filled barrles</v>
      </c>
      <c r="C1278" s="1492" t="str">
        <f t="shared" si="168"/>
        <v>Add Cap (As per 296 of 2019)</v>
      </c>
      <c r="D1278" s="1514" t="str">
        <f t="shared" si="168"/>
        <v>-</v>
      </c>
      <c r="E1278" s="1384">
        <f t="shared" si="168"/>
        <v>0.5</v>
      </c>
      <c r="F1278" s="1437">
        <f t="shared" si="163"/>
        <v>0.45635233799999997</v>
      </c>
      <c r="G1278" s="1437">
        <f t="shared" si="164"/>
        <v>0.45635233799999997</v>
      </c>
      <c r="H1278" s="1437">
        <f t="shared" si="165"/>
        <v>0</v>
      </c>
      <c r="I1278" s="1437">
        <v>0</v>
      </c>
      <c r="J1278" s="1437">
        <v>0</v>
      </c>
      <c r="K1278" s="1438"/>
      <c r="L1278" s="1438"/>
      <c r="M1278" s="1437">
        <f t="shared" si="166"/>
        <v>0</v>
      </c>
      <c r="N1278" s="1437">
        <f t="shared" si="167"/>
        <v>0</v>
      </c>
    </row>
    <row r="1279" spans="1:16" ht="15.5" outlineLevel="1">
      <c r="A1279" s="1491">
        <f t="shared" si="168"/>
        <v>12</v>
      </c>
      <c r="B1279" s="1386" t="str">
        <f t="shared" si="168"/>
        <v>Cabins for operators at TP.</v>
      </c>
      <c r="C1279" s="1492" t="str">
        <f t="shared" si="168"/>
        <v>Add Cap (As per 296 of 2019)</v>
      </c>
      <c r="D1279" s="1334" t="str">
        <f t="shared" si="168"/>
        <v>-</v>
      </c>
      <c r="E1279" s="1384">
        <f t="shared" si="168"/>
        <v>0.2</v>
      </c>
      <c r="F1279" s="1437">
        <f t="shared" si="163"/>
        <v>0.18583111099999999</v>
      </c>
      <c r="G1279" s="1437">
        <f t="shared" si="164"/>
        <v>0.18583111099999999</v>
      </c>
      <c r="H1279" s="1437">
        <f t="shared" si="165"/>
        <v>0</v>
      </c>
      <c r="I1279" s="1437">
        <v>0</v>
      </c>
      <c r="J1279" s="1437">
        <v>0</v>
      </c>
      <c r="K1279" s="1438"/>
      <c r="L1279" s="1438"/>
      <c r="M1279" s="1437">
        <f t="shared" si="166"/>
        <v>0</v>
      </c>
      <c r="N1279" s="1437">
        <f t="shared" si="167"/>
        <v>0</v>
      </c>
    </row>
    <row r="1280" spans="1:16" ht="15.5" outlineLevel="1">
      <c r="A1280" s="1491">
        <f t="shared" si="168"/>
        <v>13</v>
      </c>
      <c r="B1280" s="1385" t="str">
        <f t="shared" si="168"/>
        <v>Compound wall for isolation of administrative building.</v>
      </c>
      <c r="C1280" s="1492" t="str">
        <f t="shared" si="168"/>
        <v>Add Cap (As per 296 of 2019)</v>
      </c>
      <c r="D1280" s="1334" t="str">
        <f t="shared" si="168"/>
        <v>-</v>
      </c>
      <c r="E1280" s="1384">
        <f t="shared" si="168"/>
        <v>0.5</v>
      </c>
      <c r="F1280" s="1437">
        <f t="shared" si="163"/>
        <v>0</v>
      </c>
      <c r="G1280" s="1437">
        <f t="shared" si="164"/>
        <v>0</v>
      </c>
      <c r="H1280" s="1437">
        <f t="shared" si="165"/>
        <v>0</v>
      </c>
      <c r="I1280" s="1437">
        <v>0</v>
      </c>
      <c r="J1280" s="1437">
        <v>0</v>
      </c>
      <c r="K1280" s="1438"/>
      <c r="L1280" s="1438"/>
      <c r="M1280" s="1437">
        <f t="shared" si="166"/>
        <v>0</v>
      </c>
      <c r="N1280" s="1437">
        <f t="shared" si="167"/>
        <v>0</v>
      </c>
    </row>
    <row r="1281" spans="1:14" ht="46.5" outlineLevel="1">
      <c r="A1281" s="1491">
        <f t="shared" si="168"/>
        <v>14</v>
      </c>
      <c r="B1281" s="1386" t="str">
        <f t="shared" si="168"/>
        <v>Work of providing/ fixing of internal partitions of aluminium/Nova palm/glass/wooden for Unit 8 service building &amp; other allied builings in the premises.</v>
      </c>
      <c r="C1281" s="1492" t="str">
        <f t="shared" si="168"/>
        <v>Add Cap (As per 296 of 2019)</v>
      </c>
      <c r="D1281" s="1334" t="str">
        <f t="shared" si="168"/>
        <v>-</v>
      </c>
      <c r="E1281" s="1378">
        <f t="shared" si="168"/>
        <v>0.7</v>
      </c>
      <c r="F1281" s="1437">
        <f t="shared" si="163"/>
        <v>0.67356391299999996</v>
      </c>
      <c r="G1281" s="1437">
        <f t="shared" si="164"/>
        <v>0.67356391299999996</v>
      </c>
      <c r="H1281" s="1437">
        <f t="shared" si="165"/>
        <v>0</v>
      </c>
      <c r="I1281" s="1437">
        <v>0</v>
      </c>
      <c r="J1281" s="1437">
        <v>0</v>
      </c>
      <c r="K1281" s="1438"/>
      <c r="L1281" s="1438"/>
      <c r="M1281" s="1437">
        <f t="shared" si="166"/>
        <v>0</v>
      </c>
      <c r="N1281" s="1437">
        <f t="shared" si="167"/>
        <v>0</v>
      </c>
    </row>
    <row r="1282" spans="1:14" ht="46.5" outlineLevel="1">
      <c r="A1282" s="1517">
        <f t="shared" si="168"/>
        <v>15</v>
      </c>
      <c r="B1282" s="1518" t="str">
        <f t="shared" si="168"/>
        <v>Provision of DM and softening water line interconnection from u-6,7 to u-8 &amp; Provision of recovery of waste water from sandava pump house,NDCT.</v>
      </c>
      <c r="C1282" s="1492" t="str">
        <f t="shared" si="168"/>
        <v>Add Cap (As per 296 of 2019)</v>
      </c>
      <c r="D1282" s="1334" t="str">
        <f t="shared" si="168"/>
        <v>-</v>
      </c>
      <c r="E1282" s="1378">
        <f t="shared" si="168"/>
        <v>3</v>
      </c>
      <c r="F1282" s="1437">
        <f t="shared" si="163"/>
        <v>1.0266339840000001</v>
      </c>
      <c r="G1282" s="1437">
        <f t="shared" si="164"/>
        <v>1.0266339840000001</v>
      </c>
      <c r="H1282" s="1437">
        <f t="shared" si="165"/>
        <v>0</v>
      </c>
      <c r="I1282" s="1437">
        <v>0</v>
      </c>
      <c r="J1282" s="1437">
        <v>0</v>
      </c>
      <c r="K1282" s="1438"/>
      <c r="L1282" s="1438"/>
      <c r="M1282" s="1437">
        <f t="shared" si="166"/>
        <v>0</v>
      </c>
      <c r="N1282" s="1437">
        <f t="shared" si="167"/>
        <v>0</v>
      </c>
    </row>
    <row r="1283" spans="1:14" ht="15.5" outlineLevel="1">
      <c r="A1283" s="1519">
        <f t="shared" ref="A1283:E1298" si="171">A890</f>
        <v>0</v>
      </c>
      <c r="B1283" s="1520">
        <f t="shared" si="171"/>
        <v>0</v>
      </c>
      <c r="C1283" s="1492" t="str">
        <f t="shared" si="171"/>
        <v>Add Cap (As per 296 of 2019)</v>
      </c>
      <c r="D1283" s="1334" t="str">
        <f t="shared" si="171"/>
        <v>-</v>
      </c>
      <c r="E1283" s="1378">
        <f t="shared" si="171"/>
        <v>0</v>
      </c>
      <c r="F1283" s="1437">
        <f t="shared" si="163"/>
        <v>1.8371300820000001</v>
      </c>
      <c r="G1283" s="1437">
        <f t="shared" si="164"/>
        <v>1.8371300820000001</v>
      </c>
      <c r="H1283" s="1437">
        <f t="shared" si="165"/>
        <v>0</v>
      </c>
      <c r="I1283" s="1437">
        <v>0</v>
      </c>
      <c r="J1283" s="1437">
        <v>0</v>
      </c>
      <c r="K1283" s="1438"/>
      <c r="L1283" s="1438"/>
      <c r="M1283" s="1437">
        <f t="shared" si="166"/>
        <v>0</v>
      </c>
      <c r="N1283" s="1437">
        <f t="shared" si="167"/>
        <v>0</v>
      </c>
    </row>
    <row r="1284" spans="1:14" ht="15.5" outlineLevel="1">
      <c r="A1284" s="1491">
        <f t="shared" si="171"/>
        <v>16</v>
      </c>
      <c r="B1284" s="1513" t="str">
        <f t="shared" si="171"/>
        <v xml:space="preserve"> Hydraulic drive system modification.    </v>
      </c>
      <c r="C1284" s="1492" t="str">
        <f t="shared" si="171"/>
        <v>Add Cap (As per 296 of 2019)</v>
      </c>
      <c r="D1284" s="1334" t="str">
        <f t="shared" si="171"/>
        <v>-</v>
      </c>
      <c r="E1284" s="1521">
        <f t="shared" si="171"/>
        <v>2.5</v>
      </c>
      <c r="F1284" s="1437">
        <f t="shared" si="163"/>
        <v>2.4383865259999999</v>
      </c>
      <c r="G1284" s="1437">
        <f t="shared" si="164"/>
        <v>2.4383865259999999</v>
      </c>
      <c r="H1284" s="1437">
        <f t="shared" si="165"/>
        <v>0</v>
      </c>
      <c r="I1284" s="1437">
        <v>0</v>
      </c>
      <c r="J1284" s="1437">
        <v>0</v>
      </c>
      <c r="K1284" s="1438"/>
      <c r="L1284" s="1438"/>
      <c r="M1284" s="1437">
        <f t="shared" si="166"/>
        <v>0</v>
      </c>
      <c r="N1284" s="1437">
        <f t="shared" si="167"/>
        <v>0</v>
      </c>
    </row>
    <row r="1285" spans="1:14" ht="15.5" outlineLevel="1">
      <c r="A1285" s="1491">
        <f t="shared" si="171"/>
        <v>17</v>
      </c>
      <c r="B1285" s="1513" t="str">
        <f t="shared" si="171"/>
        <v xml:space="preserve">Link conveyor from Con-2 of U-6/7 to Con.-2AB of U-8. </v>
      </c>
      <c r="C1285" s="1492" t="str">
        <f t="shared" si="171"/>
        <v>Add Cap (As per 296 of 2019)</v>
      </c>
      <c r="D1285" s="1334" t="str">
        <f t="shared" si="171"/>
        <v>-</v>
      </c>
      <c r="E1285" s="1521">
        <f t="shared" si="171"/>
        <v>3.7</v>
      </c>
      <c r="F1285" s="1437">
        <f t="shared" si="163"/>
        <v>4.6434434319999998</v>
      </c>
      <c r="G1285" s="1437">
        <f t="shared" si="164"/>
        <v>22.656371991</v>
      </c>
      <c r="H1285" s="1437">
        <f t="shared" si="165"/>
        <v>-18.012928559000002</v>
      </c>
      <c r="I1285" s="1437">
        <v>0</v>
      </c>
      <c r="J1285" s="1437">
        <v>0</v>
      </c>
      <c r="K1285" s="1438"/>
      <c r="L1285" s="1438"/>
      <c r="M1285" s="1437">
        <f t="shared" si="166"/>
        <v>0</v>
      </c>
      <c r="N1285" s="1437">
        <f t="shared" si="167"/>
        <v>-18.012928559000002</v>
      </c>
    </row>
    <row r="1286" spans="1:14" ht="15.5" outlineLevel="1">
      <c r="A1286" s="1491">
        <f t="shared" si="171"/>
        <v>18</v>
      </c>
      <c r="B1286" s="1513" t="str">
        <f t="shared" si="171"/>
        <v>Ozone plant for Unit -8</v>
      </c>
      <c r="C1286" s="1492" t="str">
        <f t="shared" si="171"/>
        <v>Add Cap (As per 296 of 2019)</v>
      </c>
      <c r="D1286" s="1334" t="str">
        <f t="shared" si="171"/>
        <v>-</v>
      </c>
      <c r="E1286" s="1521">
        <f t="shared" si="171"/>
        <v>20</v>
      </c>
      <c r="F1286" s="1437">
        <f t="shared" si="163"/>
        <v>20.094708300000001</v>
      </c>
      <c r="G1286" s="1437">
        <f t="shared" si="164"/>
        <v>2.1929439999999998</v>
      </c>
      <c r="H1286" s="1437">
        <f t="shared" si="165"/>
        <v>17.9017643</v>
      </c>
      <c r="I1286" s="1437">
        <v>0</v>
      </c>
      <c r="J1286" s="1437">
        <v>0</v>
      </c>
      <c r="K1286" s="1438"/>
      <c r="L1286" s="1438"/>
      <c r="M1286" s="1437">
        <f t="shared" si="166"/>
        <v>0</v>
      </c>
      <c r="N1286" s="1437">
        <f t="shared" si="167"/>
        <v>17.9017643</v>
      </c>
    </row>
    <row r="1287" spans="1:14" ht="15.5" outlineLevel="1">
      <c r="A1287" s="1499">
        <f t="shared" si="171"/>
        <v>0</v>
      </c>
      <c r="B1287" s="1522" t="str">
        <f t="shared" si="171"/>
        <v>IDC</v>
      </c>
      <c r="C1287" s="1492">
        <f t="shared" si="171"/>
        <v>0</v>
      </c>
      <c r="D1287" s="1334" t="str">
        <f t="shared" si="171"/>
        <v>-</v>
      </c>
      <c r="E1287" s="1521">
        <f t="shared" si="171"/>
        <v>0</v>
      </c>
      <c r="F1287" s="1437">
        <f t="shared" si="163"/>
        <v>0</v>
      </c>
      <c r="G1287" s="1437">
        <f t="shared" si="164"/>
        <v>0</v>
      </c>
      <c r="H1287" s="1437">
        <f t="shared" si="165"/>
        <v>0</v>
      </c>
      <c r="I1287" s="1437">
        <v>0</v>
      </c>
      <c r="J1287" s="1437">
        <v>0</v>
      </c>
      <c r="K1287" s="1438"/>
      <c r="L1287" s="1438"/>
      <c r="M1287" s="1437">
        <f t="shared" si="166"/>
        <v>0</v>
      </c>
      <c r="N1287" s="1437">
        <f t="shared" si="167"/>
        <v>0</v>
      </c>
    </row>
    <row r="1288" spans="1:14" ht="15.5" outlineLevel="1">
      <c r="A1288" s="1491">
        <f t="shared" si="171"/>
        <v>19</v>
      </c>
      <c r="B1288" s="1377" t="str">
        <f t="shared" si="171"/>
        <v>Water management system</v>
      </c>
      <c r="C1288" s="1492" t="str">
        <f t="shared" si="171"/>
        <v>Add Cap (As per 296 of 2019)</v>
      </c>
      <c r="D1288" s="1334" t="str">
        <f t="shared" si="171"/>
        <v>-</v>
      </c>
      <c r="E1288" s="1378">
        <f t="shared" si="171"/>
        <v>2</v>
      </c>
      <c r="F1288" s="1437">
        <f t="shared" si="163"/>
        <v>0</v>
      </c>
      <c r="G1288" s="1437">
        <f t="shared" si="164"/>
        <v>0</v>
      </c>
      <c r="H1288" s="1437">
        <f t="shared" si="165"/>
        <v>0</v>
      </c>
      <c r="I1288" s="1437">
        <v>0</v>
      </c>
      <c r="J1288" s="1437">
        <v>0</v>
      </c>
      <c r="K1288" s="1438"/>
      <c r="L1288" s="1438"/>
      <c r="M1288" s="1437">
        <f t="shared" si="166"/>
        <v>0</v>
      </c>
      <c r="N1288" s="1437">
        <f t="shared" si="167"/>
        <v>0</v>
      </c>
    </row>
    <row r="1289" spans="1:14" ht="31" outlineLevel="1">
      <c r="A1289" s="1491" t="str">
        <f t="shared" si="171"/>
        <v>8, 20</v>
      </c>
      <c r="B1289" s="1523" t="str">
        <f t="shared" si="171"/>
        <v>Procurement &amp; Installation of EMS system at Unit-8 NPTPS Parli-Vaijnath</v>
      </c>
      <c r="C1289" s="1492" t="str">
        <f t="shared" si="171"/>
        <v>Add Cap (As per 296 of 2019)</v>
      </c>
      <c r="D1289" s="1514" t="str">
        <f t="shared" si="171"/>
        <v>-</v>
      </c>
      <c r="E1289" s="1394">
        <f t="shared" si="171"/>
        <v>1</v>
      </c>
      <c r="F1289" s="1437">
        <f t="shared" si="163"/>
        <v>0.144170512</v>
      </c>
      <c r="G1289" s="1437">
        <f t="shared" si="164"/>
        <v>0.144170512</v>
      </c>
      <c r="H1289" s="1437">
        <f t="shared" si="165"/>
        <v>0</v>
      </c>
      <c r="I1289" s="1437">
        <v>0</v>
      </c>
      <c r="J1289" s="1437">
        <v>0</v>
      </c>
      <c r="K1289" s="1438"/>
      <c r="L1289" s="1438"/>
      <c r="M1289" s="1437">
        <f t="shared" si="166"/>
        <v>0</v>
      </c>
      <c r="N1289" s="1437">
        <f t="shared" si="167"/>
        <v>0</v>
      </c>
    </row>
    <row r="1290" spans="1:14" ht="31" outlineLevel="1">
      <c r="A1290" s="1491">
        <f t="shared" si="171"/>
        <v>21</v>
      </c>
      <c r="B1290" s="1515" t="str">
        <f t="shared" si="171"/>
        <v>Conveyor-5 of  stacking/reclaiming belt double drive arrangement.</v>
      </c>
      <c r="C1290" s="1492" t="str">
        <f t="shared" si="171"/>
        <v>Add Cap (As per 296 of 2019)</v>
      </c>
      <c r="D1290" s="1334" t="str">
        <f t="shared" si="171"/>
        <v>-</v>
      </c>
      <c r="E1290" s="1524">
        <f t="shared" si="171"/>
        <v>2</v>
      </c>
      <c r="F1290" s="1437">
        <f t="shared" si="163"/>
        <v>2.0431699999999999</v>
      </c>
      <c r="G1290" s="1437">
        <f t="shared" si="164"/>
        <v>2.0431699999999999</v>
      </c>
      <c r="H1290" s="1437">
        <f t="shared" si="165"/>
        <v>0</v>
      </c>
      <c r="I1290" s="1437">
        <v>0</v>
      </c>
      <c r="J1290" s="1437">
        <v>0</v>
      </c>
      <c r="K1290" s="1438"/>
      <c r="L1290" s="1438"/>
      <c r="M1290" s="1437">
        <f t="shared" si="166"/>
        <v>0</v>
      </c>
      <c r="N1290" s="1437">
        <f t="shared" si="167"/>
        <v>0</v>
      </c>
    </row>
    <row r="1291" spans="1:14" ht="15.5" outlineLevel="1">
      <c r="A1291" s="1491">
        <f t="shared" si="171"/>
        <v>22</v>
      </c>
      <c r="B1291" s="1377" t="str">
        <f t="shared" si="171"/>
        <v>Chemical lab building</v>
      </c>
      <c r="C1291" s="1492" t="str">
        <f t="shared" si="171"/>
        <v>Add Cap (As per 296 of 2019)</v>
      </c>
      <c r="D1291" s="1334" t="str">
        <f t="shared" si="171"/>
        <v>-</v>
      </c>
      <c r="E1291" s="1384">
        <f t="shared" si="171"/>
        <v>1.5</v>
      </c>
      <c r="F1291" s="1437">
        <f t="shared" si="163"/>
        <v>0</v>
      </c>
      <c r="G1291" s="1437">
        <f t="shared" si="164"/>
        <v>0</v>
      </c>
      <c r="H1291" s="1437">
        <f t="shared" si="165"/>
        <v>0</v>
      </c>
      <c r="I1291" s="1437">
        <v>0</v>
      </c>
      <c r="J1291" s="1437">
        <v>0</v>
      </c>
      <c r="K1291" s="1438"/>
      <c r="L1291" s="1438"/>
      <c r="M1291" s="1437">
        <f t="shared" si="166"/>
        <v>0</v>
      </c>
      <c r="N1291" s="1437">
        <f t="shared" si="167"/>
        <v>0</v>
      </c>
    </row>
    <row r="1292" spans="1:14" ht="15.5" outlineLevel="1">
      <c r="A1292" s="1491">
        <f t="shared" si="171"/>
        <v>23</v>
      </c>
      <c r="B1292" s="1377" t="str">
        <f t="shared" si="171"/>
        <v>Chemical store</v>
      </c>
      <c r="C1292" s="1492" t="str">
        <f t="shared" si="171"/>
        <v>Add Cap (As per 296 of 2019)</v>
      </c>
      <c r="D1292" s="1334" t="str">
        <f t="shared" si="171"/>
        <v>-</v>
      </c>
      <c r="E1292" s="1384">
        <f t="shared" si="171"/>
        <v>2.5</v>
      </c>
      <c r="F1292" s="1437">
        <f t="shared" si="163"/>
        <v>0</v>
      </c>
      <c r="G1292" s="1437">
        <f t="shared" si="164"/>
        <v>0</v>
      </c>
      <c r="H1292" s="1437">
        <f t="shared" si="165"/>
        <v>0</v>
      </c>
      <c r="I1292" s="1437">
        <v>0</v>
      </c>
      <c r="J1292" s="1437">
        <v>0</v>
      </c>
      <c r="K1292" s="1438"/>
      <c r="L1292" s="1438"/>
      <c r="M1292" s="1437">
        <f t="shared" si="166"/>
        <v>0</v>
      </c>
      <c r="N1292" s="1437">
        <f t="shared" si="167"/>
        <v>0</v>
      </c>
    </row>
    <row r="1293" spans="1:14" outlineLevel="1">
      <c r="A1293" s="1491">
        <f t="shared" si="171"/>
        <v>24</v>
      </c>
      <c r="B1293" s="1397" t="str">
        <f t="shared" si="171"/>
        <v xml:space="preserve"> Lawn development around NDCT.</v>
      </c>
      <c r="C1293" s="1492" t="str">
        <f t="shared" si="171"/>
        <v>Add Cap (As per 296 of 2019)</v>
      </c>
      <c r="D1293" s="1514" t="str">
        <f t="shared" si="171"/>
        <v>-</v>
      </c>
      <c r="E1293" s="1398">
        <f t="shared" si="171"/>
        <v>0.75</v>
      </c>
      <c r="F1293" s="1437">
        <f t="shared" si="163"/>
        <v>0</v>
      </c>
      <c r="G1293" s="1437">
        <f t="shared" si="164"/>
        <v>0</v>
      </c>
      <c r="H1293" s="1437">
        <f t="shared" si="165"/>
        <v>0</v>
      </c>
      <c r="I1293" s="1437">
        <v>0</v>
      </c>
      <c r="J1293" s="1437">
        <v>0</v>
      </c>
      <c r="K1293" s="1438"/>
      <c r="L1293" s="1438"/>
      <c r="M1293" s="1437">
        <f t="shared" si="166"/>
        <v>0</v>
      </c>
      <c r="N1293" s="1437">
        <f t="shared" si="167"/>
        <v>0</v>
      </c>
    </row>
    <row r="1294" spans="1:14" outlineLevel="1">
      <c r="A1294" s="1491">
        <f t="shared" si="171"/>
        <v>25</v>
      </c>
      <c r="B1294" s="1399" t="str">
        <f t="shared" si="171"/>
        <v>Tree plantation &amp; greenery along road side.</v>
      </c>
      <c r="C1294" s="1492" t="str">
        <f t="shared" si="171"/>
        <v>Add Cap (As per 296 of 2019)</v>
      </c>
      <c r="D1294" s="1334" t="str">
        <f t="shared" si="171"/>
        <v>-</v>
      </c>
      <c r="E1294" s="1400">
        <f t="shared" si="171"/>
        <v>0.5</v>
      </c>
      <c r="F1294" s="1437">
        <f t="shared" si="163"/>
        <v>0</v>
      </c>
      <c r="G1294" s="1437">
        <f t="shared" si="164"/>
        <v>0</v>
      </c>
      <c r="H1294" s="1437">
        <f t="shared" si="165"/>
        <v>0</v>
      </c>
      <c r="I1294" s="1437">
        <v>0</v>
      </c>
      <c r="J1294" s="1437">
        <v>0</v>
      </c>
      <c r="K1294" s="1438"/>
      <c r="L1294" s="1438"/>
      <c r="M1294" s="1437">
        <f t="shared" si="166"/>
        <v>0</v>
      </c>
      <c r="N1294" s="1437">
        <f t="shared" si="167"/>
        <v>0</v>
      </c>
    </row>
    <row r="1295" spans="1:14" outlineLevel="1">
      <c r="A1295" s="1491">
        <f t="shared" si="171"/>
        <v>26</v>
      </c>
      <c r="B1295" s="1399" t="str">
        <f t="shared" si="171"/>
        <v>Greenery development in area between  WTP &amp; main plant.</v>
      </c>
      <c r="C1295" s="1492" t="str">
        <f t="shared" si="171"/>
        <v>Add Cap (As per 296 of 2019)</v>
      </c>
      <c r="D1295" s="1334" t="str">
        <f t="shared" si="171"/>
        <v>-</v>
      </c>
      <c r="E1295" s="1400">
        <f t="shared" si="171"/>
        <v>1.25</v>
      </c>
      <c r="F1295" s="1437">
        <f t="shared" si="163"/>
        <v>0</v>
      </c>
      <c r="G1295" s="1437">
        <f t="shared" si="164"/>
        <v>0</v>
      </c>
      <c r="H1295" s="1437">
        <f t="shared" si="165"/>
        <v>0</v>
      </c>
      <c r="I1295" s="1437">
        <v>0</v>
      </c>
      <c r="J1295" s="1437">
        <v>0</v>
      </c>
      <c r="K1295" s="1438"/>
      <c r="L1295" s="1438"/>
      <c r="M1295" s="1437">
        <f t="shared" si="166"/>
        <v>0</v>
      </c>
      <c r="N1295" s="1437">
        <f t="shared" si="167"/>
        <v>0</v>
      </c>
    </row>
    <row r="1296" spans="1:14" ht="15.5" outlineLevel="1">
      <c r="A1296" s="1491">
        <f t="shared" si="171"/>
        <v>27</v>
      </c>
      <c r="B1296" s="1385" t="str">
        <f t="shared" si="171"/>
        <v>Construction of staff rooms &amp; store for CHP maint..</v>
      </c>
      <c r="C1296" s="1492" t="str">
        <f t="shared" si="171"/>
        <v>Add Cap (As per 296 of 2019)</v>
      </c>
      <c r="D1296" s="1334" t="str">
        <f t="shared" si="171"/>
        <v>-</v>
      </c>
      <c r="E1296" s="1378">
        <f t="shared" si="171"/>
        <v>1</v>
      </c>
      <c r="F1296" s="1437">
        <f t="shared" si="163"/>
        <v>0.90702717499999985</v>
      </c>
      <c r="G1296" s="1437">
        <f t="shared" si="164"/>
        <v>0.90702717499999996</v>
      </c>
      <c r="H1296" s="1437">
        <f t="shared" si="165"/>
        <v>0</v>
      </c>
      <c r="I1296" s="1437">
        <v>0</v>
      </c>
      <c r="J1296" s="1437">
        <v>0</v>
      </c>
      <c r="K1296" s="1438"/>
      <c r="L1296" s="1438"/>
      <c r="M1296" s="1437">
        <f t="shared" si="166"/>
        <v>0</v>
      </c>
      <c r="N1296" s="1437">
        <f t="shared" si="167"/>
        <v>0</v>
      </c>
    </row>
    <row r="1297" spans="1:14" ht="15.5" outlineLevel="1">
      <c r="A1297" s="1491">
        <f t="shared" si="171"/>
        <v>28</v>
      </c>
      <c r="B1297" s="1377" t="str">
        <f t="shared" si="171"/>
        <v xml:space="preserve">Dsludg filteration for raw water </v>
      </c>
      <c r="C1297" s="1492" t="str">
        <f t="shared" si="171"/>
        <v>Add Cap (As per 296 of 2019)</v>
      </c>
      <c r="D1297" s="1334" t="str">
        <f t="shared" si="171"/>
        <v>-</v>
      </c>
      <c r="E1297" s="1401">
        <f t="shared" si="171"/>
        <v>17</v>
      </c>
      <c r="F1297" s="1437">
        <f t="shared" si="163"/>
        <v>0</v>
      </c>
      <c r="G1297" s="1437">
        <f t="shared" si="164"/>
        <v>0</v>
      </c>
      <c r="H1297" s="1437">
        <f t="shared" si="165"/>
        <v>0</v>
      </c>
      <c r="I1297" s="1437">
        <v>0</v>
      </c>
      <c r="J1297" s="1437">
        <v>0</v>
      </c>
      <c r="K1297" s="1438"/>
      <c r="L1297" s="1438"/>
      <c r="M1297" s="1437">
        <f t="shared" si="166"/>
        <v>0</v>
      </c>
      <c r="N1297" s="1437">
        <f t="shared" si="167"/>
        <v>0</v>
      </c>
    </row>
    <row r="1298" spans="1:14" ht="15.5" outlineLevel="1">
      <c r="A1298" s="1491">
        <f t="shared" si="171"/>
        <v>29</v>
      </c>
      <c r="B1298" s="1525" t="str">
        <f t="shared" si="171"/>
        <v>PLC/UPS system  upgradation</v>
      </c>
      <c r="C1298" s="1492" t="str">
        <f t="shared" si="171"/>
        <v>Add Cap (As per 296 of 2019)</v>
      </c>
      <c r="D1298" s="1514" t="str">
        <f t="shared" si="171"/>
        <v>-</v>
      </c>
      <c r="E1298" s="1498">
        <f t="shared" si="171"/>
        <v>0.5</v>
      </c>
      <c r="F1298" s="1437">
        <f t="shared" si="163"/>
        <v>0.40149499999999999</v>
      </c>
      <c r="G1298" s="1437">
        <f t="shared" si="164"/>
        <v>0.40149499999999999</v>
      </c>
      <c r="H1298" s="1437">
        <f t="shared" si="165"/>
        <v>0</v>
      </c>
      <c r="I1298" s="1437">
        <v>0</v>
      </c>
      <c r="J1298" s="1437">
        <v>0</v>
      </c>
      <c r="K1298" s="1438"/>
      <c r="L1298" s="1438"/>
      <c r="M1298" s="1437">
        <f t="shared" si="166"/>
        <v>0</v>
      </c>
      <c r="N1298" s="1437">
        <f t="shared" si="167"/>
        <v>0</v>
      </c>
    </row>
    <row r="1299" spans="1:14" outlineLevel="1">
      <c r="A1299" s="1392">
        <f t="shared" ref="A1299:E1314" si="172">A906</f>
        <v>0</v>
      </c>
      <c r="B1299" s="1332" t="str">
        <f t="shared" si="172"/>
        <v>DPR Schemes</v>
      </c>
      <c r="C1299" s="1338">
        <f t="shared" si="172"/>
        <v>0</v>
      </c>
      <c r="D1299" s="1334" t="str">
        <f t="shared" si="172"/>
        <v>-</v>
      </c>
      <c r="E1299" s="1336">
        <f t="shared" si="172"/>
        <v>0</v>
      </c>
      <c r="F1299" s="1437">
        <f t="shared" si="163"/>
        <v>0</v>
      </c>
      <c r="G1299" s="1437">
        <f t="shared" si="164"/>
        <v>0</v>
      </c>
      <c r="H1299" s="1437">
        <f t="shared" si="165"/>
        <v>0</v>
      </c>
      <c r="I1299" s="1437">
        <v>0</v>
      </c>
      <c r="J1299" s="1437">
        <v>0</v>
      </c>
      <c r="K1299" s="1438"/>
      <c r="L1299" s="1438"/>
      <c r="M1299" s="1437">
        <f t="shared" si="166"/>
        <v>0</v>
      </c>
      <c r="N1299" s="1437">
        <f t="shared" si="167"/>
        <v>0</v>
      </c>
    </row>
    <row r="1300" spans="1:14" outlineLevel="1">
      <c r="A1300" s="1526">
        <f t="shared" si="172"/>
        <v>22</v>
      </c>
      <c r="B1300" s="1527" t="str">
        <f t="shared" si="172"/>
        <v>FGD at Parli Unit # 8</v>
      </c>
      <c r="C1300" s="1526" t="str">
        <f t="shared" si="172"/>
        <v>MERC/CAPEX/2021-2022/0284</v>
      </c>
      <c r="D1300" s="1528">
        <f t="shared" si="172"/>
        <v>44739</v>
      </c>
      <c r="E1300" s="1405">
        <f t="shared" si="172"/>
        <v>89.240000000000009</v>
      </c>
      <c r="F1300" s="1437">
        <f t="shared" si="163"/>
        <v>4.0999999999999996</v>
      </c>
      <c r="G1300" s="1437">
        <f t="shared" si="164"/>
        <v>0</v>
      </c>
      <c r="H1300" s="1437">
        <f t="shared" si="165"/>
        <v>4.0999999999999996</v>
      </c>
      <c r="I1300" s="1437">
        <v>0</v>
      </c>
      <c r="J1300" s="1437">
        <v>0</v>
      </c>
      <c r="K1300" s="1438"/>
      <c r="L1300" s="1438"/>
      <c r="M1300" s="1437">
        <f t="shared" si="166"/>
        <v>0</v>
      </c>
      <c r="N1300" s="1437">
        <f t="shared" si="167"/>
        <v>4.0999999999999996</v>
      </c>
    </row>
    <row r="1301" spans="1:14" outlineLevel="1">
      <c r="A1301" s="1499">
        <f t="shared" si="172"/>
        <v>22.1</v>
      </c>
      <c r="B1301" s="1530" t="str">
        <f t="shared" si="172"/>
        <v>FGD at Parli Unit # 8</v>
      </c>
      <c r="C1301" s="1491" t="str">
        <f t="shared" si="172"/>
        <v>MERC/CAPEX/2021-2022/0284</v>
      </c>
      <c r="D1301" s="1531">
        <f t="shared" si="172"/>
        <v>44739</v>
      </c>
      <c r="E1301" s="1318">
        <f t="shared" si="172"/>
        <v>85.2</v>
      </c>
      <c r="F1301" s="1437">
        <f t="shared" si="163"/>
        <v>95.21</v>
      </c>
      <c r="G1301" s="1437">
        <f t="shared" si="164"/>
        <v>0</v>
      </c>
      <c r="H1301" s="1437">
        <f t="shared" si="165"/>
        <v>95.21</v>
      </c>
      <c r="I1301" s="1437">
        <v>0</v>
      </c>
      <c r="J1301" s="1437">
        <v>108.86</v>
      </c>
      <c r="K1301" s="1438"/>
      <c r="L1301" s="1438"/>
      <c r="M1301" s="1437">
        <f t="shared" si="166"/>
        <v>108.86</v>
      </c>
      <c r="N1301" s="1437">
        <f t="shared" si="167"/>
        <v>-13.650000000000006</v>
      </c>
    </row>
    <row r="1302" spans="1:14" outlineLevel="1">
      <c r="A1302" s="1511">
        <f t="shared" si="172"/>
        <v>0</v>
      </c>
      <c r="B1302" s="1532" t="str">
        <f t="shared" si="172"/>
        <v>IDC</v>
      </c>
      <c r="C1302" s="1491" t="str">
        <f t="shared" si="172"/>
        <v>MERC/CAPEX/2021-2022/0284</v>
      </c>
      <c r="D1302" s="1531">
        <f t="shared" si="172"/>
        <v>44739</v>
      </c>
      <c r="E1302" s="1318">
        <f t="shared" si="172"/>
        <v>4.04</v>
      </c>
      <c r="F1302" s="1437">
        <f t="shared" si="163"/>
        <v>4.04</v>
      </c>
      <c r="G1302" s="1437">
        <f t="shared" si="164"/>
        <v>0</v>
      </c>
      <c r="H1302" s="1437">
        <f t="shared" si="165"/>
        <v>4.04</v>
      </c>
      <c r="I1302" s="1437">
        <v>0</v>
      </c>
      <c r="J1302" s="1437">
        <v>0</v>
      </c>
      <c r="K1302" s="1438"/>
      <c r="L1302" s="1438"/>
      <c r="M1302" s="1437">
        <f t="shared" si="166"/>
        <v>0</v>
      </c>
      <c r="N1302" s="1437">
        <f t="shared" si="167"/>
        <v>4.04</v>
      </c>
    </row>
    <row r="1303" spans="1:14" ht="31" outlineLevel="1">
      <c r="A1303" s="1533" t="str">
        <f t="shared" si="172"/>
        <v>HO
DPR 16</v>
      </c>
      <c r="B1303" s="1534" t="str">
        <f t="shared" si="172"/>
        <v>Construction of new Administrative Building for Mahagenco at Vidyut Bhawan, Katol Road, Nagpur</v>
      </c>
      <c r="C1303" s="1526" t="str">
        <f t="shared" si="172"/>
        <v>MERC/CAPEX/2021-2022/MSPGCL/063</v>
      </c>
      <c r="D1303" s="1528">
        <f t="shared" si="172"/>
        <v>44604</v>
      </c>
      <c r="E1303" s="1405">
        <f t="shared" si="172"/>
        <v>57</v>
      </c>
      <c r="F1303" s="1437">
        <f t="shared" si="163"/>
        <v>0</v>
      </c>
      <c r="G1303" s="1437">
        <f t="shared" si="164"/>
        <v>0</v>
      </c>
      <c r="H1303" s="1437">
        <f t="shared" si="165"/>
        <v>0</v>
      </c>
      <c r="I1303" s="1437">
        <v>0</v>
      </c>
      <c r="J1303" s="1437">
        <v>0</v>
      </c>
      <c r="K1303" s="1438"/>
      <c r="L1303" s="1438"/>
      <c r="M1303" s="1437">
        <f t="shared" si="166"/>
        <v>0</v>
      </c>
      <c r="N1303" s="1437">
        <f t="shared" si="167"/>
        <v>0</v>
      </c>
    </row>
    <row r="1304" spans="1:14" ht="46.5" outlineLevel="1">
      <c r="A1304" s="1535" t="str">
        <f t="shared" si="172"/>
        <v>HO
DPR 16.1</v>
      </c>
      <c r="B1304" s="1536" t="str">
        <f t="shared" si="172"/>
        <v>Construction of new Administrative Building for Mahagenco at Vidyut Bhawan, Katol Road, Nagpur</v>
      </c>
      <c r="C1304" s="1491" t="str">
        <f t="shared" si="172"/>
        <v>MERC/CAPEX/2021-2022/MSPGCL/063</v>
      </c>
      <c r="D1304" s="1531">
        <f t="shared" si="172"/>
        <v>44604</v>
      </c>
      <c r="E1304" s="1318">
        <f t="shared" si="172"/>
        <v>54.24</v>
      </c>
      <c r="F1304" s="1437">
        <f t="shared" si="163"/>
        <v>0</v>
      </c>
      <c r="G1304" s="1437">
        <f t="shared" si="164"/>
        <v>0</v>
      </c>
      <c r="H1304" s="1437">
        <f t="shared" si="165"/>
        <v>0</v>
      </c>
      <c r="I1304" s="1437">
        <v>0</v>
      </c>
      <c r="J1304" s="1437">
        <v>0</v>
      </c>
      <c r="K1304" s="1438"/>
      <c r="L1304" s="1438"/>
      <c r="M1304" s="1437">
        <f t="shared" si="166"/>
        <v>0</v>
      </c>
      <c r="N1304" s="1437">
        <f t="shared" si="167"/>
        <v>0</v>
      </c>
    </row>
    <row r="1305" spans="1:14" ht="15.5" outlineLevel="1">
      <c r="A1305" s="1537">
        <f t="shared" si="172"/>
        <v>0</v>
      </c>
      <c r="B1305" s="1536" t="str">
        <f t="shared" si="172"/>
        <v>IDC</v>
      </c>
      <c r="C1305" s="1491" t="str">
        <f t="shared" si="172"/>
        <v>MERC/CAPEX/2021-2022/MSPGCL/063</v>
      </c>
      <c r="D1305" s="1531">
        <f t="shared" si="172"/>
        <v>44604</v>
      </c>
      <c r="E1305" s="1318">
        <f t="shared" si="172"/>
        <v>2.76</v>
      </c>
      <c r="F1305" s="1437">
        <f t="shared" si="163"/>
        <v>0</v>
      </c>
      <c r="G1305" s="1437">
        <f t="shared" si="164"/>
        <v>0</v>
      </c>
      <c r="H1305" s="1437">
        <f t="shared" si="165"/>
        <v>0</v>
      </c>
      <c r="I1305" s="1437">
        <v>0</v>
      </c>
      <c r="J1305" s="1437">
        <v>0</v>
      </c>
      <c r="K1305" s="1438"/>
      <c r="L1305" s="1438"/>
      <c r="M1305" s="1437">
        <f t="shared" si="166"/>
        <v>0</v>
      </c>
      <c r="N1305" s="1437">
        <f t="shared" si="167"/>
        <v>0</v>
      </c>
    </row>
    <row r="1306" spans="1:14" ht="31" outlineLevel="1">
      <c r="A1306" s="1533" t="str">
        <f t="shared" si="172"/>
        <v>HO
DPR 17</v>
      </c>
      <c r="B1306" s="1534" t="str">
        <f t="shared" si="172"/>
        <v>Centralized Monitoring Solution</v>
      </c>
      <c r="C1306" s="1526" t="str">
        <f t="shared" si="172"/>
        <v>MERC/CAPEX/MSPGCL/2023-24/0576</v>
      </c>
      <c r="D1306" s="1528">
        <f t="shared" si="172"/>
        <v>45232</v>
      </c>
      <c r="E1306" s="1405">
        <f t="shared" si="172"/>
        <v>69.308999999999997</v>
      </c>
      <c r="F1306" s="1437">
        <f t="shared" si="163"/>
        <v>0</v>
      </c>
      <c r="G1306" s="1437">
        <f t="shared" si="164"/>
        <v>0</v>
      </c>
      <c r="H1306" s="1437">
        <f t="shared" si="165"/>
        <v>0</v>
      </c>
      <c r="I1306" s="1437">
        <v>0</v>
      </c>
      <c r="J1306" s="1437">
        <v>0</v>
      </c>
      <c r="K1306" s="1438"/>
      <c r="L1306" s="1438"/>
      <c r="M1306" s="1437">
        <f t="shared" si="166"/>
        <v>0</v>
      </c>
      <c r="N1306" s="1437">
        <f t="shared" si="167"/>
        <v>0</v>
      </c>
    </row>
    <row r="1307" spans="1:14" ht="46.5" outlineLevel="1">
      <c r="A1307" s="1535" t="str">
        <f t="shared" si="172"/>
        <v>HO
DPR 17.1</v>
      </c>
      <c r="B1307" s="1536" t="str">
        <f t="shared" si="172"/>
        <v>Centralized Monitoring Solution</v>
      </c>
      <c r="C1307" s="1491" t="str">
        <f t="shared" si="172"/>
        <v>MERC/CAPEX/MSPGCL/2023-24/0576</v>
      </c>
      <c r="D1307" s="1531">
        <f t="shared" si="172"/>
        <v>45232</v>
      </c>
      <c r="E1307" s="1318">
        <f t="shared" si="172"/>
        <v>66.009</v>
      </c>
      <c r="F1307" s="1437">
        <f t="shared" si="163"/>
        <v>2.23</v>
      </c>
      <c r="G1307" s="1437">
        <f t="shared" si="164"/>
        <v>2.23</v>
      </c>
      <c r="H1307" s="1437">
        <f t="shared" si="165"/>
        <v>0</v>
      </c>
      <c r="I1307" s="1437">
        <v>0</v>
      </c>
      <c r="J1307" s="1437">
        <v>0</v>
      </c>
      <c r="K1307" s="1438"/>
      <c r="L1307" s="1438"/>
      <c r="M1307" s="1437">
        <f t="shared" si="166"/>
        <v>0</v>
      </c>
      <c r="N1307" s="1437">
        <f t="shared" si="167"/>
        <v>0</v>
      </c>
    </row>
    <row r="1308" spans="1:14" ht="15.5" outlineLevel="1">
      <c r="A1308" s="1537">
        <f t="shared" si="172"/>
        <v>0</v>
      </c>
      <c r="B1308" s="1536" t="str">
        <f t="shared" si="172"/>
        <v>IDC</v>
      </c>
      <c r="C1308" s="1491" t="str">
        <f t="shared" si="172"/>
        <v>MERC/CAPEX/MSPGCL/2023-24/0576</v>
      </c>
      <c r="D1308" s="1531">
        <f t="shared" si="172"/>
        <v>45232</v>
      </c>
      <c r="E1308" s="1318">
        <f t="shared" si="172"/>
        <v>3.3</v>
      </c>
      <c r="F1308" s="1437">
        <f t="shared" si="163"/>
        <v>0</v>
      </c>
      <c r="G1308" s="1437">
        <f t="shared" si="164"/>
        <v>0</v>
      </c>
      <c r="H1308" s="1437">
        <f t="shared" si="165"/>
        <v>0</v>
      </c>
      <c r="I1308" s="1437">
        <v>0</v>
      </c>
      <c r="J1308" s="1437">
        <v>0</v>
      </c>
      <c r="K1308" s="1438"/>
      <c r="L1308" s="1438"/>
      <c r="M1308" s="1437">
        <f t="shared" si="166"/>
        <v>0</v>
      </c>
      <c r="N1308" s="1437">
        <f t="shared" si="167"/>
        <v>0</v>
      </c>
    </row>
    <row r="1309" spans="1:14" outlineLevel="1">
      <c r="A1309" s="1505">
        <f t="shared" si="172"/>
        <v>0</v>
      </c>
      <c r="B1309" s="1332" t="str">
        <f t="shared" si="172"/>
        <v>(ii) Yet to be submitted to MERC</v>
      </c>
      <c r="C1309" s="1491">
        <f t="shared" si="172"/>
        <v>0</v>
      </c>
      <c r="D1309" s="1531" t="str">
        <f t="shared" si="172"/>
        <v>-</v>
      </c>
      <c r="E1309" s="1318">
        <f t="shared" si="172"/>
        <v>0</v>
      </c>
      <c r="F1309" s="1437">
        <f t="shared" si="163"/>
        <v>0</v>
      </c>
      <c r="G1309" s="1437">
        <f t="shared" si="164"/>
        <v>0</v>
      </c>
      <c r="H1309" s="1437">
        <f t="shared" si="165"/>
        <v>0</v>
      </c>
      <c r="I1309" s="1437">
        <v>0</v>
      </c>
      <c r="J1309" s="1437">
        <v>0</v>
      </c>
      <c r="K1309" s="1438"/>
      <c r="L1309" s="1438"/>
      <c r="M1309" s="1437">
        <f t="shared" si="166"/>
        <v>0</v>
      </c>
      <c r="N1309" s="1437">
        <f t="shared" si="167"/>
        <v>0</v>
      </c>
    </row>
    <row r="1310" spans="1:14" ht="46.5" outlineLevel="1">
      <c r="A1310" s="1533">
        <f t="shared" si="172"/>
        <v>1</v>
      </c>
      <c r="B1310" s="1534" t="str">
        <f t="shared" si="172"/>
        <v xml:space="preserve">Detailed Project Report on  Boiler plant performance improvement and availability improvement schemes at Boiler Maintenance 1x250MW Unit-8 TPS Parli-V </v>
      </c>
      <c r="C1310" s="1526" t="str">
        <f t="shared" si="172"/>
        <v>Yet to be approved</v>
      </c>
      <c r="D1310" s="1528" t="str">
        <f t="shared" si="172"/>
        <v>-</v>
      </c>
      <c r="E1310" s="1405">
        <f t="shared" si="172"/>
        <v>0</v>
      </c>
      <c r="F1310" s="1437">
        <f t="shared" si="163"/>
        <v>0</v>
      </c>
      <c r="G1310" s="1437">
        <f t="shared" si="164"/>
        <v>0</v>
      </c>
      <c r="H1310" s="1437">
        <f t="shared" si="165"/>
        <v>0</v>
      </c>
      <c r="I1310" s="1437">
        <v>0</v>
      </c>
      <c r="J1310" s="1437">
        <v>0</v>
      </c>
      <c r="K1310" s="1438"/>
      <c r="L1310" s="1438"/>
      <c r="M1310" s="1437">
        <f t="shared" si="166"/>
        <v>0</v>
      </c>
      <c r="N1310" s="1437">
        <f t="shared" si="167"/>
        <v>0</v>
      </c>
    </row>
    <row r="1311" spans="1:14" ht="29" outlineLevel="1">
      <c r="A1311" s="1491">
        <f t="shared" si="172"/>
        <v>1.1000000000000001</v>
      </c>
      <c r="B1311" s="1530" t="str">
        <f t="shared" si="172"/>
        <v>Procurement &amp; Replacement of Complete Economizer Upper &amp; Lower Bank Coil Assemblies at Unit-8, NPTPS Parli-V</v>
      </c>
      <c r="C1311" s="1491" t="str">
        <f t="shared" si="172"/>
        <v>Yet to be approved</v>
      </c>
      <c r="D1311" s="1531" t="str">
        <f t="shared" si="172"/>
        <v>-</v>
      </c>
      <c r="E1311" s="1318">
        <f t="shared" si="172"/>
        <v>0</v>
      </c>
      <c r="F1311" s="1437">
        <f t="shared" si="163"/>
        <v>0</v>
      </c>
      <c r="G1311" s="1437">
        <f t="shared" si="164"/>
        <v>0</v>
      </c>
      <c r="H1311" s="1437">
        <f t="shared" si="165"/>
        <v>0</v>
      </c>
      <c r="I1311" s="1437">
        <v>5.68</v>
      </c>
      <c r="J1311" s="1437">
        <v>5.68</v>
      </c>
      <c r="K1311" s="1438"/>
      <c r="L1311" s="1438"/>
      <c r="M1311" s="1437">
        <f t="shared" si="166"/>
        <v>5.68</v>
      </c>
      <c r="N1311" s="1437">
        <f t="shared" si="167"/>
        <v>0</v>
      </c>
    </row>
    <row r="1312" spans="1:14" ht="29" outlineLevel="1">
      <c r="A1312" s="1491">
        <f t="shared" si="172"/>
        <v>1.2</v>
      </c>
      <c r="B1312" s="1530" t="str">
        <f t="shared" si="172"/>
        <v>Procurement &amp; Replacement of Two complete set of APH Baskets at 250 MW Unit-8, Parli TPS.</v>
      </c>
      <c r="C1312" s="1491" t="str">
        <f t="shared" si="172"/>
        <v>Yet to be approved</v>
      </c>
      <c r="D1312" s="1531" t="str">
        <f t="shared" si="172"/>
        <v>-</v>
      </c>
      <c r="E1312" s="1318">
        <f t="shared" si="172"/>
        <v>0</v>
      </c>
      <c r="F1312" s="1437">
        <f t="shared" si="163"/>
        <v>0</v>
      </c>
      <c r="G1312" s="1437">
        <f t="shared" si="164"/>
        <v>0</v>
      </c>
      <c r="H1312" s="1437">
        <f t="shared" si="165"/>
        <v>0</v>
      </c>
      <c r="I1312" s="1437">
        <v>4.5</v>
      </c>
      <c r="J1312" s="1437">
        <v>4.5</v>
      </c>
      <c r="K1312" s="1438"/>
      <c r="L1312" s="1438"/>
      <c r="M1312" s="1437">
        <f t="shared" si="166"/>
        <v>4.5</v>
      </c>
      <c r="N1312" s="1437">
        <f t="shared" si="167"/>
        <v>0</v>
      </c>
    </row>
    <row r="1313" spans="1:14" ht="29" outlineLevel="1">
      <c r="A1313" s="1491">
        <f t="shared" si="172"/>
        <v>1.3</v>
      </c>
      <c r="B1313" s="1530" t="str">
        <f t="shared" si="172"/>
        <v>Procurement &amp; replacement of  PA Fan PAF 17/11.8-2 and FD Fan FAF 17/9.5-1 Complete Blade set required at BM U-8 NPTPS Parli-V.</v>
      </c>
      <c r="C1313" s="1491" t="str">
        <f t="shared" si="172"/>
        <v>Yet to be approved</v>
      </c>
      <c r="D1313" s="1531" t="str">
        <f t="shared" si="172"/>
        <v>-</v>
      </c>
      <c r="E1313" s="1318">
        <f t="shared" si="172"/>
        <v>0</v>
      </c>
      <c r="F1313" s="1437">
        <f t="shared" si="163"/>
        <v>0</v>
      </c>
      <c r="G1313" s="1437">
        <f t="shared" si="164"/>
        <v>0</v>
      </c>
      <c r="H1313" s="1437">
        <f t="shared" si="165"/>
        <v>0</v>
      </c>
      <c r="I1313" s="1437">
        <v>5.45</v>
      </c>
      <c r="J1313" s="1437">
        <v>5.45</v>
      </c>
      <c r="K1313" s="1438"/>
      <c r="L1313" s="1438"/>
      <c r="M1313" s="1437">
        <f t="shared" si="166"/>
        <v>5.45</v>
      </c>
      <c r="N1313" s="1437">
        <f t="shared" si="167"/>
        <v>0</v>
      </c>
    </row>
    <row r="1314" spans="1:14" ht="29" outlineLevel="1">
      <c r="A1314" s="1491">
        <f t="shared" si="172"/>
        <v>1.4</v>
      </c>
      <c r="B1314" s="1530" t="str">
        <f t="shared" si="172"/>
        <v>Procurement &amp; Replacement of  Coal Mill Gear Box Type KMP 280 at 250 MW Unit-8, Parli TPS.</v>
      </c>
      <c r="C1314" s="1491" t="str">
        <f t="shared" si="172"/>
        <v>Yet to be approved</v>
      </c>
      <c r="D1314" s="1531" t="str">
        <f t="shared" si="172"/>
        <v>-</v>
      </c>
      <c r="E1314" s="1318">
        <f t="shared" si="172"/>
        <v>0</v>
      </c>
      <c r="F1314" s="1437">
        <f t="shared" si="163"/>
        <v>0</v>
      </c>
      <c r="G1314" s="1437">
        <f t="shared" si="164"/>
        <v>0</v>
      </c>
      <c r="H1314" s="1437">
        <f t="shared" si="165"/>
        <v>0</v>
      </c>
      <c r="I1314" s="1437">
        <v>7.43</v>
      </c>
      <c r="J1314" s="1437">
        <v>7.43</v>
      </c>
      <c r="K1314" s="1438"/>
      <c r="L1314" s="1438"/>
      <c r="M1314" s="1437">
        <f t="shared" si="166"/>
        <v>7.43</v>
      </c>
      <c r="N1314" s="1437">
        <f t="shared" si="167"/>
        <v>0</v>
      </c>
    </row>
    <row r="1315" spans="1:14" ht="29" outlineLevel="1">
      <c r="A1315" s="1491">
        <f t="shared" ref="A1315:E1330" si="173">A922</f>
        <v>1.5</v>
      </c>
      <c r="B1315" s="1530" t="str">
        <f t="shared" si="173"/>
        <v>Procurement &amp; replacement of Bowl &amp; Bowl Hub Assembly of Coal Mill XRP-903 required at BM U-8 NPTPS Parli-V.</v>
      </c>
      <c r="C1315" s="1491" t="str">
        <f t="shared" si="173"/>
        <v>Yet to be approved</v>
      </c>
      <c r="D1315" s="1531" t="str">
        <f t="shared" si="173"/>
        <v>-</v>
      </c>
      <c r="E1315" s="1318">
        <f t="shared" si="173"/>
        <v>0</v>
      </c>
      <c r="F1315" s="1437">
        <f t="shared" si="163"/>
        <v>0</v>
      </c>
      <c r="G1315" s="1437">
        <f t="shared" si="164"/>
        <v>0</v>
      </c>
      <c r="H1315" s="1437">
        <f t="shared" si="165"/>
        <v>0</v>
      </c>
      <c r="I1315" s="1437">
        <v>3.1</v>
      </c>
      <c r="J1315" s="1437">
        <v>3.1</v>
      </c>
      <c r="K1315" s="1438"/>
      <c r="L1315" s="1438"/>
      <c r="M1315" s="1437">
        <f t="shared" ref="M1315" si="174">SUM(J1315:L1315)</f>
        <v>3.1</v>
      </c>
      <c r="N1315" s="1437">
        <f t="shared" si="167"/>
        <v>0</v>
      </c>
    </row>
    <row r="1316" spans="1:14" ht="29" outlineLevel="1">
      <c r="A1316" s="1491">
        <f t="shared" si="173"/>
        <v>1.6</v>
      </c>
      <c r="B1316" s="1530" t="str">
        <f t="shared" si="173"/>
        <v>Procurement of Complete Journal Assembly without Grinding roll for Coal Mill XRP-903  required at BM U-8 NPTPS Parli-V</v>
      </c>
      <c r="C1316" s="1491" t="str">
        <f t="shared" si="173"/>
        <v>Yet to be approved</v>
      </c>
      <c r="D1316" s="1531" t="str">
        <f t="shared" si="173"/>
        <v>-</v>
      </c>
      <c r="E1316" s="1318">
        <f t="shared" si="173"/>
        <v>0</v>
      </c>
      <c r="F1316" s="1437">
        <f t="shared" si="163"/>
        <v>0</v>
      </c>
      <c r="G1316" s="1437">
        <f t="shared" si="164"/>
        <v>0</v>
      </c>
      <c r="H1316" s="1437">
        <f t="shared" si="165"/>
        <v>0</v>
      </c>
      <c r="I1316" s="1437">
        <v>1.29</v>
      </c>
      <c r="J1316" s="1437">
        <v>1.29</v>
      </c>
      <c r="K1316" s="1438"/>
      <c r="L1316" s="1438"/>
      <c r="M1316" s="1437">
        <f t="shared" ref="M1316:M1380" si="175">SUM(J1316:L1316)</f>
        <v>1.29</v>
      </c>
      <c r="N1316" s="1437">
        <f t="shared" si="167"/>
        <v>0</v>
      </c>
    </row>
    <row r="1317" spans="1:14" ht="29" outlineLevel="1">
      <c r="A1317" s="1491">
        <f t="shared" si="173"/>
        <v>1.7</v>
      </c>
      <c r="B1317" s="1530" t="str">
        <f t="shared" si="173"/>
        <v>Procurement of  Hydraulic Adjustment Device for FD Fan FAF 17/9.5-1 at BM U-8 NPTPS Parli-V.</v>
      </c>
      <c r="C1317" s="1491" t="str">
        <f t="shared" si="173"/>
        <v>Yet to be approved</v>
      </c>
      <c r="D1317" s="1531" t="str">
        <f t="shared" si="173"/>
        <v>-</v>
      </c>
      <c r="E1317" s="1318">
        <f t="shared" si="173"/>
        <v>0</v>
      </c>
      <c r="F1317" s="1437">
        <f t="shared" si="163"/>
        <v>0</v>
      </c>
      <c r="G1317" s="1437">
        <f t="shared" si="164"/>
        <v>0</v>
      </c>
      <c r="H1317" s="1437">
        <f t="shared" si="165"/>
        <v>0</v>
      </c>
      <c r="I1317" s="1437">
        <v>1.4</v>
      </c>
      <c r="J1317" s="1437">
        <v>1.4</v>
      </c>
      <c r="K1317" s="1438"/>
      <c r="L1317" s="1438"/>
      <c r="M1317" s="1437">
        <f t="shared" si="175"/>
        <v>1.4</v>
      </c>
      <c r="N1317" s="1437">
        <f t="shared" si="167"/>
        <v>0</v>
      </c>
    </row>
    <row r="1318" spans="1:14" outlineLevel="1">
      <c r="A1318" s="1491">
        <f t="shared" si="173"/>
        <v>1.8</v>
      </c>
      <c r="B1318" s="1530" t="str">
        <f t="shared" si="173"/>
        <v>SWAS upgradation at U#8</v>
      </c>
      <c r="C1318" s="1491" t="str">
        <f t="shared" si="173"/>
        <v>Yet to be approved</v>
      </c>
      <c r="D1318" s="1531" t="str">
        <f t="shared" si="173"/>
        <v>-</v>
      </c>
      <c r="E1318" s="1318">
        <f t="shared" si="173"/>
        <v>0</v>
      </c>
      <c r="F1318" s="1437">
        <f t="shared" ref="F1318:F1381" si="176">F925+I925</f>
        <v>0</v>
      </c>
      <c r="G1318" s="1437">
        <f t="shared" ref="G1318:G1381" si="177">G925+M925</f>
        <v>0</v>
      </c>
      <c r="H1318" s="1437">
        <f t="shared" ref="H1318:H1382" si="178">F1318-G1318</f>
        <v>0</v>
      </c>
      <c r="I1318" s="1437">
        <v>4.8</v>
      </c>
      <c r="J1318" s="1437">
        <v>4.8</v>
      </c>
      <c r="K1318" s="1438"/>
      <c r="L1318" s="1438"/>
      <c r="M1318" s="1437">
        <f t="shared" si="175"/>
        <v>4.8</v>
      </c>
      <c r="N1318" s="1437">
        <f t="shared" ref="N1318:N1382" si="179">H1318+I1318-M1318</f>
        <v>0</v>
      </c>
    </row>
    <row r="1319" spans="1:14" ht="21" outlineLevel="1">
      <c r="A1319" s="1538">
        <f t="shared" si="173"/>
        <v>0</v>
      </c>
      <c r="B1319" s="1410" t="str">
        <f t="shared" si="173"/>
        <v>(ii) Yet to be submitted to MERC</v>
      </c>
      <c r="C1319" s="1491">
        <f t="shared" si="173"/>
        <v>0</v>
      </c>
      <c r="D1319" s="1531" t="str">
        <f t="shared" si="173"/>
        <v>-</v>
      </c>
      <c r="E1319" s="1318">
        <f t="shared" si="173"/>
        <v>0</v>
      </c>
      <c r="F1319" s="1437">
        <f t="shared" si="176"/>
        <v>0</v>
      </c>
      <c r="G1319" s="1437">
        <f t="shared" si="177"/>
        <v>0</v>
      </c>
      <c r="H1319" s="1437">
        <f t="shared" si="178"/>
        <v>0</v>
      </c>
      <c r="I1319" s="1437">
        <v>0</v>
      </c>
      <c r="J1319" s="1437">
        <v>0</v>
      </c>
      <c r="K1319" s="1438"/>
      <c r="L1319" s="1438"/>
      <c r="M1319" s="1437">
        <f t="shared" si="175"/>
        <v>0</v>
      </c>
      <c r="N1319" s="1437">
        <f t="shared" si="179"/>
        <v>0</v>
      </c>
    </row>
    <row r="1320" spans="1:14" ht="77.5" outlineLevel="1">
      <c r="A1320" s="1533">
        <f t="shared" si="173"/>
        <v>2</v>
      </c>
      <c r="B1320" s="1534" t="str">
        <f t="shared" si="173"/>
        <v xml:space="preserve"> Procurement &amp; Replacement of Complete Platen super heater coils  Coil Assemblies at Unit-8, TPS Parli-V,  Procurement &amp; Replacement of Complete LTSH upper &amp; lower bank Coil Assemblies at Unit-8, TPS Parli-V &amp;  Procurement &amp; Replacement of  Coal Mill Gear Box Type KMP 280 at 250 MW Unit-8, Parli TPS.</v>
      </c>
      <c r="C1320" s="1491" t="str">
        <f t="shared" si="173"/>
        <v>Yet to be approved</v>
      </c>
      <c r="D1320" s="1531" t="str">
        <f t="shared" si="173"/>
        <v>-</v>
      </c>
      <c r="E1320" s="1318">
        <f t="shared" si="173"/>
        <v>0</v>
      </c>
      <c r="F1320" s="1437">
        <f t="shared" si="176"/>
        <v>0</v>
      </c>
      <c r="G1320" s="1437">
        <f t="shared" si="177"/>
        <v>0</v>
      </c>
      <c r="H1320" s="1437">
        <f t="shared" si="178"/>
        <v>0</v>
      </c>
      <c r="I1320" s="1437">
        <v>0</v>
      </c>
      <c r="J1320" s="1437">
        <v>0</v>
      </c>
      <c r="K1320" s="1438"/>
      <c r="L1320" s="1438"/>
      <c r="M1320" s="1437">
        <f t="shared" si="175"/>
        <v>0</v>
      </c>
      <c r="N1320" s="1437">
        <f t="shared" si="179"/>
        <v>0</v>
      </c>
    </row>
    <row r="1321" spans="1:14" ht="29" outlineLevel="1">
      <c r="A1321" s="1491">
        <f t="shared" si="173"/>
        <v>2.1</v>
      </c>
      <c r="B1321" s="1530" t="str">
        <f t="shared" si="173"/>
        <v>Procurement &amp; Replacement of Complete Platen super heater coils  Coil Assemblies at Unit-8, TPS Parli-V</v>
      </c>
      <c r="C1321" s="1491" t="str">
        <f t="shared" si="173"/>
        <v>Yet to be approved</v>
      </c>
      <c r="D1321" s="1531" t="str">
        <f t="shared" si="173"/>
        <v>-</v>
      </c>
      <c r="E1321" s="1318">
        <f t="shared" si="173"/>
        <v>0</v>
      </c>
      <c r="F1321" s="1437">
        <f t="shared" si="176"/>
        <v>0</v>
      </c>
      <c r="G1321" s="1437">
        <f t="shared" si="177"/>
        <v>0</v>
      </c>
      <c r="H1321" s="1437">
        <f t="shared" si="178"/>
        <v>0</v>
      </c>
      <c r="I1321" s="1437">
        <v>0</v>
      </c>
      <c r="J1321" s="1437">
        <v>0</v>
      </c>
      <c r="K1321" s="1438"/>
      <c r="L1321" s="1438"/>
      <c r="M1321" s="1437">
        <f t="shared" si="175"/>
        <v>0</v>
      </c>
      <c r="N1321" s="1437">
        <f t="shared" si="179"/>
        <v>0</v>
      </c>
    </row>
    <row r="1322" spans="1:14" ht="29" outlineLevel="1">
      <c r="A1322" s="1491">
        <f t="shared" si="173"/>
        <v>2.2000000000000002</v>
      </c>
      <c r="B1322" s="1530" t="str">
        <f t="shared" si="173"/>
        <v>Procurement &amp; Replacement of Complete LTSH upper &amp; lower bank Coil Assemblies at Unit-8, TPS Parli-V</v>
      </c>
      <c r="C1322" s="1491" t="str">
        <f t="shared" si="173"/>
        <v>Yet to be approved</v>
      </c>
      <c r="D1322" s="1531" t="str">
        <f t="shared" si="173"/>
        <v>-</v>
      </c>
      <c r="E1322" s="1318">
        <f t="shared" si="173"/>
        <v>0</v>
      </c>
      <c r="F1322" s="1437">
        <f t="shared" si="176"/>
        <v>0</v>
      </c>
      <c r="G1322" s="1437">
        <f t="shared" si="177"/>
        <v>0</v>
      </c>
      <c r="H1322" s="1437">
        <f t="shared" si="178"/>
        <v>0</v>
      </c>
      <c r="I1322" s="1437">
        <v>0</v>
      </c>
      <c r="J1322" s="1437">
        <v>0</v>
      </c>
      <c r="K1322" s="1438"/>
      <c r="L1322" s="1438"/>
      <c r="M1322" s="1437">
        <f t="shared" si="175"/>
        <v>0</v>
      </c>
      <c r="N1322" s="1437">
        <f t="shared" si="179"/>
        <v>0</v>
      </c>
    </row>
    <row r="1323" spans="1:14" ht="29" outlineLevel="1">
      <c r="A1323" s="1491">
        <f t="shared" si="173"/>
        <v>2.2999999999999998</v>
      </c>
      <c r="B1323" s="1530" t="str">
        <f t="shared" si="173"/>
        <v xml:space="preserve"> Procurement &amp; Replacement of  Coal Mill Gear Box Type KMP 280 at 250 MW Unit-8, Parli TPS.</v>
      </c>
      <c r="C1323" s="1491" t="str">
        <f t="shared" si="173"/>
        <v>Yet to be approved</v>
      </c>
      <c r="D1323" s="1531" t="str">
        <f t="shared" si="173"/>
        <v>-</v>
      </c>
      <c r="E1323" s="1318">
        <f t="shared" si="173"/>
        <v>0</v>
      </c>
      <c r="F1323" s="1437">
        <f t="shared" si="176"/>
        <v>0</v>
      </c>
      <c r="G1323" s="1437">
        <f t="shared" si="177"/>
        <v>0</v>
      </c>
      <c r="H1323" s="1437">
        <f t="shared" si="178"/>
        <v>0</v>
      </c>
      <c r="I1323" s="1437">
        <v>0</v>
      </c>
      <c r="J1323" s="1437">
        <v>0</v>
      </c>
      <c r="K1323" s="1438"/>
      <c r="L1323" s="1438"/>
      <c r="M1323" s="1437">
        <f t="shared" si="175"/>
        <v>0</v>
      </c>
      <c r="N1323" s="1437">
        <f t="shared" si="179"/>
        <v>0</v>
      </c>
    </row>
    <row r="1324" spans="1:14" ht="46.5" outlineLevel="1">
      <c r="A1324" s="1533">
        <f t="shared" si="173"/>
        <v>3</v>
      </c>
      <c r="B1324" s="1534" t="str">
        <f t="shared" si="173"/>
        <v xml:space="preserve"> Procurement &amp; Replacement of Two complete set of APH Baskets at 250 MW Unit-8, Parli TPS Procurement &amp; replacement of PA &amp; FD fan rotar hub assembly at Unit-8 TPS Parli-V</v>
      </c>
      <c r="C1324" s="1491" t="str">
        <f t="shared" si="173"/>
        <v>Yet to be approved</v>
      </c>
      <c r="D1324" s="1531" t="str">
        <f t="shared" si="173"/>
        <v>-</v>
      </c>
      <c r="E1324" s="1318">
        <f t="shared" si="173"/>
        <v>0</v>
      </c>
      <c r="F1324" s="1437">
        <f t="shared" si="176"/>
        <v>0</v>
      </c>
      <c r="G1324" s="1437">
        <f t="shared" si="177"/>
        <v>0</v>
      </c>
      <c r="H1324" s="1437">
        <f t="shared" si="178"/>
        <v>0</v>
      </c>
      <c r="I1324" s="1437">
        <v>0</v>
      </c>
      <c r="J1324" s="1437">
        <v>0</v>
      </c>
      <c r="K1324" s="1438"/>
      <c r="L1324" s="1438"/>
      <c r="M1324" s="1437">
        <f t="shared" si="175"/>
        <v>0</v>
      </c>
      <c r="N1324" s="1437">
        <f t="shared" si="179"/>
        <v>0</v>
      </c>
    </row>
    <row r="1325" spans="1:14" ht="29" outlineLevel="1">
      <c r="A1325" s="1491">
        <f t="shared" si="173"/>
        <v>3.1</v>
      </c>
      <c r="B1325" s="1530" t="str">
        <f t="shared" si="173"/>
        <v xml:space="preserve"> Procurement &amp; Replacement of Two complete set of APH Baskets at 250 MW Unit-8, Parli TPS.</v>
      </c>
      <c r="C1325" s="1491" t="str">
        <f t="shared" si="173"/>
        <v>Yet to be approved</v>
      </c>
      <c r="D1325" s="1531" t="str">
        <f t="shared" si="173"/>
        <v>-</v>
      </c>
      <c r="E1325" s="1318">
        <f t="shared" si="173"/>
        <v>0</v>
      </c>
      <c r="F1325" s="1437">
        <f t="shared" si="176"/>
        <v>0</v>
      </c>
      <c r="G1325" s="1437">
        <f t="shared" si="177"/>
        <v>0</v>
      </c>
      <c r="H1325" s="1437">
        <f t="shared" si="178"/>
        <v>0</v>
      </c>
      <c r="I1325" s="1437">
        <v>0</v>
      </c>
      <c r="J1325" s="1437">
        <v>0</v>
      </c>
      <c r="K1325" s="1438"/>
      <c r="L1325" s="1438"/>
      <c r="M1325" s="1437">
        <f t="shared" si="175"/>
        <v>0</v>
      </c>
      <c r="N1325" s="1437">
        <f t="shared" si="179"/>
        <v>0</v>
      </c>
    </row>
    <row r="1326" spans="1:14" ht="29" outlineLevel="1">
      <c r="A1326" s="1491">
        <f t="shared" si="173"/>
        <v>3.2</v>
      </c>
      <c r="B1326" s="1530" t="str">
        <f t="shared" si="173"/>
        <v>Procurement &amp; replacement of PA &amp; FD fan rotar hub assembly at Unit-8 TPS Parli-V</v>
      </c>
      <c r="C1326" s="1491" t="str">
        <f t="shared" si="173"/>
        <v>Yet to be approved</v>
      </c>
      <c r="D1326" s="1531" t="str">
        <f t="shared" si="173"/>
        <v>-</v>
      </c>
      <c r="E1326" s="1318">
        <f t="shared" si="173"/>
        <v>0</v>
      </c>
      <c r="F1326" s="1437">
        <f t="shared" si="176"/>
        <v>0</v>
      </c>
      <c r="G1326" s="1437">
        <f t="shared" si="177"/>
        <v>0</v>
      </c>
      <c r="H1326" s="1437">
        <f t="shared" si="178"/>
        <v>0</v>
      </c>
      <c r="I1326" s="1437">
        <v>0</v>
      </c>
      <c r="J1326" s="1437">
        <v>0</v>
      </c>
      <c r="K1326" s="1438"/>
      <c r="L1326" s="1438"/>
      <c r="M1326" s="1437">
        <f t="shared" si="175"/>
        <v>0</v>
      </c>
      <c r="N1326" s="1437">
        <f t="shared" si="179"/>
        <v>0</v>
      </c>
    </row>
    <row r="1327" spans="1:14" ht="31" outlineLevel="1">
      <c r="A1327" s="1533">
        <f t="shared" si="173"/>
        <v>4</v>
      </c>
      <c r="B1327" s="1534" t="str">
        <f t="shared" si="173"/>
        <v xml:space="preserve">DPR on Refurbishment of TG Governing system at Unit-8, PTPS, Parli V. </v>
      </c>
      <c r="C1327" s="1491" t="str">
        <f t="shared" si="173"/>
        <v>Yet to be approved</v>
      </c>
      <c r="D1327" s="1531" t="str">
        <f t="shared" si="173"/>
        <v>-</v>
      </c>
      <c r="E1327" s="1318">
        <f t="shared" si="173"/>
        <v>0</v>
      </c>
      <c r="F1327" s="1437">
        <f t="shared" si="176"/>
        <v>0</v>
      </c>
      <c r="G1327" s="1437">
        <f t="shared" si="177"/>
        <v>0</v>
      </c>
      <c r="H1327" s="1437">
        <f t="shared" si="178"/>
        <v>0</v>
      </c>
      <c r="I1327" s="1437">
        <v>0</v>
      </c>
      <c r="J1327" s="1437">
        <v>0</v>
      </c>
      <c r="K1327" s="1438"/>
      <c r="L1327" s="1438"/>
      <c r="M1327" s="1437">
        <f t="shared" si="175"/>
        <v>0</v>
      </c>
      <c r="N1327" s="1437">
        <f t="shared" si="179"/>
        <v>0</v>
      </c>
    </row>
    <row r="1328" spans="1:14" outlineLevel="1">
      <c r="A1328" s="1491">
        <f t="shared" si="173"/>
        <v>4.0999999999999996</v>
      </c>
      <c r="B1328" s="1530" t="str">
        <f t="shared" si="173"/>
        <v xml:space="preserve">Refurbishment of TG Governing system at Unit-8, PTPS, Parli V. </v>
      </c>
      <c r="C1328" s="1491" t="str">
        <f t="shared" si="173"/>
        <v>Yet to be approved</v>
      </c>
      <c r="D1328" s="1531" t="str">
        <f t="shared" si="173"/>
        <v>-</v>
      </c>
      <c r="E1328" s="1318">
        <f t="shared" si="173"/>
        <v>0</v>
      </c>
      <c r="F1328" s="1437">
        <f t="shared" si="176"/>
        <v>0</v>
      </c>
      <c r="G1328" s="1437">
        <f t="shared" si="177"/>
        <v>0</v>
      </c>
      <c r="H1328" s="1437">
        <f t="shared" si="178"/>
        <v>0</v>
      </c>
      <c r="I1328" s="1437">
        <v>25</v>
      </c>
      <c r="J1328" s="1437">
        <v>25</v>
      </c>
      <c r="K1328" s="1438"/>
      <c r="L1328" s="1438"/>
      <c r="M1328" s="1437">
        <f t="shared" si="175"/>
        <v>25</v>
      </c>
      <c r="N1328" s="1437">
        <f t="shared" si="179"/>
        <v>0</v>
      </c>
    </row>
    <row r="1329" spans="1:14" ht="31" outlineLevel="1">
      <c r="A1329" s="1533">
        <f t="shared" si="173"/>
        <v>5</v>
      </c>
      <c r="B1329" s="1534" t="str">
        <f t="shared" si="173"/>
        <v>DPR on Performance improvement of Natural Draft Cooling Tower (NDCT) at Unit-8, PTPS, Parli V.</v>
      </c>
      <c r="C1329" s="1491" t="str">
        <f t="shared" si="173"/>
        <v>Yet to be approved</v>
      </c>
      <c r="D1329" s="1531" t="str">
        <f t="shared" si="173"/>
        <v>-</v>
      </c>
      <c r="E1329" s="1318">
        <f t="shared" si="173"/>
        <v>0</v>
      </c>
      <c r="F1329" s="1437">
        <f t="shared" si="176"/>
        <v>0</v>
      </c>
      <c r="G1329" s="1437">
        <f t="shared" si="177"/>
        <v>0</v>
      </c>
      <c r="H1329" s="1437">
        <f t="shared" si="178"/>
        <v>0</v>
      </c>
      <c r="I1329" s="1437">
        <v>0</v>
      </c>
      <c r="J1329" s="1437">
        <v>0</v>
      </c>
      <c r="K1329" s="1438"/>
      <c r="L1329" s="1438"/>
      <c r="M1329" s="1437">
        <f t="shared" si="175"/>
        <v>0</v>
      </c>
      <c r="N1329" s="1437">
        <f t="shared" si="179"/>
        <v>0</v>
      </c>
    </row>
    <row r="1330" spans="1:14" ht="58" outlineLevel="1">
      <c r="A1330" s="1491">
        <f t="shared" si="173"/>
        <v>5.0999999999999996</v>
      </c>
      <c r="B1330" s="1530" t="str">
        <f t="shared" si="173"/>
        <v>Performance improvement of Natural Draft Cooling Tower (NDCT) by replacement of PVC fills, AC cement pipes, strengthening of Hot water distribution system, replacement of beams, columns, support structures, etc. at Unit-8, PTPS, Parli V.</v>
      </c>
      <c r="C1330" s="1491" t="str">
        <f t="shared" si="173"/>
        <v>Yet to be approved</v>
      </c>
      <c r="D1330" s="1531" t="str">
        <f t="shared" si="173"/>
        <v>-</v>
      </c>
      <c r="E1330" s="1318">
        <f t="shared" si="173"/>
        <v>0</v>
      </c>
      <c r="F1330" s="1437">
        <f t="shared" si="176"/>
        <v>0</v>
      </c>
      <c r="G1330" s="1437">
        <f t="shared" si="177"/>
        <v>0</v>
      </c>
      <c r="H1330" s="1437">
        <f t="shared" si="178"/>
        <v>0</v>
      </c>
      <c r="I1330" s="1437">
        <v>25</v>
      </c>
      <c r="J1330" s="1437">
        <v>25</v>
      </c>
      <c r="K1330" s="1438"/>
      <c r="L1330" s="1438"/>
      <c r="M1330" s="1437">
        <f t="shared" si="175"/>
        <v>25</v>
      </c>
      <c r="N1330" s="1437">
        <f t="shared" si="179"/>
        <v>0</v>
      </c>
    </row>
    <row r="1331" spans="1:14" ht="31" outlineLevel="1">
      <c r="A1331" s="1533">
        <f t="shared" ref="A1331:E1346" si="180">A938</f>
        <v>6</v>
      </c>
      <c r="B1331" s="1534" t="str">
        <f t="shared" si="180"/>
        <v xml:space="preserve">DPR on Procurement of  ACW &amp; CW pump along with mandatory spares at Unit-8, PTPS, Parli V. </v>
      </c>
      <c r="C1331" s="1491" t="str">
        <f t="shared" si="180"/>
        <v>Yet to be approved</v>
      </c>
      <c r="D1331" s="1531" t="str">
        <f t="shared" si="180"/>
        <v>-</v>
      </c>
      <c r="E1331" s="1318">
        <f t="shared" si="180"/>
        <v>0</v>
      </c>
      <c r="F1331" s="1437">
        <f t="shared" si="176"/>
        <v>0</v>
      </c>
      <c r="G1331" s="1437">
        <f t="shared" si="177"/>
        <v>0</v>
      </c>
      <c r="H1331" s="1437">
        <f t="shared" si="178"/>
        <v>0</v>
      </c>
      <c r="I1331" s="1437">
        <v>0</v>
      </c>
      <c r="J1331" s="1437">
        <v>0</v>
      </c>
      <c r="K1331" s="1438"/>
      <c r="L1331" s="1438"/>
      <c r="M1331" s="1437">
        <f t="shared" si="175"/>
        <v>0</v>
      </c>
      <c r="N1331" s="1437">
        <f t="shared" si="179"/>
        <v>0</v>
      </c>
    </row>
    <row r="1332" spans="1:14" ht="29" outlineLevel="1">
      <c r="A1332" s="1491">
        <f t="shared" si="180"/>
        <v>6.1</v>
      </c>
      <c r="B1332" s="1530" t="str">
        <f t="shared" si="180"/>
        <v xml:space="preserve">DPR on Procurement of  ACW &amp; CW pump along with mandatory spares at Unit-8, PTPS, Parli V. </v>
      </c>
      <c r="C1332" s="1491" t="str">
        <f t="shared" si="180"/>
        <v>Yet to be approved</v>
      </c>
      <c r="D1332" s="1531" t="str">
        <f t="shared" si="180"/>
        <v>-</v>
      </c>
      <c r="E1332" s="1318">
        <f t="shared" si="180"/>
        <v>0</v>
      </c>
      <c r="F1332" s="1437">
        <f t="shared" si="176"/>
        <v>0</v>
      </c>
      <c r="G1332" s="1437">
        <f t="shared" si="177"/>
        <v>0</v>
      </c>
      <c r="H1332" s="1437">
        <f t="shared" si="178"/>
        <v>0</v>
      </c>
      <c r="I1332" s="1437">
        <v>35</v>
      </c>
      <c r="J1332" s="1437">
        <v>35</v>
      </c>
      <c r="K1332" s="1438"/>
      <c r="L1332" s="1438"/>
      <c r="M1332" s="1437">
        <f t="shared" si="175"/>
        <v>35</v>
      </c>
      <c r="N1332" s="1437">
        <f t="shared" si="179"/>
        <v>0</v>
      </c>
    </row>
    <row r="1333" spans="1:14" ht="62" outlineLevel="1">
      <c r="A1333" s="1533">
        <f t="shared" si="180"/>
        <v>7</v>
      </c>
      <c r="B1333" s="1534" t="str">
        <f t="shared" si="180"/>
        <v xml:space="preserve">DPR on Procurement of  CEP pump and BFP Booster pump along with mandatory spares at Unit-8, PTPS, Parli V and Procurement of Energy Efficient Cartridges of Boiler Feed Pump at Unit-8, PTPS, Parli V. </v>
      </c>
      <c r="C1333" s="1491" t="str">
        <f t="shared" si="180"/>
        <v>Yet to be approved</v>
      </c>
      <c r="D1333" s="1531" t="str">
        <f t="shared" si="180"/>
        <v>-</v>
      </c>
      <c r="E1333" s="1318">
        <f t="shared" si="180"/>
        <v>0</v>
      </c>
      <c r="F1333" s="1437">
        <f t="shared" si="176"/>
        <v>0</v>
      </c>
      <c r="G1333" s="1437">
        <f t="shared" si="177"/>
        <v>0</v>
      </c>
      <c r="H1333" s="1437">
        <f t="shared" si="178"/>
        <v>0</v>
      </c>
      <c r="I1333" s="1437">
        <v>0</v>
      </c>
      <c r="J1333" s="1437">
        <v>0</v>
      </c>
      <c r="K1333" s="1438"/>
      <c r="L1333" s="1438"/>
      <c r="M1333" s="1437">
        <f t="shared" si="175"/>
        <v>0</v>
      </c>
      <c r="N1333" s="1437">
        <f t="shared" si="179"/>
        <v>0</v>
      </c>
    </row>
    <row r="1334" spans="1:14" ht="29" outlineLevel="1">
      <c r="A1334" s="1491">
        <f t="shared" si="180"/>
        <v>7.1</v>
      </c>
      <c r="B1334" s="1530" t="str">
        <f t="shared" si="180"/>
        <v xml:space="preserve">Procurement of  CEP pump and BFP Booster pump along with mandatory spares at Unit-8, PTPS, Parli </v>
      </c>
      <c r="C1334" s="1491" t="str">
        <f t="shared" si="180"/>
        <v>Yet to be approved</v>
      </c>
      <c r="D1334" s="1531" t="str">
        <f t="shared" si="180"/>
        <v>-</v>
      </c>
      <c r="E1334" s="1318">
        <f t="shared" si="180"/>
        <v>0</v>
      </c>
      <c r="F1334" s="1437">
        <f t="shared" si="176"/>
        <v>0</v>
      </c>
      <c r="G1334" s="1437">
        <f t="shared" si="177"/>
        <v>0</v>
      </c>
      <c r="H1334" s="1437">
        <f t="shared" si="178"/>
        <v>0</v>
      </c>
      <c r="I1334" s="1437">
        <v>30</v>
      </c>
      <c r="J1334" s="1437">
        <v>30</v>
      </c>
      <c r="K1334" s="1438"/>
      <c r="L1334" s="1438"/>
      <c r="M1334" s="1437">
        <f t="shared" si="175"/>
        <v>30</v>
      </c>
      <c r="N1334" s="1437">
        <f t="shared" si="179"/>
        <v>0</v>
      </c>
    </row>
    <row r="1335" spans="1:14" ht="29" outlineLevel="1">
      <c r="A1335" s="1491">
        <f t="shared" si="180"/>
        <v>7.2</v>
      </c>
      <c r="B1335" s="1530" t="str">
        <f t="shared" si="180"/>
        <v xml:space="preserve">Procurement of Energy Efficient Cartridges of Boiler Feed Pump at Unit-8, PTPS, Parli V. </v>
      </c>
      <c r="C1335" s="1491" t="str">
        <f t="shared" si="180"/>
        <v>Yet to be approved</v>
      </c>
      <c r="D1335" s="1531" t="str">
        <f t="shared" si="180"/>
        <v>-</v>
      </c>
      <c r="E1335" s="1318">
        <f t="shared" si="180"/>
        <v>0</v>
      </c>
      <c r="F1335" s="1437">
        <f t="shared" si="176"/>
        <v>0</v>
      </c>
      <c r="G1335" s="1437">
        <f t="shared" si="177"/>
        <v>0</v>
      </c>
      <c r="H1335" s="1437">
        <f t="shared" si="178"/>
        <v>0</v>
      </c>
      <c r="I1335" s="1437">
        <v>10</v>
      </c>
      <c r="J1335" s="1437">
        <v>10</v>
      </c>
      <c r="K1335" s="1438"/>
      <c r="L1335" s="1438"/>
      <c r="M1335" s="1437">
        <f t="shared" si="175"/>
        <v>10</v>
      </c>
      <c r="N1335" s="1437">
        <f t="shared" si="179"/>
        <v>0</v>
      </c>
    </row>
    <row r="1336" spans="1:14" ht="31" outlineLevel="1">
      <c r="A1336" s="1533">
        <f t="shared" si="180"/>
        <v>8</v>
      </c>
      <c r="B1336" s="1534" t="str">
        <f t="shared" si="180"/>
        <v>DPR on Procurement of turbine blades of HP, IP &amp; LP rotor in Unit-8, PTPS, Parli V.</v>
      </c>
      <c r="C1336" s="1491" t="str">
        <f t="shared" si="180"/>
        <v>Yet to be approved</v>
      </c>
      <c r="D1336" s="1531" t="str">
        <f t="shared" si="180"/>
        <v>-</v>
      </c>
      <c r="E1336" s="1318">
        <f t="shared" si="180"/>
        <v>0</v>
      </c>
      <c r="F1336" s="1437">
        <f t="shared" si="176"/>
        <v>0</v>
      </c>
      <c r="G1336" s="1437">
        <f t="shared" si="177"/>
        <v>0</v>
      </c>
      <c r="H1336" s="1437">
        <f t="shared" si="178"/>
        <v>0</v>
      </c>
      <c r="I1336" s="1437">
        <v>0</v>
      </c>
      <c r="J1336" s="1437">
        <v>0</v>
      </c>
      <c r="K1336" s="1438"/>
      <c r="L1336" s="1438"/>
      <c r="M1336" s="1437">
        <f t="shared" si="175"/>
        <v>0</v>
      </c>
      <c r="N1336" s="1437">
        <f t="shared" si="179"/>
        <v>0</v>
      </c>
    </row>
    <row r="1337" spans="1:14" ht="29" outlineLevel="1">
      <c r="A1337" s="1491">
        <f t="shared" si="180"/>
        <v>8.1</v>
      </c>
      <c r="B1337" s="1530" t="str">
        <f t="shared" si="180"/>
        <v>DPR on Procurement of turbine blades of HP, IP &amp; LP rotor in Unit-8, PTPS, Parli V.</v>
      </c>
      <c r="C1337" s="1491" t="str">
        <f t="shared" si="180"/>
        <v>Yet to be approved</v>
      </c>
      <c r="D1337" s="1531" t="str">
        <f t="shared" si="180"/>
        <v>-</v>
      </c>
      <c r="E1337" s="1318">
        <f t="shared" si="180"/>
        <v>0</v>
      </c>
      <c r="F1337" s="1437">
        <f t="shared" si="176"/>
        <v>0</v>
      </c>
      <c r="G1337" s="1437">
        <f t="shared" si="177"/>
        <v>0</v>
      </c>
      <c r="H1337" s="1437">
        <f t="shared" si="178"/>
        <v>0</v>
      </c>
      <c r="I1337" s="1437">
        <v>0</v>
      </c>
      <c r="J1337" s="1437">
        <v>0</v>
      </c>
      <c r="K1337" s="1438"/>
      <c r="L1337" s="1438"/>
      <c r="M1337" s="1437">
        <f t="shared" si="175"/>
        <v>0</v>
      </c>
      <c r="N1337" s="1437">
        <f t="shared" si="179"/>
        <v>0</v>
      </c>
    </row>
    <row r="1338" spans="1:14" ht="46.5" outlineLevel="1">
      <c r="A1338" s="1533">
        <f t="shared" si="180"/>
        <v>9</v>
      </c>
      <c r="B1338" s="1534" t="str">
        <f t="shared" si="180"/>
        <v xml:space="preserve">DPR on Repair &amp; Reconditioning of Water treatment plant at Unit-8, PTPS, Parli V and Performance improvement of centralised AC plant at Unit-8, PTPS, Parli V. </v>
      </c>
      <c r="C1338" s="1491" t="str">
        <f t="shared" si="180"/>
        <v>Yet to be approved</v>
      </c>
      <c r="D1338" s="1531" t="str">
        <f t="shared" si="180"/>
        <v>-</v>
      </c>
      <c r="E1338" s="1318">
        <f t="shared" si="180"/>
        <v>0</v>
      </c>
      <c r="F1338" s="1437">
        <f t="shared" si="176"/>
        <v>0</v>
      </c>
      <c r="G1338" s="1437">
        <f t="shared" si="177"/>
        <v>0</v>
      </c>
      <c r="H1338" s="1437">
        <f t="shared" si="178"/>
        <v>0</v>
      </c>
      <c r="I1338" s="1437">
        <v>0</v>
      </c>
      <c r="J1338" s="1437">
        <v>0</v>
      </c>
      <c r="K1338" s="1438"/>
      <c r="L1338" s="1438"/>
      <c r="M1338" s="1437">
        <f t="shared" si="175"/>
        <v>0</v>
      </c>
      <c r="N1338" s="1437">
        <f t="shared" si="179"/>
        <v>0</v>
      </c>
    </row>
    <row r="1339" spans="1:14" ht="29" outlineLevel="1">
      <c r="A1339" s="1491">
        <f t="shared" si="180"/>
        <v>9.1</v>
      </c>
      <c r="B1339" s="1530" t="str">
        <f t="shared" si="180"/>
        <v>Reconditioning of Acid and Alkali Unloading and storage system at Unit-8, PTPS, Parli V.</v>
      </c>
      <c r="C1339" s="1491" t="str">
        <f t="shared" si="180"/>
        <v>Yet to be approved</v>
      </c>
      <c r="D1339" s="1531" t="str">
        <f t="shared" si="180"/>
        <v>-</v>
      </c>
      <c r="E1339" s="1318">
        <f t="shared" si="180"/>
        <v>0</v>
      </c>
      <c r="F1339" s="1437">
        <f t="shared" si="176"/>
        <v>0</v>
      </c>
      <c r="G1339" s="1437">
        <f t="shared" si="177"/>
        <v>0</v>
      </c>
      <c r="H1339" s="1437">
        <f t="shared" si="178"/>
        <v>0</v>
      </c>
      <c r="I1339" s="1437">
        <v>0</v>
      </c>
      <c r="J1339" s="1437">
        <v>0</v>
      </c>
      <c r="K1339" s="1438"/>
      <c r="L1339" s="1438"/>
      <c r="M1339" s="1437">
        <f t="shared" si="175"/>
        <v>0</v>
      </c>
      <c r="N1339" s="1437">
        <f t="shared" si="179"/>
        <v>0</v>
      </c>
    </row>
    <row r="1340" spans="1:14" ht="29" outlineLevel="1">
      <c r="A1340" s="1491">
        <f t="shared" si="180"/>
        <v>9.1999999999999993</v>
      </c>
      <c r="B1340" s="1530" t="str">
        <f t="shared" si="180"/>
        <v>Reconditioning &amp; repairing of WTP DM Plant regeneration system at Unit-8, PTPS, Parli V.</v>
      </c>
      <c r="C1340" s="1491" t="str">
        <f t="shared" si="180"/>
        <v>Yet to be approved</v>
      </c>
      <c r="D1340" s="1531" t="str">
        <f t="shared" si="180"/>
        <v>-</v>
      </c>
      <c r="E1340" s="1318">
        <f t="shared" si="180"/>
        <v>0</v>
      </c>
      <c r="F1340" s="1437">
        <f t="shared" si="176"/>
        <v>0</v>
      </c>
      <c r="G1340" s="1437">
        <f t="shared" si="177"/>
        <v>0</v>
      </c>
      <c r="H1340" s="1437">
        <f t="shared" si="178"/>
        <v>0</v>
      </c>
      <c r="I1340" s="1437">
        <v>0</v>
      </c>
      <c r="J1340" s="1437">
        <v>0</v>
      </c>
      <c r="K1340" s="1438"/>
      <c r="L1340" s="1438"/>
      <c r="M1340" s="1437">
        <f t="shared" si="175"/>
        <v>0</v>
      </c>
      <c r="N1340" s="1437">
        <f t="shared" si="179"/>
        <v>0</v>
      </c>
    </row>
    <row r="1341" spans="1:14" ht="43.5" outlineLevel="1">
      <c r="A1341" s="1491">
        <f t="shared" si="180"/>
        <v>9.3000000000000007</v>
      </c>
      <c r="B1341" s="1530" t="str">
        <f t="shared" si="180"/>
        <v xml:space="preserve"> Performance improvement of centralised AC plant by reconditioning of cooling tower, various pumps, heat exchangers, etc. at Unit-8, PTPS, Parli V. </v>
      </c>
      <c r="C1341" s="1491" t="str">
        <f t="shared" si="180"/>
        <v>Yet to be approved</v>
      </c>
      <c r="D1341" s="1531" t="str">
        <f t="shared" si="180"/>
        <v>-</v>
      </c>
      <c r="E1341" s="1318">
        <f t="shared" si="180"/>
        <v>0</v>
      </c>
      <c r="F1341" s="1437">
        <f t="shared" si="176"/>
        <v>0</v>
      </c>
      <c r="G1341" s="1437">
        <f t="shared" si="177"/>
        <v>0</v>
      </c>
      <c r="H1341" s="1437">
        <f t="shared" si="178"/>
        <v>0</v>
      </c>
      <c r="I1341" s="1437">
        <v>0</v>
      </c>
      <c r="J1341" s="1437">
        <v>0</v>
      </c>
      <c r="K1341" s="1438"/>
      <c r="L1341" s="1438"/>
      <c r="M1341" s="1437">
        <f t="shared" si="175"/>
        <v>0</v>
      </c>
      <c r="N1341" s="1437">
        <f t="shared" si="179"/>
        <v>0</v>
      </c>
    </row>
    <row r="1342" spans="1:14" ht="46.5" outlineLevel="1">
      <c r="A1342" s="1533">
        <f t="shared" si="180"/>
        <v>10</v>
      </c>
      <c r="B1342" s="1534" t="str">
        <f t="shared" si="180"/>
        <v>DPR on Procurement of Control Fluid (HPCF) pump, Lube Oil pump, Emergency Oil pump, Jacking Oil pump, Seal oil pump at Unit-8, PTPS, Parli V.</v>
      </c>
      <c r="C1342" s="1491" t="str">
        <f t="shared" si="180"/>
        <v>Yet to be approved</v>
      </c>
      <c r="D1342" s="1531" t="str">
        <f t="shared" si="180"/>
        <v>-</v>
      </c>
      <c r="E1342" s="1318">
        <f t="shared" si="180"/>
        <v>0</v>
      </c>
      <c r="F1342" s="1437">
        <f t="shared" si="176"/>
        <v>0</v>
      </c>
      <c r="G1342" s="1437">
        <f t="shared" si="177"/>
        <v>0</v>
      </c>
      <c r="H1342" s="1437">
        <f t="shared" si="178"/>
        <v>0</v>
      </c>
      <c r="I1342" s="1437">
        <v>0</v>
      </c>
      <c r="J1342" s="1437">
        <v>0</v>
      </c>
      <c r="K1342" s="1438"/>
      <c r="L1342" s="1438"/>
      <c r="M1342" s="1437">
        <f t="shared" si="175"/>
        <v>0</v>
      </c>
      <c r="N1342" s="1437">
        <f t="shared" si="179"/>
        <v>0</v>
      </c>
    </row>
    <row r="1343" spans="1:14" ht="43.5" outlineLevel="1">
      <c r="A1343" s="1491">
        <f t="shared" si="180"/>
        <v>10.1</v>
      </c>
      <c r="B1343" s="1530" t="str">
        <f t="shared" si="180"/>
        <v>DPR on Procurement of Control Fluid (HPCF) pump, Lube Oil pump, Emergency Oil pump, Jacking Oil pump, Seal oil pump at Unit-8, PTPS, Parli V.</v>
      </c>
      <c r="C1343" s="1491" t="str">
        <f t="shared" si="180"/>
        <v>Yet to be approved</v>
      </c>
      <c r="D1343" s="1531" t="str">
        <f t="shared" si="180"/>
        <v>-</v>
      </c>
      <c r="E1343" s="1318">
        <f t="shared" si="180"/>
        <v>0</v>
      </c>
      <c r="F1343" s="1437">
        <f t="shared" si="176"/>
        <v>0</v>
      </c>
      <c r="G1343" s="1437">
        <f t="shared" si="177"/>
        <v>0</v>
      </c>
      <c r="H1343" s="1437">
        <f t="shared" si="178"/>
        <v>0</v>
      </c>
      <c r="I1343" s="1437">
        <v>0</v>
      </c>
      <c r="J1343" s="1437">
        <v>0</v>
      </c>
      <c r="K1343" s="1438"/>
      <c r="L1343" s="1438"/>
      <c r="M1343" s="1437">
        <f t="shared" si="175"/>
        <v>0</v>
      </c>
      <c r="N1343" s="1437">
        <f t="shared" si="179"/>
        <v>0</v>
      </c>
    </row>
    <row r="1344" spans="1:14" ht="31" outlineLevel="1">
      <c r="A1344" s="1533">
        <f t="shared" si="180"/>
        <v>11</v>
      </c>
      <c r="B1344" s="1534" t="str">
        <f t="shared" si="180"/>
        <v xml:space="preserve">DPR on Procurement of H2 cooler, BFP coolers, generator exciter cooler, Seal and Lube oil coolers at Unit-8, PTPS, Parli V. </v>
      </c>
      <c r="C1344" s="1491" t="str">
        <f t="shared" si="180"/>
        <v>Yet to be approved</v>
      </c>
      <c r="D1344" s="1531" t="str">
        <f t="shared" si="180"/>
        <v>-</v>
      </c>
      <c r="E1344" s="1318">
        <f t="shared" si="180"/>
        <v>0</v>
      </c>
      <c r="F1344" s="1437">
        <f t="shared" si="176"/>
        <v>0</v>
      </c>
      <c r="G1344" s="1437">
        <f t="shared" si="177"/>
        <v>0</v>
      </c>
      <c r="H1344" s="1437">
        <f t="shared" si="178"/>
        <v>0</v>
      </c>
      <c r="I1344" s="1437">
        <v>0</v>
      </c>
      <c r="J1344" s="1437">
        <v>0</v>
      </c>
      <c r="K1344" s="1438"/>
      <c r="L1344" s="1438"/>
      <c r="M1344" s="1437">
        <f t="shared" si="175"/>
        <v>0</v>
      </c>
      <c r="N1344" s="1437">
        <f t="shared" si="179"/>
        <v>0</v>
      </c>
    </row>
    <row r="1345" spans="1:14" ht="29" outlineLevel="1">
      <c r="A1345" s="1491">
        <f t="shared" si="180"/>
        <v>11.1</v>
      </c>
      <c r="B1345" s="1530" t="str">
        <f t="shared" si="180"/>
        <v xml:space="preserve">DPR on Procurement of H2 cooler, BFP coolers, generator exciter cooler, Seal and Lube oil coolers at Unit-8, PTPS, Parli V. </v>
      </c>
      <c r="C1345" s="1491" t="str">
        <f t="shared" si="180"/>
        <v>Yet to be approved</v>
      </c>
      <c r="D1345" s="1531" t="str">
        <f t="shared" si="180"/>
        <v>-</v>
      </c>
      <c r="E1345" s="1318">
        <f t="shared" si="180"/>
        <v>0</v>
      </c>
      <c r="F1345" s="1437">
        <f t="shared" si="176"/>
        <v>0</v>
      </c>
      <c r="G1345" s="1437">
        <f t="shared" si="177"/>
        <v>0</v>
      </c>
      <c r="H1345" s="1437">
        <f t="shared" si="178"/>
        <v>0</v>
      </c>
      <c r="I1345" s="1437">
        <v>0</v>
      </c>
      <c r="J1345" s="1437">
        <v>0</v>
      </c>
      <c r="K1345" s="1438"/>
      <c r="L1345" s="1438"/>
      <c r="M1345" s="1437">
        <f t="shared" si="175"/>
        <v>0</v>
      </c>
      <c r="N1345" s="1437">
        <f t="shared" si="179"/>
        <v>0</v>
      </c>
    </row>
    <row r="1346" spans="1:14" ht="62" outlineLevel="1">
      <c r="A1346" s="1533">
        <f t="shared" si="180"/>
        <v>12</v>
      </c>
      <c r="B1346" s="1534" t="str">
        <f t="shared" si="180"/>
        <v>Supply, installation &amp; commissioning of 220V 2140AH,24V 830AH &amp; 710AH, 360V 570AH Mains UPS,110V 110AH AHP PLC , 110V , 103 AH DM plant battery set for unit 8 , NPTPS Parli-V &amp; Procurement of HT motors at U#8</v>
      </c>
      <c r="C1346" s="1491" t="str">
        <f t="shared" si="180"/>
        <v>Yet to be approved</v>
      </c>
      <c r="D1346" s="1531" t="str">
        <f t="shared" si="180"/>
        <v>-</v>
      </c>
      <c r="E1346" s="1318">
        <f t="shared" si="180"/>
        <v>0</v>
      </c>
      <c r="F1346" s="1437">
        <f t="shared" si="176"/>
        <v>0</v>
      </c>
      <c r="G1346" s="1437">
        <f t="shared" si="177"/>
        <v>0</v>
      </c>
      <c r="H1346" s="1437">
        <f t="shared" si="178"/>
        <v>0</v>
      </c>
      <c r="I1346" s="1437">
        <v>0</v>
      </c>
      <c r="J1346" s="1437">
        <v>0</v>
      </c>
      <c r="K1346" s="1438"/>
      <c r="L1346" s="1438"/>
      <c r="M1346" s="1437">
        <f t="shared" si="175"/>
        <v>0</v>
      </c>
      <c r="N1346" s="1437">
        <f t="shared" si="179"/>
        <v>0</v>
      </c>
    </row>
    <row r="1347" spans="1:14" ht="43.5" outlineLevel="1">
      <c r="A1347" s="1491">
        <f t="shared" ref="A1347:E1362" si="181">A954</f>
        <v>12.1</v>
      </c>
      <c r="B1347" s="1530" t="str">
        <f t="shared" si="181"/>
        <v>Supply, installation &amp; commissioning of 220V 2140AH,24V 830AH &amp; 710AH, 360V 570AH Mains UPS,110V 110AH AHP PLC , 110V , 103 AH DM plant battery set for unit 8 , NPTPS Parli-V</v>
      </c>
      <c r="C1347" s="1491" t="str">
        <f t="shared" si="181"/>
        <v>Yet to be approved</v>
      </c>
      <c r="D1347" s="1531" t="str">
        <f t="shared" si="181"/>
        <v>-</v>
      </c>
      <c r="E1347" s="1318">
        <f t="shared" si="181"/>
        <v>0</v>
      </c>
      <c r="F1347" s="1437">
        <f t="shared" si="176"/>
        <v>0</v>
      </c>
      <c r="G1347" s="1437">
        <f t="shared" si="177"/>
        <v>0</v>
      </c>
      <c r="H1347" s="1437">
        <f t="shared" si="178"/>
        <v>0</v>
      </c>
      <c r="I1347" s="1437">
        <v>0</v>
      </c>
      <c r="J1347" s="1437">
        <v>0</v>
      </c>
      <c r="K1347" s="1438"/>
      <c r="L1347" s="1438"/>
      <c r="M1347" s="1437">
        <f t="shared" si="175"/>
        <v>0</v>
      </c>
      <c r="N1347" s="1437">
        <f t="shared" si="179"/>
        <v>0</v>
      </c>
    </row>
    <row r="1348" spans="1:14" outlineLevel="1">
      <c r="A1348" s="1491">
        <f t="shared" si="181"/>
        <v>12.2</v>
      </c>
      <c r="B1348" s="1530" t="str">
        <f t="shared" si="181"/>
        <v>Procurement of HT motors at U#8</v>
      </c>
      <c r="C1348" s="1491" t="str">
        <f t="shared" si="181"/>
        <v>Yet to be approved</v>
      </c>
      <c r="D1348" s="1531" t="str">
        <f t="shared" si="181"/>
        <v>-</v>
      </c>
      <c r="E1348" s="1318">
        <f t="shared" si="181"/>
        <v>0</v>
      </c>
      <c r="F1348" s="1437">
        <f t="shared" si="176"/>
        <v>0</v>
      </c>
      <c r="G1348" s="1437">
        <f t="shared" si="177"/>
        <v>0</v>
      </c>
      <c r="H1348" s="1437">
        <f t="shared" si="178"/>
        <v>0</v>
      </c>
      <c r="I1348" s="1437">
        <v>10</v>
      </c>
      <c r="J1348" s="1437">
        <v>10</v>
      </c>
      <c r="K1348" s="1438"/>
      <c r="L1348" s="1438"/>
      <c r="M1348" s="1437">
        <f t="shared" si="175"/>
        <v>10</v>
      </c>
      <c r="N1348" s="1437">
        <f t="shared" si="179"/>
        <v>0</v>
      </c>
    </row>
    <row r="1349" spans="1:14" ht="15.5" outlineLevel="1">
      <c r="A1349" s="1533">
        <f t="shared" si="181"/>
        <v>13</v>
      </c>
      <c r="B1349" s="1534" t="str">
        <f t="shared" si="181"/>
        <v>DPR on various instrumentation &amp; control schemes at U#8</v>
      </c>
      <c r="C1349" s="1491" t="str">
        <f t="shared" si="181"/>
        <v>Yet to be approved</v>
      </c>
      <c r="D1349" s="1531" t="str">
        <f t="shared" si="181"/>
        <v>-</v>
      </c>
      <c r="E1349" s="1318">
        <f t="shared" si="181"/>
        <v>0</v>
      </c>
      <c r="F1349" s="1437">
        <f t="shared" si="176"/>
        <v>0</v>
      </c>
      <c r="G1349" s="1437">
        <f t="shared" si="177"/>
        <v>0</v>
      </c>
      <c r="H1349" s="1437">
        <f t="shared" si="178"/>
        <v>0</v>
      </c>
      <c r="I1349" s="1437">
        <v>0</v>
      </c>
      <c r="J1349" s="1437">
        <v>0</v>
      </c>
      <c r="K1349" s="1438"/>
      <c r="L1349" s="1438"/>
      <c r="M1349" s="1437">
        <f t="shared" si="175"/>
        <v>0</v>
      </c>
      <c r="N1349" s="1437">
        <f t="shared" si="179"/>
        <v>0</v>
      </c>
    </row>
    <row r="1350" spans="1:14" outlineLevel="1">
      <c r="A1350" s="1491">
        <f t="shared" si="181"/>
        <v>13.1</v>
      </c>
      <c r="B1350" s="1530" t="str">
        <f t="shared" si="181"/>
        <v>Upgradation of MAX-DNA  DCS system at U#8 (HMI upgradation)</v>
      </c>
      <c r="C1350" s="1491" t="str">
        <f t="shared" si="181"/>
        <v>Yet to be approved</v>
      </c>
      <c r="D1350" s="1531" t="str">
        <f t="shared" si="181"/>
        <v>-</v>
      </c>
      <c r="E1350" s="1318">
        <f t="shared" si="181"/>
        <v>0</v>
      </c>
      <c r="F1350" s="1437">
        <f t="shared" si="176"/>
        <v>0</v>
      </c>
      <c r="G1350" s="1437">
        <f t="shared" si="177"/>
        <v>0</v>
      </c>
      <c r="H1350" s="1437">
        <f t="shared" si="178"/>
        <v>0</v>
      </c>
      <c r="I1350" s="1437">
        <v>6.81</v>
      </c>
      <c r="J1350" s="1437">
        <v>6.81</v>
      </c>
      <c r="K1350" s="1438"/>
      <c r="L1350" s="1438"/>
      <c r="M1350" s="1437">
        <f t="shared" si="175"/>
        <v>6.81</v>
      </c>
      <c r="N1350" s="1437">
        <f t="shared" si="179"/>
        <v>0</v>
      </c>
    </row>
    <row r="1351" spans="1:14" ht="29" outlineLevel="1">
      <c r="A1351" s="1491">
        <f t="shared" si="181"/>
        <v>13.2</v>
      </c>
      <c r="B1351" s="1530" t="str">
        <f t="shared" si="181"/>
        <v>Upgradation of existing Pcal system with plant performance analysis diagnostic and optimization system (PADO) at Unit  8 New Parli TPS</v>
      </c>
      <c r="C1351" s="1491" t="str">
        <f t="shared" si="181"/>
        <v>Yet to be approved</v>
      </c>
      <c r="D1351" s="1531" t="str">
        <f t="shared" si="181"/>
        <v>-</v>
      </c>
      <c r="E1351" s="1318">
        <f t="shared" si="181"/>
        <v>0</v>
      </c>
      <c r="F1351" s="1437">
        <f t="shared" si="176"/>
        <v>0</v>
      </c>
      <c r="G1351" s="1437">
        <f t="shared" si="177"/>
        <v>0</v>
      </c>
      <c r="H1351" s="1437">
        <f t="shared" si="178"/>
        <v>0</v>
      </c>
      <c r="I1351" s="1437">
        <v>1.4</v>
      </c>
      <c r="J1351" s="1437">
        <v>1.4</v>
      </c>
      <c r="K1351" s="1438"/>
      <c r="L1351" s="1438"/>
      <c r="M1351" s="1437">
        <f t="shared" si="175"/>
        <v>1.4</v>
      </c>
      <c r="N1351" s="1437">
        <f t="shared" si="179"/>
        <v>0</v>
      </c>
    </row>
    <row r="1352" spans="1:14" outlineLevel="1">
      <c r="A1352" s="1491">
        <f t="shared" si="181"/>
        <v>13.3</v>
      </c>
      <c r="B1352" s="1530" t="str">
        <f t="shared" si="181"/>
        <v xml:space="preserve"> Upgradation of coal feeder for I&amp;C Unit8 PTPS Parli V.</v>
      </c>
      <c r="C1352" s="1491" t="str">
        <f t="shared" si="181"/>
        <v>Yet to be approved</v>
      </c>
      <c r="D1352" s="1531" t="str">
        <f t="shared" si="181"/>
        <v>-</v>
      </c>
      <c r="E1352" s="1318">
        <f t="shared" si="181"/>
        <v>0</v>
      </c>
      <c r="F1352" s="1437">
        <f t="shared" si="176"/>
        <v>0</v>
      </c>
      <c r="G1352" s="1437">
        <f t="shared" si="177"/>
        <v>0</v>
      </c>
      <c r="H1352" s="1437">
        <f t="shared" si="178"/>
        <v>0</v>
      </c>
      <c r="I1352" s="1437">
        <v>0</v>
      </c>
      <c r="J1352" s="1437">
        <v>0</v>
      </c>
      <c r="K1352" s="1438"/>
      <c r="L1352" s="1438"/>
      <c r="M1352" s="1437">
        <f t="shared" si="175"/>
        <v>0</v>
      </c>
      <c r="N1352" s="1437">
        <f t="shared" si="179"/>
        <v>0</v>
      </c>
    </row>
    <row r="1353" spans="1:14" outlineLevel="1">
      <c r="A1353" s="1491">
        <f t="shared" si="181"/>
        <v>13.4</v>
      </c>
      <c r="B1353" s="1530" t="str">
        <f t="shared" si="181"/>
        <v>Procurement of smart control positioner at I&amp;C Unit8 PTPS Parli V.</v>
      </c>
      <c r="C1353" s="1491" t="str">
        <f t="shared" si="181"/>
        <v>Yet to be approved</v>
      </c>
      <c r="D1353" s="1531" t="str">
        <f t="shared" si="181"/>
        <v>-</v>
      </c>
      <c r="E1353" s="1318">
        <f t="shared" si="181"/>
        <v>0</v>
      </c>
      <c r="F1353" s="1437">
        <f t="shared" si="176"/>
        <v>0</v>
      </c>
      <c r="G1353" s="1437">
        <f t="shared" si="177"/>
        <v>0</v>
      </c>
      <c r="H1353" s="1437">
        <f t="shared" si="178"/>
        <v>0</v>
      </c>
      <c r="I1353" s="1437">
        <v>0</v>
      </c>
      <c r="J1353" s="1437">
        <v>0</v>
      </c>
      <c r="K1353" s="1438"/>
      <c r="L1353" s="1438"/>
      <c r="M1353" s="1437">
        <f t="shared" si="175"/>
        <v>0</v>
      </c>
      <c r="N1353" s="1437">
        <f t="shared" si="179"/>
        <v>0</v>
      </c>
    </row>
    <row r="1354" spans="1:14" outlineLevel="1">
      <c r="A1354" s="1491">
        <f t="shared" si="181"/>
        <v>13.5</v>
      </c>
      <c r="B1354" s="1530" t="str">
        <f t="shared" si="181"/>
        <v>Upgradation Electronic control drive for I&amp;C Unit8 PTPS Parli V.</v>
      </c>
      <c r="C1354" s="1491" t="str">
        <f t="shared" si="181"/>
        <v>Yet to be approved</v>
      </c>
      <c r="D1354" s="1531" t="str">
        <f t="shared" si="181"/>
        <v>-</v>
      </c>
      <c r="E1354" s="1318">
        <f t="shared" si="181"/>
        <v>0</v>
      </c>
      <c r="F1354" s="1437">
        <f t="shared" si="176"/>
        <v>0</v>
      </c>
      <c r="G1354" s="1437">
        <f t="shared" si="177"/>
        <v>0</v>
      </c>
      <c r="H1354" s="1437">
        <f t="shared" si="178"/>
        <v>0</v>
      </c>
      <c r="I1354" s="1437">
        <v>0</v>
      </c>
      <c r="J1354" s="1437">
        <v>0</v>
      </c>
      <c r="K1354" s="1438"/>
      <c r="L1354" s="1438"/>
      <c r="M1354" s="1437">
        <f t="shared" si="175"/>
        <v>0</v>
      </c>
      <c r="N1354" s="1437">
        <f t="shared" si="179"/>
        <v>0</v>
      </c>
    </row>
    <row r="1355" spans="1:14" ht="29" outlineLevel="1">
      <c r="A1355" s="1491">
        <f t="shared" si="181"/>
        <v>13.6</v>
      </c>
      <c r="B1355" s="1530" t="str">
        <f t="shared" si="181"/>
        <v>Upgradation of turbovisory &amp; vibration monitoring system control panel.</v>
      </c>
      <c r="C1355" s="1491" t="str">
        <f t="shared" si="181"/>
        <v>Yet to be approved</v>
      </c>
      <c r="D1355" s="1531" t="str">
        <f t="shared" si="181"/>
        <v>-</v>
      </c>
      <c r="E1355" s="1318">
        <f t="shared" si="181"/>
        <v>0</v>
      </c>
      <c r="F1355" s="1437">
        <f t="shared" si="176"/>
        <v>0</v>
      </c>
      <c r="G1355" s="1437">
        <f t="shared" si="177"/>
        <v>0</v>
      </c>
      <c r="H1355" s="1437">
        <f t="shared" si="178"/>
        <v>0</v>
      </c>
      <c r="I1355" s="1437">
        <v>0</v>
      </c>
      <c r="J1355" s="1437">
        <v>0</v>
      </c>
      <c r="K1355" s="1438"/>
      <c r="L1355" s="1438"/>
      <c r="M1355" s="1437">
        <f t="shared" si="175"/>
        <v>0</v>
      </c>
      <c r="N1355" s="1437">
        <f t="shared" si="179"/>
        <v>0</v>
      </c>
    </row>
    <row r="1356" spans="1:14" ht="46.5" outlineLevel="1">
      <c r="A1356" s="1533">
        <f t="shared" si="181"/>
        <v>14</v>
      </c>
      <c r="B1356" s="1534" t="str">
        <f t="shared" si="181"/>
        <v>Performance improvement by system up gradation  at CHP &amp; DPR for normalization and stabilization of coal handling plant performance at Parli TPS</v>
      </c>
      <c r="C1356" s="1491" t="str">
        <f t="shared" si="181"/>
        <v>Yet to be approved</v>
      </c>
      <c r="D1356" s="1531" t="str">
        <f t="shared" si="181"/>
        <v>-</v>
      </c>
      <c r="E1356" s="1318">
        <f t="shared" si="181"/>
        <v>0</v>
      </c>
      <c r="F1356" s="1437">
        <f t="shared" si="176"/>
        <v>0</v>
      </c>
      <c r="G1356" s="1437">
        <f t="shared" si="177"/>
        <v>0</v>
      </c>
      <c r="H1356" s="1437">
        <f t="shared" si="178"/>
        <v>0</v>
      </c>
      <c r="I1356" s="1437">
        <v>0</v>
      </c>
      <c r="J1356" s="1437">
        <v>0</v>
      </c>
      <c r="K1356" s="1438"/>
      <c r="L1356" s="1438"/>
      <c r="M1356" s="1437">
        <f t="shared" si="175"/>
        <v>0</v>
      </c>
      <c r="N1356" s="1437">
        <f t="shared" si="179"/>
        <v>0</v>
      </c>
    </row>
    <row r="1357" spans="1:14" ht="43.5" outlineLevel="1">
      <c r="A1357" s="1491">
        <f t="shared" si="181"/>
        <v>14.1</v>
      </c>
      <c r="B1357" s="1530" t="str">
        <f t="shared" si="181"/>
        <v xml:space="preserve">Supply and Commissioning of Energy Efficient Evaporative Cooling System for Control Panel &amp; Breaker room of CHP Unit-8   For  PARLI TPS </v>
      </c>
      <c r="C1357" s="1491" t="str">
        <f t="shared" si="181"/>
        <v>Yet to be approved</v>
      </c>
      <c r="D1357" s="1531" t="str">
        <f t="shared" si="181"/>
        <v>-</v>
      </c>
      <c r="E1357" s="1318">
        <f t="shared" si="181"/>
        <v>0</v>
      </c>
      <c r="F1357" s="1437">
        <f t="shared" si="176"/>
        <v>0</v>
      </c>
      <c r="G1357" s="1437">
        <f t="shared" si="177"/>
        <v>0</v>
      </c>
      <c r="H1357" s="1437">
        <f t="shared" si="178"/>
        <v>0</v>
      </c>
      <c r="I1357" s="1437">
        <v>1.38</v>
      </c>
      <c r="J1357" s="1437">
        <v>1.38</v>
      </c>
      <c r="K1357" s="1438"/>
      <c r="L1357" s="1438"/>
      <c r="M1357" s="1437">
        <f t="shared" si="175"/>
        <v>1.38</v>
      </c>
      <c r="N1357" s="1437">
        <f t="shared" si="179"/>
        <v>0</v>
      </c>
    </row>
    <row r="1358" spans="1:14" outlineLevel="1">
      <c r="A1358" s="1491">
        <f t="shared" si="181"/>
        <v>14.2</v>
      </c>
      <c r="B1358" s="1530" t="str">
        <f t="shared" si="181"/>
        <v>Supply and commissioning of Suspended Magnets for U-8 CHP NPTPS</v>
      </c>
      <c r="C1358" s="1491" t="str">
        <f t="shared" si="181"/>
        <v>Yet to be approved</v>
      </c>
      <c r="D1358" s="1531" t="str">
        <f t="shared" si="181"/>
        <v>-</v>
      </c>
      <c r="E1358" s="1318">
        <f t="shared" si="181"/>
        <v>0</v>
      </c>
      <c r="F1358" s="1437">
        <f t="shared" si="176"/>
        <v>0</v>
      </c>
      <c r="G1358" s="1437">
        <f t="shared" si="177"/>
        <v>0</v>
      </c>
      <c r="H1358" s="1437">
        <f t="shared" si="178"/>
        <v>0</v>
      </c>
      <c r="I1358" s="1437">
        <v>3.3</v>
      </c>
      <c r="J1358" s="1437">
        <v>3.3</v>
      </c>
      <c r="K1358" s="1438"/>
      <c r="L1358" s="1438"/>
      <c r="M1358" s="1437">
        <f t="shared" si="175"/>
        <v>3.3</v>
      </c>
      <c r="N1358" s="1437">
        <f t="shared" si="179"/>
        <v>0</v>
      </c>
    </row>
    <row r="1359" spans="1:14" outlineLevel="1">
      <c r="A1359" s="1491">
        <f t="shared" si="181"/>
        <v>14.3</v>
      </c>
      <c r="B1359" s="1530" t="str">
        <f t="shared" si="181"/>
        <v>Stacker-reclaimer Bucket wheel drive modification work of U- 8 CHP</v>
      </c>
      <c r="C1359" s="1491" t="str">
        <f t="shared" si="181"/>
        <v>Yet to be approved</v>
      </c>
      <c r="D1359" s="1531" t="str">
        <f t="shared" si="181"/>
        <v>-</v>
      </c>
      <c r="E1359" s="1318">
        <f t="shared" si="181"/>
        <v>0</v>
      </c>
      <c r="F1359" s="1437">
        <f t="shared" si="176"/>
        <v>0</v>
      </c>
      <c r="G1359" s="1437">
        <f t="shared" si="177"/>
        <v>0</v>
      </c>
      <c r="H1359" s="1437">
        <f t="shared" si="178"/>
        <v>0</v>
      </c>
      <c r="I1359" s="1437">
        <v>3.32</v>
      </c>
      <c r="J1359" s="1437">
        <v>3.32</v>
      </c>
      <c r="K1359" s="1438"/>
      <c r="L1359" s="1438"/>
      <c r="M1359" s="1437">
        <f t="shared" si="175"/>
        <v>3.32</v>
      </c>
      <c r="N1359" s="1437">
        <f t="shared" si="179"/>
        <v>0</v>
      </c>
    </row>
    <row r="1360" spans="1:14" ht="29" outlineLevel="1">
      <c r="A1360" s="1491">
        <f t="shared" si="181"/>
        <v>14.4</v>
      </c>
      <c r="B1360" s="1530" t="str">
        <f t="shared" si="181"/>
        <v>Apron feeder drive modification from Hydraulic to Electro-Mechanical at CHP U-8  NPTPS</v>
      </c>
      <c r="C1360" s="1491" t="str">
        <f t="shared" si="181"/>
        <v>Yet to be approved</v>
      </c>
      <c r="D1360" s="1531" t="str">
        <f t="shared" si="181"/>
        <v>-</v>
      </c>
      <c r="E1360" s="1318">
        <f t="shared" si="181"/>
        <v>0</v>
      </c>
      <c r="F1360" s="1437">
        <f t="shared" si="176"/>
        <v>0</v>
      </c>
      <c r="G1360" s="1437">
        <f t="shared" si="177"/>
        <v>0</v>
      </c>
      <c r="H1360" s="1437">
        <f t="shared" si="178"/>
        <v>0</v>
      </c>
      <c r="I1360" s="1437">
        <v>4.0199999999999996</v>
      </c>
      <c r="J1360" s="1437">
        <v>4.0199999999999996</v>
      </c>
      <c r="K1360" s="1438"/>
      <c r="L1360" s="1438"/>
      <c r="M1360" s="1437">
        <f t="shared" si="175"/>
        <v>4.0199999999999996</v>
      </c>
      <c r="N1360" s="1437">
        <f t="shared" si="179"/>
        <v>0</v>
      </c>
    </row>
    <row r="1361" spans="1:14" outlineLevel="1">
      <c r="A1361" s="1491">
        <f t="shared" si="181"/>
        <v>14.5</v>
      </c>
      <c r="B1361" s="1530" t="str">
        <f t="shared" si="181"/>
        <v>Procurement of U-8 W/T Major spares</v>
      </c>
      <c r="C1361" s="1491" t="str">
        <f t="shared" si="181"/>
        <v>Yet to be approved</v>
      </c>
      <c r="D1361" s="1531" t="str">
        <f t="shared" si="181"/>
        <v>-</v>
      </c>
      <c r="E1361" s="1318">
        <f t="shared" si="181"/>
        <v>0</v>
      </c>
      <c r="F1361" s="1437">
        <f t="shared" si="176"/>
        <v>0</v>
      </c>
      <c r="G1361" s="1437">
        <f t="shared" si="177"/>
        <v>0</v>
      </c>
      <c r="H1361" s="1437">
        <f t="shared" si="178"/>
        <v>0</v>
      </c>
      <c r="I1361" s="1437">
        <v>0</v>
      </c>
      <c r="J1361" s="1437">
        <v>0</v>
      </c>
      <c r="K1361" s="1438"/>
      <c r="L1361" s="1438"/>
      <c r="M1361" s="1437">
        <f t="shared" si="175"/>
        <v>0</v>
      </c>
      <c r="N1361" s="1437">
        <f t="shared" si="179"/>
        <v>0</v>
      </c>
    </row>
    <row r="1362" spans="1:14" outlineLevel="1">
      <c r="A1362" s="1491">
        <f t="shared" si="181"/>
        <v>14.6</v>
      </c>
      <c r="B1362" s="1530" t="str">
        <f t="shared" si="181"/>
        <v>Provision of Soft starter / VFD for Various conveyor</v>
      </c>
      <c r="C1362" s="1491" t="str">
        <f t="shared" si="181"/>
        <v>Yet to be approved</v>
      </c>
      <c r="D1362" s="1531" t="str">
        <f t="shared" si="181"/>
        <v>-</v>
      </c>
      <c r="E1362" s="1318">
        <f t="shared" si="181"/>
        <v>0</v>
      </c>
      <c r="F1362" s="1437">
        <f t="shared" si="176"/>
        <v>0</v>
      </c>
      <c r="G1362" s="1437">
        <f t="shared" si="177"/>
        <v>0</v>
      </c>
      <c r="H1362" s="1437">
        <f t="shared" si="178"/>
        <v>0</v>
      </c>
      <c r="I1362" s="1437">
        <v>0</v>
      </c>
      <c r="J1362" s="1437">
        <v>0</v>
      </c>
      <c r="K1362" s="1438"/>
      <c r="L1362" s="1438"/>
      <c r="M1362" s="1437">
        <f t="shared" si="175"/>
        <v>0</v>
      </c>
      <c r="N1362" s="1437">
        <f t="shared" si="179"/>
        <v>0</v>
      </c>
    </row>
    <row r="1363" spans="1:14" outlineLevel="1">
      <c r="A1363" s="1491">
        <f t="shared" ref="A1363:E1378" si="182">A970</f>
        <v>14.7</v>
      </c>
      <c r="B1363" s="1530" t="str">
        <f t="shared" si="182"/>
        <v>TP-3 chute modification at U-8 CHP.</v>
      </c>
      <c r="C1363" s="1491" t="str">
        <f t="shared" si="182"/>
        <v>Yet to be approved</v>
      </c>
      <c r="D1363" s="1531" t="str">
        <f t="shared" si="182"/>
        <v>-</v>
      </c>
      <c r="E1363" s="1318">
        <f t="shared" si="182"/>
        <v>0</v>
      </c>
      <c r="F1363" s="1437">
        <f t="shared" si="176"/>
        <v>0</v>
      </c>
      <c r="G1363" s="1437">
        <f t="shared" si="177"/>
        <v>0</v>
      </c>
      <c r="H1363" s="1437">
        <f t="shared" si="178"/>
        <v>0</v>
      </c>
      <c r="I1363" s="1437">
        <v>0</v>
      </c>
      <c r="J1363" s="1437">
        <v>0</v>
      </c>
      <c r="K1363" s="1438"/>
      <c r="L1363" s="1438"/>
      <c r="M1363" s="1437">
        <f t="shared" si="175"/>
        <v>0</v>
      </c>
      <c r="N1363" s="1437">
        <f t="shared" si="179"/>
        <v>0</v>
      </c>
    </row>
    <row r="1364" spans="1:14" ht="29" outlineLevel="1">
      <c r="A1364" s="1491">
        <f t="shared" si="182"/>
        <v>14.8</v>
      </c>
      <c r="B1364" s="1530" t="str">
        <f t="shared" si="182"/>
        <v>Design, supply and commissioning of solar operated lighting system in CHP  U-8.</v>
      </c>
      <c r="C1364" s="1491" t="str">
        <f t="shared" si="182"/>
        <v>Yet to be approved</v>
      </c>
      <c r="D1364" s="1531" t="str">
        <f t="shared" si="182"/>
        <v>-</v>
      </c>
      <c r="E1364" s="1318">
        <f t="shared" si="182"/>
        <v>0</v>
      </c>
      <c r="F1364" s="1437">
        <f t="shared" si="176"/>
        <v>0</v>
      </c>
      <c r="G1364" s="1437">
        <f t="shared" si="177"/>
        <v>0</v>
      </c>
      <c r="H1364" s="1437">
        <f t="shared" si="178"/>
        <v>0</v>
      </c>
      <c r="I1364" s="1437">
        <v>0</v>
      </c>
      <c r="J1364" s="1437">
        <v>0</v>
      </c>
      <c r="K1364" s="1438"/>
      <c r="L1364" s="1438"/>
      <c r="M1364" s="1437">
        <f t="shared" si="175"/>
        <v>0</v>
      </c>
      <c r="N1364" s="1437">
        <f t="shared" si="179"/>
        <v>0</v>
      </c>
    </row>
    <row r="1365" spans="1:14" outlineLevel="1">
      <c r="A1365" s="1491">
        <f t="shared" si="182"/>
        <v>14.9</v>
      </c>
      <c r="B1365" s="1530" t="str">
        <f t="shared" si="182"/>
        <v xml:space="preserve"> Installation of CCTV survillance system alongwith all conveyors.</v>
      </c>
      <c r="C1365" s="1491" t="str">
        <f t="shared" si="182"/>
        <v>Yet to be approved</v>
      </c>
      <c r="D1365" s="1531" t="str">
        <f t="shared" si="182"/>
        <v>-</v>
      </c>
      <c r="E1365" s="1318">
        <f t="shared" si="182"/>
        <v>0</v>
      </c>
      <c r="F1365" s="1437">
        <f t="shared" si="176"/>
        <v>0</v>
      </c>
      <c r="G1365" s="1437">
        <f t="shared" si="177"/>
        <v>0</v>
      </c>
      <c r="H1365" s="1437">
        <f t="shared" si="178"/>
        <v>0</v>
      </c>
      <c r="I1365" s="1437">
        <v>0</v>
      </c>
      <c r="J1365" s="1437">
        <v>0</v>
      </c>
      <c r="K1365" s="1438"/>
      <c r="L1365" s="1438"/>
      <c r="M1365" s="1437">
        <f t="shared" si="175"/>
        <v>0</v>
      </c>
      <c r="N1365" s="1437">
        <f t="shared" si="179"/>
        <v>0</v>
      </c>
    </row>
    <row r="1366" spans="1:14" ht="31" outlineLevel="1">
      <c r="A1366" s="1533">
        <f t="shared" si="182"/>
        <v>15</v>
      </c>
      <c r="B1366" s="1534" t="str">
        <f t="shared" si="182"/>
        <v>DPR for maximiation of Coal Handling Plant efficiency &amp; DPR on life enhancement of Coal Handling Plant</v>
      </c>
      <c r="C1366" s="1491" t="str">
        <f t="shared" si="182"/>
        <v>Yet to be approved</v>
      </c>
      <c r="D1366" s="1531" t="str">
        <f t="shared" si="182"/>
        <v>-</v>
      </c>
      <c r="E1366" s="1318">
        <f t="shared" si="182"/>
        <v>0</v>
      </c>
      <c r="F1366" s="1437">
        <f t="shared" si="176"/>
        <v>0</v>
      </c>
      <c r="G1366" s="1437">
        <f t="shared" si="177"/>
        <v>0</v>
      </c>
      <c r="H1366" s="1437">
        <f t="shared" si="178"/>
        <v>0</v>
      </c>
      <c r="I1366" s="1437">
        <v>0</v>
      </c>
      <c r="J1366" s="1437">
        <v>0</v>
      </c>
      <c r="K1366" s="1438"/>
      <c r="L1366" s="1438"/>
      <c r="M1366" s="1437">
        <f t="shared" si="175"/>
        <v>0</v>
      </c>
      <c r="N1366" s="1437">
        <f t="shared" si="179"/>
        <v>0</v>
      </c>
    </row>
    <row r="1367" spans="1:14" outlineLevel="1">
      <c r="A1367" s="1491">
        <f t="shared" si="182"/>
        <v>15.1</v>
      </c>
      <c r="B1367" s="1530" t="str">
        <f t="shared" si="182"/>
        <v>W/T control room &amp; bunker house battery &amp; UPS upgradation</v>
      </c>
      <c r="C1367" s="1491" t="str">
        <f t="shared" si="182"/>
        <v>Yet to be approved</v>
      </c>
      <c r="D1367" s="1531" t="str">
        <f t="shared" si="182"/>
        <v>-</v>
      </c>
      <c r="E1367" s="1318">
        <f t="shared" si="182"/>
        <v>0</v>
      </c>
      <c r="F1367" s="1437">
        <f t="shared" si="176"/>
        <v>0</v>
      </c>
      <c r="G1367" s="1437">
        <f t="shared" si="177"/>
        <v>0</v>
      </c>
      <c r="H1367" s="1437">
        <f t="shared" si="178"/>
        <v>0</v>
      </c>
      <c r="I1367" s="1437">
        <v>0</v>
      </c>
      <c r="J1367" s="1437">
        <v>0</v>
      </c>
      <c r="K1367" s="1438"/>
      <c r="L1367" s="1438"/>
      <c r="M1367" s="1437">
        <f t="shared" si="175"/>
        <v>0</v>
      </c>
      <c r="N1367" s="1437">
        <f t="shared" si="179"/>
        <v>0</v>
      </c>
    </row>
    <row r="1368" spans="1:14" ht="29" outlineLevel="1">
      <c r="A1368" s="1491">
        <f t="shared" si="182"/>
        <v>15.2</v>
      </c>
      <c r="B1368" s="1530" t="str">
        <f t="shared" si="182"/>
        <v>Refurbishment of  conveyor no. 2 A/B &amp; 6 A/B drive system of CHP U-8 TPS Parli.</v>
      </c>
      <c r="C1368" s="1491" t="str">
        <f t="shared" si="182"/>
        <v>Yet to be approved</v>
      </c>
      <c r="D1368" s="1531" t="str">
        <f t="shared" si="182"/>
        <v>-</v>
      </c>
      <c r="E1368" s="1318">
        <f t="shared" si="182"/>
        <v>0</v>
      </c>
      <c r="F1368" s="1437">
        <f t="shared" si="176"/>
        <v>0</v>
      </c>
      <c r="G1368" s="1437">
        <f t="shared" si="177"/>
        <v>0</v>
      </c>
      <c r="H1368" s="1437">
        <f t="shared" si="178"/>
        <v>0</v>
      </c>
      <c r="I1368" s="1437">
        <v>0</v>
      </c>
      <c r="J1368" s="1437">
        <v>0</v>
      </c>
      <c r="K1368" s="1438"/>
      <c r="L1368" s="1438"/>
      <c r="M1368" s="1437">
        <f t="shared" si="175"/>
        <v>0</v>
      </c>
      <c r="N1368" s="1437">
        <f t="shared" si="179"/>
        <v>0</v>
      </c>
    </row>
    <row r="1369" spans="1:14" outlineLevel="1">
      <c r="A1369" s="1491">
        <f t="shared" si="182"/>
        <v>15.3</v>
      </c>
      <c r="B1369" s="1530" t="str">
        <f t="shared" si="182"/>
        <v>Provision of Soft starter / VFD for Various conveyor</v>
      </c>
      <c r="C1369" s="1491" t="str">
        <f t="shared" si="182"/>
        <v>Yet to be approved</v>
      </c>
      <c r="D1369" s="1531" t="str">
        <f t="shared" si="182"/>
        <v>-</v>
      </c>
      <c r="E1369" s="1318">
        <f t="shared" si="182"/>
        <v>0</v>
      </c>
      <c r="F1369" s="1437">
        <f t="shared" si="176"/>
        <v>0</v>
      </c>
      <c r="G1369" s="1437">
        <f t="shared" si="177"/>
        <v>0</v>
      </c>
      <c r="H1369" s="1437">
        <f t="shared" si="178"/>
        <v>0</v>
      </c>
      <c r="I1369" s="1437">
        <v>0</v>
      </c>
      <c r="J1369" s="1437">
        <v>0</v>
      </c>
      <c r="K1369" s="1438"/>
      <c r="L1369" s="1438"/>
      <c r="M1369" s="1437">
        <f t="shared" si="175"/>
        <v>0</v>
      </c>
      <c r="N1369" s="1437">
        <f t="shared" si="179"/>
        <v>0</v>
      </c>
    </row>
    <row r="1370" spans="1:14" outlineLevel="1">
      <c r="A1370" s="1491">
        <f t="shared" si="182"/>
        <v>15.4</v>
      </c>
      <c r="B1370" s="1530" t="str">
        <f t="shared" si="182"/>
        <v>Procurement &amp; installation of Belt tear detection system</v>
      </c>
      <c r="C1370" s="1491" t="str">
        <f t="shared" si="182"/>
        <v>Yet to be approved</v>
      </c>
      <c r="D1370" s="1531" t="str">
        <f t="shared" si="182"/>
        <v>-</v>
      </c>
      <c r="E1370" s="1318">
        <f t="shared" si="182"/>
        <v>0</v>
      </c>
      <c r="F1370" s="1437">
        <f t="shared" si="176"/>
        <v>0</v>
      </c>
      <c r="G1370" s="1437">
        <f t="shared" si="177"/>
        <v>0</v>
      </c>
      <c r="H1370" s="1437">
        <f t="shared" si="178"/>
        <v>0</v>
      </c>
      <c r="I1370" s="1437">
        <v>0</v>
      </c>
      <c r="J1370" s="1437">
        <v>0</v>
      </c>
      <c r="K1370" s="1438"/>
      <c r="L1370" s="1438"/>
      <c r="M1370" s="1437">
        <f t="shared" si="175"/>
        <v>0</v>
      </c>
      <c r="N1370" s="1437">
        <f t="shared" si="179"/>
        <v>0</v>
      </c>
    </row>
    <row r="1371" spans="1:14" outlineLevel="1">
      <c r="A1371" s="1491">
        <f t="shared" si="182"/>
        <v>15.5</v>
      </c>
      <c r="B1371" s="1530" t="str">
        <f t="shared" si="182"/>
        <v>Conveyor gravity takeup infrastructure strengthening work</v>
      </c>
      <c r="C1371" s="1491" t="str">
        <f t="shared" si="182"/>
        <v>Yet to be approved</v>
      </c>
      <c r="D1371" s="1531" t="str">
        <f t="shared" si="182"/>
        <v>-</v>
      </c>
      <c r="E1371" s="1318">
        <f t="shared" si="182"/>
        <v>0</v>
      </c>
      <c r="F1371" s="1437">
        <f t="shared" si="176"/>
        <v>0</v>
      </c>
      <c r="G1371" s="1437">
        <f t="shared" si="177"/>
        <v>0</v>
      </c>
      <c r="H1371" s="1437">
        <f t="shared" si="178"/>
        <v>0</v>
      </c>
      <c r="I1371" s="1437">
        <v>0</v>
      </c>
      <c r="J1371" s="1437">
        <v>0</v>
      </c>
      <c r="K1371" s="1438"/>
      <c r="L1371" s="1438"/>
      <c r="M1371" s="1437">
        <f t="shared" si="175"/>
        <v>0</v>
      </c>
      <c r="N1371" s="1437">
        <f t="shared" si="179"/>
        <v>0</v>
      </c>
    </row>
    <row r="1372" spans="1:14" outlineLevel="1">
      <c r="A1372" s="1491">
        <f t="shared" si="182"/>
        <v>15.6</v>
      </c>
      <c r="B1372" s="1530" t="str">
        <f t="shared" si="182"/>
        <v>U-8 CHP apron feeder-I to Conveyor 1 A/B chute modification work .</v>
      </c>
      <c r="C1372" s="1491" t="str">
        <f t="shared" si="182"/>
        <v>Yet to be approved</v>
      </c>
      <c r="D1372" s="1531" t="str">
        <f t="shared" si="182"/>
        <v>-</v>
      </c>
      <c r="E1372" s="1318">
        <f t="shared" si="182"/>
        <v>0</v>
      </c>
      <c r="F1372" s="1437">
        <f t="shared" si="176"/>
        <v>0</v>
      </c>
      <c r="G1372" s="1437">
        <f t="shared" si="177"/>
        <v>0</v>
      </c>
      <c r="H1372" s="1437">
        <f t="shared" si="178"/>
        <v>0</v>
      </c>
      <c r="I1372" s="1437">
        <v>0</v>
      </c>
      <c r="J1372" s="1437">
        <v>0</v>
      </c>
      <c r="K1372" s="1438"/>
      <c r="L1372" s="1438"/>
      <c r="M1372" s="1437">
        <f t="shared" si="175"/>
        <v>0</v>
      </c>
      <c r="N1372" s="1437">
        <f t="shared" si="179"/>
        <v>0</v>
      </c>
    </row>
    <row r="1373" spans="1:14" ht="15.5" outlineLevel="1">
      <c r="A1373" s="1533">
        <f t="shared" si="182"/>
        <v>16</v>
      </c>
      <c r="B1373" s="1534" t="str">
        <f t="shared" si="182"/>
        <v>DPR for stabiliazation of Coal Handling Performance.</v>
      </c>
      <c r="C1373" s="1491" t="str">
        <f t="shared" si="182"/>
        <v>Yet to be approved</v>
      </c>
      <c r="D1373" s="1531" t="str">
        <f t="shared" si="182"/>
        <v>-</v>
      </c>
      <c r="E1373" s="1318">
        <f t="shared" si="182"/>
        <v>0</v>
      </c>
      <c r="F1373" s="1437">
        <f t="shared" si="176"/>
        <v>0</v>
      </c>
      <c r="G1373" s="1437">
        <f t="shared" si="177"/>
        <v>0</v>
      </c>
      <c r="H1373" s="1437">
        <f t="shared" si="178"/>
        <v>0</v>
      </c>
      <c r="I1373" s="1437">
        <v>0</v>
      </c>
      <c r="J1373" s="1437">
        <v>0</v>
      </c>
      <c r="K1373" s="1438"/>
      <c r="L1373" s="1438"/>
      <c r="M1373" s="1437">
        <f t="shared" si="175"/>
        <v>0</v>
      </c>
      <c r="N1373" s="1437">
        <f t="shared" si="179"/>
        <v>0</v>
      </c>
    </row>
    <row r="1374" spans="1:14" outlineLevel="1">
      <c r="A1374" s="1491">
        <f t="shared" si="182"/>
        <v>16.100000000000001</v>
      </c>
      <c r="B1374" s="1530" t="str">
        <f t="shared" si="182"/>
        <v xml:space="preserve">Drive modification of Stacker Reclaimer slewing system. </v>
      </c>
      <c r="C1374" s="1491" t="str">
        <f t="shared" si="182"/>
        <v>Yet to be approved</v>
      </c>
      <c r="D1374" s="1531" t="str">
        <f t="shared" si="182"/>
        <v>-</v>
      </c>
      <c r="E1374" s="1318">
        <f t="shared" si="182"/>
        <v>0</v>
      </c>
      <c r="F1374" s="1437">
        <f t="shared" si="176"/>
        <v>0</v>
      </c>
      <c r="G1374" s="1437">
        <f t="shared" si="177"/>
        <v>0</v>
      </c>
      <c r="H1374" s="1437">
        <f t="shared" si="178"/>
        <v>0</v>
      </c>
      <c r="I1374" s="1437">
        <v>0</v>
      </c>
      <c r="J1374" s="1437">
        <v>0</v>
      </c>
      <c r="K1374" s="1438"/>
      <c r="L1374" s="1438"/>
      <c r="M1374" s="1437">
        <f t="shared" si="175"/>
        <v>0</v>
      </c>
      <c r="N1374" s="1437">
        <f t="shared" si="179"/>
        <v>0</v>
      </c>
    </row>
    <row r="1375" spans="1:14" outlineLevel="1">
      <c r="A1375" s="1491">
        <f t="shared" si="182"/>
        <v>16.2</v>
      </c>
      <c r="B1375" s="1530" t="str">
        <f t="shared" si="182"/>
        <v>Retrofitting of Side Arm Charger-I &amp; II at CHP U-8</v>
      </c>
      <c r="C1375" s="1491" t="str">
        <f t="shared" si="182"/>
        <v>Yet to be approved</v>
      </c>
      <c r="D1375" s="1531" t="str">
        <f t="shared" si="182"/>
        <v>-</v>
      </c>
      <c r="E1375" s="1318">
        <f t="shared" si="182"/>
        <v>0</v>
      </c>
      <c r="F1375" s="1437">
        <f t="shared" si="176"/>
        <v>0</v>
      </c>
      <c r="G1375" s="1437">
        <f t="shared" si="177"/>
        <v>0</v>
      </c>
      <c r="H1375" s="1437">
        <f t="shared" si="178"/>
        <v>0</v>
      </c>
      <c r="I1375" s="1437">
        <v>0</v>
      </c>
      <c r="J1375" s="1437">
        <v>0</v>
      </c>
      <c r="K1375" s="1438"/>
      <c r="L1375" s="1438"/>
      <c r="M1375" s="1437">
        <f t="shared" si="175"/>
        <v>0</v>
      </c>
      <c r="N1375" s="1437">
        <f t="shared" si="179"/>
        <v>0</v>
      </c>
    </row>
    <row r="1376" spans="1:14" outlineLevel="1">
      <c r="A1376" s="1491">
        <f t="shared" si="182"/>
        <v>16.3</v>
      </c>
      <c r="B1376" s="1530" t="str">
        <f t="shared" si="182"/>
        <v>Upgradation of GE/Schineder make PLC system atU-8 CHP.</v>
      </c>
      <c r="C1376" s="1491" t="str">
        <f t="shared" si="182"/>
        <v>Yet to be approved</v>
      </c>
      <c r="D1376" s="1531" t="str">
        <f t="shared" si="182"/>
        <v>-</v>
      </c>
      <c r="E1376" s="1318">
        <f t="shared" si="182"/>
        <v>0</v>
      </c>
      <c r="F1376" s="1437">
        <f t="shared" si="176"/>
        <v>0</v>
      </c>
      <c r="G1376" s="1437">
        <f t="shared" si="177"/>
        <v>0</v>
      </c>
      <c r="H1376" s="1437">
        <f t="shared" si="178"/>
        <v>0</v>
      </c>
      <c r="I1376" s="1437">
        <v>0</v>
      </c>
      <c r="J1376" s="1437">
        <v>0</v>
      </c>
      <c r="K1376" s="1438"/>
      <c r="L1376" s="1438"/>
      <c r="M1376" s="1437">
        <f t="shared" si="175"/>
        <v>0</v>
      </c>
      <c r="N1376" s="1437">
        <f t="shared" si="179"/>
        <v>0</v>
      </c>
    </row>
    <row r="1377" spans="1:14" outlineLevel="1">
      <c r="A1377" s="1491">
        <f t="shared" si="182"/>
        <v>16.399999999999999</v>
      </c>
      <c r="B1377" s="1530" t="str">
        <f t="shared" si="182"/>
        <v>Refurbishment of Apron Feeder at CHP U-8.</v>
      </c>
      <c r="C1377" s="1491" t="str">
        <f t="shared" si="182"/>
        <v>Yet to be approved</v>
      </c>
      <c r="D1377" s="1531" t="str">
        <f t="shared" si="182"/>
        <v>-</v>
      </c>
      <c r="E1377" s="1318">
        <f t="shared" si="182"/>
        <v>0</v>
      </c>
      <c r="F1377" s="1437">
        <f t="shared" si="176"/>
        <v>0</v>
      </c>
      <c r="G1377" s="1437">
        <f t="shared" si="177"/>
        <v>0</v>
      </c>
      <c r="H1377" s="1437">
        <f t="shared" si="178"/>
        <v>0</v>
      </c>
      <c r="I1377" s="1437">
        <v>0</v>
      </c>
      <c r="J1377" s="1437">
        <v>0</v>
      </c>
      <c r="K1377" s="1438"/>
      <c r="L1377" s="1438"/>
      <c r="M1377" s="1437">
        <f t="shared" si="175"/>
        <v>0</v>
      </c>
      <c r="N1377" s="1437">
        <f t="shared" si="179"/>
        <v>0</v>
      </c>
    </row>
    <row r="1378" spans="1:14" ht="29" outlineLevel="1">
      <c r="A1378" s="1491">
        <f t="shared" si="182"/>
        <v>16.5</v>
      </c>
      <c r="B1378" s="1530" t="str">
        <f t="shared" si="182"/>
        <v>Provision of moveable stacker and crusher in CHP coal stack yard at CHP U-8.</v>
      </c>
      <c r="C1378" s="1491" t="str">
        <f t="shared" si="182"/>
        <v>Yet to be approved</v>
      </c>
      <c r="D1378" s="1531" t="str">
        <f t="shared" si="182"/>
        <v>-</v>
      </c>
      <c r="E1378" s="1318">
        <f t="shared" si="182"/>
        <v>0</v>
      </c>
      <c r="F1378" s="1437">
        <f t="shared" si="176"/>
        <v>0</v>
      </c>
      <c r="G1378" s="1437">
        <f t="shared" si="177"/>
        <v>0</v>
      </c>
      <c r="H1378" s="1437">
        <f t="shared" si="178"/>
        <v>0</v>
      </c>
      <c r="I1378" s="1437">
        <v>0</v>
      </c>
      <c r="J1378" s="1437">
        <v>0</v>
      </c>
      <c r="K1378" s="1438"/>
      <c r="L1378" s="1438"/>
      <c r="M1378" s="1437">
        <f t="shared" si="175"/>
        <v>0</v>
      </c>
      <c r="N1378" s="1437">
        <f t="shared" si="179"/>
        <v>0</v>
      </c>
    </row>
    <row r="1379" spans="1:14" outlineLevel="1">
      <c r="A1379" s="1491">
        <f t="shared" ref="A1379:E1394" si="183">A986</f>
        <v>16.600000000000001</v>
      </c>
      <c r="B1379" s="1530" t="str">
        <f t="shared" si="183"/>
        <v>Procurement of Loco &amp; Bulldozer at CHP U-8.</v>
      </c>
      <c r="C1379" s="1491" t="str">
        <f t="shared" si="183"/>
        <v>Yet to be approved</v>
      </c>
      <c r="D1379" s="1531" t="str">
        <f t="shared" si="183"/>
        <v>-</v>
      </c>
      <c r="E1379" s="1318">
        <f t="shared" si="183"/>
        <v>0</v>
      </c>
      <c r="F1379" s="1437">
        <f t="shared" si="176"/>
        <v>0</v>
      </c>
      <c r="G1379" s="1437">
        <f t="shared" si="177"/>
        <v>0</v>
      </c>
      <c r="H1379" s="1437">
        <f t="shared" si="178"/>
        <v>0</v>
      </c>
      <c r="I1379" s="1437">
        <v>0</v>
      </c>
      <c r="J1379" s="1437">
        <v>0</v>
      </c>
      <c r="K1379" s="1438"/>
      <c r="L1379" s="1438"/>
      <c r="M1379" s="1437">
        <f t="shared" si="175"/>
        <v>0</v>
      </c>
      <c r="N1379" s="1437">
        <f t="shared" si="179"/>
        <v>0</v>
      </c>
    </row>
    <row r="1380" spans="1:14" ht="31" outlineLevel="1">
      <c r="A1380" s="1533">
        <f t="shared" si="183"/>
        <v>17</v>
      </c>
      <c r="B1380" s="1534" t="str">
        <f t="shared" si="183"/>
        <v>DPR on dry fly ash utilisation improvement scheme for AHP U-8 NPTPS Parli-V.</v>
      </c>
      <c r="C1380" s="1491" t="str">
        <f t="shared" si="183"/>
        <v>Yet to be approved</v>
      </c>
      <c r="D1380" s="1531" t="str">
        <f t="shared" si="183"/>
        <v>-</v>
      </c>
      <c r="E1380" s="1318">
        <f t="shared" si="183"/>
        <v>0</v>
      </c>
      <c r="F1380" s="1437">
        <f t="shared" si="176"/>
        <v>0</v>
      </c>
      <c r="G1380" s="1437">
        <f t="shared" si="177"/>
        <v>0</v>
      </c>
      <c r="H1380" s="1437">
        <f t="shared" si="178"/>
        <v>0</v>
      </c>
      <c r="I1380" s="1437">
        <v>0</v>
      </c>
      <c r="J1380" s="1437">
        <v>0</v>
      </c>
      <c r="K1380" s="1438"/>
      <c r="L1380" s="1438"/>
      <c r="M1380" s="1437">
        <f t="shared" si="175"/>
        <v>0</v>
      </c>
      <c r="N1380" s="1437">
        <f t="shared" si="179"/>
        <v>0</v>
      </c>
    </row>
    <row r="1381" spans="1:14" ht="29" outlineLevel="1">
      <c r="A1381" s="1491">
        <f t="shared" si="183"/>
        <v>17.100000000000001</v>
      </c>
      <c r="B1381" s="1530" t="str">
        <f t="shared" si="183"/>
        <v>Design, supply, erection, installation &amp; comissioning of intermediate silo with sub system at AHP U-8.</v>
      </c>
      <c r="C1381" s="1491" t="str">
        <f t="shared" si="183"/>
        <v>Yet to be approved</v>
      </c>
      <c r="D1381" s="1531" t="str">
        <f t="shared" si="183"/>
        <v>-</v>
      </c>
      <c r="E1381" s="1318">
        <f t="shared" si="183"/>
        <v>0</v>
      </c>
      <c r="F1381" s="1437">
        <f t="shared" si="176"/>
        <v>0</v>
      </c>
      <c r="G1381" s="1437">
        <f t="shared" si="177"/>
        <v>0</v>
      </c>
      <c r="H1381" s="1437">
        <f t="shared" si="178"/>
        <v>0</v>
      </c>
      <c r="I1381" s="1437">
        <v>0</v>
      </c>
      <c r="J1381" s="1437">
        <v>0</v>
      </c>
      <c r="K1381" s="1438"/>
      <c r="L1381" s="1438"/>
      <c r="M1381" s="1437">
        <f t="shared" ref="M1381:M1444" si="184">SUM(J1381:L1381)</f>
        <v>0</v>
      </c>
      <c r="N1381" s="1437">
        <f t="shared" si="179"/>
        <v>0</v>
      </c>
    </row>
    <row r="1382" spans="1:14" ht="31" outlineLevel="1">
      <c r="A1382" s="1533">
        <f t="shared" si="183"/>
        <v>18</v>
      </c>
      <c r="B1382" s="1534" t="str">
        <f t="shared" si="183"/>
        <v>DPR on ash handling plant improvement scheme for AHP U-8 NPTPS Parli-V.</v>
      </c>
      <c r="C1382" s="1491" t="str">
        <f t="shared" si="183"/>
        <v>Yet to be approved</v>
      </c>
      <c r="D1382" s="1531" t="str">
        <f t="shared" si="183"/>
        <v>-</v>
      </c>
      <c r="E1382" s="1318">
        <f t="shared" si="183"/>
        <v>0</v>
      </c>
      <c r="F1382" s="1437">
        <f t="shared" ref="F1382:F1445" si="185">F989+I989</f>
        <v>0</v>
      </c>
      <c r="G1382" s="1437">
        <f t="shared" ref="G1382:G1445" si="186">G989+M989</f>
        <v>0</v>
      </c>
      <c r="H1382" s="1437">
        <f t="shared" si="178"/>
        <v>0</v>
      </c>
      <c r="I1382" s="1437">
        <v>0</v>
      </c>
      <c r="J1382" s="1437">
        <v>0</v>
      </c>
      <c r="K1382" s="1438"/>
      <c r="L1382" s="1438"/>
      <c r="M1382" s="1437">
        <f t="shared" si="184"/>
        <v>0</v>
      </c>
      <c r="N1382" s="1437">
        <f t="shared" si="179"/>
        <v>0</v>
      </c>
    </row>
    <row r="1383" spans="1:14" ht="29" outlineLevel="1">
      <c r="A1383" s="1491">
        <f t="shared" si="183"/>
        <v>18.100000000000001</v>
      </c>
      <c r="B1383" s="1530" t="str">
        <f t="shared" si="183"/>
        <v xml:space="preserve"> Design, supply, erection &amp; comissioning of weigh bridge for silo at AHP U-8.</v>
      </c>
      <c r="C1383" s="1491" t="str">
        <f t="shared" si="183"/>
        <v>Yet to be approved</v>
      </c>
      <c r="D1383" s="1531" t="str">
        <f t="shared" si="183"/>
        <v>-</v>
      </c>
      <c r="E1383" s="1318">
        <f t="shared" si="183"/>
        <v>0</v>
      </c>
      <c r="F1383" s="1437">
        <f t="shared" si="185"/>
        <v>0</v>
      </c>
      <c r="G1383" s="1437">
        <f t="shared" si="186"/>
        <v>0</v>
      </c>
      <c r="H1383" s="1437">
        <f t="shared" ref="H1383:H1446" si="187">F1383-G1383</f>
        <v>0</v>
      </c>
      <c r="I1383" s="1437">
        <v>0.5</v>
      </c>
      <c r="J1383" s="1437">
        <v>0.5</v>
      </c>
      <c r="K1383" s="1438"/>
      <c r="L1383" s="1438"/>
      <c r="M1383" s="1437">
        <f t="shared" si="184"/>
        <v>0.5</v>
      </c>
      <c r="N1383" s="1437">
        <f t="shared" ref="N1383:N1446" si="188">H1383+I1383-M1383</f>
        <v>0</v>
      </c>
    </row>
    <row r="1384" spans="1:14" ht="29" outlineLevel="1">
      <c r="A1384" s="1491">
        <f t="shared" si="183"/>
        <v>18.2</v>
      </c>
      <c r="B1384" s="1530" t="str">
        <f t="shared" si="183"/>
        <v>Supply, installation &amp; comissioning of energy efficient air compressor at AHP U-8.</v>
      </c>
      <c r="C1384" s="1491" t="str">
        <f t="shared" si="183"/>
        <v>Yet to be approved</v>
      </c>
      <c r="D1384" s="1531" t="str">
        <f t="shared" si="183"/>
        <v>-</v>
      </c>
      <c r="E1384" s="1318">
        <f t="shared" si="183"/>
        <v>0</v>
      </c>
      <c r="F1384" s="1437">
        <f t="shared" si="185"/>
        <v>0</v>
      </c>
      <c r="G1384" s="1437">
        <f t="shared" si="186"/>
        <v>0</v>
      </c>
      <c r="H1384" s="1437">
        <f t="shared" si="187"/>
        <v>0</v>
      </c>
      <c r="I1384" s="1437">
        <v>6</v>
      </c>
      <c r="J1384" s="1437">
        <v>6</v>
      </c>
      <c r="K1384" s="1438"/>
      <c r="L1384" s="1438"/>
      <c r="M1384" s="1437">
        <f t="shared" si="184"/>
        <v>6</v>
      </c>
      <c r="N1384" s="1437">
        <f t="shared" si="188"/>
        <v>0</v>
      </c>
    </row>
    <row r="1385" spans="1:14" ht="58" outlineLevel="1">
      <c r="A1385" s="1491">
        <f t="shared" si="183"/>
        <v>18.3</v>
      </c>
      <c r="B1385" s="1530" t="str">
        <f t="shared" si="183"/>
        <v xml:space="preserve"> PROCUREMENT OF COMPLETE ASSEMBLY OF SAM MAKE AR-150/510 PUMPS (2 NOS) FOR REPLACEMENT OF ASH SLURRY PUMPS OF BOTTOM ASH SLURRY DISPOSAL FROM SLURRY TANK TO ASH BUND IN SLURRY PUMP HOUSE. </v>
      </c>
      <c r="C1385" s="1491" t="str">
        <f t="shared" si="183"/>
        <v>Yet to be approved</v>
      </c>
      <c r="D1385" s="1531" t="str">
        <f t="shared" si="183"/>
        <v>-</v>
      </c>
      <c r="E1385" s="1318">
        <f t="shared" si="183"/>
        <v>0</v>
      </c>
      <c r="F1385" s="1437">
        <f t="shared" si="185"/>
        <v>0</v>
      </c>
      <c r="G1385" s="1437">
        <f t="shared" si="186"/>
        <v>0</v>
      </c>
      <c r="H1385" s="1437">
        <f t="shared" si="187"/>
        <v>0</v>
      </c>
      <c r="I1385" s="1437">
        <v>0.5</v>
      </c>
      <c r="J1385" s="1437">
        <v>0.5</v>
      </c>
      <c r="K1385" s="1438"/>
      <c r="L1385" s="1438"/>
      <c r="M1385" s="1437">
        <f t="shared" si="184"/>
        <v>0.5</v>
      </c>
      <c r="N1385" s="1437">
        <f t="shared" si="188"/>
        <v>0</v>
      </c>
    </row>
    <row r="1386" spans="1:14" ht="58" outlineLevel="1">
      <c r="A1386" s="1491">
        <f t="shared" si="183"/>
        <v>18.399999999999999</v>
      </c>
      <c r="B1386" s="1530" t="str">
        <f t="shared" si="183"/>
        <v>PROCUREMENT OF COMPLETE ASSEMBLY OF SAM MAKE ZM-II 530/02 (2 NOS) FOR REPLACEMENT OF HP PUMPS OF BOTTOM ASH &amp; COARSE ASH EVACUATION FROM BA/CA HOPPERS TO SLURRY TANK IN ASH WATER PUMP HOUSE. 0.75 0.89</v>
      </c>
      <c r="C1386" s="1491" t="str">
        <f t="shared" si="183"/>
        <v>Yet to be approved</v>
      </c>
      <c r="D1386" s="1531" t="str">
        <f t="shared" si="183"/>
        <v>-</v>
      </c>
      <c r="E1386" s="1318">
        <f t="shared" si="183"/>
        <v>0</v>
      </c>
      <c r="F1386" s="1437">
        <f t="shared" si="185"/>
        <v>0</v>
      </c>
      <c r="G1386" s="1437">
        <f t="shared" si="186"/>
        <v>0</v>
      </c>
      <c r="H1386" s="1437">
        <f t="shared" si="187"/>
        <v>0</v>
      </c>
      <c r="I1386" s="1437">
        <v>0.4</v>
      </c>
      <c r="J1386" s="1437">
        <v>0.4</v>
      </c>
      <c r="K1386" s="1438"/>
      <c r="L1386" s="1438"/>
      <c r="M1386" s="1437">
        <f t="shared" si="184"/>
        <v>0.4</v>
      </c>
      <c r="N1386" s="1437">
        <f t="shared" si="188"/>
        <v>0</v>
      </c>
    </row>
    <row r="1387" spans="1:14" ht="29" outlineLevel="1">
      <c r="A1387" s="1491">
        <f t="shared" si="183"/>
        <v>18.5</v>
      </c>
      <c r="B1387" s="1530" t="str">
        <f t="shared" si="183"/>
        <v>Procurement of vacuum pumps complete assembly for AHP U-8 NPTPS Parli-V.</v>
      </c>
      <c r="C1387" s="1491" t="str">
        <f t="shared" si="183"/>
        <v>Yet to be approved</v>
      </c>
      <c r="D1387" s="1531" t="str">
        <f t="shared" si="183"/>
        <v>-</v>
      </c>
      <c r="E1387" s="1318">
        <f t="shared" si="183"/>
        <v>0</v>
      </c>
      <c r="F1387" s="1437">
        <f t="shared" si="185"/>
        <v>0</v>
      </c>
      <c r="G1387" s="1437">
        <f t="shared" si="186"/>
        <v>0</v>
      </c>
      <c r="H1387" s="1437">
        <f t="shared" si="187"/>
        <v>0</v>
      </c>
      <c r="I1387" s="1437">
        <v>1.5</v>
      </c>
      <c r="J1387" s="1437">
        <v>1.5</v>
      </c>
      <c r="K1387" s="1438"/>
      <c r="L1387" s="1438"/>
      <c r="M1387" s="1437">
        <f t="shared" si="184"/>
        <v>1.5</v>
      </c>
      <c r="N1387" s="1437">
        <f t="shared" si="188"/>
        <v>0</v>
      </c>
    </row>
    <row r="1388" spans="1:14" ht="29" outlineLevel="1">
      <c r="A1388" s="1491">
        <f t="shared" si="183"/>
        <v>18.600000000000001</v>
      </c>
      <c r="B1388" s="1530" t="str">
        <f t="shared" si="183"/>
        <v>Procurement of vacuum pumps complete assembly for AHP U-8 NPTPS Parli-V.</v>
      </c>
      <c r="C1388" s="1491" t="str">
        <f t="shared" si="183"/>
        <v>Yet to be approved</v>
      </c>
      <c r="D1388" s="1531" t="str">
        <f t="shared" si="183"/>
        <v>-</v>
      </c>
      <c r="E1388" s="1318">
        <f t="shared" si="183"/>
        <v>0</v>
      </c>
      <c r="F1388" s="1437">
        <f t="shared" si="185"/>
        <v>0</v>
      </c>
      <c r="G1388" s="1437">
        <f t="shared" si="186"/>
        <v>0</v>
      </c>
      <c r="H1388" s="1437">
        <f t="shared" si="187"/>
        <v>0</v>
      </c>
      <c r="I1388" s="1437">
        <v>2</v>
      </c>
      <c r="J1388" s="1437">
        <v>2</v>
      </c>
      <c r="K1388" s="1438"/>
      <c r="L1388" s="1438"/>
      <c r="M1388" s="1437">
        <f t="shared" si="184"/>
        <v>2</v>
      </c>
      <c r="N1388" s="1437">
        <f t="shared" si="188"/>
        <v>0</v>
      </c>
    </row>
    <row r="1389" spans="1:14" ht="29" outlineLevel="1">
      <c r="A1389" s="1491">
        <f t="shared" si="183"/>
        <v>18.7</v>
      </c>
      <c r="B1389" s="1530" t="str">
        <f t="shared" si="183"/>
        <v>Procurement of Feed Gate Complete Assembly along with modified metallurgy to enhance the life of Clinker Grinder.</v>
      </c>
      <c r="C1389" s="1491" t="str">
        <f t="shared" si="183"/>
        <v>Yet to be approved</v>
      </c>
      <c r="D1389" s="1531" t="str">
        <f t="shared" si="183"/>
        <v>-</v>
      </c>
      <c r="E1389" s="1318">
        <f t="shared" si="183"/>
        <v>0</v>
      </c>
      <c r="F1389" s="1437">
        <f t="shared" si="185"/>
        <v>0</v>
      </c>
      <c r="G1389" s="1437">
        <f t="shared" si="186"/>
        <v>0</v>
      </c>
      <c r="H1389" s="1437">
        <f t="shared" si="187"/>
        <v>0</v>
      </c>
      <c r="I1389" s="1437">
        <v>1</v>
      </c>
      <c r="J1389" s="1437">
        <v>1</v>
      </c>
      <c r="K1389" s="1438"/>
      <c r="L1389" s="1438"/>
      <c r="M1389" s="1437">
        <f t="shared" si="184"/>
        <v>1</v>
      </c>
      <c r="N1389" s="1437">
        <f t="shared" si="188"/>
        <v>0</v>
      </c>
    </row>
    <row r="1390" spans="1:14" ht="29" outlineLevel="1">
      <c r="A1390" s="1491">
        <f t="shared" si="183"/>
        <v>18.8</v>
      </c>
      <c r="B1390" s="1530" t="str">
        <f t="shared" si="183"/>
        <v>Procurement of Double Roll Clinker Grinder Complete Assembly with Drive Unit installed at AHP</v>
      </c>
      <c r="C1390" s="1491" t="str">
        <f t="shared" si="183"/>
        <v>Yet to be approved</v>
      </c>
      <c r="D1390" s="1531" t="str">
        <f t="shared" si="183"/>
        <v>-</v>
      </c>
      <c r="E1390" s="1318">
        <f t="shared" si="183"/>
        <v>0</v>
      </c>
      <c r="F1390" s="1437">
        <f t="shared" si="185"/>
        <v>0</v>
      </c>
      <c r="G1390" s="1437">
        <f t="shared" si="186"/>
        <v>0</v>
      </c>
      <c r="H1390" s="1437">
        <f t="shared" si="187"/>
        <v>0</v>
      </c>
      <c r="I1390" s="1437">
        <v>1.25</v>
      </c>
      <c r="J1390" s="1437">
        <v>1.25</v>
      </c>
      <c r="K1390" s="1438"/>
      <c r="L1390" s="1438"/>
      <c r="M1390" s="1437">
        <f t="shared" si="184"/>
        <v>1.25</v>
      </c>
      <c r="N1390" s="1437">
        <f t="shared" si="188"/>
        <v>0</v>
      </c>
    </row>
    <row r="1391" spans="1:14" ht="29" outlineLevel="1">
      <c r="A1391" s="1491">
        <f t="shared" si="183"/>
        <v>18.899999999999999</v>
      </c>
      <c r="B1391" s="1530" t="str">
        <f t="shared" si="183"/>
        <v>Procurement of Instrument Air Dryers assembly for performance improvement</v>
      </c>
      <c r="C1391" s="1491" t="str">
        <f t="shared" si="183"/>
        <v>Yet to be approved</v>
      </c>
      <c r="D1391" s="1531" t="str">
        <f t="shared" si="183"/>
        <v>-</v>
      </c>
      <c r="E1391" s="1318">
        <f t="shared" si="183"/>
        <v>0</v>
      </c>
      <c r="F1391" s="1437">
        <f t="shared" si="185"/>
        <v>0</v>
      </c>
      <c r="G1391" s="1437">
        <f t="shared" si="186"/>
        <v>0</v>
      </c>
      <c r="H1391" s="1437">
        <f t="shared" si="187"/>
        <v>0</v>
      </c>
      <c r="I1391" s="1437">
        <v>0.5</v>
      </c>
      <c r="J1391" s="1437">
        <v>0.5</v>
      </c>
      <c r="K1391" s="1438"/>
      <c r="L1391" s="1438"/>
      <c r="M1391" s="1437">
        <f t="shared" si="184"/>
        <v>0.5</v>
      </c>
      <c r="N1391" s="1437">
        <f t="shared" si="188"/>
        <v>0</v>
      </c>
    </row>
    <row r="1392" spans="1:14" ht="43.5" outlineLevel="1">
      <c r="A1392" s="1491">
        <f t="shared" si="183"/>
        <v>18.100000000000001</v>
      </c>
      <c r="B1392" s="1530" t="str">
        <f t="shared" si="183"/>
        <v>Procurement of various types of Isolation Valves assembly, Dome Valves assembly, Root Valve Assembly &amp; Expansion Bellows Assembly for Dry Ash Conveing performance improvement</v>
      </c>
      <c r="C1392" s="1491" t="str">
        <f t="shared" si="183"/>
        <v>Yet to be approved</v>
      </c>
      <c r="D1392" s="1531" t="str">
        <f t="shared" si="183"/>
        <v>-</v>
      </c>
      <c r="E1392" s="1318">
        <f t="shared" si="183"/>
        <v>0</v>
      </c>
      <c r="F1392" s="1437">
        <f t="shared" si="185"/>
        <v>0</v>
      </c>
      <c r="G1392" s="1437">
        <f t="shared" si="186"/>
        <v>0</v>
      </c>
      <c r="H1392" s="1437">
        <f t="shared" si="187"/>
        <v>0</v>
      </c>
      <c r="I1392" s="1437">
        <v>3.6</v>
      </c>
      <c r="J1392" s="1437">
        <v>3.6</v>
      </c>
      <c r="K1392" s="1438"/>
      <c r="L1392" s="1438"/>
      <c r="M1392" s="1437">
        <f t="shared" si="184"/>
        <v>3.6</v>
      </c>
      <c r="N1392" s="1437">
        <f t="shared" si="188"/>
        <v>0</v>
      </c>
    </row>
    <row r="1393" spans="1:14" ht="31" outlineLevel="1">
      <c r="A1393" s="1533">
        <f t="shared" si="183"/>
        <v>19</v>
      </c>
      <c r="B1393" s="1534" t="str">
        <f t="shared" si="183"/>
        <v>DPR on ash handling plant improvement scheme for AHP U-8 NPTPS Parli-V.</v>
      </c>
      <c r="C1393" s="1491" t="str">
        <f t="shared" si="183"/>
        <v>Yet to be approved</v>
      </c>
      <c r="D1393" s="1531" t="str">
        <f t="shared" si="183"/>
        <v>-</v>
      </c>
      <c r="E1393" s="1318">
        <f t="shared" si="183"/>
        <v>0</v>
      </c>
      <c r="F1393" s="1437">
        <f t="shared" si="185"/>
        <v>0</v>
      </c>
      <c r="G1393" s="1437">
        <f t="shared" si="186"/>
        <v>0</v>
      </c>
      <c r="H1393" s="1437">
        <f t="shared" si="187"/>
        <v>0</v>
      </c>
      <c r="I1393" s="1437">
        <v>0</v>
      </c>
      <c r="J1393" s="1437">
        <v>0</v>
      </c>
      <c r="K1393" s="1438"/>
      <c r="L1393" s="1438"/>
      <c r="M1393" s="1437">
        <f t="shared" si="184"/>
        <v>0</v>
      </c>
      <c r="N1393" s="1437">
        <f t="shared" si="188"/>
        <v>0</v>
      </c>
    </row>
    <row r="1394" spans="1:14" ht="29" outlineLevel="1">
      <c r="A1394" s="1491">
        <f t="shared" si="183"/>
        <v>19.100000000000001</v>
      </c>
      <c r="B1394" s="1530" t="str">
        <f t="shared" si="183"/>
        <v>Design, supply, erection, installation &amp; comissioning of DM water close loop cooling system for air compressors at AHP U-8.</v>
      </c>
      <c r="C1394" s="1491" t="str">
        <f t="shared" si="183"/>
        <v>Yet to be approved</v>
      </c>
      <c r="D1394" s="1531" t="str">
        <f t="shared" si="183"/>
        <v>-</v>
      </c>
      <c r="E1394" s="1318">
        <f t="shared" si="183"/>
        <v>0</v>
      </c>
      <c r="F1394" s="1437">
        <f t="shared" si="185"/>
        <v>0</v>
      </c>
      <c r="G1394" s="1437">
        <f t="shared" si="186"/>
        <v>0</v>
      </c>
      <c r="H1394" s="1437">
        <f t="shared" si="187"/>
        <v>0</v>
      </c>
      <c r="I1394" s="1437">
        <v>0</v>
      </c>
      <c r="J1394" s="1437">
        <v>0</v>
      </c>
      <c r="K1394" s="1438"/>
      <c r="L1394" s="1438"/>
      <c r="M1394" s="1437">
        <f t="shared" si="184"/>
        <v>0</v>
      </c>
      <c r="N1394" s="1437">
        <f t="shared" si="188"/>
        <v>0</v>
      </c>
    </row>
    <row r="1395" spans="1:14" ht="29" outlineLevel="1">
      <c r="A1395" s="1491">
        <f t="shared" ref="A1395:E1410" si="189">A1002</f>
        <v>19.2</v>
      </c>
      <c r="B1395" s="1530" t="str">
        <f t="shared" si="189"/>
        <v>Up-gradation of Existing Schneider make PLC (HMI + PLC hardware) installed at AHP Unit -8 at Parli TPS.</v>
      </c>
      <c r="C1395" s="1491" t="str">
        <f t="shared" si="189"/>
        <v>Yet to be approved</v>
      </c>
      <c r="D1395" s="1531" t="str">
        <f t="shared" si="189"/>
        <v>-</v>
      </c>
      <c r="E1395" s="1318">
        <f t="shared" si="189"/>
        <v>0</v>
      </c>
      <c r="F1395" s="1437">
        <f t="shared" si="185"/>
        <v>0</v>
      </c>
      <c r="G1395" s="1437">
        <f t="shared" si="186"/>
        <v>0</v>
      </c>
      <c r="H1395" s="1437">
        <f t="shared" si="187"/>
        <v>0</v>
      </c>
      <c r="I1395" s="1437">
        <v>0</v>
      </c>
      <c r="J1395" s="1437">
        <v>0</v>
      </c>
      <c r="K1395" s="1438"/>
      <c r="L1395" s="1438"/>
      <c r="M1395" s="1437">
        <f t="shared" si="184"/>
        <v>0</v>
      </c>
      <c r="N1395" s="1437">
        <f t="shared" si="188"/>
        <v>0</v>
      </c>
    </row>
    <row r="1396" spans="1:14" outlineLevel="1">
      <c r="A1396" s="1491">
        <f t="shared" si="189"/>
        <v>19.3</v>
      </c>
      <c r="B1396" s="1530" t="str">
        <f t="shared" si="189"/>
        <v>Procurement of HT motors for AHP U-8 Parli TPS.</v>
      </c>
      <c r="C1396" s="1491" t="str">
        <f t="shared" si="189"/>
        <v>Yet to be approved</v>
      </c>
      <c r="D1396" s="1531" t="str">
        <f t="shared" si="189"/>
        <v>-</v>
      </c>
      <c r="E1396" s="1318">
        <f t="shared" si="189"/>
        <v>0</v>
      </c>
      <c r="F1396" s="1437">
        <f t="shared" si="185"/>
        <v>0</v>
      </c>
      <c r="G1396" s="1437">
        <f t="shared" si="186"/>
        <v>0</v>
      </c>
      <c r="H1396" s="1437">
        <f t="shared" si="187"/>
        <v>0</v>
      </c>
      <c r="I1396" s="1437">
        <v>0</v>
      </c>
      <c r="J1396" s="1437">
        <v>0</v>
      </c>
      <c r="K1396" s="1438"/>
      <c r="L1396" s="1438"/>
      <c r="M1396" s="1437">
        <f t="shared" si="184"/>
        <v>0</v>
      </c>
      <c r="N1396" s="1437">
        <f t="shared" si="188"/>
        <v>0</v>
      </c>
    </row>
    <row r="1397" spans="1:14" ht="43.5" outlineLevel="1">
      <c r="A1397" s="1491">
        <f t="shared" si="189"/>
        <v>19.399999999999999</v>
      </c>
      <c r="B1397" s="1530" t="str">
        <f t="shared" si="189"/>
        <v>PROCUREMENT OF CRITICAL GEARBOXES AND FLUID COUPLINGS INTERNAL ASSEMBLIES FOR SLURRY PUMPS AND SILO HCSD SYSTEM INSTALLED AT AHP, PARLI TPS.</v>
      </c>
      <c r="C1397" s="1491" t="str">
        <f t="shared" si="189"/>
        <v>Yet to be approved</v>
      </c>
      <c r="D1397" s="1531" t="str">
        <f t="shared" si="189"/>
        <v>-</v>
      </c>
      <c r="E1397" s="1318">
        <f t="shared" si="189"/>
        <v>0</v>
      </c>
      <c r="F1397" s="1437">
        <f t="shared" si="185"/>
        <v>0</v>
      </c>
      <c r="G1397" s="1437">
        <f t="shared" si="186"/>
        <v>0</v>
      </c>
      <c r="H1397" s="1437">
        <f t="shared" si="187"/>
        <v>0</v>
      </c>
      <c r="I1397" s="1437">
        <v>0</v>
      </c>
      <c r="J1397" s="1437">
        <v>0</v>
      </c>
      <c r="K1397" s="1438"/>
      <c r="L1397" s="1438"/>
      <c r="M1397" s="1437">
        <f t="shared" si="184"/>
        <v>0</v>
      </c>
      <c r="N1397" s="1437">
        <f t="shared" si="188"/>
        <v>0</v>
      </c>
    </row>
    <row r="1398" spans="1:14" ht="43.5" outlineLevel="1">
      <c r="A1398" s="1491">
        <f t="shared" si="189"/>
        <v>19.5</v>
      </c>
      <c r="B1398" s="1530" t="str">
        <f t="shared" si="189"/>
        <v>Procurement of Atlas Copco Make Instrument Air Compressors Critical/Non-Critical Spares sub-assembly for performance improvement</v>
      </c>
      <c r="C1398" s="1491" t="str">
        <f t="shared" si="189"/>
        <v>Yet to be approved</v>
      </c>
      <c r="D1398" s="1531" t="str">
        <f t="shared" si="189"/>
        <v>-</v>
      </c>
      <c r="E1398" s="1318">
        <f t="shared" si="189"/>
        <v>0</v>
      </c>
      <c r="F1398" s="1437">
        <f t="shared" si="185"/>
        <v>0</v>
      </c>
      <c r="G1398" s="1437">
        <f t="shared" si="186"/>
        <v>0</v>
      </c>
      <c r="H1398" s="1437">
        <f t="shared" si="187"/>
        <v>0</v>
      </c>
      <c r="I1398" s="1437">
        <v>0</v>
      </c>
      <c r="J1398" s="1437">
        <v>0</v>
      </c>
      <c r="K1398" s="1438"/>
      <c r="L1398" s="1438"/>
      <c r="M1398" s="1437">
        <f t="shared" si="184"/>
        <v>0</v>
      </c>
      <c r="N1398" s="1437">
        <f t="shared" si="188"/>
        <v>0</v>
      </c>
    </row>
    <row r="1399" spans="1:14" ht="43.5" outlineLevel="1">
      <c r="A1399" s="1491">
        <f t="shared" si="189"/>
        <v>19.600000000000001</v>
      </c>
      <c r="B1399" s="1530" t="str">
        <f t="shared" si="189"/>
        <v>Upgradation and improvement in Hopper Temperature monitoring system by providing Rf Type Hopper Level Sensors for performance improvement of conveying of Dry ash evacuation system.</v>
      </c>
      <c r="C1399" s="1491" t="str">
        <f t="shared" si="189"/>
        <v>Yet to be approved</v>
      </c>
      <c r="D1399" s="1531" t="str">
        <f t="shared" si="189"/>
        <v>-</v>
      </c>
      <c r="E1399" s="1318">
        <f t="shared" si="189"/>
        <v>0</v>
      </c>
      <c r="F1399" s="1437">
        <f t="shared" si="185"/>
        <v>0</v>
      </c>
      <c r="G1399" s="1437">
        <f t="shared" si="186"/>
        <v>0</v>
      </c>
      <c r="H1399" s="1437">
        <f t="shared" si="187"/>
        <v>0</v>
      </c>
      <c r="I1399" s="1437">
        <v>0</v>
      </c>
      <c r="J1399" s="1437">
        <v>0</v>
      </c>
      <c r="K1399" s="1438"/>
      <c r="L1399" s="1438"/>
      <c r="M1399" s="1437">
        <f t="shared" si="184"/>
        <v>0</v>
      </c>
      <c r="N1399" s="1437">
        <f t="shared" si="188"/>
        <v>0</v>
      </c>
    </row>
    <row r="1400" spans="1:14" ht="31" outlineLevel="1">
      <c r="A1400" s="1533">
        <f t="shared" si="189"/>
        <v>20</v>
      </c>
      <c r="B1400" s="1534" t="str">
        <f t="shared" si="189"/>
        <v>DPR on ash handling plant improvement scheme for AHP U-8 NPTPS Parli-V.</v>
      </c>
      <c r="C1400" s="1491" t="str">
        <f t="shared" si="189"/>
        <v>Yet to be approved</v>
      </c>
      <c r="D1400" s="1531" t="str">
        <f t="shared" si="189"/>
        <v>-</v>
      </c>
      <c r="E1400" s="1318">
        <f t="shared" si="189"/>
        <v>0</v>
      </c>
      <c r="F1400" s="1437">
        <f t="shared" si="185"/>
        <v>0</v>
      </c>
      <c r="G1400" s="1437">
        <f t="shared" si="186"/>
        <v>0</v>
      </c>
      <c r="H1400" s="1437">
        <f t="shared" si="187"/>
        <v>0</v>
      </c>
      <c r="I1400" s="1437">
        <v>0</v>
      </c>
      <c r="J1400" s="1437">
        <v>0</v>
      </c>
      <c r="K1400" s="1438"/>
      <c r="L1400" s="1438"/>
      <c r="M1400" s="1437">
        <f t="shared" si="184"/>
        <v>0</v>
      </c>
      <c r="N1400" s="1437">
        <f t="shared" si="188"/>
        <v>0</v>
      </c>
    </row>
    <row r="1401" spans="1:14" ht="29" outlineLevel="1">
      <c r="A1401" s="1491">
        <f t="shared" si="189"/>
        <v>20.100000000000001</v>
      </c>
      <c r="B1401" s="1530" t="str">
        <f t="shared" si="189"/>
        <v xml:space="preserve"> Design, supply, erection, installation &amp; comissioning ESP 1st &amp; 2nd field dry fly ash evacuation &amp; conveying system at AHP U-8.</v>
      </c>
      <c r="C1401" s="1491" t="str">
        <f t="shared" si="189"/>
        <v>Yet to be approved</v>
      </c>
      <c r="D1401" s="1531" t="str">
        <f t="shared" si="189"/>
        <v>-</v>
      </c>
      <c r="E1401" s="1318">
        <f t="shared" si="189"/>
        <v>0</v>
      </c>
      <c r="F1401" s="1437">
        <f t="shared" si="185"/>
        <v>0</v>
      </c>
      <c r="G1401" s="1437">
        <f t="shared" si="186"/>
        <v>0</v>
      </c>
      <c r="H1401" s="1437">
        <f t="shared" si="187"/>
        <v>0</v>
      </c>
      <c r="I1401" s="1437">
        <v>0</v>
      </c>
      <c r="J1401" s="1437">
        <v>0</v>
      </c>
      <c r="K1401" s="1438"/>
      <c r="L1401" s="1438"/>
      <c r="M1401" s="1437">
        <f t="shared" si="184"/>
        <v>0</v>
      </c>
      <c r="N1401" s="1437">
        <f t="shared" si="188"/>
        <v>0</v>
      </c>
    </row>
    <row r="1402" spans="1:14" ht="43.5" outlineLevel="1">
      <c r="A1402" s="1491">
        <f t="shared" si="189"/>
        <v>20.2</v>
      </c>
      <c r="B1402" s="1530" t="str">
        <f t="shared" si="189"/>
        <v>Design, supply, erection, installation &amp; comissioning of dry ash evacuation &amp; conveying system for APH &amp; Economiser ash hoppers at AHP U-8.</v>
      </c>
      <c r="C1402" s="1491" t="str">
        <f t="shared" si="189"/>
        <v>Yet to be approved</v>
      </c>
      <c r="D1402" s="1531" t="str">
        <f t="shared" si="189"/>
        <v>-</v>
      </c>
      <c r="E1402" s="1318">
        <f t="shared" si="189"/>
        <v>0</v>
      </c>
      <c r="F1402" s="1437">
        <f t="shared" si="185"/>
        <v>0</v>
      </c>
      <c r="G1402" s="1437">
        <f t="shared" si="186"/>
        <v>0</v>
      </c>
      <c r="H1402" s="1437">
        <f t="shared" si="187"/>
        <v>0</v>
      </c>
      <c r="I1402" s="1437">
        <v>0</v>
      </c>
      <c r="J1402" s="1437">
        <v>0</v>
      </c>
      <c r="K1402" s="1438"/>
      <c r="L1402" s="1438"/>
      <c r="M1402" s="1437">
        <f t="shared" si="184"/>
        <v>0</v>
      </c>
      <c r="N1402" s="1437">
        <f t="shared" si="188"/>
        <v>0</v>
      </c>
    </row>
    <row r="1403" spans="1:14" ht="15.5" outlineLevel="1">
      <c r="A1403" s="1533">
        <f t="shared" si="189"/>
        <v>21</v>
      </c>
      <c r="B1403" s="1534" t="str">
        <f t="shared" si="189"/>
        <v>Verious Civil schemes in Unit 8 NPTPS  Parli V.</v>
      </c>
      <c r="C1403" s="1491" t="str">
        <f t="shared" si="189"/>
        <v>Yet to be approved</v>
      </c>
      <c r="D1403" s="1531" t="str">
        <f t="shared" si="189"/>
        <v>-</v>
      </c>
      <c r="E1403" s="1318">
        <f t="shared" si="189"/>
        <v>0</v>
      </c>
      <c r="F1403" s="1437">
        <f t="shared" si="185"/>
        <v>0</v>
      </c>
      <c r="G1403" s="1437">
        <f t="shared" si="186"/>
        <v>0</v>
      </c>
      <c r="H1403" s="1437">
        <f t="shared" si="187"/>
        <v>0</v>
      </c>
      <c r="I1403" s="1437">
        <v>0</v>
      </c>
      <c r="J1403" s="1437">
        <v>0</v>
      </c>
      <c r="K1403" s="1438"/>
      <c r="L1403" s="1438"/>
      <c r="M1403" s="1437">
        <f t="shared" si="184"/>
        <v>0</v>
      </c>
      <c r="N1403" s="1437">
        <f t="shared" si="188"/>
        <v>0</v>
      </c>
    </row>
    <row r="1404" spans="1:14" outlineLevel="1">
      <c r="A1404" s="1491">
        <f t="shared" si="189"/>
        <v>21.1</v>
      </c>
      <c r="B1404" s="1530" t="str">
        <f t="shared" si="189"/>
        <v>Construction of chemical laboratory building at Unit 8, NPTPS, Parli V.</v>
      </c>
      <c r="C1404" s="1491" t="str">
        <f t="shared" si="189"/>
        <v>Yet to be approved</v>
      </c>
      <c r="D1404" s="1531" t="str">
        <f t="shared" si="189"/>
        <v>-</v>
      </c>
      <c r="E1404" s="1318">
        <f t="shared" si="189"/>
        <v>0</v>
      </c>
      <c r="F1404" s="1437">
        <f t="shared" si="185"/>
        <v>0</v>
      </c>
      <c r="G1404" s="1437">
        <f t="shared" si="186"/>
        <v>0</v>
      </c>
      <c r="H1404" s="1437">
        <f t="shared" si="187"/>
        <v>0</v>
      </c>
      <c r="I1404" s="1437">
        <v>2.5</v>
      </c>
      <c r="J1404" s="1437">
        <v>0</v>
      </c>
      <c r="K1404" s="1438"/>
      <c r="L1404" s="1438"/>
      <c r="M1404" s="1437">
        <f t="shared" si="184"/>
        <v>0</v>
      </c>
      <c r="N1404" s="1437">
        <f t="shared" si="188"/>
        <v>2.5</v>
      </c>
    </row>
    <row r="1405" spans="1:14" ht="29" outlineLevel="1">
      <c r="A1405" s="1491">
        <f t="shared" si="189"/>
        <v>21.2</v>
      </c>
      <c r="B1405" s="1530" t="str">
        <f t="shared" si="189"/>
        <v>Construction of Alum/salt storage area at Unit No.8 (1X250MW) NPTPS Parli Vaijnath.</v>
      </c>
      <c r="C1405" s="1491" t="str">
        <f t="shared" si="189"/>
        <v>Yet to be approved</v>
      </c>
      <c r="D1405" s="1531" t="str">
        <f t="shared" si="189"/>
        <v>-</v>
      </c>
      <c r="E1405" s="1318">
        <f t="shared" si="189"/>
        <v>0</v>
      </c>
      <c r="F1405" s="1437">
        <f t="shared" si="185"/>
        <v>0</v>
      </c>
      <c r="G1405" s="1437">
        <f t="shared" si="186"/>
        <v>0</v>
      </c>
      <c r="H1405" s="1437">
        <f t="shared" si="187"/>
        <v>0</v>
      </c>
      <c r="I1405" s="1437">
        <v>2.5</v>
      </c>
      <c r="J1405" s="1437">
        <v>0</v>
      </c>
      <c r="K1405" s="1438"/>
      <c r="L1405" s="1438"/>
      <c r="M1405" s="1437">
        <f t="shared" si="184"/>
        <v>0</v>
      </c>
      <c r="N1405" s="1437">
        <f t="shared" si="188"/>
        <v>2.5</v>
      </c>
    </row>
    <row r="1406" spans="1:14" outlineLevel="1">
      <c r="A1406" s="1491">
        <f t="shared" si="189"/>
        <v>21.3</v>
      </c>
      <c r="B1406" s="1530" t="str">
        <f t="shared" si="189"/>
        <v>Construction of Fire Fighting station  at Unit-8,  NPTPS  Parli V.</v>
      </c>
      <c r="C1406" s="1491" t="str">
        <f t="shared" si="189"/>
        <v>Yet to be approved</v>
      </c>
      <c r="D1406" s="1531" t="str">
        <f t="shared" si="189"/>
        <v>-</v>
      </c>
      <c r="E1406" s="1318">
        <f t="shared" si="189"/>
        <v>0</v>
      </c>
      <c r="F1406" s="1437">
        <f t="shared" si="185"/>
        <v>0</v>
      </c>
      <c r="G1406" s="1437">
        <f t="shared" si="186"/>
        <v>0</v>
      </c>
      <c r="H1406" s="1437">
        <f t="shared" si="187"/>
        <v>0</v>
      </c>
      <c r="I1406" s="1437">
        <v>1.5</v>
      </c>
      <c r="J1406" s="1437">
        <v>0</v>
      </c>
      <c r="K1406" s="1438"/>
      <c r="L1406" s="1438"/>
      <c r="M1406" s="1437">
        <f t="shared" si="184"/>
        <v>0</v>
      </c>
      <c r="N1406" s="1437">
        <f t="shared" si="188"/>
        <v>1.5</v>
      </c>
    </row>
    <row r="1407" spans="1:14" outlineLevel="1">
      <c r="A1407" s="1491">
        <f t="shared" si="189"/>
        <v>21.4</v>
      </c>
      <c r="B1407" s="1530" t="str">
        <f t="shared" si="189"/>
        <v xml:space="preserve">Construction of workshop building at Unit-8,  NPTPS  Parli V. </v>
      </c>
      <c r="C1407" s="1491" t="str">
        <f t="shared" si="189"/>
        <v>Yet to be approved</v>
      </c>
      <c r="D1407" s="1531" t="str">
        <f t="shared" si="189"/>
        <v>-</v>
      </c>
      <c r="E1407" s="1318">
        <f t="shared" si="189"/>
        <v>0</v>
      </c>
      <c r="F1407" s="1437">
        <f t="shared" si="185"/>
        <v>0</v>
      </c>
      <c r="G1407" s="1437">
        <f t="shared" si="186"/>
        <v>0</v>
      </c>
      <c r="H1407" s="1437">
        <f t="shared" si="187"/>
        <v>0</v>
      </c>
      <c r="I1407" s="1437">
        <v>1.5</v>
      </c>
      <c r="J1407" s="1437">
        <v>0</v>
      </c>
      <c r="K1407" s="1438"/>
      <c r="L1407" s="1438"/>
      <c r="M1407" s="1437">
        <f t="shared" si="184"/>
        <v>0</v>
      </c>
      <c r="N1407" s="1437">
        <f t="shared" si="188"/>
        <v>1.5</v>
      </c>
    </row>
    <row r="1408" spans="1:14" ht="15.5" outlineLevel="1">
      <c r="A1408" s="1533">
        <f t="shared" si="189"/>
        <v>22</v>
      </c>
      <c r="B1408" s="1534" t="str">
        <f t="shared" si="189"/>
        <v>CHP improvement scheme at 250 MW</v>
      </c>
      <c r="C1408" s="1491">
        <f t="shared" si="189"/>
        <v>0</v>
      </c>
      <c r="D1408" s="1531" t="str">
        <f t="shared" si="189"/>
        <v>-</v>
      </c>
      <c r="E1408" s="1318">
        <f t="shared" si="189"/>
        <v>0</v>
      </c>
      <c r="F1408" s="1437">
        <f t="shared" si="185"/>
        <v>0</v>
      </c>
      <c r="G1408" s="1437">
        <f t="shared" si="186"/>
        <v>0</v>
      </c>
      <c r="H1408" s="1437">
        <f t="shared" si="187"/>
        <v>0</v>
      </c>
      <c r="I1408" s="1437">
        <v>0</v>
      </c>
      <c r="J1408" s="1437">
        <v>0</v>
      </c>
      <c r="K1408" s="1438"/>
      <c r="L1408" s="1438"/>
      <c r="M1408" s="1437">
        <f t="shared" si="184"/>
        <v>0</v>
      </c>
      <c r="N1408" s="1437">
        <f t="shared" si="188"/>
        <v>0</v>
      </c>
    </row>
    <row r="1409" spans="1:14" outlineLevel="1">
      <c r="A1409" s="1491">
        <f t="shared" si="189"/>
        <v>22.1</v>
      </c>
      <c r="B1409" s="1530" t="str">
        <f t="shared" si="189"/>
        <v>CHP improvement scheme at 250 MW</v>
      </c>
      <c r="C1409" s="1491">
        <f t="shared" si="189"/>
        <v>0</v>
      </c>
      <c r="D1409" s="1531" t="str">
        <f t="shared" si="189"/>
        <v>-</v>
      </c>
      <c r="E1409" s="1318">
        <f t="shared" si="189"/>
        <v>0</v>
      </c>
      <c r="F1409" s="1437">
        <f t="shared" si="185"/>
        <v>0</v>
      </c>
      <c r="G1409" s="1437">
        <f t="shared" si="186"/>
        <v>0</v>
      </c>
      <c r="H1409" s="1437">
        <f t="shared" si="187"/>
        <v>0</v>
      </c>
      <c r="I1409" s="1437">
        <v>0</v>
      </c>
      <c r="J1409" s="1437">
        <v>0</v>
      </c>
      <c r="K1409" s="1438"/>
      <c r="L1409" s="1438"/>
      <c r="M1409" s="1437">
        <f t="shared" si="184"/>
        <v>0</v>
      </c>
      <c r="N1409" s="1437">
        <f t="shared" si="188"/>
        <v>0</v>
      </c>
    </row>
    <row r="1410" spans="1:14" outlineLevel="1">
      <c r="A1410" s="1420">
        <f t="shared" si="189"/>
        <v>0</v>
      </c>
      <c r="B1410" s="1421" t="str">
        <f t="shared" si="189"/>
        <v>B) Non-DPR</v>
      </c>
      <c r="C1410" s="1491">
        <f t="shared" si="189"/>
        <v>0</v>
      </c>
      <c r="D1410" s="1531" t="str">
        <f t="shared" si="189"/>
        <v>-</v>
      </c>
      <c r="E1410" s="1318">
        <f t="shared" si="189"/>
        <v>0</v>
      </c>
      <c r="F1410" s="1437">
        <f t="shared" si="185"/>
        <v>0</v>
      </c>
      <c r="G1410" s="1437">
        <f t="shared" si="186"/>
        <v>0</v>
      </c>
      <c r="H1410" s="1437">
        <f t="shared" si="187"/>
        <v>0</v>
      </c>
      <c r="I1410" s="1437">
        <v>0</v>
      </c>
      <c r="J1410" s="1437">
        <v>0</v>
      </c>
      <c r="K1410" s="1438"/>
      <c r="L1410" s="1438"/>
      <c r="M1410" s="1437">
        <f t="shared" si="184"/>
        <v>0</v>
      </c>
      <c r="N1410" s="1437">
        <f t="shared" si="188"/>
        <v>0</v>
      </c>
    </row>
    <row r="1411" spans="1:14" ht="15.5" outlineLevel="1">
      <c r="A1411" s="1533">
        <f t="shared" ref="A1411:E1426" si="190">A1018</f>
        <v>0</v>
      </c>
      <c r="B1411" s="1534">
        <f t="shared" si="190"/>
        <v>0</v>
      </c>
      <c r="C1411" s="1491">
        <f t="shared" si="190"/>
        <v>0</v>
      </c>
      <c r="D1411" s="1531" t="str">
        <f t="shared" si="190"/>
        <v>-</v>
      </c>
      <c r="E1411" s="1318">
        <f t="shared" si="190"/>
        <v>0</v>
      </c>
      <c r="F1411" s="1437">
        <f t="shared" si="185"/>
        <v>0.56615120600000002</v>
      </c>
      <c r="G1411" s="1437">
        <f t="shared" si="186"/>
        <v>0.56615120600000002</v>
      </c>
      <c r="H1411" s="1437">
        <f t="shared" si="187"/>
        <v>0</v>
      </c>
      <c r="I1411" s="1437">
        <v>0</v>
      </c>
      <c r="J1411" s="1437">
        <v>0</v>
      </c>
      <c r="K1411" s="1438"/>
      <c r="L1411" s="1438"/>
      <c r="M1411" s="1437">
        <f t="shared" si="184"/>
        <v>0</v>
      </c>
      <c r="N1411" s="1437">
        <f t="shared" si="188"/>
        <v>0</v>
      </c>
    </row>
    <row r="1412" spans="1:14" ht="15.5" outlineLevel="1">
      <c r="A1412" s="1493">
        <f t="shared" si="190"/>
        <v>0</v>
      </c>
      <c r="B1412" s="1494" t="str">
        <f t="shared" si="190"/>
        <v>B) GA</v>
      </c>
      <c r="C1412" s="1491">
        <f t="shared" si="190"/>
        <v>0</v>
      </c>
      <c r="D1412" s="1531" t="str">
        <f t="shared" si="190"/>
        <v>-</v>
      </c>
      <c r="E1412" s="1318">
        <f t="shared" si="190"/>
        <v>0</v>
      </c>
      <c r="F1412" s="1437">
        <f t="shared" si="185"/>
        <v>0.34312365099999997</v>
      </c>
      <c r="G1412" s="1437">
        <f t="shared" si="186"/>
        <v>0.40371165099999995</v>
      </c>
      <c r="H1412" s="1437">
        <f t="shared" si="187"/>
        <v>-6.0587999999999975E-2</v>
      </c>
      <c r="I1412" s="1437">
        <v>0.28999999999999998</v>
      </c>
      <c r="J1412" s="1437">
        <v>0.28999999999999998</v>
      </c>
      <c r="K1412" s="1438"/>
      <c r="L1412" s="1438"/>
      <c r="M1412" s="1437">
        <f t="shared" si="184"/>
        <v>0.28999999999999998</v>
      </c>
      <c r="N1412" s="1437">
        <f t="shared" si="188"/>
        <v>-6.0587999999999975E-2</v>
      </c>
    </row>
    <row r="1413" spans="1:14" outlineLevel="1">
      <c r="A1413" s="1499">
        <f t="shared" si="190"/>
        <v>0</v>
      </c>
      <c r="B1413" s="1539">
        <f t="shared" si="190"/>
        <v>0</v>
      </c>
      <c r="C1413" s="1491">
        <f t="shared" si="190"/>
        <v>0</v>
      </c>
      <c r="D1413" s="1531" t="str">
        <f t="shared" si="190"/>
        <v>-</v>
      </c>
      <c r="E1413" s="1318">
        <f t="shared" si="190"/>
        <v>0</v>
      </c>
      <c r="F1413" s="1437">
        <f t="shared" si="185"/>
        <v>0.28999999999999998</v>
      </c>
      <c r="G1413" s="1437">
        <f t="shared" si="186"/>
        <v>0</v>
      </c>
      <c r="H1413" s="1437">
        <f t="shared" si="187"/>
        <v>0.28999999999999998</v>
      </c>
      <c r="I1413" s="1437">
        <v>0</v>
      </c>
      <c r="J1413" s="1437">
        <v>0</v>
      </c>
      <c r="K1413" s="1438"/>
      <c r="L1413" s="1438"/>
      <c r="M1413" s="1437">
        <f t="shared" si="184"/>
        <v>0</v>
      </c>
      <c r="N1413" s="1437">
        <f t="shared" si="188"/>
        <v>0.28999999999999998</v>
      </c>
    </row>
    <row r="1414" spans="1:14" ht="15.5" outlineLevel="1">
      <c r="A1414" s="1493">
        <f t="shared" si="190"/>
        <v>0</v>
      </c>
      <c r="B1414" s="1494" t="str">
        <f t="shared" si="190"/>
        <v>C) Asset received from Project U#8</v>
      </c>
      <c r="C1414" s="1491">
        <f t="shared" si="190"/>
        <v>0</v>
      </c>
      <c r="D1414" s="1531" t="str">
        <f t="shared" si="190"/>
        <v>-</v>
      </c>
      <c r="E1414" s="1318">
        <f t="shared" si="190"/>
        <v>0</v>
      </c>
      <c r="F1414" s="1437">
        <f t="shared" si="185"/>
        <v>0</v>
      </c>
      <c r="G1414" s="1437">
        <f t="shared" si="186"/>
        <v>0</v>
      </c>
      <c r="H1414" s="1437">
        <f t="shared" si="187"/>
        <v>0</v>
      </c>
      <c r="I1414" s="1437">
        <v>0</v>
      </c>
      <c r="J1414" s="1437">
        <v>0</v>
      </c>
      <c r="K1414" s="1438"/>
      <c r="L1414" s="1438"/>
      <c r="M1414" s="1437">
        <f t="shared" si="184"/>
        <v>0</v>
      </c>
      <c r="N1414" s="1437">
        <f t="shared" si="188"/>
        <v>0</v>
      </c>
    </row>
    <row r="1415" spans="1:14" outlineLevel="1">
      <c r="A1415" s="1499">
        <f t="shared" si="190"/>
        <v>1</v>
      </c>
      <c r="B1415" s="1539" t="str">
        <f t="shared" si="190"/>
        <v>Asset Recived From Civil-U#8-Land-10101</v>
      </c>
      <c r="C1415" s="1491" t="str">
        <f t="shared" si="190"/>
        <v>N.A.</v>
      </c>
      <c r="D1415" s="1531" t="str">
        <f t="shared" si="190"/>
        <v>-</v>
      </c>
      <c r="E1415" s="1318">
        <f t="shared" si="190"/>
        <v>0</v>
      </c>
      <c r="F1415" s="1437">
        <f t="shared" si="185"/>
        <v>3.1293089999999998E-3</v>
      </c>
      <c r="G1415" s="1437">
        <f t="shared" si="186"/>
        <v>0</v>
      </c>
      <c r="H1415" s="1437">
        <f t="shared" si="187"/>
        <v>3.1293089999999998E-3</v>
      </c>
      <c r="I1415" s="1437">
        <v>0</v>
      </c>
      <c r="J1415" s="1437">
        <v>0</v>
      </c>
      <c r="K1415" s="1438"/>
      <c r="L1415" s="1438"/>
      <c r="M1415" s="1437">
        <f t="shared" si="184"/>
        <v>0</v>
      </c>
      <c r="N1415" s="1437">
        <f t="shared" si="188"/>
        <v>3.1293089999999998E-3</v>
      </c>
    </row>
    <row r="1416" spans="1:14" outlineLevel="1">
      <c r="A1416" s="1499">
        <f t="shared" si="190"/>
        <v>2</v>
      </c>
      <c r="B1416" s="1539" t="str">
        <f t="shared" si="190"/>
        <v>Asset Recived From Civil-U#8-T.G. Building-10201</v>
      </c>
      <c r="C1416" s="1491" t="str">
        <f t="shared" si="190"/>
        <v>N.A.</v>
      </c>
      <c r="D1416" s="1531" t="str">
        <f t="shared" si="190"/>
        <v>-</v>
      </c>
      <c r="E1416" s="1318">
        <f t="shared" si="190"/>
        <v>0</v>
      </c>
      <c r="F1416" s="1437">
        <f t="shared" si="185"/>
        <v>1.0037712000000001E-2</v>
      </c>
      <c r="G1416" s="1437">
        <f t="shared" si="186"/>
        <v>0</v>
      </c>
      <c r="H1416" s="1437">
        <f t="shared" si="187"/>
        <v>1.0037712000000001E-2</v>
      </c>
      <c r="I1416" s="1437">
        <v>0</v>
      </c>
      <c r="J1416" s="1437">
        <v>0</v>
      </c>
      <c r="K1416" s="1438"/>
      <c r="L1416" s="1438"/>
      <c r="M1416" s="1437">
        <f t="shared" si="184"/>
        <v>0</v>
      </c>
      <c r="N1416" s="1437">
        <f t="shared" si="188"/>
        <v>1.0037712000000001E-2</v>
      </c>
    </row>
    <row r="1417" spans="1:14" ht="29" outlineLevel="1">
      <c r="A1417" s="1499">
        <f t="shared" si="190"/>
        <v>3</v>
      </c>
      <c r="B1417" s="1539" t="str">
        <f t="shared" si="190"/>
        <v>Asset Recived From Civil-U#8-T.G. Building(BC)bay&amp;control room-10201</v>
      </c>
      <c r="C1417" s="1491" t="str">
        <f t="shared" si="190"/>
        <v>N.A.</v>
      </c>
      <c r="D1417" s="1531" t="str">
        <f t="shared" si="190"/>
        <v>-</v>
      </c>
      <c r="E1417" s="1318">
        <f t="shared" si="190"/>
        <v>0</v>
      </c>
      <c r="F1417" s="1437">
        <f t="shared" si="185"/>
        <v>4.578426E-3</v>
      </c>
      <c r="G1417" s="1437">
        <f t="shared" si="186"/>
        <v>0</v>
      </c>
      <c r="H1417" s="1437">
        <f t="shared" si="187"/>
        <v>4.578426E-3</v>
      </c>
      <c r="I1417" s="1437">
        <v>0</v>
      </c>
      <c r="J1417" s="1437">
        <v>0</v>
      </c>
      <c r="K1417" s="1438"/>
      <c r="L1417" s="1438"/>
      <c r="M1417" s="1437">
        <f t="shared" si="184"/>
        <v>0</v>
      </c>
      <c r="N1417" s="1437">
        <f t="shared" si="188"/>
        <v>4.578426E-3</v>
      </c>
    </row>
    <row r="1418" spans="1:14" ht="29" outlineLevel="1">
      <c r="A1418" s="1499">
        <f t="shared" si="190"/>
        <v>4</v>
      </c>
      <c r="B1418" s="1539" t="str">
        <f t="shared" si="190"/>
        <v>Asset Recived From Civil-U#8-StructuralSteelWorks4TGBldgA2EBays-10201</v>
      </c>
      <c r="C1418" s="1491" t="str">
        <f t="shared" si="190"/>
        <v>N.A.</v>
      </c>
      <c r="D1418" s="1531" t="str">
        <f t="shared" si="190"/>
        <v>-</v>
      </c>
      <c r="E1418" s="1318">
        <f t="shared" si="190"/>
        <v>0</v>
      </c>
      <c r="F1418" s="1437">
        <f t="shared" si="185"/>
        <v>1.397639E-3</v>
      </c>
      <c r="G1418" s="1437">
        <f t="shared" si="186"/>
        <v>0</v>
      </c>
      <c r="H1418" s="1437">
        <f t="shared" si="187"/>
        <v>1.397639E-3</v>
      </c>
      <c r="I1418" s="1437">
        <v>0</v>
      </c>
      <c r="J1418" s="1437">
        <v>0</v>
      </c>
      <c r="K1418" s="1438"/>
      <c r="L1418" s="1438"/>
      <c r="M1418" s="1437">
        <f t="shared" si="184"/>
        <v>0</v>
      </c>
      <c r="N1418" s="1437">
        <f t="shared" si="188"/>
        <v>1.397639E-3</v>
      </c>
    </row>
    <row r="1419" spans="1:14" outlineLevel="1">
      <c r="A1419" s="1499">
        <f t="shared" si="190"/>
        <v>5</v>
      </c>
      <c r="B1419" s="1539" t="str">
        <f t="shared" si="190"/>
        <v>Asset Recived From Civil-U#8-WTP Building-10201</v>
      </c>
      <c r="C1419" s="1491" t="str">
        <f t="shared" si="190"/>
        <v>N.A.</v>
      </c>
      <c r="D1419" s="1531" t="str">
        <f t="shared" si="190"/>
        <v>-</v>
      </c>
      <c r="E1419" s="1318">
        <f t="shared" si="190"/>
        <v>0</v>
      </c>
      <c r="F1419" s="1437">
        <f t="shared" si="185"/>
        <v>1.14825E-4</v>
      </c>
      <c r="G1419" s="1437">
        <f t="shared" si="186"/>
        <v>0</v>
      </c>
      <c r="H1419" s="1437">
        <f t="shared" si="187"/>
        <v>1.14825E-4</v>
      </c>
      <c r="I1419" s="1437">
        <v>0</v>
      </c>
      <c r="J1419" s="1437">
        <v>0</v>
      </c>
      <c r="K1419" s="1438"/>
      <c r="L1419" s="1438"/>
      <c r="M1419" s="1437">
        <f t="shared" si="184"/>
        <v>0</v>
      </c>
      <c r="N1419" s="1437">
        <f t="shared" si="188"/>
        <v>1.14825E-4</v>
      </c>
    </row>
    <row r="1420" spans="1:14" ht="29" outlineLevel="1">
      <c r="A1420" s="1499">
        <f t="shared" si="190"/>
        <v>6</v>
      </c>
      <c r="B1420" s="1539" t="str">
        <f t="shared" si="190"/>
        <v>Asset Recived From Civil-U#8-DG SET ROOM CUM AIR COMP. HOUSE-10201</v>
      </c>
      <c r="C1420" s="1491" t="str">
        <f t="shared" si="190"/>
        <v>N.A.</v>
      </c>
      <c r="D1420" s="1531" t="str">
        <f t="shared" si="190"/>
        <v>-</v>
      </c>
      <c r="E1420" s="1318">
        <f t="shared" si="190"/>
        <v>0</v>
      </c>
      <c r="F1420" s="1437">
        <f t="shared" si="185"/>
        <v>1.05983E-4</v>
      </c>
      <c r="G1420" s="1437">
        <f t="shared" si="186"/>
        <v>0</v>
      </c>
      <c r="H1420" s="1437">
        <f t="shared" si="187"/>
        <v>1.05983E-4</v>
      </c>
      <c r="I1420" s="1437">
        <v>0</v>
      </c>
      <c r="J1420" s="1437">
        <v>0</v>
      </c>
      <c r="K1420" s="1438"/>
      <c r="L1420" s="1438"/>
      <c r="M1420" s="1437">
        <f t="shared" si="184"/>
        <v>0</v>
      </c>
      <c r="N1420" s="1437">
        <f t="shared" si="188"/>
        <v>1.05983E-4</v>
      </c>
    </row>
    <row r="1421" spans="1:14" ht="29" outlineLevel="1">
      <c r="A1421" s="1499">
        <f t="shared" si="190"/>
        <v>7</v>
      </c>
      <c r="B1421" s="1539" t="str">
        <f t="shared" si="190"/>
        <v>Asset Recived From Civil-U#8-WTP-Raw/Fire water pump House-10233</v>
      </c>
      <c r="C1421" s="1491" t="str">
        <f t="shared" si="190"/>
        <v>N.A.</v>
      </c>
      <c r="D1421" s="1531" t="str">
        <f t="shared" si="190"/>
        <v>-</v>
      </c>
      <c r="E1421" s="1318">
        <f t="shared" si="190"/>
        <v>0</v>
      </c>
      <c r="F1421" s="1437">
        <f t="shared" si="185"/>
        <v>6.9018599999999997E-4</v>
      </c>
      <c r="G1421" s="1437">
        <f t="shared" si="186"/>
        <v>0</v>
      </c>
      <c r="H1421" s="1437">
        <f t="shared" si="187"/>
        <v>6.9018599999999997E-4</v>
      </c>
      <c r="I1421" s="1437">
        <v>0</v>
      </c>
      <c r="J1421" s="1437">
        <v>0</v>
      </c>
      <c r="K1421" s="1438"/>
      <c r="L1421" s="1438"/>
      <c r="M1421" s="1437">
        <f t="shared" si="184"/>
        <v>0</v>
      </c>
      <c r="N1421" s="1437">
        <f t="shared" si="188"/>
        <v>6.9018599999999997E-4</v>
      </c>
    </row>
    <row r="1422" spans="1:14" outlineLevel="1">
      <c r="A1422" s="1499">
        <f t="shared" si="190"/>
        <v>8</v>
      </c>
      <c r="B1422" s="1539" t="str">
        <f t="shared" si="190"/>
        <v>Asset Recived From Civil-U#8-SERVICE BUILDING -10211</v>
      </c>
      <c r="C1422" s="1491" t="str">
        <f t="shared" si="190"/>
        <v>N.A.</v>
      </c>
      <c r="D1422" s="1531" t="str">
        <f t="shared" si="190"/>
        <v>-</v>
      </c>
      <c r="E1422" s="1318">
        <f t="shared" si="190"/>
        <v>0</v>
      </c>
      <c r="F1422" s="1437">
        <f t="shared" si="185"/>
        <v>5.51437E-4</v>
      </c>
      <c r="G1422" s="1437">
        <f t="shared" si="186"/>
        <v>0</v>
      </c>
      <c r="H1422" s="1437">
        <f t="shared" si="187"/>
        <v>5.51437E-4</v>
      </c>
      <c r="I1422" s="1437">
        <v>0</v>
      </c>
      <c r="J1422" s="1437">
        <v>0</v>
      </c>
      <c r="K1422" s="1438"/>
      <c r="L1422" s="1438"/>
      <c r="M1422" s="1437">
        <f t="shared" si="184"/>
        <v>0</v>
      </c>
      <c r="N1422" s="1437">
        <f t="shared" si="188"/>
        <v>5.51437E-4</v>
      </c>
    </row>
    <row r="1423" spans="1:14" outlineLevel="1">
      <c r="A1423" s="1499">
        <f t="shared" si="190"/>
        <v>9</v>
      </c>
      <c r="B1423" s="1539" t="str">
        <f t="shared" si="190"/>
        <v>Asset Recived From Civil-U#8-Canteen -10233</v>
      </c>
      <c r="C1423" s="1491" t="str">
        <f t="shared" si="190"/>
        <v>N.A.</v>
      </c>
      <c r="D1423" s="1531" t="str">
        <f t="shared" si="190"/>
        <v>-</v>
      </c>
      <c r="E1423" s="1318">
        <f t="shared" si="190"/>
        <v>0</v>
      </c>
      <c r="F1423" s="1437">
        <f t="shared" si="185"/>
        <v>7.2491400000000001E-4</v>
      </c>
      <c r="G1423" s="1437">
        <f t="shared" si="186"/>
        <v>0</v>
      </c>
      <c r="H1423" s="1437">
        <f t="shared" si="187"/>
        <v>7.2491400000000001E-4</v>
      </c>
      <c r="I1423" s="1437">
        <v>0</v>
      </c>
      <c r="J1423" s="1437">
        <v>0</v>
      </c>
      <c r="K1423" s="1438"/>
      <c r="L1423" s="1438"/>
      <c r="M1423" s="1437">
        <f t="shared" si="184"/>
        <v>0</v>
      </c>
      <c r="N1423" s="1437">
        <f t="shared" si="188"/>
        <v>7.2491400000000001E-4</v>
      </c>
    </row>
    <row r="1424" spans="1:14" outlineLevel="1">
      <c r="A1424" s="1499">
        <f t="shared" si="190"/>
        <v>10</v>
      </c>
      <c r="B1424" s="1539" t="str">
        <f t="shared" si="190"/>
        <v>Asset Recived From Civil-U#8-PARKING SHED -10233</v>
      </c>
      <c r="C1424" s="1491" t="str">
        <f t="shared" si="190"/>
        <v>N.A.</v>
      </c>
      <c r="D1424" s="1531" t="str">
        <f t="shared" si="190"/>
        <v>-</v>
      </c>
      <c r="E1424" s="1318">
        <f t="shared" si="190"/>
        <v>0</v>
      </c>
      <c r="F1424" s="1437">
        <f t="shared" si="185"/>
        <v>6.1109999999999996E-6</v>
      </c>
      <c r="G1424" s="1437">
        <f t="shared" si="186"/>
        <v>0</v>
      </c>
      <c r="H1424" s="1437">
        <f t="shared" si="187"/>
        <v>6.1109999999999996E-6</v>
      </c>
      <c r="I1424" s="1437">
        <v>0</v>
      </c>
      <c r="J1424" s="1437">
        <v>0</v>
      </c>
      <c r="K1424" s="1438"/>
      <c r="L1424" s="1438"/>
      <c r="M1424" s="1437">
        <f t="shared" si="184"/>
        <v>0</v>
      </c>
      <c r="N1424" s="1437">
        <f t="shared" si="188"/>
        <v>6.1109999999999996E-6</v>
      </c>
    </row>
    <row r="1425" spans="1:14" outlineLevel="1">
      <c r="A1425" s="1499">
        <f t="shared" si="190"/>
        <v>11</v>
      </c>
      <c r="B1425" s="1539" t="str">
        <f t="shared" si="190"/>
        <v>Asset Recived From Civil-U#8-Time Security Building -10233</v>
      </c>
      <c r="C1425" s="1491" t="str">
        <f t="shared" si="190"/>
        <v>N.A.</v>
      </c>
      <c r="D1425" s="1531" t="str">
        <f t="shared" si="190"/>
        <v>-</v>
      </c>
      <c r="E1425" s="1318">
        <f t="shared" si="190"/>
        <v>0</v>
      </c>
      <c r="F1425" s="1437">
        <f t="shared" si="185"/>
        <v>3.595E-5</v>
      </c>
      <c r="G1425" s="1437">
        <f t="shared" si="186"/>
        <v>0</v>
      </c>
      <c r="H1425" s="1437">
        <f t="shared" si="187"/>
        <v>3.595E-5</v>
      </c>
      <c r="I1425" s="1437">
        <v>0</v>
      </c>
      <c r="J1425" s="1437">
        <v>0</v>
      </c>
      <c r="K1425" s="1438"/>
      <c r="L1425" s="1438"/>
      <c r="M1425" s="1437">
        <f t="shared" si="184"/>
        <v>0</v>
      </c>
      <c r="N1425" s="1437">
        <f t="shared" si="188"/>
        <v>3.595E-5</v>
      </c>
    </row>
    <row r="1426" spans="1:14" ht="29" outlineLevel="1">
      <c r="A1426" s="1499">
        <f t="shared" si="190"/>
        <v>12</v>
      </c>
      <c r="B1426" s="1539" t="str">
        <f t="shared" si="190"/>
        <v>Asset Recived From Civil-U#8-Misc.Building/structure/Watchtower-10233</v>
      </c>
      <c r="C1426" s="1491" t="str">
        <f t="shared" si="190"/>
        <v>N.A.</v>
      </c>
      <c r="D1426" s="1531" t="str">
        <f t="shared" si="190"/>
        <v>-</v>
      </c>
      <c r="E1426" s="1318">
        <f t="shared" si="190"/>
        <v>0</v>
      </c>
      <c r="F1426" s="1437">
        <f t="shared" si="185"/>
        <v>1.7243E-4</v>
      </c>
      <c r="G1426" s="1437">
        <f t="shared" si="186"/>
        <v>0</v>
      </c>
      <c r="H1426" s="1437">
        <f t="shared" si="187"/>
        <v>1.7243E-4</v>
      </c>
      <c r="I1426" s="1437">
        <v>0</v>
      </c>
      <c r="J1426" s="1437">
        <v>0</v>
      </c>
      <c r="K1426" s="1438"/>
      <c r="L1426" s="1438"/>
      <c r="M1426" s="1437">
        <f t="shared" si="184"/>
        <v>0</v>
      </c>
      <c r="N1426" s="1437">
        <f t="shared" si="188"/>
        <v>1.7243E-4</v>
      </c>
    </row>
    <row r="1427" spans="1:14" outlineLevel="1">
      <c r="A1427" s="1499">
        <f t="shared" ref="A1427:E1442" si="191">A1034</f>
        <v>13</v>
      </c>
      <c r="B1427" s="1539" t="str">
        <f t="shared" si="191"/>
        <v>Asset Recived From Civil-U#8-Boundry compound wall Mall-10233</v>
      </c>
      <c r="C1427" s="1491" t="str">
        <f t="shared" si="191"/>
        <v>N.A.</v>
      </c>
      <c r="D1427" s="1531" t="str">
        <f t="shared" si="191"/>
        <v>-</v>
      </c>
      <c r="E1427" s="1318">
        <f t="shared" si="191"/>
        <v>0</v>
      </c>
      <c r="F1427" s="1437">
        <f t="shared" si="185"/>
        <v>0.15765880700000001</v>
      </c>
      <c r="G1427" s="1437">
        <f t="shared" si="186"/>
        <v>0</v>
      </c>
      <c r="H1427" s="1437">
        <f t="shared" si="187"/>
        <v>0.15765880700000001</v>
      </c>
      <c r="I1427" s="1437">
        <v>0</v>
      </c>
      <c r="J1427" s="1437">
        <v>0</v>
      </c>
      <c r="K1427" s="1438"/>
      <c r="L1427" s="1438"/>
      <c r="M1427" s="1437">
        <f t="shared" si="184"/>
        <v>0</v>
      </c>
      <c r="N1427" s="1437">
        <f t="shared" si="188"/>
        <v>0.15765880700000001</v>
      </c>
    </row>
    <row r="1428" spans="1:14" outlineLevel="1">
      <c r="A1428" s="1499">
        <f t="shared" si="191"/>
        <v>14</v>
      </c>
      <c r="B1428" s="1539" t="str">
        <f t="shared" si="191"/>
        <v>Asset Recived From Civil-U#8-Workshop civil work-10233</v>
      </c>
      <c r="C1428" s="1491" t="str">
        <f t="shared" si="191"/>
        <v>N.A.</v>
      </c>
      <c r="D1428" s="1531" t="str">
        <f t="shared" si="191"/>
        <v>-</v>
      </c>
      <c r="E1428" s="1318">
        <f t="shared" si="191"/>
        <v>0</v>
      </c>
      <c r="F1428" s="1437">
        <f t="shared" si="185"/>
        <v>4.1879999999999999E-5</v>
      </c>
      <c r="G1428" s="1437">
        <f t="shared" si="186"/>
        <v>0</v>
      </c>
      <c r="H1428" s="1437">
        <f t="shared" si="187"/>
        <v>4.1879999999999999E-5</v>
      </c>
      <c r="I1428" s="1437">
        <v>0</v>
      </c>
      <c r="J1428" s="1437">
        <v>0</v>
      </c>
      <c r="K1428" s="1438"/>
      <c r="L1428" s="1438"/>
      <c r="M1428" s="1437">
        <f t="shared" si="184"/>
        <v>0</v>
      </c>
      <c r="N1428" s="1437">
        <f t="shared" si="188"/>
        <v>4.1879999999999999E-5</v>
      </c>
    </row>
    <row r="1429" spans="1:14" outlineLevel="1">
      <c r="A1429" s="1499">
        <f t="shared" si="191"/>
        <v>15</v>
      </c>
      <c r="B1429" s="1539" t="str">
        <f t="shared" si="191"/>
        <v>Asset Recived From Civil-U#8-Interior Work for CEC-I Office-10233</v>
      </c>
      <c r="C1429" s="1491" t="str">
        <f t="shared" si="191"/>
        <v>N.A.</v>
      </c>
      <c r="D1429" s="1531" t="str">
        <f t="shared" si="191"/>
        <v>-</v>
      </c>
      <c r="E1429" s="1318">
        <f t="shared" si="191"/>
        <v>0</v>
      </c>
      <c r="F1429" s="1437">
        <f t="shared" si="185"/>
        <v>5.6437999999999997E-5</v>
      </c>
      <c r="G1429" s="1437">
        <f t="shared" si="186"/>
        <v>0</v>
      </c>
      <c r="H1429" s="1437">
        <f t="shared" si="187"/>
        <v>5.6437999999999997E-5</v>
      </c>
      <c r="I1429" s="1437">
        <v>0</v>
      </c>
      <c r="J1429" s="1437">
        <v>0</v>
      </c>
      <c r="K1429" s="1438"/>
      <c r="L1429" s="1438"/>
      <c r="M1429" s="1437">
        <f t="shared" si="184"/>
        <v>0</v>
      </c>
      <c r="N1429" s="1437">
        <f t="shared" si="188"/>
        <v>5.6437999999999997E-5</v>
      </c>
    </row>
    <row r="1430" spans="1:14" outlineLevel="1">
      <c r="A1430" s="1499">
        <f t="shared" si="191"/>
        <v>16</v>
      </c>
      <c r="B1430" s="1539" t="str">
        <f t="shared" si="191"/>
        <v>Asset Recived From Civil-U#8-WTP-Raw water reservoir -10305</v>
      </c>
      <c r="C1430" s="1491" t="str">
        <f t="shared" si="191"/>
        <v>N.A.</v>
      </c>
      <c r="D1430" s="1531" t="str">
        <f t="shared" si="191"/>
        <v>-</v>
      </c>
      <c r="E1430" s="1318">
        <f t="shared" si="191"/>
        <v>0</v>
      </c>
      <c r="F1430" s="1437">
        <f t="shared" si="185"/>
        <v>1.224798E-3</v>
      </c>
      <c r="G1430" s="1437">
        <f t="shared" si="186"/>
        <v>0</v>
      </c>
      <c r="H1430" s="1437">
        <f t="shared" si="187"/>
        <v>1.224798E-3</v>
      </c>
      <c r="I1430" s="1437">
        <v>0</v>
      </c>
      <c r="J1430" s="1437">
        <v>0</v>
      </c>
      <c r="K1430" s="1438"/>
      <c r="L1430" s="1438"/>
      <c r="M1430" s="1437">
        <f t="shared" si="184"/>
        <v>0</v>
      </c>
      <c r="N1430" s="1437">
        <f t="shared" si="188"/>
        <v>1.224798E-3</v>
      </c>
    </row>
    <row r="1431" spans="1:14" outlineLevel="1">
      <c r="A1431" s="1499">
        <f t="shared" si="191"/>
        <v>17</v>
      </c>
      <c r="B1431" s="1539" t="str">
        <f t="shared" si="191"/>
        <v>Asset Recived From Civil-U#8-WTP-Clarifier -10305</v>
      </c>
      <c r="C1431" s="1491" t="str">
        <f t="shared" si="191"/>
        <v>N.A.</v>
      </c>
      <c r="D1431" s="1531" t="str">
        <f t="shared" si="191"/>
        <v>-</v>
      </c>
      <c r="E1431" s="1318">
        <f t="shared" si="191"/>
        <v>0</v>
      </c>
      <c r="F1431" s="1437">
        <f t="shared" si="185"/>
        <v>1.1651750000000001E-3</v>
      </c>
      <c r="G1431" s="1437">
        <f t="shared" si="186"/>
        <v>0</v>
      </c>
      <c r="H1431" s="1437">
        <f t="shared" si="187"/>
        <v>1.1651750000000001E-3</v>
      </c>
      <c r="I1431" s="1437">
        <v>0</v>
      </c>
      <c r="J1431" s="1437">
        <v>0</v>
      </c>
      <c r="K1431" s="1438"/>
      <c r="L1431" s="1438"/>
      <c r="M1431" s="1437">
        <f t="shared" si="184"/>
        <v>0</v>
      </c>
      <c r="N1431" s="1437">
        <f t="shared" si="188"/>
        <v>1.1651750000000001E-3</v>
      </c>
    </row>
    <row r="1432" spans="1:14" ht="29" outlineLevel="1">
      <c r="A1432" s="1499">
        <f t="shared" si="191"/>
        <v>18</v>
      </c>
      <c r="B1432" s="1539" t="str">
        <f t="shared" si="191"/>
        <v>Asset Recived From Civil-U#8-WTP-Clarifier Water Storage Tank-10305</v>
      </c>
      <c r="C1432" s="1491" t="str">
        <f t="shared" si="191"/>
        <v>N.A.</v>
      </c>
      <c r="D1432" s="1531" t="str">
        <f t="shared" si="191"/>
        <v>-</v>
      </c>
      <c r="E1432" s="1318">
        <f t="shared" si="191"/>
        <v>0</v>
      </c>
      <c r="F1432" s="1437">
        <f t="shared" si="185"/>
        <v>1.9514200000000001E-4</v>
      </c>
      <c r="G1432" s="1437">
        <f t="shared" si="186"/>
        <v>0</v>
      </c>
      <c r="H1432" s="1437">
        <f t="shared" si="187"/>
        <v>1.9514200000000001E-4</v>
      </c>
      <c r="I1432" s="1437">
        <v>0</v>
      </c>
      <c r="J1432" s="1437">
        <v>0</v>
      </c>
      <c r="K1432" s="1438"/>
      <c r="L1432" s="1438"/>
      <c r="M1432" s="1437">
        <f t="shared" si="184"/>
        <v>0</v>
      </c>
      <c r="N1432" s="1437">
        <f t="shared" si="188"/>
        <v>1.9514200000000001E-4</v>
      </c>
    </row>
    <row r="1433" spans="1:14" outlineLevel="1">
      <c r="A1433" s="1499">
        <f t="shared" si="191"/>
        <v>19</v>
      </c>
      <c r="B1433" s="1539" t="str">
        <f t="shared" si="191"/>
        <v>Asset Recived From Civil-U#8-C.W. pump house &amp; forebay-10310</v>
      </c>
      <c r="C1433" s="1491" t="str">
        <f t="shared" si="191"/>
        <v>N.A.</v>
      </c>
      <c r="D1433" s="1531" t="str">
        <f t="shared" si="191"/>
        <v>-</v>
      </c>
      <c r="E1433" s="1318">
        <f t="shared" si="191"/>
        <v>0</v>
      </c>
      <c r="F1433" s="1437">
        <f t="shared" si="185"/>
        <v>5.2946099999999995E-4</v>
      </c>
      <c r="G1433" s="1437">
        <f t="shared" si="186"/>
        <v>0</v>
      </c>
      <c r="H1433" s="1437">
        <f t="shared" si="187"/>
        <v>5.2946099999999995E-4</v>
      </c>
      <c r="I1433" s="1437">
        <v>0</v>
      </c>
      <c r="J1433" s="1437">
        <v>0</v>
      </c>
      <c r="K1433" s="1438"/>
      <c r="L1433" s="1438"/>
      <c r="M1433" s="1437">
        <f t="shared" si="184"/>
        <v>0</v>
      </c>
      <c r="N1433" s="1437">
        <f t="shared" si="188"/>
        <v>5.2946099999999995E-4</v>
      </c>
    </row>
    <row r="1434" spans="1:14" outlineLevel="1">
      <c r="A1434" s="1499">
        <f t="shared" si="191"/>
        <v>20</v>
      </c>
      <c r="B1434" s="1539" t="str">
        <f t="shared" si="191"/>
        <v>Asset Recived From Civil-U#8-Construction of STP for Colony-10322</v>
      </c>
      <c r="C1434" s="1491" t="str">
        <f t="shared" si="191"/>
        <v>N.A.</v>
      </c>
      <c r="D1434" s="1531" t="str">
        <f t="shared" si="191"/>
        <v>-</v>
      </c>
      <c r="E1434" s="1318">
        <f t="shared" si="191"/>
        <v>0</v>
      </c>
      <c r="F1434" s="1437">
        <f t="shared" si="185"/>
        <v>1.79662E-4</v>
      </c>
      <c r="G1434" s="1437">
        <f t="shared" si="186"/>
        <v>0</v>
      </c>
      <c r="H1434" s="1437">
        <f t="shared" si="187"/>
        <v>1.79662E-4</v>
      </c>
      <c r="I1434" s="1437">
        <v>0</v>
      </c>
      <c r="J1434" s="1437">
        <v>0</v>
      </c>
      <c r="K1434" s="1438"/>
      <c r="L1434" s="1438"/>
      <c r="M1434" s="1437">
        <f t="shared" si="184"/>
        <v>0</v>
      </c>
      <c r="N1434" s="1437">
        <f t="shared" si="188"/>
        <v>1.79662E-4</v>
      </c>
    </row>
    <row r="1435" spans="1:14" outlineLevel="1">
      <c r="A1435" s="1499">
        <f t="shared" si="191"/>
        <v>21</v>
      </c>
      <c r="B1435" s="1539" t="str">
        <f t="shared" si="191"/>
        <v>Asset Recived From Civil-U#8-Cooling Towers-10311</v>
      </c>
      <c r="C1435" s="1491" t="str">
        <f t="shared" si="191"/>
        <v>N.A.</v>
      </c>
      <c r="D1435" s="1531" t="str">
        <f t="shared" si="191"/>
        <v>-</v>
      </c>
      <c r="E1435" s="1318">
        <f t="shared" si="191"/>
        <v>0</v>
      </c>
      <c r="F1435" s="1437">
        <f t="shared" si="185"/>
        <v>0.37627639299999999</v>
      </c>
      <c r="G1435" s="1437">
        <f t="shared" si="186"/>
        <v>0</v>
      </c>
      <c r="H1435" s="1437">
        <f t="shared" si="187"/>
        <v>0.37627639299999999</v>
      </c>
      <c r="I1435" s="1437">
        <v>0</v>
      </c>
      <c r="J1435" s="1437">
        <v>0</v>
      </c>
      <c r="K1435" s="1438"/>
      <c r="L1435" s="1438"/>
      <c r="M1435" s="1437">
        <f t="shared" si="184"/>
        <v>0</v>
      </c>
      <c r="N1435" s="1437">
        <f t="shared" si="188"/>
        <v>0.37627639299999999</v>
      </c>
    </row>
    <row r="1436" spans="1:14" outlineLevel="1">
      <c r="A1436" s="1499">
        <f t="shared" si="191"/>
        <v>22</v>
      </c>
      <c r="B1436" s="1539" t="str">
        <f t="shared" si="191"/>
        <v>Asset Recived From Civil-U#8-Railway sidings-10412</v>
      </c>
      <c r="C1436" s="1491" t="str">
        <f t="shared" si="191"/>
        <v>N.A.</v>
      </c>
      <c r="D1436" s="1531" t="str">
        <f t="shared" si="191"/>
        <v>-</v>
      </c>
      <c r="E1436" s="1318">
        <f t="shared" si="191"/>
        <v>0</v>
      </c>
      <c r="F1436" s="1437">
        <f t="shared" si="185"/>
        <v>0.13615478800000003</v>
      </c>
      <c r="G1436" s="1437">
        <f t="shared" si="186"/>
        <v>0</v>
      </c>
      <c r="H1436" s="1437">
        <f t="shared" si="187"/>
        <v>0.13615478800000003</v>
      </c>
      <c r="I1436" s="1437">
        <v>0</v>
      </c>
      <c r="J1436" s="1437">
        <v>0</v>
      </c>
      <c r="K1436" s="1438"/>
      <c r="L1436" s="1438"/>
      <c r="M1436" s="1437">
        <f t="shared" si="184"/>
        <v>0</v>
      </c>
      <c r="N1436" s="1437">
        <f t="shared" si="188"/>
        <v>0.13615478800000003</v>
      </c>
    </row>
    <row r="1437" spans="1:14" outlineLevel="1">
      <c r="A1437" s="1499">
        <f t="shared" si="191"/>
        <v>23</v>
      </c>
      <c r="B1437" s="1539" t="str">
        <f t="shared" si="191"/>
        <v>Asset Recived From Civil-U#8-In plant Roads -10401</v>
      </c>
      <c r="C1437" s="1491" t="str">
        <f t="shared" si="191"/>
        <v>N.A.</v>
      </c>
      <c r="D1437" s="1531" t="str">
        <f t="shared" si="191"/>
        <v>-</v>
      </c>
      <c r="E1437" s="1318">
        <f t="shared" si="191"/>
        <v>0</v>
      </c>
      <c r="F1437" s="1437">
        <f t="shared" si="185"/>
        <v>9.1029900000000005E-4</v>
      </c>
      <c r="G1437" s="1437">
        <f t="shared" si="186"/>
        <v>0</v>
      </c>
      <c r="H1437" s="1437">
        <f t="shared" si="187"/>
        <v>9.1029900000000005E-4</v>
      </c>
      <c r="I1437" s="1437">
        <v>0</v>
      </c>
      <c r="J1437" s="1437">
        <v>0</v>
      </c>
      <c r="K1437" s="1438"/>
      <c r="L1437" s="1438"/>
      <c r="M1437" s="1437">
        <f t="shared" si="184"/>
        <v>0</v>
      </c>
      <c r="N1437" s="1437">
        <f t="shared" si="188"/>
        <v>9.1029900000000005E-4</v>
      </c>
    </row>
    <row r="1438" spans="1:14" outlineLevel="1">
      <c r="A1438" s="1499">
        <f t="shared" si="191"/>
        <v>24</v>
      </c>
      <c r="B1438" s="1539" t="str">
        <f t="shared" si="191"/>
        <v>Asset Recived From Civil-U#8-Pipe Rack -10419</v>
      </c>
      <c r="C1438" s="1491" t="str">
        <f t="shared" si="191"/>
        <v>N.A.</v>
      </c>
      <c r="D1438" s="1531" t="str">
        <f t="shared" si="191"/>
        <v>-</v>
      </c>
      <c r="E1438" s="1318">
        <f t="shared" si="191"/>
        <v>0</v>
      </c>
      <c r="F1438" s="1437">
        <f t="shared" si="185"/>
        <v>4.1823400000000002E-4</v>
      </c>
      <c r="G1438" s="1437">
        <f t="shared" si="186"/>
        <v>0</v>
      </c>
      <c r="H1438" s="1437">
        <f t="shared" si="187"/>
        <v>4.1823400000000002E-4</v>
      </c>
      <c r="I1438" s="1437">
        <v>0</v>
      </c>
      <c r="J1438" s="1437">
        <v>0</v>
      </c>
      <c r="K1438" s="1438"/>
      <c r="L1438" s="1438"/>
      <c r="M1438" s="1437">
        <f t="shared" si="184"/>
        <v>0</v>
      </c>
      <c r="N1438" s="1437">
        <f t="shared" si="188"/>
        <v>4.1823400000000002E-4</v>
      </c>
    </row>
    <row r="1439" spans="1:14" outlineLevel="1">
      <c r="A1439" s="1499">
        <f t="shared" si="191"/>
        <v>25</v>
      </c>
      <c r="B1439" s="1539" t="str">
        <f t="shared" si="191"/>
        <v>Asset Recived From Civil-U#8-Transformar yard area -10541</v>
      </c>
      <c r="C1439" s="1491" t="str">
        <f t="shared" si="191"/>
        <v>N.A.</v>
      </c>
      <c r="D1439" s="1531" t="str">
        <f t="shared" si="191"/>
        <v>-</v>
      </c>
      <c r="E1439" s="1318">
        <f t="shared" si="191"/>
        <v>0</v>
      </c>
      <c r="F1439" s="1437">
        <f t="shared" si="185"/>
        <v>5.31695E-4</v>
      </c>
      <c r="G1439" s="1437">
        <f t="shared" si="186"/>
        <v>0</v>
      </c>
      <c r="H1439" s="1437">
        <f t="shared" si="187"/>
        <v>5.31695E-4</v>
      </c>
      <c r="I1439" s="1437">
        <v>0</v>
      </c>
      <c r="J1439" s="1437">
        <v>0</v>
      </c>
      <c r="K1439" s="1438"/>
      <c r="L1439" s="1438"/>
      <c r="M1439" s="1437">
        <f t="shared" si="184"/>
        <v>0</v>
      </c>
      <c r="N1439" s="1437">
        <f t="shared" si="188"/>
        <v>5.31695E-4</v>
      </c>
    </row>
    <row r="1440" spans="1:14" ht="29" outlineLevel="1">
      <c r="A1440" s="1499">
        <f t="shared" si="191"/>
        <v>26</v>
      </c>
      <c r="B1440" s="1539" t="str">
        <f t="shared" si="191"/>
        <v>Asset Recived From Civil-U#8-BA-Boiler and Auxilary foundation-10501</v>
      </c>
      <c r="C1440" s="1491" t="str">
        <f t="shared" si="191"/>
        <v>N.A.</v>
      </c>
      <c r="D1440" s="1531" t="str">
        <f t="shared" si="191"/>
        <v>-</v>
      </c>
      <c r="E1440" s="1318">
        <f t="shared" si="191"/>
        <v>0</v>
      </c>
      <c r="F1440" s="1437">
        <f t="shared" si="185"/>
        <v>6.1116199999999999E-3</v>
      </c>
      <c r="G1440" s="1437">
        <f t="shared" si="186"/>
        <v>0</v>
      </c>
      <c r="H1440" s="1437">
        <f t="shared" si="187"/>
        <v>6.1116199999999999E-3</v>
      </c>
      <c r="I1440" s="1437">
        <v>0</v>
      </c>
      <c r="J1440" s="1437">
        <v>0</v>
      </c>
      <c r="K1440" s="1438"/>
      <c r="L1440" s="1438"/>
      <c r="M1440" s="1437">
        <f t="shared" si="184"/>
        <v>0</v>
      </c>
      <c r="N1440" s="1437">
        <f t="shared" si="188"/>
        <v>6.1116199999999999E-3</v>
      </c>
    </row>
    <row r="1441" spans="1:14" outlineLevel="1">
      <c r="A1441" s="1499">
        <f t="shared" si="191"/>
        <v>27</v>
      </c>
      <c r="B1441" s="1539" t="str">
        <f t="shared" si="191"/>
        <v>Asset Recived From Civil-U#8-BA-FD FAN FOUNDATIONS -10501</v>
      </c>
      <c r="C1441" s="1491" t="str">
        <f t="shared" si="191"/>
        <v>N.A.</v>
      </c>
      <c r="D1441" s="1531" t="str">
        <f t="shared" si="191"/>
        <v>-</v>
      </c>
      <c r="E1441" s="1318">
        <f t="shared" si="191"/>
        <v>0</v>
      </c>
      <c r="F1441" s="1437">
        <f t="shared" si="185"/>
        <v>1.11659E-4</v>
      </c>
      <c r="G1441" s="1437">
        <f t="shared" si="186"/>
        <v>0</v>
      </c>
      <c r="H1441" s="1437">
        <f t="shared" si="187"/>
        <v>1.11659E-4</v>
      </c>
      <c r="I1441" s="1437">
        <v>0</v>
      </c>
      <c r="J1441" s="1437">
        <v>0</v>
      </c>
      <c r="K1441" s="1438"/>
      <c r="L1441" s="1438"/>
      <c r="M1441" s="1437">
        <f t="shared" si="184"/>
        <v>0</v>
      </c>
      <c r="N1441" s="1437">
        <f t="shared" si="188"/>
        <v>1.11659E-4</v>
      </c>
    </row>
    <row r="1442" spans="1:14" outlineLevel="1">
      <c r="A1442" s="1499">
        <f t="shared" si="191"/>
        <v>28</v>
      </c>
      <c r="B1442" s="1539" t="str">
        <f t="shared" si="191"/>
        <v>Asset Recived From Civil-U#8-BA-PA FAN FOUNDATION -10501</v>
      </c>
      <c r="C1442" s="1491" t="str">
        <f t="shared" si="191"/>
        <v>N.A.</v>
      </c>
      <c r="D1442" s="1531" t="str">
        <f t="shared" si="191"/>
        <v>-</v>
      </c>
      <c r="E1442" s="1318">
        <f t="shared" si="191"/>
        <v>0</v>
      </c>
      <c r="F1442" s="1437">
        <f t="shared" si="185"/>
        <v>1.11659E-4</v>
      </c>
      <c r="G1442" s="1437">
        <f t="shared" si="186"/>
        <v>0</v>
      </c>
      <c r="H1442" s="1437">
        <f t="shared" si="187"/>
        <v>1.11659E-4</v>
      </c>
      <c r="I1442" s="1437">
        <v>0</v>
      </c>
      <c r="J1442" s="1437">
        <v>0</v>
      </c>
      <c r="K1442" s="1438"/>
      <c r="L1442" s="1438"/>
      <c r="M1442" s="1437">
        <f t="shared" si="184"/>
        <v>0</v>
      </c>
      <c r="N1442" s="1437">
        <f t="shared" si="188"/>
        <v>1.11659E-4</v>
      </c>
    </row>
    <row r="1443" spans="1:14" outlineLevel="1">
      <c r="A1443" s="1499">
        <f t="shared" ref="A1443:E1458" si="192">A1050</f>
        <v>29</v>
      </c>
      <c r="B1443" s="1539" t="str">
        <f t="shared" si="192"/>
        <v>Asset Recived From Civil-U#8-BA-I.D. Fan foundation -10501</v>
      </c>
      <c r="C1443" s="1491" t="str">
        <f t="shared" si="192"/>
        <v>N.A.</v>
      </c>
      <c r="D1443" s="1531" t="str">
        <f t="shared" si="192"/>
        <v>-</v>
      </c>
      <c r="E1443" s="1318">
        <f t="shared" si="192"/>
        <v>0</v>
      </c>
      <c r="F1443" s="1437">
        <f t="shared" si="185"/>
        <v>2.23317E-4</v>
      </c>
      <c r="G1443" s="1437">
        <f t="shared" si="186"/>
        <v>0</v>
      </c>
      <c r="H1443" s="1437">
        <f t="shared" si="187"/>
        <v>2.23317E-4</v>
      </c>
      <c r="I1443" s="1437">
        <v>0</v>
      </c>
      <c r="J1443" s="1437">
        <v>0</v>
      </c>
      <c r="K1443" s="1438"/>
      <c r="L1443" s="1438"/>
      <c r="M1443" s="1437">
        <f t="shared" si="184"/>
        <v>0</v>
      </c>
      <c r="N1443" s="1437">
        <f t="shared" si="188"/>
        <v>2.23317E-4</v>
      </c>
    </row>
    <row r="1444" spans="1:14" outlineLevel="1">
      <c r="A1444" s="1499">
        <f t="shared" si="192"/>
        <v>30</v>
      </c>
      <c r="B1444" s="1539" t="str">
        <f t="shared" si="192"/>
        <v>Asset Recived From Civil-U#8-BA-MILL FOUNDATION-10501</v>
      </c>
      <c r="C1444" s="1491" t="str">
        <f t="shared" si="192"/>
        <v>N.A.</v>
      </c>
      <c r="D1444" s="1531" t="str">
        <f t="shared" si="192"/>
        <v>-</v>
      </c>
      <c r="E1444" s="1318">
        <f t="shared" si="192"/>
        <v>0</v>
      </c>
      <c r="F1444" s="1437">
        <f t="shared" si="185"/>
        <v>1.98259E-4</v>
      </c>
      <c r="G1444" s="1437">
        <f t="shared" si="186"/>
        <v>0</v>
      </c>
      <c r="H1444" s="1437">
        <f t="shared" si="187"/>
        <v>1.98259E-4</v>
      </c>
      <c r="I1444" s="1437">
        <v>0</v>
      </c>
      <c r="J1444" s="1437">
        <v>0</v>
      </c>
      <c r="K1444" s="1438"/>
      <c r="L1444" s="1438"/>
      <c r="M1444" s="1437">
        <f t="shared" si="184"/>
        <v>0</v>
      </c>
      <c r="N1444" s="1437">
        <f t="shared" si="188"/>
        <v>1.98259E-4</v>
      </c>
    </row>
    <row r="1445" spans="1:14" ht="29" outlineLevel="1">
      <c r="A1445" s="1499">
        <f t="shared" si="192"/>
        <v>31</v>
      </c>
      <c r="B1445" s="1539" t="str">
        <f t="shared" si="192"/>
        <v>Asset Recived From Civil-U#8-BA-BUNKER FOUNDATION &amp; STRUCTURE-10515</v>
      </c>
      <c r="C1445" s="1491" t="str">
        <f t="shared" si="192"/>
        <v>N.A.</v>
      </c>
      <c r="D1445" s="1531" t="str">
        <f t="shared" si="192"/>
        <v>-</v>
      </c>
      <c r="E1445" s="1318">
        <f t="shared" si="192"/>
        <v>0</v>
      </c>
      <c r="F1445" s="1437">
        <f t="shared" si="185"/>
        <v>1.392536E-3</v>
      </c>
      <c r="G1445" s="1437">
        <f t="shared" si="186"/>
        <v>0</v>
      </c>
      <c r="H1445" s="1437">
        <f t="shared" si="187"/>
        <v>1.392536E-3</v>
      </c>
      <c r="I1445" s="1437">
        <v>0</v>
      </c>
      <c r="J1445" s="1437">
        <v>0</v>
      </c>
      <c r="K1445" s="1438"/>
      <c r="L1445" s="1438"/>
      <c r="M1445" s="1437">
        <f t="shared" ref="M1445:M1508" si="193">SUM(J1445:L1445)</f>
        <v>0</v>
      </c>
      <c r="N1445" s="1437">
        <f t="shared" si="188"/>
        <v>1.392536E-3</v>
      </c>
    </row>
    <row r="1446" spans="1:14" outlineLevel="1">
      <c r="A1446" s="1499">
        <f t="shared" si="192"/>
        <v>32</v>
      </c>
      <c r="B1446" s="1539" t="str">
        <f t="shared" si="192"/>
        <v>Asset Recived From Civil-U#8-ESP-10501</v>
      </c>
      <c r="C1446" s="1491" t="str">
        <f t="shared" si="192"/>
        <v>N.A.</v>
      </c>
      <c r="D1446" s="1531" t="str">
        <f t="shared" si="192"/>
        <v>-</v>
      </c>
      <c r="E1446" s="1318">
        <f t="shared" si="192"/>
        <v>0</v>
      </c>
      <c r="F1446" s="1437">
        <f t="shared" ref="F1446:F1509" si="194">F1053+I1053</f>
        <v>7.0722000000000005E-4</v>
      </c>
      <c r="G1446" s="1437">
        <f t="shared" ref="G1446:G1509" si="195">G1053+M1053</f>
        <v>0</v>
      </c>
      <c r="H1446" s="1437">
        <f t="shared" si="187"/>
        <v>7.0722000000000005E-4</v>
      </c>
      <c r="I1446" s="1437">
        <v>0</v>
      </c>
      <c r="J1446" s="1437">
        <v>0</v>
      </c>
      <c r="K1446" s="1438"/>
      <c r="L1446" s="1438"/>
      <c r="M1446" s="1437">
        <f t="shared" si="193"/>
        <v>0</v>
      </c>
      <c r="N1446" s="1437">
        <f t="shared" si="188"/>
        <v>7.0722000000000005E-4</v>
      </c>
    </row>
    <row r="1447" spans="1:14" outlineLevel="1">
      <c r="A1447" s="1499">
        <f t="shared" si="192"/>
        <v>33</v>
      </c>
      <c r="B1447" s="1539" t="str">
        <f t="shared" si="192"/>
        <v>Asset Recived From Civil-U#8-ESP Control Room-10501</v>
      </c>
      <c r="C1447" s="1491" t="str">
        <f t="shared" si="192"/>
        <v>N.A.</v>
      </c>
      <c r="D1447" s="1531" t="str">
        <f t="shared" si="192"/>
        <v>-</v>
      </c>
      <c r="E1447" s="1318">
        <f t="shared" si="192"/>
        <v>0</v>
      </c>
      <c r="F1447" s="1437">
        <f t="shared" si="194"/>
        <v>4.2763499999999999E-4</v>
      </c>
      <c r="G1447" s="1437">
        <f t="shared" si="195"/>
        <v>0</v>
      </c>
      <c r="H1447" s="1437">
        <f t="shared" ref="H1447:H1510" si="196">F1447-G1447</f>
        <v>4.2763499999999999E-4</v>
      </c>
      <c r="I1447" s="1437">
        <v>0</v>
      </c>
      <c r="J1447" s="1437">
        <v>0</v>
      </c>
      <c r="K1447" s="1438"/>
      <c r="L1447" s="1438"/>
      <c r="M1447" s="1437">
        <f t="shared" si="193"/>
        <v>0</v>
      </c>
      <c r="N1447" s="1437">
        <f t="shared" ref="N1447:N1510" si="197">H1447+I1447-M1447</f>
        <v>4.2763499999999999E-4</v>
      </c>
    </row>
    <row r="1448" spans="1:14" outlineLevel="1">
      <c r="A1448" s="1499">
        <f t="shared" si="192"/>
        <v>34</v>
      </c>
      <c r="B1448" s="1539" t="str">
        <f t="shared" si="192"/>
        <v>Asset Recived From Civil-U#8-RCC Chimney -10501</v>
      </c>
      <c r="C1448" s="1491" t="str">
        <f t="shared" si="192"/>
        <v>N.A.</v>
      </c>
      <c r="D1448" s="1531" t="str">
        <f t="shared" si="192"/>
        <v>-</v>
      </c>
      <c r="E1448" s="1318">
        <f t="shared" si="192"/>
        <v>0</v>
      </c>
      <c r="F1448" s="1437">
        <f t="shared" si="194"/>
        <v>4.612672E-3</v>
      </c>
      <c r="G1448" s="1437">
        <f t="shared" si="195"/>
        <v>0</v>
      </c>
      <c r="H1448" s="1437">
        <f t="shared" si="196"/>
        <v>4.612672E-3</v>
      </c>
      <c r="I1448" s="1437">
        <v>0</v>
      </c>
      <c r="J1448" s="1437">
        <v>0</v>
      </c>
      <c r="K1448" s="1438"/>
      <c r="L1448" s="1438"/>
      <c r="M1448" s="1437">
        <f t="shared" si="193"/>
        <v>0</v>
      </c>
      <c r="N1448" s="1437">
        <f t="shared" si="197"/>
        <v>4.612672E-3</v>
      </c>
    </row>
    <row r="1449" spans="1:14" ht="29" outlineLevel="1">
      <c r="A1449" s="1499">
        <f t="shared" si="192"/>
        <v>35</v>
      </c>
      <c r="B1449" s="1539" t="str">
        <f t="shared" si="192"/>
        <v>Asset Recived From Civil-U#8-WTP-D.M.Plant equipment fdn. etc.-10509</v>
      </c>
      <c r="C1449" s="1491" t="str">
        <f t="shared" si="192"/>
        <v>N.A.</v>
      </c>
      <c r="D1449" s="1531" t="str">
        <f t="shared" si="192"/>
        <v>-</v>
      </c>
      <c r="E1449" s="1318">
        <f t="shared" si="192"/>
        <v>0</v>
      </c>
      <c r="F1449" s="1437">
        <f t="shared" si="194"/>
        <v>6.3898000000000004E-5</v>
      </c>
      <c r="G1449" s="1437">
        <f t="shared" si="195"/>
        <v>0</v>
      </c>
      <c r="H1449" s="1437">
        <f t="shared" si="196"/>
        <v>6.3898000000000004E-5</v>
      </c>
      <c r="I1449" s="1437">
        <v>0</v>
      </c>
      <c r="J1449" s="1437">
        <v>0</v>
      </c>
      <c r="K1449" s="1438"/>
      <c r="L1449" s="1438"/>
      <c r="M1449" s="1437">
        <f t="shared" si="193"/>
        <v>0</v>
      </c>
      <c r="N1449" s="1437">
        <f t="shared" si="197"/>
        <v>6.3898000000000004E-5</v>
      </c>
    </row>
    <row r="1450" spans="1:14" outlineLevel="1">
      <c r="A1450" s="1499">
        <f t="shared" si="192"/>
        <v>36</v>
      </c>
      <c r="B1450" s="1539" t="str">
        <f t="shared" si="192"/>
        <v>Asset Recived From Civil-U#8-CHP-Wagon Tippler-10515</v>
      </c>
      <c r="C1450" s="1491" t="str">
        <f t="shared" si="192"/>
        <v>N.A.</v>
      </c>
      <c r="D1450" s="1531" t="str">
        <f t="shared" si="192"/>
        <v>-</v>
      </c>
      <c r="E1450" s="1318">
        <f t="shared" si="192"/>
        <v>0</v>
      </c>
      <c r="F1450" s="1437">
        <f t="shared" si="194"/>
        <v>9.4041100000000005E-4</v>
      </c>
      <c r="G1450" s="1437">
        <f t="shared" si="195"/>
        <v>0</v>
      </c>
      <c r="H1450" s="1437">
        <f t="shared" si="196"/>
        <v>9.4041100000000005E-4</v>
      </c>
      <c r="I1450" s="1437">
        <v>0</v>
      </c>
      <c r="J1450" s="1437">
        <v>0</v>
      </c>
      <c r="K1450" s="1438"/>
      <c r="L1450" s="1438"/>
      <c r="M1450" s="1437">
        <f t="shared" si="193"/>
        <v>0</v>
      </c>
      <c r="N1450" s="1437">
        <f t="shared" si="197"/>
        <v>9.4041100000000005E-4</v>
      </c>
    </row>
    <row r="1451" spans="1:14" outlineLevel="1">
      <c r="A1451" s="1499">
        <f t="shared" si="192"/>
        <v>37</v>
      </c>
      <c r="B1451" s="1539" t="str">
        <f t="shared" si="192"/>
        <v>Asset Recived From Civil-U#8-CHP-Crusher House -10515</v>
      </c>
      <c r="C1451" s="1491" t="str">
        <f t="shared" si="192"/>
        <v>N.A.</v>
      </c>
      <c r="D1451" s="1531" t="str">
        <f t="shared" si="192"/>
        <v>-</v>
      </c>
      <c r="E1451" s="1318">
        <f t="shared" si="192"/>
        <v>0</v>
      </c>
      <c r="F1451" s="1437">
        <f t="shared" si="194"/>
        <v>7.4704199999999995E-4</v>
      </c>
      <c r="G1451" s="1437">
        <f t="shared" si="195"/>
        <v>0</v>
      </c>
      <c r="H1451" s="1437">
        <f t="shared" si="196"/>
        <v>7.4704199999999995E-4</v>
      </c>
      <c r="I1451" s="1437">
        <v>0</v>
      </c>
      <c r="J1451" s="1437">
        <v>0</v>
      </c>
      <c r="K1451" s="1438"/>
      <c r="L1451" s="1438"/>
      <c r="M1451" s="1437">
        <f t="shared" si="193"/>
        <v>0</v>
      </c>
      <c r="N1451" s="1437">
        <f t="shared" si="197"/>
        <v>7.4704199999999995E-4</v>
      </c>
    </row>
    <row r="1452" spans="1:14" outlineLevel="1">
      <c r="A1452" s="1499">
        <f t="shared" si="192"/>
        <v>38</v>
      </c>
      <c r="B1452" s="1539" t="str">
        <f t="shared" si="192"/>
        <v>Asset Recived From Civil-U#8-CHP-Stacker Reclaimer -10515</v>
      </c>
      <c r="C1452" s="1491" t="str">
        <f t="shared" si="192"/>
        <v>N.A.</v>
      </c>
      <c r="D1452" s="1531" t="str">
        <f t="shared" si="192"/>
        <v>-</v>
      </c>
      <c r="E1452" s="1318">
        <f t="shared" si="192"/>
        <v>0</v>
      </c>
      <c r="F1452" s="1437">
        <f t="shared" si="194"/>
        <v>2.8485300000000001E-4</v>
      </c>
      <c r="G1452" s="1437">
        <f t="shared" si="195"/>
        <v>0</v>
      </c>
      <c r="H1452" s="1437">
        <f t="shared" si="196"/>
        <v>2.8485300000000001E-4</v>
      </c>
      <c r="I1452" s="1437">
        <v>0</v>
      </c>
      <c r="J1452" s="1437">
        <v>0</v>
      </c>
      <c r="K1452" s="1438"/>
      <c r="L1452" s="1438"/>
      <c r="M1452" s="1437">
        <f t="shared" si="193"/>
        <v>0</v>
      </c>
      <c r="N1452" s="1437">
        <f t="shared" si="197"/>
        <v>2.8485300000000001E-4</v>
      </c>
    </row>
    <row r="1453" spans="1:14" outlineLevel="1">
      <c r="A1453" s="1499">
        <f t="shared" si="192"/>
        <v>39</v>
      </c>
      <c r="B1453" s="1539" t="str">
        <f t="shared" si="192"/>
        <v>Asset Recived From Civil-U#8-CHP-Stock Yard-10515</v>
      </c>
      <c r="C1453" s="1491" t="str">
        <f t="shared" si="192"/>
        <v>N.A.</v>
      </c>
      <c r="D1453" s="1531" t="str">
        <f t="shared" si="192"/>
        <v>-</v>
      </c>
      <c r="E1453" s="1318">
        <f t="shared" si="192"/>
        <v>0</v>
      </c>
      <c r="F1453" s="1437">
        <f t="shared" si="194"/>
        <v>1.5851400000000001E-4</v>
      </c>
      <c r="G1453" s="1437">
        <f t="shared" si="195"/>
        <v>0</v>
      </c>
      <c r="H1453" s="1437">
        <f t="shared" si="196"/>
        <v>1.5851400000000001E-4</v>
      </c>
      <c r="I1453" s="1437">
        <v>0</v>
      </c>
      <c r="J1453" s="1437">
        <v>0</v>
      </c>
      <c r="K1453" s="1438"/>
      <c r="L1453" s="1438"/>
      <c r="M1453" s="1437">
        <f t="shared" si="193"/>
        <v>0</v>
      </c>
      <c r="N1453" s="1437">
        <f t="shared" si="197"/>
        <v>1.5851400000000001E-4</v>
      </c>
    </row>
    <row r="1454" spans="1:14" ht="29" outlineLevel="1">
      <c r="A1454" s="1499">
        <f t="shared" si="192"/>
        <v>40</v>
      </c>
      <c r="B1454" s="1539" t="str">
        <f t="shared" si="192"/>
        <v>Asset Recived From Civil-U#8-CHP-ConveyorPedetals&amp;TransferPoint-10515</v>
      </c>
      <c r="C1454" s="1491" t="str">
        <f t="shared" si="192"/>
        <v>N.A.</v>
      </c>
      <c r="D1454" s="1531" t="str">
        <f t="shared" si="192"/>
        <v>-</v>
      </c>
      <c r="E1454" s="1318">
        <f t="shared" si="192"/>
        <v>0</v>
      </c>
      <c r="F1454" s="1437">
        <f t="shared" si="194"/>
        <v>5.5407899999999996E-4</v>
      </c>
      <c r="G1454" s="1437">
        <f t="shared" si="195"/>
        <v>0</v>
      </c>
      <c r="H1454" s="1437">
        <f t="shared" si="196"/>
        <v>5.5407899999999996E-4</v>
      </c>
      <c r="I1454" s="1437">
        <v>0</v>
      </c>
      <c r="J1454" s="1437">
        <v>0</v>
      </c>
      <c r="K1454" s="1438"/>
      <c r="L1454" s="1438"/>
      <c r="M1454" s="1437">
        <f t="shared" si="193"/>
        <v>0</v>
      </c>
      <c r="N1454" s="1437">
        <f t="shared" si="197"/>
        <v>5.5407899999999996E-4</v>
      </c>
    </row>
    <row r="1455" spans="1:14" outlineLevel="1">
      <c r="A1455" s="1499">
        <f t="shared" si="192"/>
        <v>41</v>
      </c>
      <c r="B1455" s="1539" t="str">
        <f t="shared" si="192"/>
        <v>Asset Recived From Civil-U#8-CHP-MCC ROOM -10515</v>
      </c>
      <c r="C1455" s="1491" t="str">
        <f t="shared" si="192"/>
        <v>N.A.</v>
      </c>
      <c r="D1455" s="1531" t="str">
        <f t="shared" si="192"/>
        <v>-</v>
      </c>
      <c r="E1455" s="1318">
        <f t="shared" si="192"/>
        <v>0</v>
      </c>
      <c r="F1455" s="1437">
        <f t="shared" si="194"/>
        <v>2.6945000000000002E-4</v>
      </c>
      <c r="G1455" s="1437">
        <f t="shared" si="195"/>
        <v>0</v>
      </c>
      <c r="H1455" s="1437">
        <f t="shared" si="196"/>
        <v>2.6945000000000002E-4</v>
      </c>
      <c r="I1455" s="1437">
        <v>0</v>
      </c>
      <c r="J1455" s="1437">
        <v>0</v>
      </c>
      <c r="K1455" s="1438"/>
      <c r="L1455" s="1438"/>
      <c r="M1455" s="1437">
        <f t="shared" si="193"/>
        <v>0</v>
      </c>
      <c r="N1455" s="1437">
        <f t="shared" si="197"/>
        <v>2.6945000000000002E-4</v>
      </c>
    </row>
    <row r="1456" spans="1:14" outlineLevel="1">
      <c r="A1456" s="1499">
        <f t="shared" si="192"/>
        <v>42</v>
      </c>
      <c r="B1456" s="1539" t="str">
        <f t="shared" si="192"/>
        <v>Asset Recived From Civil-U#8-AHP-RCC Ash Silo -10501</v>
      </c>
      <c r="C1456" s="1491" t="str">
        <f t="shared" si="192"/>
        <v>N.A.</v>
      </c>
      <c r="D1456" s="1531" t="str">
        <f t="shared" si="192"/>
        <v>-</v>
      </c>
      <c r="E1456" s="1318">
        <f t="shared" si="192"/>
        <v>0</v>
      </c>
      <c r="F1456" s="1437">
        <f t="shared" si="194"/>
        <v>1.64229E-4</v>
      </c>
      <c r="G1456" s="1437">
        <f t="shared" si="195"/>
        <v>0</v>
      </c>
      <c r="H1456" s="1437">
        <f t="shared" si="196"/>
        <v>1.64229E-4</v>
      </c>
      <c r="I1456" s="1437">
        <v>0</v>
      </c>
      <c r="J1456" s="1437">
        <v>0</v>
      </c>
      <c r="K1456" s="1438"/>
      <c r="L1456" s="1438"/>
      <c r="M1456" s="1437">
        <f t="shared" si="193"/>
        <v>0</v>
      </c>
      <c r="N1456" s="1437">
        <f t="shared" si="197"/>
        <v>1.64229E-4</v>
      </c>
    </row>
    <row r="1457" spans="1:14" outlineLevel="1">
      <c r="A1457" s="1499">
        <f t="shared" si="192"/>
        <v>43</v>
      </c>
      <c r="B1457" s="1539" t="str">
        <f t="shared" si="192"/>
        <v>Asset Recived From Civil-U#8-AHP-Staicase near Silo-10501</v>
      </c>
      <c r="C1457" s="1491" t="str">
        <f t="shared" si="192"/>
        <v>N.A.</v>
      </c>
      <c r="D1457" s="1531" t="str">
        <f t="shared" si="192"/>
        <v>-</v>
      </c>
      <c r="E1457" s="1318">
        <f t="shared" si="192"/>
        <v>0</v>
      </c>
      <c r="F1457" s="1437">
        <f t="shared" si="194"/>
        <v>1.7302000000000001E-5</v>
      </c>
      <c r="G1457" s="1437">
        <f t="shared" si="195"/>
        <v>0</v>
      </c>
      <c r="H1457" s="1437">
        <f t="shared" si="196"/>
        <v>1.7302000000000001E-5</v>
      </c>
      <c r="I1457" s="1437">
        <v>0</v>
      </c>
      <c r="J1457" s="1437">
        <v>0</v>
      </c>
      <c r="K1457" s="1438"/>
      <c r="L1457" s="1438"/>
      <c r="M1457" s="1437">
        <f t="shared" si="193"/>
        <v>0</v>
      </c>
      <c r="N1457" s="1437">
        <f t="shared" si="197"/>
        <v>1.7302000000000001E-5</v>
      </c>
    </row>
    <row r="1458" spans="1:14" outlineLevel="1">
      <c r="A1458" s="1499">
        <f t="shared" si="192"/>
        <v>44</v>
      </c>
      <c r="B1458" s="1539" t="str">
        <f t="shared" si="192"/>
        <v>Asset Recived From Civil-U#8-AHP-Drain sump in Silo Area -10501</v>
      </c>
      <c r="C1458" s="1491" t="str">
        <f t="shared" si="192"/>
        <v>N.A.</v>
      </c>
      <c r="D1458" s="1531" t="str">
        <f t="shared" si="192"/>
        <v>-</v>
      </c>
      <c r="E1458" s="1318">
        <f t="shared" si="192"/>
        <v>0</v>
      </c>
      <c r="F1458" s="1437">
        <f t="shared" si="194"/>
        <v>8.551E-6</v>
      </c>
      <c r="G1458" s="1437">
        <f t="shared" si="195"/>
        <v>0</v>
      </c>
      <c r="H1458" s="1437">
        <f t="shared" si="196"/>
        <v>8.551E-6</v>
      </c>
      <c r="I1458" s="1437">
        <v>0</v>
      </c>
      <c r="J1458" s="1437">
        <v>0</v>
      </c>
      <c r="K1458" s="1438"/>
      <c r="L1458" s="1438"/>
      <c r="M1458" s="1437">
        <f t="shared" si="193"/>
        <v>0</v>
      </c>
      <c r="N1458" s="1437">
        <f t="shared" si="197"/>
        <v>8.551E-6</v>
      </c>
    </row>
    <row r="1459" spans="1:14" outlineLevel="1">
      <c r="A1459" s="1499">
        <f t="shared" ref="A1459:E1474" si="198">A1066</f>
        <v>45</v>
      </c>
      <c r="B1459" s="1539" t="str">
        <f t="shared" si="198"/>
        <v>Asset Recived From Civil-U#8-AHP-Slurry Mixing Tank Fdn.-10501</v>
      </c>
      <c r="C1459" s="1491" t="str">
        <f t="shared" si="198"/>
        <v>N.A.</v>
      </c>
      <c r="D1459" s="1531" t="str">
        <f t="shared" si="198"/>
        <v>-</v>
      </c>
      <c r="E1459" s="1318">
        <f t="shared" si="198"/>
        <v>0</v>
      </c>
      <c r="F1459" s="1437">
        <f t="shared" si="194"/>
        <v>1.6923E-5</v>
      </c>
      <c r="G1459" s="1437">
        <f t="shared" si="195"/>
        <v>0</v>
      </c>
      <c r="H1459" s="1437">
        <f t="shared" si="196"/>
        <v>1.6923E-5</v>
      </c>
      <c r="I1459" s="1437">
        <v>0</v>
      </c>
      <c r="J1459" s="1437">
        <v>0</v>
      </c>
      <c r="K1459" s="1438"/>
      <c r="L1459" s="1438"/>
      <c r="M1459" s="1437">
        <f t="shared" si="193"/>
        <v>0</v>
      </c>
      <c r="N1459" s="1437">
        <f t="shared" si="197"/>
        <v>1.6923E-5</v>
      </c>
    </row>
    <row r="1460" spans="1:14" outlineLevel="1">
      <c r="A1460" s="1499">
        <f t="shared" si="198"/>
        <v>46</v>
      </c>
      <c r="B1460" s="1539" t="str">
        <f t="shared" si="198"/>
        <v>Asset Recived From Civil-U#8-AHP-HCSD PUMP HOUSE-10501</v>
      </c>
      <c r="C1460" s="1491" t="str">
        <f t="shared" si="198"/>
        <v>N.A.</v>
      </c>
      <c r="D1460" s="1531" t="str">
        <f t="shared" si="198"/>
        <v>-</v>
      </c>
      <c r="E1460" s="1318">
        <f t="shared" si="198"/>
        <v>0</v>
      </c>
      <c r="F1460" s="1437">
        <f t="shared" si="194"/>
        <v>5.8934000000000002E-5</v>
      </c>
      <c r="G1460" s="1437">
        <f t="shared" si="195"/>
        <v>0</v>
      </c>
      <c r="H1460" s="1437">
        <f t="shared" si="196"/>
        <v>5.8934000000000002E-5</v>
      </c>
      <c r="I1460" s="1437">
        <v>0</v>
      </c>
      <c r="J1460" s="1437">
        <v>0</v>
      </c>
      <c r="K1460" s="1438"/>
      <c r="L1460" s="1438"/>
      <c r="M1460" s="1437">
        <f t="shared" si="193"/>
        <v>0</v>
      </c>
      <c r="N1460" s="1437">
        <f t="shared" si="197"/>
        <v>5.8934000000000002E-5</v>
      </c>
    </row>
    <row r="1461" spans="1:14" outlineLevel="1">
      <c r="A1461" s="1499">
        <f t="shared" si="198"/>
        <v>47</v>
      </c>
      <c r="B1461" s="1539" t="str">
        <f t="shared" si="198"/>
        <v>Asset Recived From Civil-U#8-AHP-Ash Slurry Pump House -10501</v>
      </c>
      <c r="C1461" s="1491" t="str">
        <f t="shared" si="198"/>
        <v>N.A.</v>
      </c>
      <c r="D1461" s="1531" t="str">
        <f t="shared" si="198"/>
        <v>-</v>
      </c>
      <c r="E1461" s="1318">
        <f t="shared" si="198"/>
        <v>0</v>
      </c>
      <c r="F1461" s="1437">
        <f t="shared" si="194"/>
        <v>1.4947300000000001E-4</v>
      </c>
      <c r="G1461" s="1437">
        <f t="shared" si="195"/>
        <v>0</v>
      </c>
      <c r="H1461" s="1437">
        <f t="shared" si="196"/>
        <v>1.4947300000000001E-4</v>
      </c>
      <c r="I1461" s="1437">
        <v>0</v>
      </c>
      <c r="J1461" s="1437">
        <v>0</v>
      </c>
      <c r="K1461" s="1438"/>
      <c r="L1461" s="1438"/>
      <c r="M1461" s="1437">
        <f t="shared" si="193"/>
        <v>0</v>
      </c>
      <c r="N1461" s="1437">
        <f t="shared" si="197"/>
        <v>1.4947300000000001E-4</v>
      </c>
    </row>
    <row r="1462" spans="1:14" outlineLevel="1">
      <c r="A1462" s="1499">
        <f t="shared" si="198"/>
        <v>48</v>
      </c>
      <c r="B1462" s="1539" t="str">
        <f t="shared" si="198"/>
        <v>Asset Recived From Civil-U#8-AHP-Ash Slurry Sump-10501</v>
      </c>
      <c r="C1462" s="1491" t="str">
        <f t="shared" si="198"/>
        <v>N.A.</v>
      </c>
      <c r="D1462" s="1531" t="str">
        <f t="shared" si="198"/>
        <v>-</v>
      </c>
      <c r="E1462" s="1318">
        <f t="shared" si="198"/>
        <v>0</v>
      </c>
      <c r="F1462" s="1437">
        <f t="shared" si="194"/>
        <v>4.5158999999999999E-5</v>
      </c>
      <c r="G1462" s="1437">
        <f t="shared" si="195"/>
        <v>0</v>
      </c>
      <c r="H1462" s="1437">
        <f t="shared" si="196"/>
        <v>4.5158999999999999E-5</v>
      </c>
      <c r="I1462" s="1437">
        <v>0</v>
      </c>
      <c r="J1462" s="1437">
        <v>0</v>
      </c>
      <c r="K1462" s="1438"/>
      <c r="L1462" s="1438"/>
      <c r="M1462" s="1437">
        <f t="shared" si="193"/>
        <v>0</v>
      </c>
      <c r="N1462" s="1437">
        <f t="shared" si="197"/>
        <v>4.5158999999999999E-5</v>
      </c>
    </row>
    <row r="1463" spans="1:14" outlineLevel="1">
      <c r="A1463" s="1499">
        <f t="shared" si="198"/>
        <v>49</v>
      </c>
      <c r="B1463" s="1539" t="str">
        <f t="shared" si="198"/>
        <v>Asset Recived From Civil-U#8-AHP-Ash Water Tank-10501</v>
      </c>
      <c r="C1463" s="1491" t="str">
        <f t="shared" si="198"/>
        <v>N.A.</v>
      </c>
      <c r="D1463" s="1531" t="str">
        <f t="shared" si="198"/>
        <v>-</v>
      </c>
      <c r="E1463" s="1318">
        <f t="shared" si="198"/>
        <v>0</v>
      </c>
      <c r="F1463" s="1437">
        <f t="shared" si="194"/>
        <v>3.4220000000000001E-5</v>
      </c>
      <c r="G1463" s="1437">
        <f t="shared" si="195"/>
        <v>0</v>
      </c>
      <c r="H1463" s="1437">
        <f t="shared" si="196"/>
        <v>3.4220000000000001E-5</v>
      </c>
      <c r="I1463" s="1437">
        <v>0</v>
      </c>
      <c r="J1463" s="1437">
        <v>0</v>
      </c>
      <c r="K1463" s="1438"/>
      <c r="L1463" s="1438"/>
      <c r="M1463" s="1437">
        <f t="shared" si="193"/>
        <v>0</v>
      </c>
      <c r="N1463" s="1437">
        <f t="shared" si="197"/>
        <v>3.4220000000000001E-5</v>
      </c>
    </row>
    <row r="1464" spans="1:14" outlineLevel="1">
      <c r="A1464" s="1499">
        <f t="shared" si="198"/>
        <v>50</v>
      </c>
      <c r="B1464" s="1539" t="str">
        <f t="shared" si="198"/>
        <v>Asset Recived From Civil-U#8-AHP-Bottom Ash Hopper-10501</v>
      </c>
      <c r="C1464" s="1491" t="str">
        <f t="shared" si="198"/>
        <v>N.A.</v>
      </c>
      <c r="D1464" s="1531" t="str">
        <f t="shared" si="198"/>
        <v>-</v>
      </c>
      <c r="E1464" s="1318">
        <f t="shared" si="198"/>
        <v>0</v>
      </c>
      <c r="F1464" s="1437">
        <f t="shared" si="194"/>
        <v>4.409E-5</v>
      </c>
      <c r="G1464" s="1437">
        <f t="shared" si="195"/>
        <v>0</v>
      </c>
      <c r="H1464" s="1437">
        <f t="shared" si="196"/>
        <v>4.409E-5</v>
      </c>
      <c r="I1464" s="1437">
        <v>0</v>
      </c>
      <c r="J1464" s="1437">
        <v>0</v>
      </c>
      <c r="K1464" s="1438"/>
      <c r="L1464" s="1438"/>
      <c r="M1464" s="1437">
        <f t="shared" si="193"/>
        <v>0</v>
      </c>
      <c r="N1464" s="1437">
        <f t="shared" si="197"/>
        <v>4.409E-5</v>
      </c>
    </row>
    <row r="1465" spans="1:14" outlineLevel="1">
      <c r="A1465" s="1499">
        <f t="shared" si="198"/>
        <v>51</v>
      </c>
      <c r="B1465" s="1539" t="str">
        <f t="shared" si="198"/>
        <v>Asset Recived From Civil-U#8-AHP-Drain sump in BAH Area -10501</v>
      </c>
      <c r="C1465" s="1491" t="str">
        <f t="shared" si="198"/>
        <v>N.A.</v>
      </c>
      <c r="D1465" s="1531" t="str">
        <f t="shared" si="198"/>
        <v>-</v>
      </c>
      <c r="E1465" s="1318">
        <f t="shared" si="198"/>
        <v>0</v>
      </c>
      <c r="F1465" s="1437">
        <f t="shared" si="194"/>
        <v>8.5750000000000001E-6</v>
      </c>
      <c r="G1465" s="1437">
        <f t="shared" si="195"/>
        <v>0</v>
      </c>
      <c r="H1465" s="1437">
        <f t="shared" si="196"/>
        <v>8.5750000000000001E-6</v>
      </c>
      <c r="I1465" s="1437">
        <v>0</v>
      </c>
      <c r="J1465" s="1437">
        <v>0</v>
      </c>
      <c r="K1465" s="1438"/>
      <c r="L1465" s="1438"/>
      <c r="M1465" s="1437">
        <f t="shared" si="193"/>
        <v>0</v>
      </c>
      <c r="N1465" s="1437">
        <f t="shared" si="197"/>
        <v>8.5750000000000001E-6</v>
      </c>
    </row>
    <row r="1466" spans="1:14" ht="29" outlineLevel="1">
      <c r="A1466" s="1499">
        <f t="shared" si="198"/>
        <v>52</v>
      </c>
      <c r="B1466" s="1539" t="str">
        <f t="shared" si="198"/>
        <v>Asset Recived From Civil-U#8-Ash Slurry Pipe Line AHP-Pedestals-10501</v>
      </c>
      <c r="C1466" s="1491" t="str">
        <f t="shared" si="198"/>
        <v>N.A.</v>
      </c>
      <c r="D1466" s="1531" t="str">
        <f t="shared" si="198"/>
        <v>-</v>
      </c>
      <c r="E1466" s="1318">
        <f t="shared" si="198"/>
        <v>0</v>
      </c>
      <c r="F1466" s="1437">
        <f t="shared" si="194"/>
        <v>1.38462E-4</v>
      </c>
      <c r="G1466" s="1437">
        <f t="shared" si="195"/>
        <v>0</v>
      </c>
      <c r="H1466" s="1437">
        <f t="shared" si="196"/>
        <v>1.38462E-4</v>
      </c>
      <c r="I1466" s="1437">
        <v>0</v>
      </c>
      <c r="J1466" s="1437">
        <v>0</v>
      </c>
      <c r="K1466" s="1438"/>
      <c r="L1466" s="1438"/>
      <c r="M1466" s="1437">
        <f t="shared" si="193"/>
        <v>0</v>
      </c>
      <c r="N1466" s="1437">
        <f t="shared" si="197"/>
        <v>1.38462E-4</v>
      </c>
    </row>
    <row r="1467" spans="1:14" outlineLevel="1">
      <c r="A1467" s="1499">
        <f t="shared" si="198"/>
        <v>53</v>
      </c>
      <c r="B1467" s="1539" t="str">
        <f t="shared" si="198"/>
        <v>Asset Recived From Civil-U#8-AHP-Buffer Hopper Foundation-10501</v>
      </c>
      <c r="C1467" s="1491" t="str">
        <f t="shared" si="198"/>
        <v>N.A.</v>
      </c>
      <c r="D1467" s="1531" t="str">
        <f t="shared" si="198"/>
        <v>-</v>
      </c>
      <c r="E1467" s="1318">
        <f t="shared" si="198"/>
        <v>0</v>
      </c>
      <c r="F1467" s="1437">
        <f t="shared" si="194"/>
        <v>3.5627999999999998E-5</v>
      </c>
      <c r="G1467" s="1437">
        <f t="shared" si="195"/>
        <v>0</v>
      </c>
      <c r="H1467" s="1437">
        <f t="shared" si="196"/>
        <v>3.5627999999999998E-5</v>
      </c>
      <c r="I1467" s="1437">
        <v>0</v>
      </c>
      <c r="J1467" s="1437">
        <v>0</v>
      </c>
      <c r="K1467" s="1438"/>
      <c r="L1467" s="1438"/>
      <c r="M1467" s="1437">
        <f t="shared" si="193"/>
        <v>0</v>
      </c>
      <c r="N1467" s="1437">
        <f t="shared" si="197"/>
        <v>3.5627999999999998E-5</v>
      </c>
    </row>
    <row r="1468" spans="1:14" ht="29" outlineLevel="1">
      <c r="A1468" s="1499">
        <f t="shared" si="198"/>
        <v>54</v>
      </c>
      <c r="B1468" s="1539" t="str">
        <f t="shared" si="198"/>
        <v>Asset Recived From Civil-U#8-AHP-Mill reject hopper foundation-10501</v>
      </c>
      <c r="C1468" s="1491" t="str">
        <f t="shared" si="198"/>
        <v>N.A.</v>
      </c>
      <c r="D1468" s="1531" t="str">
        <f t="shared" si="198"/>
        <v>-</v>
      </c>
      <c r="E1468" s="1318">
        <f t="shared" si="198"/>
        <v>0</v>
      </c>
      <c r="F1468" s="1437">
        <f t="shared" si="194"/>
        <v>1.7813999999999999E-5</v>
      </c>
      <c r="G1468" s="1437">
        <f t="shared" si="195"/>
        <v>0</v>
      </c>
      <c r="H1468" s="1437">
        <f t="shared" si="196"/>
        <v>1.7813999999999999E-5</v>
      </c>
      <c r="I1468" s="1437">
        <v>0</v>
      </c>
      <c r="J1468" s="1437">
        <v>0</v>
      </c>
      <c r="K1468" s="1438"/>
      <c r="L1468" s="1438"/>
      <c r="M1468" s="1437">
        <f t="shared" si="193"/>
        <v>0</v>
      </c>
      <c r="N1468" s="1437">
        <f t="shared" si="197"/>
        <v>1.7813999999999999E-5</v>
      </c>
    </row>
    <row r="1469" spans="1:14" outlineLevel="1">
      <c r="A1469" s="1499">
        <f t="shared" si="198"/>
        <v>55</v>
      </c>
      <c r="B1469" s="1539" t="str">
        <f t="shared" si="198"/>
        <v>Asset Recived From Civil-U#8-FHP-Fuel Oil pump house-10516</v>
      </c>
      <c r="C1469" s="1491" t="str">
        <f t="shared" si="198"/>
        <v>N.A.</v>
      </c>
      <c r="D1469" s="1531" t="str">
        <f t="shared" si="198"/>
        <v>-</v>
      </c>
      <c r="E1469" s="1318">
        <f t="shared" si="198"/>
        <v>0</v>
      </c>
      <c r="F1469" s="1437">
        <f t="shared" si="194"/>
        <v>6.5769099999999996E-4</v>
      </c>
      <c r="G1469" s="1437">
        <f t="shared" si="195"/>
        <v>0</v>
      </c>
      <c r="H1469" s="1437">
        <f t="shared" si="196"/>
        <v>6.5769099999999996E-4</v>
      </c>
      <c r="I1469" s="1437">
        <v>0</v>
      </c>
      <c r="J1469" s="1437">
        <v>0</v>
      </c>
      <c r="K1469" s="1438"/>
      <c r="L1469" s="1438"/>
      <c r="M1469" s="1437">
        <f t="shared" si="193"/>
        <v>0</v>
      </c>
      <c r="N1469" s="1437">
        <f t="shared" si="197"/>
        <v>6.5769099999999996E-4</v>
      </c>
    </row>
    <row r="1470" spans="1:14" outlineLevel="1">
      <c r="A1470" s="1499">
        <f t="shared" si="198"/>
        <v>56</v>
      </c>
      <c r="B1470" s="1539" t="str">
        <f t="shared" si="198"/>
        <v>Asset Recived From Civil-U#8-FHP-DYKE AREA -10516</v>
      </c>
      <c r="C1470" s="1491" t="str">
        <f t="shared" si="198"/>
        <v>N.A.</v>
      </c>
      <c r="D1470" s="1531" t="str">
        <f t="shared" si="198"/>
        <v>-</v>
      </c>
      <c r="E1470" s="1318">
        <f t="shared" si="198"/>
        <v>0</v>
      </c>
      <c r="F1470" s="1437">
        <f t="shared" si="194"/>
        <v>1.9338999999999999E-5</v>
      </c>
      <c r="G1470" s="1437">
        <f t="shared" si="195"/>
        <v>0</v>
      </c>
      <c r="H1470" s="1437">
        <f t="shared" si="196"/>
        <v>1.9338999999999999E-5</v>
      </c>
      <c r="I1470" s="1437">
        <v>0</v>
      </c>
      <c r="J1470" s="1437">
        <v>0</v>
      </c>
      <c r="K1470" s="1438"/>
      <c r="L1470" s="1438"/>
      <c r="M1470" s="1437">
        <f t="shared" si="193"/>
        <v>0</v>
      </c>
      <c r="N1470" s="1437">
        <f t="shared" si="197"/>
        <v>1.9338999999999999E-5</v>
      </c>
    </row>
    <row r="1471" spans="1:14" outlineLevel="1">
      <c r="A1471" s="1499">
        <f t="shared" si="198"/>
        <v>57</v>
      </c>
      <c r="B1471" s="1539" t="str">
        <f t="shared" si="198"/>
        <v>Asset Recived From Civil-U#8-Effulent Treatment Plant -10509</v>
      </c>
      <c r="C1471" s="1491" t="str">
        <f t="shared" si="198"/>
        <v>N.A.</v>
      </c>
      <c r="D1471" s="1531" t="str">
        <f t="shared" si="198"/>
        <v>-</v>
      </c>
      <c r="E1471" s="1318">
        <f t="shared" si="198"/>
        <v>0</v>
      </c>
      <c r="F1471" s="1437">
        <f t="shared" si="194"/>
        <v>1.4134799999999999E-4</v>
      </c>
      <c r="G1471" s="1437">
        <f t="shared" si="195"/>
        <v>0</v>
      </c>
      <c r="H1471" s="1437">
        <f t="shared" si="196"/>
        <v>1.4134799999999999E-4</v>
      </c>
      <c r="I1471" s="1437">
        <v>0</v>
      </c>
      <c r="J1471" s="1437">
        <v>0</v>
      </c>
      <c r="K1471" s="1438"/>
      <c r="L1471" s="1438"/>
      <c r="M1471" s="1437">
        <f t="shared" si="193"/>
        <v>0</v>
      </c>
      <c r="N1471" s="1437">
        <f t="shared" si="197"/>
        <v>1.4134799999999999E-4</v>
      </c>
    </row>
    <row r="1472" spans="1:14" outlineLevel="1">
      <c r="A1472" s="1499">
        <f t="shared" si="198"/>
        <v>58</v>
      </c>
      <c r="B1472" s="1539" t="str">
        <f t="shared" si="198"/>
        <v>Asset Recived From Project-U#8-Boiler Pressure parts-10501</v>
      </c>
      <c r="C1472" s="1491" t="str">
        <f t="shared" si="198"/>
        <v>N.A.</v>
      </c>
      <c r="D1472" s="1531" t="str">
        <f t="shared" si="198"/>
        <v>-</v>
      </c>
      <c r="E1472" s="1318">
        <f t="shared" si="198"/>
        <v>0</v>
      </c>
      <c r="F1472" s="1437">
        <f t="shared" si="194"/>
        <v>6.5490000000000007E-2</v>
      </c>
      <c r="G1472" s="1437">
        <f t="shared" si="195"/>
        <v>0</v>
      </c>
      <c r="H1472" s="1437">
        <f t="shared" si="196"/>
        <v>6.5490000000000007E-2</v>
      </c>
      <c r="I1472" s="1437">
        <v>0</v>
      </c>
      <c r="J1472" s="1437">
        <v>0</v>
      </c>
      <c r="K1472" s="1438"/>
      <c r="L1472" s="1438"/>
      <c r="M1472" s="1437">
        <f t="shared" si="193"/>
        <v>0</v>
      </c>
      <c r="N1472" s="1437">
        <f t="shared" si="197"/>
        <v>6.5490000000000007E-2</v>
      </c>
    </row>
    <row r="1473" spans="1:14" outlineLevel="1">
      <c r="A1473" s="1499">
        <f t="shared" si="198"/>
        <v>59</v>
      </c>
      <c r="B1473" s="1539" t="str">
        <f t="shared" si="198"/>
        <v>Asset Recived From Project-U#8-Mandatory Spares from BHEL–Trichy</v>
      </c>
      <c r="C1473" s="1491" t="str">
        <f t="shared" si="198"/>
        <v>N.A.</v>
      </c>
      <c r="D1473" s="1531" t="str">
        <f t="shared" si="198"/>
        <v>-</v>
      </c>
      <c r="E1473" s="1318">
        <f t="shared" si="198"/>
        <v>0</v>
      </c>
      <c r="F1473" s="1437">
        <f t="shared" si="194"/>
        <v>7.4618999999999996E-3</v>
      </c>
      <c r="G1473" s="1437">
        <f t="shared" si="195"/>
        <v>0</v>
      </c>
      <c r="H1473" s="1437">
        <f t="shared" si="196"/>
        <v>7.4618999999999996E-3</v>
      </c>
      <c r="I1473" s="1437">
        <v>0</v>
      </c>
      <c r="J1473" s="1437">
        <v>0</v>
      </c>
      <c r="K1473" s="1438"/>
      <c r="L1473" s="1438"/>
      <c r="M1473" s="1437">
        <f t="shared" si="193"/>
        <v>0</v>
      </c>
      <c r="N1473" s="1437">
        <f t="shared" si="197"/>
        <v>7.4618999999999996E-3</v>
      </c>
    </row>
    <row r="1474" spans="1:14" outlineLevel="1">
      <c r="A1474" s="1499">
        <f t="shared" si="198"/>
        <v>60</v>
      </c>
      <c r="B1474" s="1539" t="str">
        <f t="shared" si="198"/>
        <v>Asset Recived From Civil-U#8-Coal mill reject trench at coal mill D&amp;E</v>
      </c>
      <c r="C1474" s="1491" t="str">
        <f t="shared" si="198"/>
        <v>N.A.</v>
      </c>
      <c r="D1474" s="1531" t="str">
        <f t="shared" si="198"/>
        <v>-</v>
      </c>
      <c r="E1474" s="1318">
        <f t="shared" si="198"/>
        <v>0</v>
      </c>
      <c r="F1474" s="1437">
        <f t="shared" si="194"/>
        <v>4.6610299000000001E-2</v>
      </c>
      <c r="G1474" s="1437">
        <f t="shared" si="195"/>
        <v>0</v>
      </c>
      <c r="H1474" s="1437">
        <f t="shared" si="196"/>
        <v>4.6610299000000001E-2</v>
      </c>
      <c r="I1474" s="1437">
        <v>0</v>
      </c>
      <c r="J1474" s="1437">
        <v>0</v>
      </c>
      <c r="K1474" s="1438"/>
      <c r="L1474" s="1438"/>
      <c r="M1474" s="1437">
        <f t="shared" si="193"/>
        <v>0</v>
      </c>
      <c r="N1474" s="1437">
        <f t="shared" si="197"/>
        <v>4.6610299000000001E-2</v>
      </c>
    </row>
    <row r="1475" spans="1:14" ht="29" outlineLevel="1">
      <c r="A1475" s="1499">
        <f t="shared" ref="A1475:E1490" si="199">A1082</f>
        <v>61</v>
      </c>
      <c r="B1475" s="1539" t="str">
        <f t="shared" si="199"/>
        <v>Asset Recived From Project-U#8-Canteen Equipments &amp; kitchen Utensils</v>
      </c>
      <c r="C1475" s="1491" t="str">
        <f t="shared" si="199"/>
        <v>N.A.</v>
      </c>
      <c r="D1475" s="1531" t="str">
        <f t="shared" si="199"/>
        <v>-</v>
      </c>
      <c r="E1475" s="1318">
        <f t="shared" si="199"/>
        <v>0</v>
      </c>
      <c r="F1475" s="1437">
        <f t="shared" si="194"/>
        <v>0.21887515400000002</v>
      </c>
      <c r="G1475" s="1437">
        <f t="shared" si="195"/>
        <v>0</v>
      </c>
      <c r="H1475" s="1437">
        <f t="shared" si="196"/>
        <v>0.21887515400000002</v>
      </c>
      <c r="I1475" s="1437">
        <v>0</v>
      </c>
      <c r="J1475" s="1437">
        <v>0</v>
      </c>
      <c r="K1475" s="1438"/>
      <c r="L1475" s="1438"/>
      <c r="M1475" s="1437">
        <f t="shared" si="193"/>
        <v>0</v>
      </c>
      <c r="N1475" s="1437">
        <f t="shared" si="197"/>
        <v>0.21887515400000002</v>
      </c>
    </row>
    <row r="1476" spans="1:14" ht="29" outlineLevel="1">
      <c r="A1476" s="1499">
        <f t="shared" si="199"/>
        <v>62</v>
      </c>
      <c r="B1476" s="1539" t="str">
        <f t="shared" si="199"/>
        <v>Asset Recived From Project-U#8-Supply &amp; Erection of ACW system-10310</v>
      </c>
      <c r="C1476" s="1491" t="str">
        <f t="shared" si="199"/>
        <v>N.A.</v>
      </c>
      <c r="D1476" s="1531" t="str">
        <f t="shared" si="199"/>
        <v>-</v>
      </c>
      <c r="E1476" s="1318">
        <f t="shared" si="199"/>
        <v>0</v>
      </c>
      <c r="F1476" s="1437">
        <f t="shared" si="194"/>
        <v>8.3684199999999997E-4</v>
      </c>
      <c r="G1476" s="1437">
        <f t="shared" si="195"/>
        <v>0</v>
      </c>
      <c r="H1476" s="1437">
        <f t="shared" si="196"/>
        <v>8.3684199999999997E-4</v>
      </c>
      <c r="I1476" s="1437">
        <v>0</v>
      </c>
      <c r="J1476" s="1437">
        <v>0</v>
      </c>
      <c r="K1476" s="1438"/>
      <c r="L1476" s="1438"/>
      <c r="M1476" s="1437">
        <f t="shared" si="193"/>
        <v>0</v>
      </c>
      <c r="N1476" s="1437">
        <f t="shared" si="197"/>
        <v>8.3684199999999997E-4</v>
      </c>
    </row>
    <row r="1477" spans="1:14" ht="29" outlineLevel="1">
      <c r="A1477" s="1499">
        <f t="shared" si="199"/>
        <v>63</v>
      </c>
      <c r="B1477" s="1539" t="str">
        <f t="shared" si="199"/>
        <v>Asset Recived From Project-U#8-SUPPLY &amp; ERECTION OF CCW SYSTEM-10310</v>
      </c>
      <c r="C1477" s="1491" t="str">
        <f t="shared" si="199"/>
        <v>N.A.</v>
      </c>
      <c r="D1477" s="1531" t="str">
        <f t="shared" si="199"/>
        <v>-</v>
      </c>
      <c r="E1477" s="1318">
        <f t="shared" si="199"/>
        <v>0</v>
      </c>
      <c r="F1477" s="1437">
        <f t="shared" si="194"/>
        <v>4.8560299999999999E-3</v>
      </c>
      <c r="G1477" s="1437">
        <f t="shared" si="195"/>
        <v>0</v>
      </c>
      <c r="H1477" s="1437">
        <f t="shared" si="196"/>
        <v>4.8560299999999999E-3</v>
      </c>
      <c r="I1477" s="1437">
        <v>0</v>
      </c>
      <c r="J1477" s="1437">
        <v>0</v>
      </c>
      <c r="K1477" s="1438"/>
      <c r="L1477" s="1438"/>
      <c r="M1477" s="1437">
        <f t="shared" si="193"/>
        <v>0</v>
      </c>
      <c r="N1477" s="1437">
        <f t="shared" si="197"/>
        <v>4.8560299999999999E-3</v>
      </c>
    </row>
    <row r="1478" spans="1:14" ht="29" outlineLevel="1">
      <c r="A1478" s="1499">
        <f t="shared" si="199"/>
        <v>64</v>
      </c>
      <c r="B1478" s="1539" t="str">
        <f t="shared" si="199"/>
        <v>Asset Recived From Project-U#8-TG set &amp; its auxilleries-HP/LPFeedWate</v>
      </c>
      <c r="C1478" s="1491" t="str">
        <f t="shared" si="199"/>
        <v>N.A.</v>
      </c>
      <c r="D1478" s="1531" t="str">
        <f t="shared" si="199"/>
        <v>-</v>
      </c>
      <c r="E1478" s="1318">
        <f t="shared" si="199"/>
        <v>0</v>
      </c>
      <c r="F1478" s="1437">
        <f t="shared" si="194"/>
        <v>1.6841648000000001E-2</v>
      </c>
      <c r="G1478" s="1437">
        <f t="shared" si="195"/>
        <v>0</v>
      </c>
      <c r="H1478" s="1437">
        <f t="shared" si="196"/>
        <v>1.6841648000000001E-2</v>
      </c>
      <c r="I1478" s="1437">
        <v>0</v>
      </c>
      <c r="J1478" s="1437">
        <v>0</v>
      </c>
      <c r="K1478" s="1438"/>
      <c r="L1478" s="1438"/>
      <c r="M1478" s="1437">
        <f t="shared" si="193"/>
        <v>0</v>
      </c>
      <c r="N1478" s="1437">
        <f t="shared" si="197"/>
        <v>1.6841648000000001E-2</v>
      </c>
    </row>
    <row r="1479" spans="1:14" outlineLevel="1">
      <c r="A1479" s="1499">
        <f t="shared" si="199"/>
        <v>65</v>
      </c>
      <c r="B1479" s="1539" t="str">
        <f t="shared" si="199"/>
        <v>Asset Recived From Project-U#8-TG set and its auxilleries- Boilerfeed</v>
      </c>
      <c r="C1479" s="1491" t="str">
        <f t="shared" si="199"/>
        <v>N.A.</v>
      </c>
      <c r="D1479" s="1531" t="str">
        <f t="shared" si="199"/>
        <v>-</v>
      </c>
      <c r="E1479" s="1318">
        <f t="shared" si="199"/>
        <v>0</v>
      </c>
      <c r="F1479" s="1437">
        <f t="shared" si="194"/>
        <v>1.8479445000000001E-2</v>
      </c>
      <c r="G1479" s="1437">
        <f t="shared" si="195"/>
        <v>0</v>
      </c>
      <c r="H1479" s="1437">
        <f t="shared" si="196"/>
        <v>1.8479445000000001E-2</v>
      </c>
      <c r="I1479" s="1437">
        <v>0</v>
      </c>
      <c r="J1479" s="1437">
        <v>0</v>
      </c>
      <c r="K1479" s="1438"/>
      <c r="L1479" s="1438"/>
      <c r="M1479" s="1437">
        <f t="shared" si="193"/>
        <v>0</v>
      </c>
      <c r="N1479" s="1437">
        <f t="shared" si="197"/>
        <v>1.8479445000000001E-2</v>
      </c>
    </row>
    <row r="1480" spans="1:14" ht="29" outlineLevel="1">
      <c r="A1480" s="1499">
        <f t="shared" si="199"/>
        <v>66</v>
      </c>
      <c r="B1480" s="1539" t="str">
        <f t="shared" si="199"/>
        <v>Asset Recived From Project-U#8-Air Conditioning-MandatorySpares-10576</v>
      </c>
      <c r="C1480" s="1491" t="str">
        <f t="shared" si="199"/>
        <v>N.A.</v>
      </c>
      <c r="D1480" s="1531" t="str">
        <f t="shared" si="199"/>
        <v>-</v>
      </c>
      <c r="E1480" s="1318">
        <f t="shared" si="199"/>
        <v>0</v>
      </c>
      <c r="F1480" s="1437">
        <f t="shared" si="194"/>
        <v>1.7255999999999999E-5</v>
      </c>
      <c r="G1480" s="1437">
        <f t="shared" si="195"/>
        <v>0</v>
      </c>
      <c r="H1480" s="1437">
        <f t="shared" si="196"/>
        <v>1.7255999999999999E-5</v>
      </c>
      <c r="I1480" s="1437">
        <v>0</v>
      </c>
      <c r="J1480" s="1437">
        <v>0</v>
      </c>
      <c r="K1480" s="1438"/>
      <c r="L1480" s="1438"/>
      <c r="M1480" s="1437">
        <f t="shared" si="193"/>
        <v>0</v>
      </c>
      <c r="N1480" s="1437">
        <f t="shared" si="197"/>
        <v>1.7255999999999999E-5</v>
      </c>
    </row>
    <row r="1481" spans="1:14" outlineLevel="1">
      <c r="A1481" s="1499">
        <f t="shared" si="199"/>
        <v>67</v>
      </c>
      <c r="B1481" s="1539" t="str">
        <f t="shared" si="199"/>
        <v>Asset Recived From Project-U#8-Air Conditioning system-10576</v>
      </c>
      <c r="C1481" s="1491" t="str">
        <f t="shared" si="199"/>
        <v>N.A.</v>
      </c>
      <c r="D1481" s="1531" t="str">
        <f t="shared" si="199"/>
        <v>-</v>
      </c>
      <c r="E1481" s="1318">
        <f t="shared" si="199"/>
        <v>0</v>
      </c>
      <c r="F1481" s="1437">
        <f t="shared" si="194"/>
        <v>1.344619E-3</v>
      </c>
      <c r="G1481" s="1437">
        <f t="shared" si="195"/>
        <v>0</v>
      </c>
      <c r="H1481" s="1437">
        <f t="shared" si="196"/>
        <v>1.344619E-3</v>
      </c>
      <c r="I1481" s="1437">
        <v>0</v>
      </c>
      <c r="J1481" s="1437">
        <v>0</v>
      </c>
      <c r="K1481" s="1438"/>
      <c r="L1481" s="1438"/>
      <c r="M1481" s="1437">
        <f t="shared" si="193"/>
        <v>0</v>
      </c>
      <c r="N1481" s="1437">
        <f t="shared" si="197"/>
        <v>1.344619E-3</v>
      </c>
    </row>
    <row r="1482" spans="1:14" outlineLevel="1">
      <c r="A1482" s="1499">
        <f t="shared" si="199"/>
        <v>68</v>
      </c>
      <c r="B1482" s="1539" t="str">
        <f t="shared" si="199"/>
        <v>Asset Recived From Project-U#8-AHP-FLY ASH &amp; HCSD-SYSTEM-10501</v>
      </c>
      <c r="C1482" s="1491" t="str">
        <f t="shared" si="199"/>
        <v>N.A.</v>
      </c>
      <c r="D1482" s="1531" t="str">
        <f t="shared" si="199"/>
        <v>-</v>
      </c>
      <c r="E1482" s="1318">
        <f t="shared" si="199"/>
        <v>0</v>
      </c>
      <c r="F1482" s="1437">
        <f t="shared" si="194"/>
        <v>2.1652109999999998E-3</v>
      </c>
      <c r="G1482" s="1437">
        <f t="shared" si="195"/>
        <v>0</v>
      </c>
      <c r="H1482" s="1437">
        <f t="shared" si="196"/>
        <v>2.1652109999999998E-3</v>
      </c>
      <c r="I1482" s="1437">
        <v>0</v>
      </c>
      <c r="J1482" s="1437">
        <v>0</v>
      </c>
      <c r="K1482" s="1438"/>
      <c r="L1482" s="1438"/>
      <c r="M1482" s="1437">
        <f t="shared" si="193"/>
        <v>0</v>
      </c>
      <c r="N1482" s="1437">
        <f t="shared" si="197"/>
        <v>2.1652109999999998E-3</v>
      </c>
    </row>
    <row r="1483" spans="1:14" ht="29" outlineLevel="1">
      <c r="A1483" s="1499">
        <f t="shared" si="199"/>
        <v>69</v>
      </c>
      <c r="B1483" s="1539" t="str">
        <f t="shared" si="199"/>
        <v>Asset Recived From Project-U#8-AHP-FLYASH&amp;HCSD-SYSTEMBOUGHT OUT-10501</v>
      </c>
      <c r="C1483" s="1491" t="str">
        <f t="shared" si="199"/>
        <v>N.A.</v>
      </c>
      <c r="D1483" s="1531" t="str">
        <f t="shared" si="199"/>
        <v>-</v>
      </c>
      <c r="E1483" s="1318">
        <f t="shared" si="199"/>
        <v>0</v>
      </c>
      <c r="F1483" s="1437">
        <f t="shared" si="194"/>
        <v>7.0969070000000004E-3</v>
      </c>
      <c r="G1483" s="1437">
        <f t="shared" si="195"/>
        <v>0</v>
      </c>
      <c r="H1483" s="1437">
        <f t="shared" si="196"/>
        <v>7.0969070000000004E-3</v>
      </c>
      <c r="I1483" s="1437">
        <v>0</v>
      </c>
      <c r="J1483" s="1437">
        <v>0</v>
      </c>
      <c r="K1483" s="1438"/>
      <c r="L1483" s="1438"/>
      <c r="M1483" s="1437">
        <f t="shared" si="193"/>
        <v>0</v>
      </c>
      <c r="N1483" s="1437">
        <f t="shared" si="197"/>
        <v>7.0969070000000004E-3</v>
      </c>
    </row>
    <row r="1484" spans="1:14" outlineLevel="1">
      <c r="A1484" s="1499">
        <f t="shared" si="199"/>
        <v>70</v>
      </c>
      <c r="B1484" s="1539" t="str">
        <f t="shared" si="199"/>
        <v>Asset Recived From Project-U#8-AHP-BOTTOM ASH SYSTEM-10501</v>
      </c>
      <c r="C1484" s="1491" t="str">
        <f t="shared" si="199"/>
        <v>N.A.</v>
      </c>
      <c r="D1484" s="1531" t="str">
        <f t="shared" si="199"/>
        <v>-</v>
      </c>
      <c r="E1484" s="1318">
        <f t="shared" si="199"/>
        <v>0</v>
      </c>
      <c r="F1484" s="1437">
        <f t="shared" si="194"/>
        <v>1.2125858999999999E-2</v>
      </c>
      <c r="G1484" s="1437">
        <f t="shared" si="195"/>
        <v>0</v>
      </c>
      <c r="H1484" s="1437">
        <f t="shared" si="196"/>
        <v>1.2125858999999999E-2</v>
      </c>
      <c r="I1484" s="1437">
        <v>0</v>
      </c>
      <c r="J1484" s="1437">
        <v>0</v>
      </c>
      <c r="K1484" s="1438"/>
      <c r="L1484" s="1438"/>
      <c r="M1484" s="1437">
        <f t="shared" si="193"/>
        <v>0</v>
      </c>
      <c r="N1484" s="1437">
        <f t="shared" si="197"/>
        <v>1.2125858999999999E-2</v>
      </c>
    </row>
    <row r="1485" spans="1:14" outlineLevel="1">
      <c r="A1485" s="1499">
        <f t="shared" si="199"/>
        <v>71</v>
      </c>
      <c r="B1485" s="1539" t="str">
        <f t="shared" si="199"/>
        <v>Asset Recived From Project-U#8-AHP-ELECTRICAL C &amp; I-10501</v>
      </c>
      <c r="C1485" s="1491" t="str">
        <f t="shared" si="199"/>
        <v>N.A.</v>
      </c>
      <c r="D1485" s="1531" t="str">
        <f t="shared" si="199"/>
        <v>-</v>
      </c>
      <c r="E1485" s="1318">
        <f t="shared" si="199"/>
        <v>0</v>
      </c>
      <c r="F1485" s="1437">
        <f t="shared" si="194"/>
        <v>4.0530039999999998E-3</v>
      </c>
      <c r="G1485" s="1437">
        <f t="shared" si="195"/>
        <v>0</v>
      </c>
      <c r="H1485" s="1437">
        <f t="shared" si="196"/>
        <v>4.0530039999999998E-3</v>
      </c>
      <c r="I1485" s="1437">
        <v>0</v>
      </c>
      <c r="J1485" s="1437">
        <v>0</v>
      </c>
      <c r="K1485" s="1438"/>
      <c r="L1485" s="1438"/>
      <c r="M1485" s="1437">
        <f t="shared" si="193"/>
        <v>0</v>
      </c>
      <c r="N1485" s="1437">
        <f t="shared" si="197"/>
        <v>4.0530039999999998E-3</v>
      </c>
    </row>
    <row r="1486" spans="1:14" outlineLevel="1">
      <c r="A1486" s="1499">
        <f t="shared" si="199"/>
        <v>72</v>
      </c>
      <c r="B1486" s="1539" t="str">
        <f t="shared" si="199"/>
        <v>Asset Recived From Project-U#8-AHP-GEHO PUMP-10501</v>
      </c>
      <c r="C1486" s="1491" t="str">
        <f t="shared" si="199"/>
        <v>N.A.</v>
      </c>
      <c r="D1486" s="1531" t="str">
        <f t="shared" si="199"/>
        <v>-</v>
      </c>
      <c r="E1486" s="1318">
        <f t="shared" si="199"/>
        <v>0</v>
      </c>
      <c r="F1486" s="1437">
        <f t="shared" si="194"/>
        <v>9.5127619999999993E-3</v>
      </c>
      <c r="G1486" s="1437">
        <f t="shared" si="195"/>
        <v>0</v>
      </c>
      <c r="H1486" s="1437">
        <f t="shared" si="196"/>
        <v>9.5127619999999993E-3</v>
      </c>
      <c r="I1486" s="1437">
        <v>0</v>
      </c>
      <c r="J1486" s="1437">
        <v>0</v>
      </c>
      <c r="K1486" s="1438"/>
      <c r="L1486" s="1438"/>
      <c r="M1486" s="1437">
        <f t="shared" si="193"/>
        <v>0</v>
      </c>
      <c r="N1486" s="1437">
        <f t="shared" si="197"/>
        <v>9.5127619999999993E-3</v>
      </c>
    </row>
    <row r="1487" spans="1:14" ht="29" outlineLevel="1">
      <c r="A1487" s="1499">
        <f t="shared" si="199"/>
        <v>73</v>
      </c>
      <c r="B1487" s="1539" t="str">
        <f t="shared" si="199"/>
        <v>Asset Recived FromProject-U#8-Boiler&amp;Aux -Power Cycle Piping-10501</v>
      </c>
      <c r="C1487" s="1491" t="str">
        <f t="shared" si="199"/>
        <v>N.A.</v>
      </c>
      <c r="D1487" s="1531" t="str">
        <f t="shared" si="199"/>
        <v>-</v>
      </c>
      <c r="E1487" s="1318">
        <f t="shared" si="199"/>
        <v>0</v>
      </c>
      <c r="F1487" s="1437">
        <f t="shared" si="194"/>
        <v>4.1004594999999998E-2</v>
      </c>
      <c r="G1487" s="1437">
        <f t="shared" si="195"/>
        <v>0</v>
      </c>
      <c r="H1487" s="1437">
        <f t="shared" si="196"/>
        <v>4.1004594999999998E-2</v>
      </c>
      <c r="I1487" s="1437">
        <v>0</v>
      </c>
      <c r="J1487" s="1437">
        <v>0</v>
      </c>
      <c r="K1487" s="1438"/>
      <c r="L1487" s="1438"/>
      <c r="M1487" s="1437">
        <f t="shared" si="193"/>
        <v>0</v>
      </c>
      <c r="N1487" s="1437">
        <f t="shared" si="197"/>
        <v>4.1004594999999998E-2</v>
      </c>
    </row>
    <row r="1488" spans="1:14" ht="29" outlineLevel="1">
      <c r="A1488" s="1499">
        <f t="shared" si="199"/>
        <v>74</v>
      </c>
      <c r="B1488" s="1539" t="str">
        <f t="shared" si="199"/>
        <v>Asset Recived From Project-U#8-Boiler&amp;Aux-SUIT BLOWER &amp; PIPING-10501</v>
      </c>
      <c r="C1488" s="1491" t="str">
        <f t="shared" si="199"/>
        <v>N.A.</v>
      </c>
      <c r="D1488" s="1531" t="str">
        <f t="shared" si="199"/>
        <v>-</v>
      </c>
      <c r="E1488" s="1318">
        <f t="shared" si="199"/>
        <v>0</v>
      </c>
      <c r="F1488" s="1437">
        <f t="shared" si="194"/>
        <v>8.3837327000000003E-2</v>
      </c>
      <c r="G1488" s="1437">
        <f t="shared" si="195"/>
        <v>0</v>
      </c>
      <c r="H1488" s="1437">
        <f t="shared" si="196"/>
        <v>8.3837327000000003E-2</v>
      </c>
      <c r="I1488" s="1437">
        <v>0</v>
      </c>
      <c r="J1488" s="1437">
        <v>0</v>
      </c>
      <c r="K1488" s="1438"/>
      <c r="L1488" s="1438"/>
      <c r="M1488" s="1437">
        <f t="shared" si="193"/>
        <v>0</v>
      </c>
      <c r="N1488" s="1437">
        <f t="shared" si="197"/>
        <v>8.3837327000000003E-2</v>
      </c>
    </row>
    <row r="1489" spans="1:14" outlineLevel="1">
      <c r="A1489" s="1499">
        <f t="shared" si="199"/>
        <v>75</v>
      </c>
      <c r="B1489" s="1539" t="str">
        <f t="shared" si="199"/>
        <v>Asset Recived From Project-U#8-Boiler &amp; Auxillaries - PA FAN-10501</v>
      </c>
      <c r="C1489" s="1491" t="str">
        <f t="shared" si="199"/>
        <v>N.A.</v>
      </c>
      <c r="D1489" s="1531" t="str">
        <f t="shared" si="199"/>
        <v>-</v>
      </c>
      <c r="E1489" s="1318">
        <f t="shared" si="199"/>
        <v>0</v>
      </c>
      <c r="F1489" s="1437">
        <f t="shared" si="194"/>
        <v>1.022551E-3</v>
      </c>
      <c r="G1489" s="1437">
        <f t="shared" si="195"/>
        <v>0</v>
      </c>
      <c r="H1489" s="1437">
        <f t="shared" si="196"/>
        <v>1.022551E-3</v>
      </c>
      <c r="I1489" s="1437">
        <v>0</v>
      </c>
      <c r="J1489" s="1437">
        <v>0</v>
      </c>
      <c r="K1489" s="1438"/>
      <c r="L1489" s="1438"/>
      <c r="M1489" s="1437">
        <f t="shared" si="193"/>
        <v>0</v>
      </c>
      <c r="N1489" s="1437">
        <f t="shared" si="197"/>
        <v>1.022551E-3</v>
      </c>
    </row>
    <row r="1490" spans="1:14" outlineLevel="1">
      <c r="A1490" s="1499">
        <f t="shared" si="199"/>
        <v>76</v>
      </c>
      <c r="B1490" s="1539" t="str">
        <f t="shared" si="199"/>
        <v>Asset Recived From Project-U#8-Boiler&amp;Aux-Air Preheaters-10501</v>
      </c>
      <c r="C1490" s="1491" t="str">
        <f t="shared" si="199"/>
        <v>N.A.</v>
      </c>
      <c r="D1490" s="1531" t="str">
        <f t="shared" si="199"/>
        <v>-</v>
      </c>
      <c r="E1490" s="1318">
        <f t="shared" si="199"/>
        <v>0</v>
      </c>
      <c r="F1490" s="1437">
        <f t="shared" si="194"/>
        <v>1.3280755999999999E-2</v>
      </c>
      <c r="G1490" s="1437">
        <f t="shared" si="195"/>
        <v>0</v>
      </c>
      <c r="H1490" s="1437">
        <f t="shared" si="196"/>
        <v>1.3280755999999999E-2</v>
      </c>
      <c r="I1490" s="1437">
        <v>0</v>
      </c>
      <c r="J1490" s="1437">
        <v>0</v>
      </c>
      <c r="K1490" s="1438"/>
      <c r="L1490" s="1438"/>
      <c r="M1490" s="1437">
        <f t="shared" si="193"/>
        <v>0</v>
      </c>
      <c r="N1490" s="1437">
        <f t="shared" si="197"/>
        <v>1.3280755999999999E-2</v>
      </c>
    </row>
    <row r="1491" spans="1:14" ht="29" outlineLevel="1">
      <c r="A1491" s="1499">
        <f t="shared" ref="A1491:E1506" si="200">A1098</f>
        <v>77</v>
      </c>
      <c r="B1491" s="1539" t="str">
        <f t="shared" si="200"/>
        <v>Asset Recived From Project-U#8-Boiler &amp; Auxillaries -COAL MILL-10501</v>
      </c>
      <c r="C1491" s="1491" t="str">
        <f t="shared" si="200"/>
        <v>N.A.</v>
      </c>
      <c r="D1491" s="1531" t="str">
        <f t="shared" si="200"/>
        <v>-</v>
      </c>
      <c r="E1491" s="1318">
        <f t="shared" si="200"/>
        <v>0</v>
      </c>
      <c r="F1491" s="1437">
        <f t="shared" si="194"/>
        <v>5.1243500999999997E-2</v>
      </c>
      <c r="G1491" s="1437">
        <f t="shared" si="195"/>
        <v>0</v>
      </c>
      <c r="H1491" s="1437">
        <f t="shared" si="196"/>
        <v>5.1243500999999997E-2</v>
      </c>
      <c r="I1491" s="1437">
        <v>0</v>
      </c>
      <c r="J1491" s="1437">
        <v>0</v>
      </c>
      <c r="K1491" s="1438"/>
      <c r="L1491" s="1438"/>
      <c r="M1491" s="1437">
        <f t="shared" si="193"/>
        <v>0</v>
      </c>
      <c r="N1491" s="1437">
        <f t="shared" si="197"/>
        <v>5.1243500999999997E-2</v>
      </c>
    </row>
    <row r="1492" spans="1:14" outlineLevel="1">
      <c r="A1492" s="1499">
        <f t="shared" si="200"/>
        <v>78</v>
      </c>
      <c r="B1492" s="1539" t="str">
        <f t="shared" si="200"/>
        <v>Asset Recived From Project-U#8-Boiler &amp; Auxillaries -FD FAN-10501</v>
      </c>
      <c r="C1492" s="1491" t="str">
        <f t="shared" si="200"/>
        <v>N.A.</v>
      </c>
      <c r="D1492" s="1531" t="str">
        <f t="shared" si="200"/>
        <v>-</v>
      </c>
      <c r="E1492" s="1318">
        <f t="shared" si="200"/>
        <v>0</v>
      </c>
      <c r="F1492" s="1437">
        <f t="shared" si="194"/>
        <v>6.8170000000000004E-4</v>
      </c>
      <c r="G1492" s="1437">
        <f t="shared" si="195"/>
        <v>0</v>
      </c>
      <c r="H1492" s="1437">
        <f t="shared" si="196"/>
        <v>6.8170000000000004E-4</v>
      </c>
      <c r="I1492" s="1437">
        <v>0</v>
      </c>
      <c r="J1492" s="1437">
        <v>0</v>
      </c>
      <c r="K1492" s="1438"/>
      <c r="L1492" s="1438"/>
      <c r="M1492" s="1437">
        <f t="shared" si="193"/>
        <v>0</v>
      </c>
      <c r="N1492" s="1437">
        <f t="shared" si="197"/>
        <v>6.8170000000000004E-4</v>
      </c>
    </row>
    <row r="1493" spans="1:14" outlineLevel="1">
      <c r="A1493" s="1499">
        <f t="shared" si="200"/>
        <v>79</v>
      </c>
      <c r="B1493" s="1539" t="str">
        <f t="shared" si="200"/>
        <v>Asset Recived From Project-U#8-Boiler &amp; Auxillaries- ID FAN-10501</v>
      </c>
      <c r="C1493" s="1491" t="str">
        <f t="shared" si="200"/>
        <v>N.A.</v>
      </c>
      <c r="D1493" s="1531" t="str">
        <f t="shared" si="200"/>
        <v>-</v>
      </c>
      <c r="E1493" s="1318">
        <f t="shared" si="200"/>
        <v>0</v>
      </c>
      <c r="F1493" s="1437">
        <f t="shared" si="194"/>
        <v>1.7042509999999999E-3</v>
      </c>
      <c r="G1493" s="1437">
        <f t="shared" si="195"/>
        <v>0</v>
      </c>
      <c r="H1493" s="1437">
        <f t="shared" si="196"/>
        <v>1.7042509999999999E-3</v>
      </c>
      <c r="I1493" s="1437">
        <v>0</v>
      </c>
      <c r="J1493" s="1437">
        <v>0</v>
      </c>
      <c r="K1493" s="1438"/>
      <c r="L1493" s="1438"/>
      <c r="M1493" s="1437">
        <f t="shared" si="193"/>
        <v>0</v>
      </c>
      <c r="N1493" s="1437">
        <f t="shared" si="197"/>
        <v>1.7042509999999999E-3</v>
      </c>
    </row>
    <row r="1494" spans="1:14" ht="29" outlineLevel="1">
      <c r="A1494" s="1499">
        <f t="shared" si="200"/>
        <v>80</v>
      </c>
      <c r="B1494" s="1539" t="str">
        <f t="shared" si="200"/>
        <v>Asset Recived From Project-U#8-Boiler&amp;Aux-Mandatory Spares-10501</v>
      </c>
      <c r="C1494" s="1491" t="str">
        <f t="shared" si="200"/>
        <v>N.A.</v>
      </c>
      <c r="D1494" s="1531" t="str">
        <f t="shared" si="200"/>
        <v>-</v>
      </c>
      <c r="E1494" s="1318">
        <f t="shared" si="200"/>
        <v>0</v>
      </c>
      <c r="F1494" s="1437">
        <f t="shared" si="194"/>
        <v>9.7934579999999997E-3</v>
      </c>
      <c r="G1494" s="1437">
        <f t="shared" si="195"/>
        <v>0</v>
      </c>
      <c r="H1494" s="1437">
        <f t="shared" si="196"/>
        <v>9.7934579999999997E-3</v>
      </c>
      <c r="I1494" s="1437">
        <v>0</v>
      </c>
      <c r="J1494" s="1437">
        <v>0</v>
      </c>
      <c r="K1494" s="1438"/>
      <c r="L1494" s="1438"/>
      <c r="M1494" s="1437">
        <f t="shared" si="193"/>
        <v>0</v>
      </c>
      <c r="N1494" s="1437">
        <f t="shared" si="197"/>
        <v>9.7934579999999997E-3</v>
      </c>
    </row>
    <row r="1495" spans="1:14" ht="29" outlineLevel="1">
      <c r="A1495" s="1499">
        <f t="shared" si="200"/>
        <v>81</v>
      </c>
      <c r="B1495" s="1539" t="str">
        <f t="shared" si="200"/>
        <v>Asset Recived From Project-U#8-Boiler&amp;Aux-PLATFORM,STAIRS,GRATINGS,</v>
      </c>
      <c r="C1495" s="1491" t="str">
        <f t="shared" si="200"/>
        <v>N.A.</v>
      </c>
      <c r="D1495" s="1531" t="str">
        <f t="shared" si="200"/>
        <v>-</v>
      </c>
      <c r="E1495" s="1318">
        <f t="shared" si="200"/>
        <v>0</v>
      </c>
      <c r="F1495" s="1437">
        <f t="shared" si="194"/>
        <v>3.0595908000000002E-2</v>
      </c>
      <c r="G1495" s="1437">
        <f t="shared" si="195"/>
        <v>0</v>
      </c>
      <c r="H1495" s="1437">
        <f t="shared" si="196"/>
        <v>3.0595908000000002E-2</v>
      </c>
      <c r="I1495" s="1437">
        <v>0</v>
      </c>
      <c r="J1495" s="1437">
        <v>0</v>
      </c>
      <c r="K1495" s="1438"/>
      <c r="L1495" s="1438"/>
      <c r="M1495" s="1437">
        <f t="shared" si="193"/>
        <v>0</v>
      </c>
      <c r="N1495" s="1437">
        <f t="shared" si="197"/>
        <v>3.0595908000000002E-2</v>
      </c>
    </row>
    <row r="1496" spans="1:14" outlineLevel="1">
      <c r="A1496" s="1499">
        <f t="shared" si="200"/>
        <v>82</v>
      </c>
      <c r="B1496" s="1539" t="str">
        <f t="shared" si="200"/>
        <v>Asset Recived From Project-U#8-Boiler Pressure parts-10501</v>
      </c>
      <c r="C1496" s="1491" t="str">
        <f t="shared" si="200"/>
        <v>N.A.</v>
      </c>
      <c r="D1496" s="1531" t="str">
        <f t="shared" si="200"/>
        <v>-</v>
      </c>
      <c r="E1496" s="1318">
        <f t="shared" si="200"/>
        <v>0</v>
      </c>
      <c r="F1496" s="1437">
        <f t="shared" si="194"/>
        <v>0.17807421000000001</v>
      </c>
      <c r="G1496" s="1437">
        <f t="shared" si="195"/>
        <v>0</v>
      </c>
      <c r="H1496" s="1437">
        <f t="shared" si="196"/>
        <v>0.17807421000000001</v>
      </c>
      <c r="I1496" s="1437">
        <v>0</v>
      </c>
      <c r="J1496" s="1437">
        <v>0</v>
      </c>
      <c r="K1496" s="1438"/>
      <c r="L1496" s="1438"/>
      <c r="M1496" s="1437">
        <f t="shared" si="193"/>
        <v>0</v>
      </c>
      <c r="N1496" s="1437">
        <f t="shared" si="197"/>
        <v>0.17807421000000001</v>
      </c>
    </row>
    <row r="1497" spans="1:14" ht="29" outlineLevel="1">
      <c r="A1497" s="1499">
        <f t="shared" si="200"/>
        <v>83</v>
      </c>
      <c r="B1497" s="1539" t="str">
        <f t="shared" si="200"/>
        <v>Asset Recived From Project-U#8-220V-BATTERY+CHARGERS-MAIN PLANT-10563</v>
      </c>
      <c r="C1497" s="1491" t="str">
        <f t="shared" si="200"/>
        <v>N.A.</v>
      </c>
      <c r="D1497" s="1531" t="str">
        <f t="shared" si="200"/>
        <v>-</v>
      </c>
      <c r="E1497" s="1318">
        <f t="shared" si="200"/>
        <v>0</v>
      </c>
      <c r="F1497" s="1437">
        <f t="shared" si="194"/>
        <v>2.0848189999999999E-3</v>
      </c>
      <c r="G1497" s="1437">
        <f t="shared" si="195"/>
        <v>0</v>
      </c>
      <c r="H1497" s="1437">
        <f t="shared" si="196"/>
        <v>2.0848189999999999E-3</v>
      </c>
      <c r="I1497" s="1437">
        <v>0</v>
      </c>
      <c r="J1497" s="1437">
        <v>0</v>
      </c>
      <c r="K1497" s="1438"/>
      <c r="L1497" s="1438"/>
      <c r="M1497" s="1437">
        <f t="shared" si="193"/>
        <v>0</v>
      </c>
      <c r="N1497" s="1437">
        <f t="shared" si="197"/>
        <v>2.0848189999999999E-3</v>
      </c>
    </row>
    <row r="1498" spans="1:14" ht="29" outlineLevel="1">
      <c r="A1498" s="1499">
        <f t="shared" si="200"/>
        <v>84</v>
      </c>
      <c r="B1498" s="1539" t="str">
        <f t="shared" si="200"/>
        <v>Asset Recived From Project-U#8-220V -BATTERY WITH CHARGERS(CHP)-10563</v>
      </c>
      <c r="C1498" s="1491" t="str">
        <f t="shared" si="200"/>
        <v>N.A.</v>
      </c>
      <c r="D1498" s="1531" t="str">
        <f t="shared" si="200"/>
        <v>-</v>
      </c>
      <c r="E1498" s="1318">
        <f t="shared" si="200"/>
        <v>0</v>
      </c>
      <c r="F1498" s="1437">
        <f t="shared" si="194"/>
        <v>2.0745099999999999E-4</v>
      </c>
      <c r="G1498" s="1437">
        <f t="shared" si="195"/>
        <v>0</v>
      </c>
      <c r="H1498" s="1437">
        <f t="shared" si="196"/>
        <v>2.0745099999999999E-4</v>
      </c>
      <c r="I1498" s="1437">
        <v>0</v>
      </c>
      <c r="J1498" s="1437">
        <v>0</v>
      </c>
      <c r="K1498" s="1438"/>
      <c r="L1498" s="1438"/>
      <c r="M1498" s="1437">
        <f t="shared" si="193"/>
        <v>0</v>
      </c>
      <c r="N1498" s="1437">
        <f t="shared" si="197"/>
        <v>2.0745099999999999E-4</v>
      </c>
    </row>
    <row r="1499" spans="1:14" ht="29" outlineLevel="1">
      <c r="A1499" s="1499">
        <f t="shared" si="200"/>
        <v>85</v>
      </c>
      <c r="B1499" s="1539" t="str">
        <f t="shared" si="200"/>
        <v>Asset Recived From Project-U#8-220V-BATTERY+CHARG-WAGON TRIP-2N-10563</v>
      </c>
      <c r="C1499" s="1491" t="str">
        <f t="shared" si="200"/>
        <v>N.A.</v>
      </c>
      <c r="D1499" s="1531" t="str">
        <f t="shared" si="200"/>
        <v>-</v>
      </c>
      <c r="E1499" s="1318">
        <f t="shared" si="200"/>
        <v>0</v>
      </c>
      <c r="F1499" s="1437">
        <f t="shared" si="194"/>
        <v>8.4673999999999996E-5</v>
      </c>
      <c r="G1499" s="1437">
        <f t="shared" si="195"/>
        <v>0</v>
      </c>
      <c r="H1499" s="1437">
        <f t="shared" si="196"/>
        <v>8.4673999999999996E-5</v>
      </c>
      <c r="I1499" s="1437">
        <v>0</v>
      </c>
      <c r="J1499" s="1437">
        <v>0</v>
      </c>
      <c r="K1499" s="1438"/>
      <c r="L1499" s="1438"/>
      <c r="M1499" s="1437">
        <f t="shared" si="193"/>
        <v>0</v>
      </c>
      <c r="N1499" s="1437">
        <f t="shared" si="197"/>
        <v>8.4673999999999996E-5</v>
      </c>
    </row>
    <row r="1500" spans="1:14" ht="29" outlineLevel="1">
      <c r="A1500" s="1499">
        <f t="shared" si="200"/>
        <v>86</v>
      </c>
      <c r="B1500" s="1539" t="str">
        <f t="shared" si="200"/>
        <v>Asset Recived From Project-U#8-BOP-OTHER C&amp; i INSTRUMENTS-10509</v>
      </c>
      <c r="C1500" s="1491" t="str">
        <f t="shared" si="200"/>
        <v>N.A.</v>
      </c>
      <c r="D1500" s="1531" t="str">
        <f t="shared" si="200"/>
        <v>-</v>
      </c>
      <c r="E1500" s="1318">
        <f t="shared" si="200"/>
        <v>0</v>
      </c>
      <c r="F1500" s="1437">
        <f t="shared" si="194"/>
        <v>1.3440609999999999E-3</v>
      </c>
      <c r="G1500" s="1437">
        <f t="shared" si="195"/>
        <v>0</v>
      </c>
      <c r="H1500" s="1437">
        <f t="shared" si="196"/>
        <v>1.3440609999999999E-3</v>
      </c>
      <c r="I1500" s="1437">
        <v>0</v>
      </c>
      <c r="J1500" s="1437">
        <v>0</v>
      </c>
      <c r="K1500" s="1438"/>
      <c r="L1500" s="1438"/>
      <c r="M1500" s="1437">
        <f t="shared" si="193"/>
        <v>0</v>
      </c>
      <c r="N1500" s="1437">
        <f t="shared" si="197"/>
        <v>1.3440609999999999E-3</v>
      </c>
    </row>
    <row r="1501" spans="1:14" outlineLevel="1">
      <c r="A1501" s="1499">
        <f t="shared" si="200"/>
        <v>87</v>
      </c>
      <c r="B1501" s="1539" t="str">
        <f t="shared" si="200"/>
        <v>Asset Recived From Project-U#8-CHP-CONVEYOR SYSTEM-10515</v>
      </c>
      <c r="C1501" s="1491" t="str">
        <f t="shared" si="200"/>
        <v>N.A.</v>
      </c>
      <c r="D1501" s="1531" t="str">
        <f t="shared" si="200"/>
        <v>-</v>
      </c>
      <c r="E1501" s="1318">
        <f t="shared" si="200"/>
        <v>0</v>
      </c>
      <c r="F1501" s="1437">
        <f t="shared" si="194"/>
        <v>1.540935E-2</v>
      </c>
      <c r="G1501" s="1437">
        <f t="shared" si="195"/>
        <v>0</v>
      </c>
      <c r="H1501" s="1437">
        <f t="shared" si="196"/>
        <v>1.540935E-2</v>
      </c>
      <c r="I1501" s="1437">
        <v>0</v>
      </c>
      <c r="J1501" s="1437">
        <v>0</v>
      </c>
      <c r="K1501" s="1438"/>
      <c r="L1501" s="1438"/>
      <c r="M1501" s="1437">
        <f t="shared" si="193"/>
        <v>0</v>
      </c>
      <c r="N1501" s="1437">
        <f t="shared" si="197"/>
        <v>1.540935E-2</v>
      </c>
    </row>
    <row r="1502" spans="1:14" outlineLevel="1">
      <c r="A1502" s="1499">
        <f t="shared" si="200"/>
        <v>88</v>
      </c>
      <c r="B1502" s="1539" t="str">
        <f t="shared" si="200"/>
        <v>Asset Recived From Project-U#8-CHP-WOBLER FEEDER-10515</v>
      </c>
      <c r="C1502" s="1491" t="str">
        <f t="shared" si="200"/>
        <v>N.A.</v>
      </c>
      <c r="D1502" s="1531" t="str">
        <f t="shared" si="200"/>
        <v>-</v>
      </c>
      <c r="E1502" s="1318">
        <f t="shared" si="200"/>
        <v>0</v>
      </c>
      <c r="F1502" s="1437">
        <f t="shared" si="194"/>
        <v>5.4613100000000005E-4</v>
      </c>
      <c r="G1502" s="1437">
        <f t="shared" si="195"/>
        <v>0</v>
      </c>
      <c r="H1502" s="1437">
        <f t="shared" si="196"/>
        <v>5.4613100000000005E-4</v>
      </c>
      <c r="I1502" s="1437">
        <v>0</v>
      </c>
      <c r="J1502" s="1437">
        <v>0</v>
      </c>
      <c r="K1502" s="1438"/>
      <c r="L1502" s="1438"/>
      <c r="M1502" s="1437">
        <f t="shared" si="193"/>
        <v>0</v>
      </c>
      <c r="N1502" s="1437">
        <f t="shared" si="197"/>
        <v>5.4613100000000005E-4</v>
      </c>
    </row>
    <row r="1503" spans="1:14" outlineLevel="1">
      <c r="A1503" s="1499">
        <f t="shared" si="200"/>
        <v>89</v>
      </c>
      <c r="B1503" s="1539" t="str">
        <f t="shared" si="200"/>
        <v>Asset Recived From Project-U#8-CHP-APRON FEEDER-10515</v>
      </c>
      <c r="C1503" s="1491" t="str">
        <f t="shared" si="200"/>
        <v>N.A.</v>
      </c>
      <c r="D1503" s="1531" t="str">
        <f t="shared" si="200"/>
        <v>-</v>
      </c>
      <c r="E1503" s="1318">
        <f t="shared" si="200"/>
        <v>0</v>
      </c>
      <c r="F1503" s="1437">
        <f t="shared" si="194"/>
        <v>2.8149E-3</v>
      </c>
      <c r="G1503" s="1437">
        <f t="shared" si="195"/>
        <v>0</v>
      </c>
      <c r="H1503" s="1437">
        <f t="shared" si="196"/>
        <v>2.8149E-3</v>
      </c>
      <c r="I1503" s="1437">
        <v>0</v>
      </c>
      <c r="J1503" s="1437">
        <v>0</v>
      </c>
      <c r="K1503" s="1438"/>
      <c r="L1503" s="1438"/>
      <c r="M1503" s="1437">
        <f t="shared" si="193"/>
        <v>0</v>
      </c>
      <c r="N1503" s="1437">
        <f t="shared" si="197"/>
        <v>2.8149E-3</v>
      </c>
    </row>
    <row r="1504" spans="1:14" ht="29" outlineLevel="1">
      <c r="A1504" s="1499">
        <f t="shared" si="200"/>
        <v>90</v>
      </c>
      <c r="B1504" s="1539" t="str">
        <f t="shared" si="200"/>
        <v>Asset Recived From Project-U#8-CHP-ILMS,METAL DETECTOR,BELT WEIGHER</v>
      </c>
      <c r="C1504" s="1491" t="str">
        <f t="shared" si="200"/>
        <v>N.A.</v>
      </c>
      <c r="D1504" s="1531" t="str">
        <f t="shared" si="200"/>
        <v>-</v>
      </c>
      <c r="E1504" s="1318">
        <f t="shared" si="200"/>
        <v>0</v>
      </c>
      <c r="F1504" s="1437">
        <f t="shared" si="194"/>
        <v>1.170412E-3</v>
      </c>
      <c r="G1504" s="1437">
        <f t="shared" si="195"/>
        <v>0</v>
      </c>
      <c r="H1504" s="1437">
        <f t="shared" si="196"/>
        <v>1.170412E-3</v>
      </c>
      <c r="I1504" s="1437">
        <v>0</v>
      </c>
      <c r="J1504" s="1437">
        <v>0</v>
      </c>
      <c r="K1504" s="1438"/>
      <c r="L1504" s="1438"/>
      <c r="M1504" s="1437">
        <f t="shared" si="193"/>
        <v>0</v>
      </c>
      <c r="N1504" s="1437">
        <f t="shared" si="197"/>
        <v>1.170412E-3</v>
      </c>
    </row>
    <row r="1505" spans="1:14" outlineLevel="1">
      <c r="A1505" s="1499">
        <f t="shared" si="200"/>
        <v>91</v>
      </c>
      <c r="B1505" s="1539" t="str">
        <f t="shared" si="200"/>
        <v>Asset Recived From Project-U#8-CHP-IMPACT CRUSHER-10515</v>
      </c>
      <c r="C1505" s="1491" t="str">
        <f t="shared" si="200"/>
        <v>N.A.</v>
      </c>
      <c r="D1505" s="1531" t="str">
        <f t="shared" si="200"/>
        <v>-</v>
      </c>
      <c r="E1505" s="1318">
        <f t="shared" si="200"/>
        <v>0</v>
      </c>
      <c r="F1505" s="1437">
        <f t="shared" si="194"/>
        <v>2.0637770000000001E-3</v>
      </c>
      <c r="G1505" s="1437">
        <f t="shared" si="195"/>
        <v>0</v>
      </c>
      <c r="H1505" s="1437">
        <f t="shared" si="196"/>
        <v>2.0637770000000001E-3</v>
      </c>
      <c r="I1505" s="1437">
        <v>0</v>
      </c>
      <c r="J1505" s="1437">
        <v>0</v>
      </c>
      <c r="K1505" s="1438"/>
      <c r="L1505" s="1438"/>
      <c r="M1505" s="1437">
        <f t="shared" si="193"/>
        <v>0</v>
      </c>
      <c r="N1505" s="1437">
        <f t="shared" si="197"/>
        <v>2.0637770000000001E-3</v>
      </c>
    </row>
    <row r="1506" spans="1:14" outlineLevel="1">
      <c r="A1506" s="1499">
        <f t="shared" si="200"/>
        <v>92</v>
      </c>
      <c r="B1506" s="1539" t="str">
        <f t="shared" si="200"/>
        <v>Project-U#8-CHP-STRACKER CUM RECLAIMER-10515</v>
      </c>
      <c r="C1506" s="1491" t="str">
        <f t="shared" si="200"/>
        <v>N.A.</v>
      </c>
      <c r="D1506" s="1531" t="str">
        <f t="shared" si="200"/>
        <v>-</v>
      </c>
      <c r="E1506" s="1318">
        <f t="shared" si="200"/>
        <v>0</v>
      </c>
      <c r="F1506" s="1437">
        <f t="shared" si="194"/>
        <v>8.2014210000000004E-3</v>
      </c>
      <c r="G1506" s="1437">
        <f t="shared" si="195"/>
        <v>0</v>
      </c>
      <c r="H1506" s="1437">
        <f t="shared" si="196"/>
        <v>8.2014210000000004E-3</v>
      </c>
      <c r="I1506" s="1437">
        <v>0</v>
      </c>
      <c r="J1506" s="1437">
        <v>0</v>
      </c>
      <c r="K1506" s="1438"/>
      <c r="L1506" s="1438"/>
      <c r="M1506" s="1437">
        <f t="shared" si="193"/>
        <v>0</v>
      </c>
      <c r="N1506" s="1437">
        <f t="shared" si="197"/>
        <v>8.2014210000000004E-3</v>
      </c>
    </row>
    <row r="1507" spans="1:14" outlineLevel="1">
      <c r="A1507" s="1499">
        <f t="shared" ref="A1507:E1522" si="201">A1114</f>
        <v>93</v>
      </c>
      <c r="B1507" s="1539" t="str">
        <f t="shared" si="201"/>
        <v>Project-U#8-CHP-SIDE DISCHARGE TYPE WAGON TRIPPLER</v>
      </c>
      <c r="C1507" s="1491" t="str">
        <f t="shared" si="201"/>
        <v>N.A.</v>
      </c>
      <c r="D1507" s="1531" t="str">
        <f t="shared" si="201"/>
        <v>-</v>
      </c>
      <c r="E1507" s="1318">
        <f t="shared" si="201"/>
        <v>0</v>
      </c>
      <c r="F1507" s="1437">
        <f t="shared" si="194"/>
        <v>7.783575E-3</v>
      </c>
      <c r="G1507" s="1437">
        <f t="shared" si="195"/>
        <v>0</v>
      </c>
      <c r="H1507" s="1437">
        <f t="shared" si="196"/>
        <v>7.783575E-3</v>
      </c>
      <c r="I1507" s="1437">
        <v>0</v>
      </c>
      <c r="J1507" s="1437">
        <v>0</v>
      </c>
      <c r="K1507" s="1438"/>
      <c r="L1507" s="1438"/>
      <c r="M1507" s="1437">
        <f t="shared" si="193"/>
        <v>0</v>
      </c>
      <c r="N1507" s="1437">
        <f t="shared" si="197"/>
        <v>7.783575E-3</v>
      </c>
    </row>
    <row r="1508" spans="1:14" outlineLevel="1">
      <c r="A1508" s="1499">
        <f t="shared" si="201"/>
        <v>94</v>
      </c>
      <c r="B1508" s="1539" t="str">
        <f t="shared" si="201"/>
        <v>Project-U#8-Coal Handling Plant-M.S.-10515</v>
      </c>
      <c r="C1508" s="1491" t="str">
        <f t="shared" si="201"/>
        <v>N.A.</v>
      </c>
      <c r="D1508" s="1531" t="str">
        <f t="shared" si="201"/>
        <v>-</v>
      </c>
      <c r="E1508" s="1318">
        <f t="shared" si="201"/>
        <v>0</v>
      </c>
      <c r="F1508" s="1437">
        <f t="shared" si="194"/>
        <v>3.4267400000000001E-4</v>
      </c>
      <c r="G1508" s="1437">
        <f t="shared" si="195"/>
        <v>0</v>
      </c>
      <c r="H1508" s="1437">
        <f t="shared" si="196"/>
        <v>3.4267400000000001E-4</v>
      </c>
      <c r="I1508" s="1437">
        <v>0</v>
      </c>
      <c r="J1508" s="1437">
        <v>0</v>
      </c>
      <c r="K1508" s="1438"/>
      <c r="L1508" s="1438"/>
      <c r="M1508" s="1437">
        <f t="shared" si="193"/>
        <v>0</v>
      </c>
      <c r="N1508" s="1437">
        <f t="shared" si="197"/>
        <v>3.4267400000000001E-4</v>
      </c>
    </row>
    <row r="1509" spans="1:14" outlineLevel="1">
      <c r="A1509" s="1499">
        <f t="shared" si="201"/>
        <v>95</v>
      </c>
      <c r="B1509" s="1539" t="str">
        <f t="shared" si="201"/>
        <v>Project-U#8-communication system-10572</v>
      </c>
      <c r="C1509" s="1491" t="str">
        <f t="shared" si="201"/>
        <v>N.A.</v>
      </c>
      <c r="D1509" s="1531" t="str">
        <f t="shared" si="201"/>
        <v>-</v>
      </c>
      <c r="E1509" s="1318">
        <f t="shared" si="201"/>
        <v>0</v>
      </c>
      <c r="F1509" s="1437">
        <f t="shared" si="194"/>
        <v>1.92531E-3</v>
      </c>
      <c r="G1509" s="1437">
        <f t="shared" si="195"/>
        <v>0</v>
      </c>
      <c r="H1509" s="1437">
        <f t="shared" si="196"/>
        <v>1.92531E-3</v>
      </c>
      <c r="I1509" s="1437">
        <v>0</v>
      </c>
      <c r="J1509" s="1437">
        <v>0</v>
      </c>
      <c r="K1509" s="1438"/>
      <c r="L1509" s="1438"/>
      <c r="M1509" s="1437">
        <f t="shared" ref="M1509:M1572" si="202">SUM(J1509:L1509)</f>
        <v>0</v>
      </c>
      <c r="N1509" s="1437">
        <f t="shared" si="197"/>
        <v>1.92531E-3</v>
      </c>
    </row>
    <row r="1510" spans="1:14" outlineLevel="1">
      <c r="A1510" s="1499">
        <f t="shared" si="201"/>
        <v>96</v>
      </c>
      <c r="B1510" s="1539" t="str">
        <f t="shared" si="201"/>
        <v>Project-U#8-UPS INVERTORS-10563</v>
      </c>
      <c r="C1510" s="1491" t="str">
        <f t="shared" si="201"/>
        <v>N.A.</v>
      </c>
      <c r="D1510" s="1531" t="str">
        <f t="shared" si="201"/>
        <v>-</v>
      </c>
      <c r="E1510" s="1318">
        <f t="shared" si="201"/>
        <v>0</v>
      </c>
      <c r="F1510" s="1437">
        <f t="shared" ref="F1510:F1573" si="203">F1117+I1117</f>
        <v>5.1465199999999999E-4</v>
      </c>
      <c r="G1510" s="1437">
        <f t="shared" ref="G1510:G1573" si="204">G1117+M1117</f>
        <v>0</v>
      </c>
      <c r="H1510" s="1437">
        <f t="shared" si="196"/>
        <v>5.1465199999999999E-4</v>
      </c>
      <c r="I1510" s="1437">
        <v>0</v>
      </c>
      <c r="J1510" s="1437">
        <v>0</v>
      </c>
      <c r="K1510" s="1438"/>
      <c r="L1510" s="1438"/>
      <c r="M1510" s="1437">
        <f t="shared" si="202"/>
        <v>0</v>
      </c>
      <c r="N1510" s="1437">
        <f t="shared" si="197"/>
        <v>5.1465199999999999E-4</v>
      </c>
    </row>
    <row r="1511" spans="1:14" outlineLevel="1">
      <c r="A1511" s="1499">
        <f t="shared" si="201"/>
        <v>97</v>
      </c>
      <c r="B1511" s="1539" t="str">
        <f t="shared" si="201"/>
        <v>Project-U#8-UPS ACDS-10563</v>
      </c>
      <c r="C1511" s="1491" t="str">
        <f t="shared" si="201"/>
        <v>N.A.</v>
      </c>
      <c r="D1511" s="1531" t="str">
        <f t="shared" si="201"/>
        <v>-</v>
      </c>
      <c r="E1511" s="1318">
        <f t="shared" si="201"/>
        <v>0</v>
      </c>
      <c r="F1511" s="1437">
        <f t="shared" si="203"/>
        <v>8.9956000000000004E-5</v>
      </c>
      <c r="G1511" s="1437">
        <f t="shared" si="204"/>
        <v>0</v>
      </c>
      <c r="H1511" s="1437">
        <f t="shared" ref="H1511:H1574" si="205">F1511-G1511</f>
        <v>8.9956000000000004E-5</v>
      </c>
      <c r="I1511" s="1437">
        <v>0</v>
      </c>
      <c r="J1511" s="1437">
        <v>0</v>
      </c>
      <c r="K1511" s="1438"/>
      <c r="L1511" s="1438"/>
      <c r="M1511" s="1437">
        <f t="shared" si="202"/>
        <v>0</v>
      </c>
      <c r="N1511" s="1437">
        <f t="shared" ref="N1511:N1574" si="206">H1511+I1511-M1511</f>
        <v>8.9956000000000004E-5</v>
      </c>
    </row>
    <row r="1512" spans="1:14" outlineLevel="1">
      <c r="A1512" s="1499">
        <f t="shared" si="201"/>
        <v>98</v>
      </c>
      <c r="B1512" s="1539" t="str">
        <f t="shared" si="201"/>
        <v>Project-U#8-UPS BATTERIRERS-10563</v>
      </c>
      <c r="C1512" s="1491" t="str">
        <f t="shared" si="201"/>
        <v>N.A.</v>
      </c>
      <c r="D1512" s="1531" t="str">
        <f t="shared" si="201"/>
        <v>-</v>
      </c>
      <c r="E1512" s="1318">
        <f t="shared" si="201"/>
        <v>0</v>
      </c>
      <c r="F1512" s="1437">
        <f t="shared" si="203"/>
        <v>5.1465199999999999E-4</v>
      </c>
      <c r="G1512" s="1437">
        <f t="shared" si="204"/>
        <v>0</v>
      </c>
      <c r="H1512" s="1437">
        <f t="shared" si="205"/>
        <v>5.1465199999999999E-4</v>
      </c>
      <c r="I1512" s="1437">
        <v>0</v>
      </c>
      <c r="J1512" s="1437">
        <v>0</v>
      </c>
      <c r="K1512" s="1438"/>
      <c r="L1512" s="1438"/>
      <c r="M1512" s="1437">
        <f t="shared" si="202"/>
        <v>0</v>
      </c>
      <c r="N1512" s="1437">
        <f t="shared" si="206"/>
        <v>5.1465199999999999E-4</v>
      </c>
    </row>
    <row r="1513" spans="1:14" outlineLevel="1">
      <c r="A1513" s="1499">
        <f t="shared" si="201"/>
        <v>99</v>
      </c>
      <c r="B1513" s="1539" t="str">
        <f t="shared" si="201"/>
        <v>Project-U#8-24V BATTERY CHARGERS (SGTG)-10563</v>
      </c>
      <c r="C1513" s="1491" t="str">
        <f t="shared" si="201"/>
        <v>N.A.</v>
      </c>
      <c r="D1513" s="1531" t="str">
        <f t="shared" si="201"/>
        <v>-</v>
      </c>
      <c r="E1513" s="1318">
        <f t="shared" si="201"/>
        <v>0</v>
      </c>
      <c r="F1513" s="1437">
        <f t="shared" si="203"/>
        <v>2.28734E-4</v>
      </c>
      <c r="G1513" s="1437">
        <f t="shared" si="204"/>
        <v>0</v>
      </c>
      <c r="H1513" s="1437">
        <f t="shared" si="205"/>
        <v>2.28734E-4</v>
      </c>
      <c r="I1513" s="1437">
        <v>0</v>
      </c>
      <c r="J1513" s="1437">
        <v>0</v>
      </c>
      <c r="K1513" s="1438"/>
      <c r="L1513" s="1438"/>
      <c r="M1513" s="1437">
        <f t="shared" si="202"/>
        <v>0</v>
      </c>
      <c r="N1513" s="1437">
        <f t="shared" si="206"/>
        <v>2.28734E-4</v>
      </c>
    </row>
    <row r="1514" spans="1:14" outlineLevel="1">
      <c r="A1514" s="1499">
        <f t="shared" si="201"/>
        <v>100</v>
      </c>
      <c r="B1514" s="1539" t="str">
        <f t="shared" si="201"/>
        <v>Project-U#8-24V BATTERY CHARGERS (BOP)-10563</v>
      </c>
      <c r="C1514" s="1491" t="str">
        <f t="shared" si="201"/>
        <v>N.A.</v>
      </c>
      <c r="D1514" s="1531" t="str">
        <f t="shared" si="201"/>
        <v>-</v>
      </c>
      <c r="E1514" s="1318">
        <f t="shared" si="201"/>
        <v>0</v>
      </c>
      <c r="F1514" s="1437">
        <f t="shared" si="203"/>
        <v>2.28734E-4</v>
      </c>
      <c r="G1514" s="1437">
        <f t="shared" si="204"/>
        <v>0</v>
      </c>
      <c r="H1514" s="1437">
        <f t="shared" si="205"/>
        <v>2.28734E-4</v>
      </c>
      <c r="I1514" s="1437">
        <v>0</v>
      </c>
      <c r="J1514" s="1437">
        <v>0</v>
      </c>
      <c r="K1514" s="1438"/>
      <c r="L1514" s="1438"/>
      <c r="M1514" s="1437">
        <f t="shared" si="202"/>
        <v>0</v>
      </c>
      <c r="N1514" s="1437">
        <f t="shared" si="206"/>
        <v>2.28734E-4</v>
      </c>
    </row>
    <row r="1515" spans="1:14" outlineLevel="1">
      <c r="A1515" s="1499">
        <f t="shared" si="201"/>
        <v>101</v>
      </c>
      <c r="B1515" s="1539" t="str">
        <f t="shared" si="201"/>
        <v>Project-U#8-BATTERIS FOR (SGTG)-10563</v>
      </c>
      <c r="C1515" s="1491" t="str">
        <f t="shared" si="201"/>
        <v>N.A.</v>
      </c>
      <c r="D1515" s="1531" t="str">
        <f t="shared" si="201"/>
        <v>-</v>
      </c>
      <c r="E1515" s="1318">
        <f t="shared" si="201"/>
        <v>0</v>
      </c>
      <c r="F1515" s="1437">
        <f t="shared" si="203"/>
        <v>2.28734E-4</v>
      </c>
      <c r="G1515" s="1437">
        <f t="shared" si="204"/>
        <v>0</v>
      </c>
      <c r="H1515" s="1437">
        <f t="shared" si="205"/>
        <v>2.28734E-4</v>
      </c>
      <c r="I1515" s="1437">
        <v>0</v>
      </c>
      <c r="J1515" s="1437">
        <v>0</v>
      </c>
      <c r="K1515" s="1438"/>
      <c r="L1515" s="1438"/>
      <c r="M1515" s="1437">
        <f t="shared" si="202"/>
        <v>0</v>
      </c>
      <c r="N1515" s="1437">
        <f t="shared" si="206"/>
        <v>2.28734E-4</v>
      </c>
    </row>
    <row r="1516" spans="1:14" outlineLevel="1">
      <c r="A1516" s="1499">
        <f t="shared" si="201"/>
        <v>102</v>
      </c>
      <c r="B1516" s="1539" t="str">
        <f t="shared" si="201"/>
        <v>Project-U#8-BATTERIS FOR (BOP)-10563</v>
      </c>
      <c r="C1516" s="1491" t="str">
        <f t="shared" si="201"/>
        <v>N.A.</v>
      </c>
      <c r="D1516" s="1531" t="str">
        <f t="shared" si="201"/>
        <v>-</v>
      </c>
      <c r="E1516" s="1318">
        <f t="shared" si="201"/>
        <v>0</v>
      </c>
      <c r="F1516" s="1437">
        <f t="shared" si="203"/>
        <v>2.28734E-4</v>
      </c>
      <c r="G1516" s="1437">
        <f t="shared" si="204"/>
        <v>0</v>
      </c>
      <c r="H1516" s="1437">
        <f t="shared" si="205"/>
        <v>2.28734E-4</v>
      </c>
      <c r="I1516" s="1437">
        <v>0</v>
      </c>
      <c r="J1516" s="1437">
        <v>0</v>
      </c>
      <c r="K1516" s="1438"/>
      <c r="L1516" s="1438"/>
      <c r="M1516" s="1437">
        <f t="shared" si="202"/>
        <v>0</v>
      </c>
      <c r="N1516" s="1437">
        <f t="shared" si="206"/>
        <v>2.28734E-4</v>
      </c>
    </row>
    <row r="1517" spans="1:14" outlineLevel="1">
      <c r="A1517" s="1499">
        <f t="shared" si="201"/>
        <v>103</v>
      </c>
      <c r="B1517" s="1539" t="str">
        <f t="shared" si="201"/>
        <v>Project-U#8-DCDB(SGTG)-10563</v>
      </c>
      <c r="C1517" s="1491" t="str">
        <f t="shared" si="201"/>
        <v>N.A.</v>
      </c>
      <c r="D1517" s="1531" t="str">
        <f t="shared" si="201"/>
        <v>-</v>
      </c>
      <c r="E1517" s="1318">
        <f t="shared" si="201"/>
        <v>0</v>
      </c>
      <c r="F1517" s="1437">
        <f t="shared" si="203"/>
        <v>5.7182999999999998E-5</v>
      </c>
      <c r="G1517" s="1437">
        <f t="shared" si="204"/>
        <v>0</v>
      </c>
      <c r="H1517" s="1437">
        <f t="shared" si="205"/>
        <v>5.7182999999999998E-5</v>
      </c>
      <c r="I1517" s="1437">
        <v>0</v>
      </c>
      <c r="J1517" s="1437">
        <v>0</v>
      </c>
      <c r="K1517" s="1438"/>
      <c r="L1517" s="1438"/>
      <c r="M1517" s="1437">
        <f t="shared" si="202"/>
        <v>0</v>
      </c>
      <c r="N1517" s="1437">
        <f t="shared" si="206"/>
        <v>5.7182999999999998E-5</v>
      </c>
    </row>
    <row r="1518" spans="1:14" outlineLevel="1">
      <c r="A1518" s="1499">
        <f t="shared" si="201"/>
        <v>104</v>
      </c>
      <c r="B1518" s="1539" t="str">
        <f t="shared" si="201"/>
        <v>Project-U#8-DCDB(BOP)-10563</v>
      </c>
      <c r="C1518" s="1491" t="str">
        <f t="shared" si="201"/>
        <v>N.A.</v>
      </c>
      <c r="D1518" s="1531" t="str">
        <f t="shared" si="201"/>
        <v>-</v>
      </c>
      <c r="E1518" s="1318">
        <f t="shared" si="201"/>
        <v>0</v>
      </c>
      <c r="F1518" s="1437">
        <f t="shared" si="203"/>
        <v>5.7182999999999998E-5</v>
      </c>
      <c r="G1518" s="1437">
        <f t="shared" si="204"/>
        <v>0</v>
      </c>
      <c r="H1518" s="1437">
        <f t="shared" si="205"/>
        <v>5.7182999999999998E-5</v>
      </c>
      <c r="I1518" s="1437">
        <v>0</v>
      </c>
      <c r="J1518" s="1437">
        <v>0</v>
      </c>
      <c r="K1518" s="1438"/>
      <c r="L1518" s="1438"/>
      <c r="M1518" s="1437">
        <f t="shared" si="202"/>
        <v>0</v>
      </c>
      <c r="N1518" s="1437">
        <f t="shared" si="206"/>
        <v>5.7182999999999998E-5</v>
      </c>
    </row>
    <row r="1519" spans="1:14" outlineLevel="1">
      <c r="A1519" s="1499">
        <f t="shared" si="201"/>
        <v>105</v>
      </c>
      <c r="B1519" s="1539" t="str">
        <f t="shared" si="201"/>
        <v>Project-U#8-Controls &amp; Instru. for Main Plant(BTG)</v>
      </c>
      <c r="C1519" s="1491" t="str">
        <f t="shared" si="201"/>
        <v>N.A.</v>
      </c>
      <c r="D1519" s="1531" t="str">
        <f t="shared" si="201"/>
        <v>-</v>
      </c>
      <c r="E1519" s="1318">
        <f t="shared" si="201"/>
        <v>0</v>
      </c>
      <c r="F1519" s="1437">
        <f t="shared" si="203"/>
        <v>4.4292073000000001E-2</v>
      </c>
      <c r="G1519" s="1437">
        <f t="shared" si="204"/>
        <v>0</v>
      </c>
      <c r="H1519" s="1437">
        <f t="shared" si="205"/>
        <v>4.4292073000000001E-2</v>
      </c>
      <c r="I1519" s="1437">
        <v>0</v>
      </c>
      <c r="J1519" s="1437">
        <v>0</v>
      </c>
      <c r="K1519" s="1438"/>
      <c r="L1519" s="1438"/>
      <c r="M1519" s="1437">
        <f t="shared" si="202"/>
        <v>0</v>
      </c>
      <c r="N1519" s="1437">
        <f t="shared" si="206"/>
        <v>4.4292073000000001E-2</v>
      </c>
    </row>
    <row r="1520" spans="1:14" outlineLevel="1">
      <c r="A1520" s="1499">
        <f t="shared" si="201"/>
        <v>106</v>
      </c>
      <c r="B1520" s="1539" t="str">
        <f t="shared" si="201"/>
        <v>Project-U#8-CW Chlorination system-10509</v>
      </c>
      <c r="C1520" s="1491" t="str">
        <f t="shared" si="201"/>
        <v>N.A.</v>
      </c>
      <c r="D1520" s="1531" t="str">
        <f t="shared" si="201"/>
        <v>-</v>
      </c>
      <c r="E1520" s="1318">
        <f t="shared" si="201"/>
        <v>0</v>
      </c>
      <c r="F1520" s="1437">
        <f t="shared" si="203"/>
        <v>1.1973800000000001E-3</v>
      </c>
      <c r="G1520" s="1437">
        <f t="shared" si="204"/>
        <v>0</v>
      </c>
      <c r="H1520" s="1437">
        <f t="shared" si="205"/>
        <v>1.1973800000000001E-3</v>
      </c>
      <c r="I1520" s="1437">
        <v>0</v>
      </c>
      <c r="J1520" s="1437">
        <v>0</v>
      </c>
      <c r="K1520" s="1438"/>
      <c r="L1520" s="1438"/>
      <c r="M1520" s="1437">
        <f t="shared" si="202"/>
        <v>0</v>
      </c>
      <c r="N1520" s="1437">
        <f t="shared" si="206"/>
        <v>1.1973800000000001E-3</v>
      </c>
    </row>
    <row r="1521" spans="1:14" outlineLevel="1">
      <c r="A1521" s="1499">
        <f t="shared" si="201"/>
        <v>107</v>
      </c>
      <c r="B1521" s="1539" t="str">
        <f t="shared" si="201"/>
        <v>Project-U#8-D.G.SET-10509</v>
      </c>
      <c r="C1521" s="1491" t="str">
        <f t="shared" si="201"/>
        <v>N.A.</v>
      </c>
      <c r="D1521" s="1531" t="str">
        <f t="shared" si="201"/>
        <v>-</v>
      </c>
      <c r="E1521" s="1318">
        <f t="shared" si="201"/>
        <v>0</v>
      </c>
      <c r="F1521" s="1437">
        <f t="shared" si="203"/>
        <v>3.7894E-5</v>
      </c>
      <c r="G1521" s="1437">
        <f t="shared" si="204"/>
        <v>0</v>
      </c>
      <c r="H1521" s="1437">
        <f t="shared" si="205"/>
        <v>3.7894E-5</v>
      </c>
      <c r="I1521" s="1437">
        <v>0</v>
      </c>
      <c r="J1521" s="1437">
        <v>0</v>
      </c>
      <c r="K1521" s="1438"/>
      <c r="L1521" s="1438"/>
      <c r="M1521" s="1437">
        <f t="shared" si="202"/>
        <v>0</v>
      </c>
      <c r="N1521" s="1437">
        <f t="shared" si="206"/>
        <v>3.7894E-5</v>
      </c>
    </row>
    <row r="1522" spans="1:14" outlineLevel="1">
      <c r="A1522" s="1499">
        <f t="shared" si="201"/>
        <v>108</v>
      </c>
      <c r="B1522" s="1539" t="str">
        <f t="shared" si="201"/>
        <v>Project-U#8-D.M.Water System-10509</v>
      </c>
      <c r="C1522" s="1491" t="str">
        <f t="shared" si="201"/>
        <v>N.A.</v>
      </c>
      <c r="D1522" s="1531" t="str">
        <f t="shared" si="201"/>
        <v>-</v>
      </c>
      <c r="E1522" s="1318">
        <f t="shared" si="201"/>
        <v>0</v>
      </c>
      <c r="F1522" s="1437">
        <f t="shared" si="203"/>
        <v>5.7850250000000001E-3</v>
      </c>
      <c r="G1522" s="1437">
        <f t="shared" si="204"/>
        <v>0</v>
      </c>
      <c r="H1522" s="1437">
        <f t="shared" si="205"/>
        <v>5.7850250000000001E-3</v>
      </c>
      <c r="I1522" s="1437">
        <v>0</v>
      </c>
      <c r="J1522" s="1437">
        <v>0</v>
      </c>
      <c r="K1522" s="1438"/>
      <c r="L1522" s="1438"/>
      <c r="M1522" s="1437">
        <f t="shared" si="202"/>
        <v>0</v>
      </c>
      <c r="N1522" s="1437">
        <f t="shared" si="206"/>
        <v>5.7850250000000001E-3</v>
      </c>
    </row>
    <row r="1523" spans="1:14" outlineLevel="1">
      <c r="A1523" s="1499">
        <f t="shared" ref="A1523:E1538" si="207">A1130</f>
        <v>109</v>
      </c>
      <c r="B1523" s="1539" t="str">
        <f t="shared" si="207"/>
        <v>Project-U#8-DG set- Manadatory Spares-10509</v>
      </c>
      <c r="C1523" s="1491" t="str">
        <f t="shared" si="207"/>
        <v>N.A.</v>
      </c>
      <c r="D1523" s="1531" t="str">
        <f t="shared" si="207"/>
        <v>-</v>
      </c>
      <c r="E1523" s="1318">
        <f t="shared" si="207"/>
        <v>0</v>
      </c>
      <c r="F1523" s="1437">
        <f t="shared" si="203"/>
        <v>2.5003999999999998E-4</v>
      </c>
      <c r="G1523" s="1437">
        <f t="shared" si="204"/>
        <v>0</v>
      </c>
      <c r="H1523" s="1437">
        <f t="shared" si="205"/>
        <v>2.5003999999999998E-4</v>
      </c>
      <c r="I1523" s="1437">
        <v>0</v>
      </c>
      <c r="J1523" s="1437">
        <v>0</v>
      </c>
      <c r="K1523" s="1438"/>
      <c r="L1523" s="1438"/>
      <c r="M1523" s="1437">
        <f t="shared" si="202"/>
        <v>0</v>
      </c>
      <c r="N1523" s="1437">
        <f t="shared" si="206"/>
        <v>2.5003999999999998E-4</v>
      </c>
    </row>
    <row r="1524" spans="1:14" outlineLevel="1">
      <c r="A1524" s="1499">
        <f t="shared" si="207"/>
        <v>110</v>
      </c>
      <c r="B1524" s="1539" t="str">
        <f t="shared" si="207"/>
        <v>Project-U#8-DG Set Room cum Air Compressor House</v>
      </c>
      <c r="C1524" s="1491" t="str">
        <f t="shared" si="207"/>
        <v>N.A.</v>
      </c>
      <c r="D1524" s="1531" t="str">
        <f t="shared" si="207"/>
        <v>-</v>
      </c>
      <c r="E1524" s="1318">
        <f t="shared" si="207"/>
        <v>0</v>
      </c>
      <c r="F1524" s="1437">
        <f t="shared" si="203"/>
        <v>5.5794089999999996E-3</v>
      </c>
      <c r="G1524" s="1437">
        <f t="shared" si="204"/>
        <v>0</v>
      </c>
      <c r="H1524" s="1437">
        <f t="shared" si="205"/>
        <v>5.5794089999999996E-3</v>
      </c>
      <c r="I1524" s="1437">
        <v>0</v>
      </c>
      <c r="J1524" s="1437">
        <v>0</v>
      </c>
      <c r="K1524" s="1438"/>
      <c r="L1524" s="1438"/>
      <c r="M1524" s="1437">
        <f t="shared" si="202"/>
        <v>0</v>
      </c>
      <c r="N1524" s="1437">
        <f t="shared" si="206"/>
        <v>5.5794089999999996E-3</v>
      </c>
    </row>
    <row r="1525" spans="1:14" outlineLevel="1">
      <c r="A1525" s="1499">
        <f t="shared" si="207"/>
        <v>111</v>
      </c>
      <c r="B1525" s="1539" t="str">
        <f t="shared" si="207"/>
        <v>Project-U#8-Steel for TechnologicalStructure-10501</v>
      </c>
      <c r="C1525" s="1491" t="str">
        <f t="shared" si="207"/>
        <v>N.A.</v>
      </c>
      <c r="D1525" s="1531" t="str">
        <f t="shared" si="207"/>
        <v>-</v>
      </c>
      <c r="E1525" s="1318">
        <f t="shared" si="207"/>
        <v>0</v>
      </c>
      <c r="F1525" s="1437">
        <f t="shared" si="203"/>
        <v>0.14835727600000001</v>
      </c>
      <c r="G1525" s="1437">
        <f t="shared" si="204"/>
        <v>0</v>
      </c>
      <c r="H1525" s="1437">
        <f t="shared" si="205"/>
        <v>0.14835727600000001</v>
      </c>
      <c r="I1525" s="1437">
        <v>0</v>
      </c>
      <c r="J1525" s="1437">
        <v>0</v>
      </c>
      <c r="K1525" s="1438"/>
      <c r="L1525" s="1438"/>
      <c r="M1525" s="1437">
        <f t="shared" si="202"/>
        <v>0</v>
      </c>
      <c r="N1525" s="1437">
        <f t="shared" si="206"/>
        <v>0.14835727600000001</v>
      </c>
    </row>
    <row r="1526" spans="1:14" outlineLevel="1">
      <c r="A1526" s="1499">
        <f t="shared" si="207"/>
        <v>112</v>
      </c>
      <c r="B1526" s="1539" t="str">
        <f t="shared" si="207"/>
        <v>Project-U#8-Electrical Package for BOP-10509</v>
      </c>
      <c r="C1526" s="1491" t="str">
        <f t="shared" si="207"/>
        <v>N.A.</v>
      </c>
      <c r="D1526" s="1531" t="str">
        <f t="shared" si="207"/>
        <v>-</v>
      </c>
      <c r="E1526" s="1318">
        <f t="shared" si="207"/>
        <v>0</v>
      </c>
      <c r="F1526" s="1437">
        <f t="shared" si="203"/>
        <v>2.4904469999999998E-3</v>
      </c>
      <c r="G1526" s="1437">
        <f t="shared" si="204"/>
        <v>0</v>
      </c>
      <c r="H1526" s="1437">
        <f t="shared" si="205"/>
        <v>2.4904469999999998E-3</v>
      </c>
      <c r="I1526" s="1437">
        <v>0</v>
      </c>
      <c r="J1526" s="1437">
        <v>0</v>
      </c>
      <c r="K1526" s="1438"/>
      <c r="L1526" s="1438"/>
      <c r="M1526" s="1437">
        <f t="shared" si="202"/>
        <v>0</v>
      </c>
      <c r="N1526" s="1437">
        <f t="shared" si="206"/>
        <v>2.4904469999999998E-3</v>
      </c>
    </row>
    <row r="1527" spans="1:14" outlineLevel="1">
      <c r="A1527" s="1499">
        <f t="shared" si="207"/>
        <v>113</v>
      </c>
      <c r="B1527" s="1539" t="str">
        <f t="shared" si="207"/>
        <v>Project-U#8-Electrical CHARGES-10509</v>
      </c>
      <c r="C1527" s="1491" t="str">
        <f t="shared" si="207"/>
        <v>N.A.</v>
      </c>
      <c r="D1527" s="1531" t="str">
        <f t="shared" si="207"/>
        <v>-</v>
      </c>
      <c r="E1527" s="1318">
        <f t="shared" si="207"/>
        <v>0</v>
      </c>
      <c r="F1527" s="1437">
        <f t="shared" si="203"/>
        <v>4.1155000000000002E-5</v>
      </c>
      <c r="G1527" s="1437">
        <f t="shared" si="204"/>
        <v>0</v>
      </c>
      <c r="H1527" s="1437">
        <f t="shared" si="205"/>
        <v>4.1155000000000002E-5</v>
      </c>
      <c r="I1527" s="1437">
        <v>0</v>
      </c>
      <c r="J1527" s="1437">
        <v>0</v>
      </c>
      <c r="K1527" s="1438"/>
      <c r="L1527" s="1438"/>
      <c r="M1527" s="1437">
        <f t="shared" si="202"/>
        <v>0</v>
      </c>
      <c r="N1527" s="1437">
        <f t="shared" si="206"/>
        <v>4.1155000000000002E-5</v>
      </c>
    </row>
    <row r="1528" spans="1:14" outlineLevel="1">
      <c r="A1528" s="1499">
        <f t="shared" si="207"/>
        <v>114</v>
      </c>
      <c r="B1528" s="1539" t="str">
        <f t="shared" si="207"/>
        <v>Project-U#8-Electrical Package for BOP-Mandatory</v>
      </c>
      <c r="C1528" s="1491" t="str">
        <f t="shared" si="207"/>
        <v>N.A.</v>
      </c>
      <c r="D1528" s="1531" t="str">
        <f t="shared" si="207"/>
        <v>-</v>
      </c>
      <c r="E1528" s="1318">
        <f t="shared" si="207"/>
        <v>0</v>
      </c>
      <c r="F1528" s="1437">
        <f t="shared" si="203"/>
        <v>2.7569600000000002E-4</v>
      </c>
      <c r="G1528" s="1437">
        <f t="shared" si="204"/>
        <v>0</v>
      </c>
      <c r="H1528" s="1437">
        <f t="shared" si="205"/>
        <v>2.7569600000000002E-4</v>
      </c>
      <c r="I1528" s="1437">
        <v>0</v>
      </c>
      <c r="J1528" s="1437">
        <v>0</v>
      </c>
      <c r="K1528" s="1438"/>
      <c r="L1528" s="1438"/>
      <c r="M1528" s="1437">
        <f t="shared" si="202"/>
        <v>0</v>
      </c>
      <c r="N1528" s="1437">
        <f t="shared" si="206"/>
        <v>2.7569600000000002E-4</v>
      </c>
    </row>
    <row r="1529" spans="1:14" outlineLevel="1">
      <c r="A1529" s="1499">
        <f t="shared" si="207"/>
        <v>115</v>
      </c>
      <c r="B1529" s="1539" t="str">
        <f t="shared" si="207"/>
        <v>Project-U#8-Fire Protection, Alarm &amp; Detection</v>
      </c>
      <c r="C1529" s="1491" t="str">
        <f t="shared" si="207"/>
        <v>N.A.</v>
      </c>
      <c r="D1529" s="1531" t="str">
        <f t="shared" si="207"/>
        <v>-</v>
      </c>
      <c r="E1529" s="1318">
        <f t="shared" si="207"/>
        <v>0</v>
      </c>
      <c r="F1529" s="1437">
        <f t="shared" si="203"/>
        <v>7.1787910000000003E-3</v>
      </c>
      <c r="G1529" s="1437">
        <f t="shared" si="204"/>
        <v>0</v>
      </c>
      <c r="H1529" s="1437">
        <f t="shared" si="205"/>
        <v>7.1787910000000003E-3</v>
      </c>
      <c r="I1529" s="1437">
        <v>0</v>
      </c>
      <c r="J1529" s="1437">
        <v>0</v>
      </c>
      <c r="K1529" s="1438"/>
      <c r="L1529" s="1438"/>
      <c r="M1529" s="1437">
        <f t="shared" si="202"/>
        <v>0</v>
      </c>
      <c r="N1529" s="1437">
        <f t="shared" si="206"/>
        <v>7.1787910000000003E-3</v>
      </c>
    </row>
    <row r="1530" spans="1:14" outlineLevel="1">
      <c r="A1530" s="1499">
        <f t="shared" si="207"/>
        <v>116</v>
      </c>
      <c r="B1530" s="1539" t="str">
        <f t="shared" si="207"/>
        <v>Project-U#8-Fuel Oil Pump House-10516</v>
      </c>
      <c r="C1530" s="1491" t="str">
        <f t="shared" si="207"/>
        <v>N.A.</v>
      </c>
      <c r="D1530" s="1531" t="str">
        <f t="shared" si="207"/>
        <v>-</v>
      </c>
      <c r="E1530" s="1318">
        <f t="shared" si="207"/>
        <v>0</v>
      </c>
      <c r="F1530" s="1437">
        <f t="shared" si="203"/>
        <v>4.0925400000000004E-3</v>
      </c>
      <c r="G1530" s="1437">
        <f t="shared" si="204"/>
        <v>0</v>
      </c>
      <c r="H1530" s="1437">
        <f t="shared" si="205"/>
        <v>4.0925400000000004E-3</v>
      </c>
      <c r="I1530" s="1437">
        <v>0</v>
      </c>
      <c r="J1530" s="1437">
        <v>0</v>
      </c>
      <c r="K1530" s="1438"/>
      <c r="L1530" s="1438"/>
      <c r="M1530" s="1437">
        <f t="shared" si="202"/>
        <v>0</v>
      </c>
      <c r="N1530" s="1437">
        <f t="shared" si="206"/>
        <v>4.0925400000000004E-3</v>
      </c>
    </row>
    <row r="1531" spans="1:14" outlineLevel="1">
      <c r="A1531" s="1499">
        <f t="shared" si="207"/>
        <v>117</v>
      </c>
      <c r="B1531" s="1539" t="str">
        <f t="shared" si="207"/>
        <v>Project-U#8-Generator Transformer-10541</v>
      </c>
      <c r="C1531" s="1491" t="str">
        <f t="shared" si="207"/>
        <v>N.A.</v>
      </c>
      <c r="D1531" s="1531" t="str">
        <f t="shared" si="207"/>
        <v>-</v>
      </c>
      <c r="E1531" s="1318">
        <f t="shared" si="207"/>
        <v>0</v>
      </c>
      <c r="F1531" s="1437">
        <f t="shared" si="203"/>
        <v>1.2655415999999999E-2</v>
      </c>
      <c r="G1531" s="1437">
        <f t="shared" si="204"/>
        <v>0</v>
      </c>
      <c r="H1531" s="1437">
        <f t="shared" si="205"/>
        <v>1.2655415999999999E-2</v>
      </c>
      <c r="I1531" s="1437">
        <v>0</v>
      </c>
      <c r="J1531" s="1437">
        <v>0</v>
      </c>
      <c r="K1531" s="1438"/>
      <c r="L1531" s="1438"/>
      <c r="M1531" s="1437">
        <f t="shared" si="202"/>
        <v>0</v>
      </c>
      <c r="N1531" s="1437">
        <f t="shared" si="206"/>
        <v>1.2655415999999999E-2</v>
      </c>
    </row>
    <row r="1532" spans="1:14" outlineLevel="1">
      <c r="A1532" s="1499">
        <f t="shared" si="207"/>
        <v>118</v>
      </c>
      <c r="B1532" s="1539" t="str">
        <f t="shared" si="207"/>
        <v>Project-U#8-Generator/Transformer protection</v>
      </c>
      <c r="C1532" s="1491" t="str">
        <f t="shared" si="207"/>
        <v>N.A.</v>
      </c>
      <c r="D1532" s="1531" t="str">
        <f t="shared" si="207"/>
        <v>-</v>
      </c>
      <c r="E1532" s="1318">
        <f t="shared" si="207"/>
        <v>0</v>
      </c>
      <c r="F1532" s="1437">
        <f t="shared" si="203"/>
        <v>2.45393E-4</v>
      </c>
      <c r="G1532" s="1437">
        <f t="shared" si="204"/>
        <v>0</v>
      </c>
      <c r="H1532" s="1437">
        <f t="shared" si="205"/>
        <v>2.45393E-4</v>
      </c>
      <c r="I1532" s="1437">
        <v>0</v>
      </c>
      <c r="J1532" s="1437">
        <v>0</v>
      </c>
      <c r="K1532" s="1438"/>
      <c r="L1532" s="1438"/>
      <c r="M1532" s="1437">
        <f t="shared" si="202"/>
        <v>0</v>
      </c>
      <c r="N1532" s="1437">
        <f t="shared" si="206"/>
        <v>2.45393E-4</v>
      </c>
    </row>
    <row r="1533" spans="1:14" outlineLevel="1">
      <c r="A1533" s="1499">
        <f t="shared" si="207"/>
        <v>119</v>
      </c>
      <c r="B1533" s="1539" t="str">
        <f t="shared" si="207"/>
        <v>Project-U#8-H.T.Switchgear for main plant-10561</v>
      </c>
      <c r="C1533" s="1491" t="str">
        <f t="shared" si="207"/>
        <v>N.A.</v>
      </c>
      <c r="D1533" s="1531" t="str">
        <f t="shared" si="207"/>
        <v>-</v>
      </c>
      <c r="E1533" s="1318">
        <f t="shared" si="207"/>
        <v>0</v>
      </c>
      <c r="F1533" s="1437">
        <f t="shared" si="203"/>
        <v>2.5188164999999998E-2</v>
      </c>
      <c r="G1533" s="1437">
        <f t="shared" si="204"/>
        <v>0</v>
      </c>
      <c r="H1533" s="1437">
        <f t="shared" si="205"/>
        <v>2.5188164999999998E-2</v>
      </c>
      <c r="I1533" s="1437">
        <v>0</v>
      </c>
      <c r="J1533" s="1437">
        <v>0</v>
      </c>
      <c r="K1533" s="1438"/>
      <c r="L1533" s="1438"/>
      <c r="M1533" s="1437">
        <f t="shared" si="202"/>
        <v>0</v>
      </c>
      <c r="N1533" s="1437">
        <f t="shared" si="206"/>
        <v>2.5188164999999998E-2</v>
      </c>
    </row>
    <row r="1534" spans="1:14" outlineLevel="1">
      <c r="A1534" s="1499">
        <f t="shared" si="207"/>
        <v>120</v>
      </c>
      <c r="B1534" s="1539" t="str">
        <f t="shared" si="207"/>
        <v>Project-U#8-Indoor &amp; Outdoor plant lighting-10599</v>
      </c>
      <c r="C1534" s="1491" t="str">
        <f t="shared" si="207"/>
        <v>N.A.</v>
      </c>
      <c r="D1534" s="1531" t="str">
        <f t="shared" si="207"/>
        <v>-</v>
      </c>
      <c r="E1534" s="1318">
        <f t="shared" si="207"/>
        <v>0</v>
      </c>
      <c r="F1534" s="1437">
        <f t="shared" si="203"/>
        <v>4.0770299999999998E-4</v>
      </c>
      <c r="G1534" s="1437">
        <f t="shared" si="204"/>
        <v>0</v>
      </c>
      <c r="H1534" s="1437">
        <f t="shared" si="205"/>
        <v>4.0770299999999998E-4</v>
      </c>
      <c r="I1534" s="1437">
        <v>0</v>
      </c>
      <c r="J1534" s="1437">
        <v>0</v>
      </c>
      <c r="K1534" s="1438"/>
      <c r="L1534" s="1438"/>
      <c r="M1534" s="1437">
        <f t="shared" si="202"/>
        <v>0</v>
      </c>
      <c r="N1534" s="1437">
        <f t="shared" si="206"/>
        <v>4.0770299999999998E-4</v>
      </c>
    </row>
    <row r="1535" spans="1:14" outlineLevel="1">
      <c r="A1535" s="1499">
        <f t="shared" si="207"/>
        <v>121</v>
      </c>
      <c r="B1535" s="1539" t="str">
        <f t="shared" si="207"/>
        <v>Project-U#8-L.P.Piping including valves-10509</v>
      </c>
      <c r="C1535" s="1491" t="str">
        <f t="shared" si="207"/>
        <v>N.A.</v>
      </c>
      <c r="D1535" s="1531" t="str">
        <f t="shared" si="207"/>
        <v>-</v>
      </c>
      <c r="E1535" s="1318">
        <f t="shared" si="207"/>
        <v>0</v>
      </c>
      <c r="F1535" s="1437">
        <f t="shared" si="203"/>
        <v>3.8246069999999998E-3</v>
      </c>
      <c r="G1535" s="1437">
        <f t="shared" si="204"/>
        <v>0</v>
      </c>
      <c r="H1535" s="1437">
        <f t="shared" si="205"/>
        <v>3.8246069999999998E-3</v>
      </c>
      <c r="I1535" s="1437">
        <v>0</v>
      </c>
      <c r="J1535" s="1437">
        <v>0</v>
      </c>
      <c r="K1535" s="1438"/>
      <c r="L1535" s="1438"/>
      <c r="M1535" s="1437">
        <f t="shared" si="202"/>
        <v>0</v>
      </c>
      <c r="N1535" s="1437">
        <f t="shared" si="206"/>
        <v>3.8246069999999998E-3</v>
      </c>
    </row>
    <row r="1536" spans="1:14" outlineLevel="1">
      <c r="A1536" s="1499">
        <f t="shared" si="207"/>
        <v>122</v>
      </c>
      <c r="B1536" s="1539" t="str">
        <f t="shared" si="207"/>
        <v>Project-U#8-L.T. Electrical for main plant.-10561</v>
      </c>
      <c r="C1536" s="1491" t="str">
        <f t="shared" si="207"/>
        <v>N.A.</v>
      </c>
      <c r="D1536" s="1531" t="str">
        <f t="shared" si="207"/>
        <v>-</v>
      </c>
      <c r="E1536" s="1318">
        <f t="shared" si="207"/>
        <v>0</v>
      </c>
      <c r="F1536" s="1437">
        <f t="shared" si="203"/>
        <v>8.7066999999999998E-5</v>
      </c>
      <c r="G1536" s="1437">
        <f t="shared" si="204"/>
        <v>0</v>
      </c>
      <c r="H1536" s="1437">
        <f t="shared" si="205"/>
        <v>8.7066999999999998E-5</v>
      </c>
      <c r="I1536" s="1437">
        <v>0</v>
      </c>
      <c r="J1536" s="1437">
        <v>0</v>
      </c>
      <c r="K1536" s="1438"/>
      <c r="L1536" s="1438"/>
      <c r="M1536" s="1437">
        <f t="shared" si="202"/>
        <v>0</v>
      </c>
      <c r="N1536" s="1437">
        <f t="shared" si="206"/>
        <v>8.7066999999999998E-5</v>
      </c>
    </row>
    <row r="1537" spans="1:14" outlineLevel="1">
      <c r="A1537" s="1499">
        <f t="shared" si="207"/>
        <v>123</v>
      </c>
      <c r="B1537" s="1539" t="str">
        <f t="shared" si="207"/>
        <v>Project-U#8-Laying&amp;Termination of HT cables-10561</v>
      </c>
      <c r="C1537" s="1491" t="str">
        <f t="shared" si="207"/>
        <v>N.A.</v>
      </c>
      <c r="D1537" s="1531" t="str">
        <f t="shared" si="207"/>
        <v>-</v>
      </c>
      <c r="E1537" s="1318">
        <f t="shared" si="207"/>
        <v>0</v>
      </c>
      <c r="F1537" s="1437">
        <f t="shared" si="203"/>
        <v>8.2310499999999997E-4</v>
      </c>
      <c r="G1537" s="1437">
        <f t="shared" si="204"/>
        <v>0</v>
      </c>
      <c r="H1537" s="1437">
        <f t="shared" si="205"/>
        <v>8.2310499999999997E-4</v>
      </c>
      <c r="I1537" s="1437">
        <v>0</v>
      </c>
      <c r="J1537" s="1437">
        <v>0</v>
      </c>
      <c r="K1537" s="1438"/>
      <c r="L1537" s="1438"/>
      <c r="M1537" s="1437">
        <f t="shared" si="202"/>
        <v>0</v>
      </c>
      <c r="N1537" s="1437">
        <f t="shared" si="206"/>
        <v>8.2310499999999997E-4</v>
      </c>
    </row>
    <row r="1538" spans="1:14" outlineLevel="1">
      <c r="A1538" s="1499">
        <f t="shared" si="207"/>
        <v>124</v>
      </c>
      <c r="B1538" s="1539" t="str">
        <f t="shared" si="207"/>
        <v>Project-U#8-MainBoiler Structure&amp;foundations-10501</v>
      </c>
      <c r="C1538" s="1491" t="str">
        <f t="shared" si="207"/>
        <v>N.A.</v>
      </c>
      <c r="D1538" s="1531" t="str">
        <f t="shared" si="207"/>
        <v>-</v>
      </c>
      <c r="E1538" s="1318">
        <f t="shared" si="207"/>
        <v>0</v>
      </c>
      <c r="F1538" s="1437">
        <f t="shared" si="203"/>
        <v>9.9409977999999996E-2</v>
      </c>
      <c r="G1538" s="1437">
        <f t="shared" si="204"/>
        <v>0</v>
      </c>
      <c r="H1538" s="1437">
        <f t="shared" si="205"/>
        <v>9.9409977999999996E-2</v>
      </c>
      <c r="I1538" s="1437">
        <v>0</v>
      </c>
      <c r="J1538" s="1437">
        <v>0</v>
      </c>
      <c r="K1538" s="1438"/>
      <c r="L1538" s="1438"/>
      <c r="M1538" s="1437">
        <f t="shared" si="202"/>
        <v>0</v>
      </c>
      <c r="N1538" s="1437">
        <f t="shared" si="206"/>
        <v>9.9409977999999996E-2</v>
      </c>
    </row>
    <row r="1539" spans="1:14" outlineLevel="1">
      <c r="A1539" s="1499">
        <f t="shared" ref="A1539:E1554" si="208">A1146</f>
        <v>125</v>
      </c>
      <c r="B1539" s="1539" t="str">
        <f t="shared" si="208"/>
        <v>Project-U#8-Mandatory Spares for Ash HandlingPlant</v>
      </c>
      <c r="C1539" s="1491" t="str">
        <f t="shared" si="208"/>
        <v>N.A.</v>
      </c>
      <c r="D1539" s="1531" t="str">
        <f t="shared" si="208"/>
        <v>-</v>
      </c>
      <c r="E1539" s="1318">
        <f t="shared" si="208"/>
        <v>0</v>
      </c>
      <c r="F1539" s="1437">
        <f t="shared" si="203"/>
        <v>1.561633E-3</v>
      </c>
      <c r="G1539" s="1437">
        <f t="shared" si="204"/>
        <v>0</v>
      </c>
      <c r="H1539" s="1437">
        <f t="shared" si="205"/>
        <v>1.561633E-3</v>
      </c>
      <c r="I1539" s="1437">
        <v>0</v>
      </c>
      <c r="J1539" s="1437">
        <v>0</v>
      </c>
      <c r="K1539" s="1438"/>
      <c r="L1539" s="1438"/>
      <c r="M1539" s="1437">
        <f t="shared" si="202"/>
        <v>0</v>
      </c>
      <c r="N1539" s="1437">
        <f t="shared" si="206"/>
        <v>1.561633E-3</v>
      </c>
    </row>
    <row r="1540" spans="1:14" outlineLevel="1">
      <c r="A1540" s="1499">
        <f t="shared" si="208"/>
        <v>126</v>
      </c>
      <c r="B1540" s="1539" t="str">
        <f t="shared" si="208"/>
        <v>Project-U#8-Mandatory spares for C&amp;I of Main Plant</v>
      </c>
      <c r="C1540" s="1491" t="str">
        <f t="shared" si="208"/>
        <v>N.A.</v>
      </c>
      <c r="D1540" s="1531" t="str">
        <f t="shared" si="208"/>
        <v>-</v>
      </c>
      <c r="E1540" s="1318">
        <f t="shared" si="208"/>
        <v>0</v>
      </c>
      <c r="F1540" s="1437">
        <f t="shared" si="203"/>
        <v>5.0294800000000002E-3</v>
      </c>
      <c r="G1540" s="1437">
        <f t="shared" si="204"/>
        <v>0</v>
      </c>
      <c r="H1540" s="1437">
        <f t="shared" si="205"/>
        <v>5.0294800000000002E-3</v>
      </c>
      <c r="I1540" s="1437">
        <v>0</v>
      </c>
      <c r="J1540" s="1437">
        <v>0</v>
      </c>
      <c r="K1540" s="1438"/>
      <c r="L1540" s="1438"/>
      <c r="M1540" s="1437">
        <f t="shared" si="202"/>
        <v>0</v>
      </c>
      <c r="N1540" s="1437">
        <f t="shared" si="206"/>
        <v>5.0294800000000002E-3</v>
      </c>
    </row>
    <row r="1541" spans="1:14" outlineLevel="1">
      <c r="A1541" s="1499">
        <f t="shared" si="208"/>
        <v>127</v>
      </c>
      <c r="B1541" s="1539" t="str">
        <f t="shared" si="208"/>
        <v>Project-U#8-Mandatory Spares for Electrical MainPa</v>
      </c>
      <c r="C1541" s="1491" t="str">
        <f t="shared" si="208"/>
        <v>N.A.</v>
      </c>
      <c r="D1541" s="1531" t="str">
        <f t="shared" si="208"/>
        <v>-</v>
      </c>
      <c r="E1541" s="1318">
        <f t="shared" si="208"/>
        <v>0</v>
      </c>
      <c r="F1541" s="1437">
        <f t="shared" si="203"/>
        <v>1.5600531000000001E-2</v>
      </c>
      <c r="G1541" s="1437">
        <f t="shared" si="204"/>
        <v>0</v>
      </c>
      <c r="H1541" s="1437">
        <f t="shared" si="205"/>
        <v>1.5600531000000001E-2</v>
      </c>
      <c r="I1541" s="1437">
        <v>0</v>
      </c>
      <c r="J1541" s="1437">
        <v>0</v>
      </c>
      <c r="K1541" s="1438"/>
      <c r="L1541" s="1438"/>
      <c r="M1541" s="1437">
        <f t="shared" si="202"/>
        <v>0</v>
      </c>
      <c r="N1541" s="1437">
        <f t="shared" si="206"/>
        <v>1.5600531000000001E-2</v>
      </c>
    </row>
    <row r="1542" spans="1:14" outlineLevel="1">
      <c r="A1542" s="1499">
        <f t="shared" si="208"/>
        <v>128</v>
      </c>
      <c r="B1542" s="1539" t="str">
        <f t="shared" si="208"/>
        <v>Project-U#8-Mandatory Spares For TG &amp; Auxilliaries</v>
      </c>
      <c r="C1542" s="1491" t="str">
        <f t="shared" si="208"/>
        <v>N.A.</v>
      </c>
      <c r="D1542" s="1531" t="str">
        <f t="shared" si="208"/>
        <v>-</v>
      </c>
      <c r="E1542" s="1318">
        <f t="shared" si="208"/>
        <v>0</v>
      </c>
      <c r="F1542" s="1437">
        <f t="shared" si="203"/>
        <v>6.2588310000000003E-3</v>
      </c>
      <c r="G1542" s="1437">
        <f t="shared" si="204"/>
        <v>0</v>
      </c>
      <c r="H1542" s="1437">
        <f t="shared" si="205"/>
        <v>6.2588310000000003E-3</v>
      </c>
      <c r="I1542" s="1437">
        <v>0</v>
      </c>
      <c r="J1542" s="1437">
        <v>0</v>
      </c>
      <c r="K1542" s="1438"/>
      <c r="L1542" s="1438"/>
      <c r="M1542" s="1437">
        <f t="shared" si="202"/>
        <v>0</v>
      </c>
      <c r="N1542" s="1437">
        <f t="shared" si="206"/>
        <v>6.2588310000000003E-3</v>
      </c>
    </row>
    <row r="1543" spans="1:14" outlineLevel="1">
      <c r="A1543" s="1499">
        <f t="shared" si="208"/>
        <v>129</v>
      </c>
      <c r="B1543" s="1539" t="str">
        <f t="shared" si="208"/>
        <v>Project-U#8-Misc. Cranes &amp; hoists-10553</v>
      </c>
      <c r="C1543" s="1491" t="str">
        <f t="shared" si="208"/>
        <v>N.A.</v>
      </c>
      <c r="D1543" s="1531" t="str">
        <f t="shared" si="208"/>
        <v>-</v>
      </c>
      <c r="E1543" s="1318">
        <f t="shared" si="208"/>
        <v>0</v>
      </c>
      <c r="F1543" s="1437">
        <f t="shared" si="203"/>
        <v>2.353651E-3</v>
      </c>
      <c r="G1543" s="1437">
        <f t="shared" si="204"/>
        <v>0</v>
      </c>
      <c r="H1543" s="1437">
        <f t="shared" si="205"/>
        <v>2.353651E-3</v>
      </c>
      <c r="I1543" s="1437">
        <v>0</v>
      </c>
      <c r="J1543" s="1437">
        <v>0</v>
      </c>
      <c r="K1543" s="1438"/>
      <c r="L1543" s="1438"/>
      <c r="M1543" s="1437">
        <f t="shared" si="202"/>
        <v>0</v>
      </c>
      <c r="N1543" s="1437">
        <f t="shared" si="206"/>
        <v>2.353651E-3</v>
      </c>
    </row>
    <row r="1544" spans="1:14" outlineLevel="1">
      <c r="A1544" s="1499">
        <f t="shared" si="208"/>
        <v>130</v>
      </c>
      <c r="B1544" s="1539" t="str">
        <f t="shared" si="208"/>
        <v>Project-U#8-Miscellaneous Pumps -10599</v>
      </c>
      <c r="C1544" s="1491" t="str">
        <f t="shared" si="208"/>
        <v>N.A.</v>
      </c>
      <c r="D1544" s="1531" t="str">
        <f t="shared" si="208"/>
        <v>-</v>
      </c>
      <c r="E1544" s="1318">
        <f t="shared" si="208"/>
        <v>0</v>
      </c>
      <c r="F1544" s="1437">
        <f t="shared" si="203"/>
        <v>1.5672209999999999E-3</v>
      </c>
      <c r="G1544" s="1437">
        <f t="shared" si="204"/>
        <v>0</v>
      </c>
      <c r="H1544" s="1437">
        <f t="shared" si="205"/>
        <v>1.5672209999999999E-3</v>
      </c>
      <c r="I1544" s="1437">
        <v>0</v>
      </c>
      <c r="J1544" s="1437">
        <v>0</v>
      </c>
      <c r="K1544" s="1438"/>
      <c r="L1544" s="1438"/>
      <c r="M1544" s="1437">
        <f t="shared" si="202"/>
        <v>0</v>
      </c>
      <c r="N1544" s="1437">
        <f t="shared" si="206"/>
        <v>1.5672209999999999E-3</v>
      </c>
    </row>
    <row r="1545" spans="1:14" outlineLevel="1">
      <c r="A1545" s="1499">
        <f t="shared" si="208"/>
        <v>131</v>
      </c>
      <c r="B1545" s="1539" t="str">
        <f t="shared" si="208"/>
        <v>Project-U#8-Passanger lift for TG Building-10599</v>
      </c>
      <c r="C1545" s="1491" t="str">
        <f t="shared" si="208"/>
        <v>N.A.</v>
      </c>
      <c r="D1545" s="1531" t="str">
        <f t="shared" si="208"/>
        <v>-</v>
      </c>
      <c r="E1545" s="1318">
        <f t="shared" si="208"/>
        <v>0</v>
      </c>
      <c r="F1545" s="1437">
        <f t="shared" si="203"/>
        <v>1.635811E-3</v>
      </c>
      <c r="G1545" s="1437">
        <f t="shared" si="204"/>
        <v>0</v>
      </c>
      <c r="H1545" s="1437">
        <f t="shared" si="205"/>
        <v>1.635811E-3</v>
      </c>
      <c r="I1545" s="1437">
        <v>0</v>
      </c>
      <c r="J1545" s="1437">
        <v>0</v>
      </c>
      <c r="K1545" s="1438"/>
      <c r="L1545" s="1438"/>
      <c r="M1545" s="1437">
        <f t="shared" si="202"/>
        <v>0</v>
      </c>
      <c r="N1545" s="1437">
        <f t="shared" si="206"/>
        <v>1.635811E-3</v>
      </c>
    </row>
    <row r="1546" spans="1:14" outlineLevel="1">
      <c r="A1546" s="1499">
        <f t="shared" si="208"/>
        <v>132</v>
      </c>
      <c r="B1546" s="1539" t="str">
        <f t="shared" si="208"/>
        <v>Project-U#8-Passanger/Material Lift at boiler side</v>
      </c>
      <c r="C1546" s="1491" t="str">
        <f t="shared" si="208"/>
        <v>N.A.</v>
      </c>
      <c r="D1546" s="1531" t="str">
        <f t="shared" si="208"/>
        <v>-</v>
      </c>
      <c r="E1546" s="1318">
        <f t="shared" si="208"/>
        <v>0</v>
      </c>
      <c r="F1546" s="1437">
        <f t="shared" si="203"/>
        <v>8.4731499999999996E-4</v>
      </c>
      <c r="G1546" s="1437">
        <f t="shared" si="204"/>
        <v>0</v>
      </c>
      <c r="H1546" s="1437">
        <f t="shared" si="205"/>
        <v>8.4731499999999996E-4</v>
      </c>
      <c r="I1546" s="1437">
        <v>0</v>
      </c>
      <c r="J1546" s="1437">
        <v>0</v>
      </c>
      <c r="K1546" s="1438"/>
      <c r="L1546" s="1438"/>
      <c r="M1546" s="1437">
        <f t="shared" si="202"/>
        <v>0</v>
      </c>
      <c r="N1546" s="1437">
        <f t="shared" si="206"/>
        <v>8.4731499999999996E-4</v>
      </c>
    </row>
    <row r="1547" spans="1:14" outlineLevel="1">
      <c r="A1547" s="1499">
        <f t="shared" si="208"/>
        <v>133</v>
      </c>
      <c r="B1547" s="1539" t="str">
        <f t="shared" si="208"/>
        <v>Project-U#8-Chemical Laboratory -10509</v>
      </c>
      <c r="C1547" s="1491" t="str">
        <f t="shared" si="208"/>
        <v>N.A.</v>
      </c>
      <c r="D1547" s="1531" t="str">
        <f t="shared" si="208"/>
        <v>-</v>
      </c>
      <c r="E1547" s="1318">
        <f t="shared" si="208"/>
        <v>0</v>
      </c>
      <c r="F1547" s="1437">
        <f t="shared" si="203"/>
        <v>1.1647579999999999E-3</v>
      </c>
      <c r="G1547" s="1437">
        <f t="shared" si="204"/>
        <v>0</v>
      </c>
      <c r="H1547" s="1437">
        <f t="shared" si="205"/>
        <v>1.1647579999999999E-3</v>
      </c>
      <c r="I1547" s="1437">
        <v>0</v>
      </c>
      <c r="J1547" s="1437">
        <v>0</v>
      </c>
      <c r="K1547" s="1438"/>
      <c r="L1547" s="1438"/>
      <c r="M1547" s="1437">
        <f t="shared" si="202"/>
        <v>0</v>
      </c>
      <c r="N1547" s="1437">
        <f t="shared" si="206"/>
        <v>1.1647579999999999E-3</v>
      </c>
    </row>
    <row r="1548" spans="1:14" outlineLevel="1">
      <c r="A1548" s="1499">
        <f t="shared" si="208"/>
        <v>134</v>
      </c>
      <c r="B1548" s="1539" t="str">
        <f t="shared" si="208"/>
        <v>Project-U#8-Sewage Treatment Plant-10509</v>
      </c>
      <c r="C1548" s="1491" t="str">
        <f t="shared" si="208"/>
        <v>N.A.</v>
      </c>
      <c r="D1548" s="1531" t="str">
        <f t="shared" si="208"/>
        <v>-</v>
      </c>
      <c r="E1548" s="1318">
        <f t="shared" si="208"/>
        <v>0</v>
      </c>
      <c r="F1548" s="1437">
        <f t="shared" si="203"/>
        <v>1.90058E-3</v>
      </c>
      <c r="G1548" s="1437">
        <f t="shared" si="204"/>
        <v>0</v>
      </c>
      <c r="H1548" s="1437">
        <f t="shared" si="205"/>
        <v>1.90058E-3</v>
      </c>
      <c r="I1548" s="1437">
        <v>0</v>
      </c>
      <c r="J1548" s="1437">
        <v>0</v>
      </c>
      <c r="K1548" s="1438"/>
      <c r="L1548" s="1438"/>
      <c r="M1548" s="1437">
        <f t="shared" si="202"/>
        <v>0</v>
      </c>
      <c r="N1548" s="1437">
        <f t="shared" si="206"/>
        <v>1.90058E-3</v>
      </c>
    </row>
    <row r="1549" spans="1:14" outlineLevel="1">
      <c r="A1549" s="1499">
        <f t="shared" si="208"/>
        <v>135</v>
      </c>
      <c r="B1549" s="1539" t="str">
        <f t="shared" si="208"/>
        <v>Project-U#8-Station Transformer-10541</v>
      </c>
      <c r="C1549" s="1491" t="str">
        <f t="shared" si="208"/>
        <v>N.A.</v>
      </c>
      <c r="D1549" s="1531" t="str">
        <f t="shared" si="208"/>
        <v>-</v>
      </c>
      <c r="E1549" s="1318">
        <f t="shared" si="208"/>
        <v>0</v>
      </c>
      <c r="F1549" s="1437">
        <f t="shared" si="203"/>
        <v>2.6575694E-2</v>
      </c>
      <c r="G1549" s="1437">
        <f t="shared" si="204"/>
        <v>0</v>
      </c>
      <c r="H1549" s="1437">
        <f t="shared" si="205"/>
        <v>2.6575694E-2</v>
      </c>
      <c r="I1549" s="1437">
        <v>0</v>
      </c>
      <c r="J1549" s="1437">
        <v>0</v>
      </c>
      <c r="K1549" s="1438"/>
      <c r="L1549" s="1438"/>
      <c r="M1549" s="1437">
        <f t="shared" si="202"/>
        <v>0</v>
      </c>
      <c r="N1549" s="1437">
        <f t="shared" si="206"/>
        <v>2.6575694E-2</v>
      </c>
    </row>
    <row r="1550" spans="1:14" outlineLevel="1">
      <c r="A1550" s="1499">
        <f t="shared" si="208"/>
        <v>136</v>
      </c>
      <c r="B1550" s="1539" t="str">
        <f t="shared" si="208"/>
        <v>Project-U#8-Steam Turbine set-10503</v>
      </c>
      <c r="C1550" s="1491" t="str">
        <f t="shared" si="208"/>
        <v>N.A.</v>
      </c>
      <c r="D1550" s="1531" t="str">
        <f t="shared" si="208"/>
        <v>-</v>
      </c>
      <c r="E1550" s="1318">
        <f t="shared" si="208"/>
        <v>0</v>
      </c>
      <c r="F1550" s="1437">
        <f t="shared" si="203"/>
        <v>0.138637134</v>
      </c>
      <c r="G1550" s="1437">
        <f t="shared" si="204"/>
        <v>0</v>
      </c>
      <c r="H1550" s="1437">
        <f t="shared" si="205"/>
        <v>0.138637134</v>
      </c>
      <c r="I1550" s="1437">
        <v>0</v>
      </c>
      <c r="J1550" s="1437">
        <v>0</v>
      </c>
      <c r="K1550" s="1438"/>
      <c r="L1550" s="1438"/>
      <c r="M1550" s="1437">
        <f t="shared" si="202"/>
        <v>0</v>
      </c>
      <c r="N1550" s="1437">
        <f t="shared" si="206"/>
        <v>0.138637134</v>
      </c>
    </row>
    <row r="1551" spans="1:14" outlineLevel="1">
      <c r="A1551" s="1499">
        <f t="shared" si="208"/>
        <v>137</v>
      </c>
      <c r="B1551" s="1539" t="str">
        <f t="shared" si="208"/>
        <v>Project-U#8-TG set and its auxilleries- Condensor</v>
      </c>
      <c r="C1551" s="1491" t="str">
        <f t="shared" si="208"/>
        <v>N.A.</v>
      </c>
      <c r="D1551" s="1531" t="str">
        <f t="shared" si="208"/>
        <v>-</v>
      </c>
      <c r="E1551" s="1318">
        <f t="shared" si="208"/>
        <v>0</v>
      </c>
      <c r="F1551" s="1437">
        <f t="shared" si="203"/>
        <v>1.2702985999999999E-2</v>
      </c>
      <c r="G1551" s="1437">
        <f t="shared" si="204"/>
        <v>0</v>
      </c>
      <c r="H1551" s="1437">
        <f t="shared" si="205"/>
        <v>1.2702985999999999E-2</v>
      </c>
      <c r="I1551" s="1437">
        <v>0</v>
      </c>
      <c r="J1551" s="1437">
        <v>0</v>
      </c>
      <c r="K1551" s="1438"/>
      <c r="L1551" s="1438"/>
      <c r="M1551" s="1437">
        <f t="shared" si="202"/>
        <v>0</v>
      </c>
      <c r="N1551" s="1437">
        <f t="shared" si="206"/>
        <v>1.2702985999999999E-2</v>
      </c>
    </row>
    <row r="1552" spans="1:14" outlineLevel="1">
      <c r="A1552" s="1499">
        <f t="shared" si="208"/>
        <v>138</v>
      </c>
      <c r="B1552" s="1539" t="str">
        <f t="shared" si="208"/>
        <v>Project-U#8-TG set and its auxilleries -Generator</v>
      </c>
      <c r="C1552" s="1491" t="str">
        <f t="shared" si="208"/>
        <v>N.A.</v>
      </c>
      <c r="D1552" s="1531" t="str">
        <f t="shared" si="208"/>
        <v>-</v>
      </c>
      <c r="E1552" s="1318">
        <f t="shared" si="208"/>
        <v>0</v>
      </c>
      <c r="F1552" s="1437">
        <f t="shared" si="203"/>
        <v>3.2544958999999998E-2</v>
      </c>
      <c r="G1552" s="1437">
        <f t="shared" si="204"/>
        <v>0</v>
      </c>
      <c r="H1552" s="1437">
        <f t="shared" si="205"/>
        <v>3.2544958999999998E-2</v>
      </c>
      <c r="I1552" s="1437">
        <v>0</v>
      </c>
      <c r="J1552" s="1437">
        <v>0</v>
      </c>
      <c r="K1552" s="1438"/>
      <c r="L1552" s="1438"/>
      <c r="M1552" s="1437">
        <f t="shared" si="202"/>
        <v>0</v>
      </c>
      <c r="N1552" s="1437">
        <f t="shared" si="206"/>
        <v>3.2544958999999998E-2</v>
      </c>
    </row>
    <row r="1553" spans="1:14" outlineLevel="1">
      <c r="A1553" s="1499">
        <f t="shared" si="208"/>
        <v>139</v>
      </c>
      <c r="B1553" s="1539" t="str">
        <f t="shared" si="208"/>
        <v>Project-U#8-TG set and its auxilleries-Condensor</v>
      </c>
      <c r="C1553" s="1491" t="str">
        <f t="shared" si="208"/>
        <v>N.A.</v>
      </c>
      <c r="D1553" s="1531" t="str">
        <f t="shared" si="208"/>
        <v>-</v>
      </c>
      <c r="E1553" s="1318">
        <f t="shared" si="208"/>
        <v>0</v>
      </c>
      <c r="F1553" s="1437">
        <f t="shared" si="203"/>
        <v>2.9272968E-2</v>
      </c>
      <c r="G1553" s="1437">
        <f t="shared" si="204"/>
        <v>0</v>
      </c>
      <c r="H1553" s="1437">
        <f t="shared" si="205"/>
        <v>2.9272968E-2</v>
      </c>
      <c r="I1553" s="1437">
        <v>0</v>
      </c>
      <c r="J1553" s="1437">
        <v>0</v>
      </c>
      <c r="K1553" s="1438"/>
      <c r="L1553" s="1438"/>
      <c r="M1553" s="1437">
        <f t="shared" si="202"/>
        <v>0</v>
      </c>
      <c r="N1553" s="1437">
        <f t="shared" si="206"/>
        <v>2.9272968E-2</v>
      </c>
    </row>
    <row r="1554" spans="1:14" outlineLevel="1">
      <c r="A1554" s="1499">
        <f t="shared" si="208"/>
        <v>140</v>
      </c>
      <c r="B1554" s="1539" t="str">
        <f t="shared" si="208"/>
        <v>Project-U#8-TG set &amp; its auxilleries-Derator-10503</v>
      </c>
      <c r="C1554" s="1491" t="str">
        <f t="shared" si="208"/>
        <v>N.A.</v>
      </c>
      <c r="D1554" s="1531" t="str">
        <f t="shared" si="208"/>
        <v>-</v>
      </c>
      <c r="E1554" s="1318">
        <f t="shared" si="208"/>
        <v>0</v>
      </c>
      <c r="F1554" s="1437">
        <f t="shared" si="203"/>
        <v>2.7579689999999999E-3</v>
      </c>
      <c r="G1554" s="1437">
        <f t="shared" si="204"/>
        <v>0</v>
      </c>
      <c r="H1554" s="1437">
        <f t="shared" si="205"/>
        <v>2.7579689999999999E-3</v>
      </c>
      <c r="I1554" s="1437">
        <v>0</v>
      </c>
      <c r="J1554" s="1437">
        <v>0</v>
      </c>
      <c r="K1554" s="1438"/>
      <c r="L1554" s="1438"/>
      <c r="M1554" s="1437">
        <f t="shared" si="202"/>
        <v>0</v>
      </c>
      <c r="N1554" s="1437">
        <f t="shared" si="206"/>
        <v>2.7579689999999999E-3</v>
      </c>
    </row>
    <row r="1555" spans="1:14" outlineLevel="1">
      <c r="A1555" s="1499">
        <f t="shared" ref="A1555:E1570" si="209">A1162</f>
        <v>141</v>
      </c>
      <c r="B1555" s="1539" t="str">
        <f t="shared" si="209"/>
        <v>Project-U#8-TG set and its auxilleries-DMMakeUpSys</v>
      </c>
      <c r="C1555" s="1491" t="str">
        <f t="shared" si="209"/>
        <v>N.A.</v>
      </c>
      <c r="D1555" s="1531" t="str">
        <f t="shared" si="209"/>
        <v>-</v>
      </c>
      <c r="E1555" s="1318">
        <f t="shared" si="209"/>
        <v>0</v>
      </c>
      <c r="F1555" s="1437">
        <f t="shared" si="203"/>
        <v>1.049073E-3</v>
      </c>
      <c r="G1555" s="1437">
        <f t="shared" si="204"/>
        <v>0</v>
      </c>
      <c r="H1555" s="1437">
        <f t="shared" si="205"/>
        <v>1.049073E-3</v>
      </c>
      <c r="I1555" s="1437">
        <v>0</v>
      </c>
      <c r="J1555" s="1437">
        <v>0</v>
      </c>
      <c r="K1555" s="1438"/>
      <c r="L1555" s="1438"/>
      <c r="M1555" s="1437">
        <f t="shared" si="202"/>
        <v>0</v>
      </c>
      <c r="N1555" s="1437">
        <f t="shared" si="206"/>
        <v>1.049073E-3</v>
      </c>
    </row>
    <row r="1556" spans="1:14" outlineLevel="1">
      <c r="A1556" s="1499">
        <f t="shared" si="209"/>
        <v>142</v>
      </c>
      <c r="B1556" s="1539" t="str">
        <f t="shared" si="209"/>
        <v>Project-U#8-TG set and its auxilleries-Gas System</v>
      </c>
      <c r="C1556" s="1491" t="str">
        <f t="shared" si="209"/>
        <v>N.A.</v>
      </c>
      <c r="D1556" s="1531" t="str">
        <f t="shared" si="209"/>
        <v>-</v>
      </c>
      <c r="E1556" s="1318">
        <f t="shared" si="209"/>
        <v>0</v>
      </c>
      <c r="F1556" s="1437">
        <f t="shared" si="203"/>
        <v>5.6178390000000003E-3</v>
      </c>
      <c r="G1556" s="1437">
        <f t="shared" si="204"/>
        <v>0</v>
      </c>
      <c r="H1556" s="1437">
        <f t="shared" si="205"/>
        <v>5.6178390000000003E-3</v>
      </c>
      <c r="I1556" s="1437">
        <v>0</v>
      </c>
      <c r="J1556" s="1437">
        <v>0</v>
      </c>
      <c r="K1556" s="1438"/>
      <c r="L1556" s="1438"/>
      <c r="M1556" s="1437">
        <f t="shared" si="202"/>
        <v>0</v>
      </c>
      <c r="N1556" s="1437">
        <f t="shared" si="206"/>
        <v>5.6178390000000003E-3</v>
      </c>
    </row>
    <row r="1557" spans="1:14" outlineLevel="1">
      <c r="A1557" s="1499">
        <f t="shared" si="209"/>
        <v>143</v>
      </c>
      <c r="B1557" s="1539" t="str">
        <f t="shared" si="209"/>
        <v>Project-U#8-TG set and its auxilleries-GoveringSys</v>
      </c>
      <c r="C1557" s="1491" t="str">
        <f t="shared" si="209"/>
        <v>N.A.</v>
      </c>
      <c r="D1557" s="1531" t="str">
        <f t="shared" si="209"/>
        <v>-</v>
      </c>
      <c r="E1557" s="1318">
        <f t="shared" si="209"/>
        <v>0</v>
      </c>
      <c r="F1557" s="1437">
        <f t="shared" si="203"/>
        <v>4.9465999999999997E-5</v>
      </c>
      <c r="G1557" s="1437">
        <f t="shared" si="204"/>
        <v>0</v>
      </c>
      <c r="H1557" s="1437">
        <f t="shared" si="205"/>
        <v>4.9465999999999997E-5</v>
      </c>
      <c r="I1557" s="1437">
        <v>0</v>
      </c>
      <c r="J1557" s="1437">
        <v>0</v>
      </c>
      <c r="K1557" s="1438"/>
      <c r="L1557" s="1438"/>
      <c r="M1557" s="1437">
        <f t="shared" si="202"/>
        <v>0</v>
      </c>
      <c r="N1557" s="1437">
        <f t="shared" si="206"/>
        <v>4.9465999999999997E-5</v>
      </c>
    </row>
    <row r="1558" spans="1:14" outlineLevel="1">
      <c r="A1558" s="1499">
        <f t="shared" si="209"/>
        <v>144</v>
      </c>
      <c r="B1558" s="1539" t="str">
        <f t="shared" si="209"/>
        <v>Project-U#8-TG set and its auxilleries-HP/LP By-pa</v>
      </c>
      <c r="C1558" s="1491" t="str">
        <f t="shared" si="209"/>
        <v>N.A.</v>
      </c>
      <c r="D1558" s="1531" t="str">
        <f t="shared" si="209"/>
        <v>-</v>
      </c>
      <c r="E1558" s="1318">
        <f t="shared" si="209"/>
        <v>0</v>
      </c>
      <c r="F1558" s="1437">
        <f t="shared" si="203"/>
        <v>1.0752108999999999E-2</v>
      </c>
      <c r="G1558" s="1437">
        <f t="shared" si="204"/>
        <v>0</v>
      </c>
      <c r="H1558" s="1437">
        <f t="shared" si="205"/>
        <v>1.0752108999999999E-2</v>
      </c>
      <c r="I1558" s="1437">
        <v>0</v>
      </c>
      <c r="J1558" s="1437">
        <v>0</v>
      </c>
      <c r="K1558" s="1438"/>
      <c r="L1558" s="1438"/>
      <c r="M1558" s="1437">
        <f t="shared" si="202"/>
        <v>0</v>
      </c>
      <c r="N1558" s="1437">
        <f t="shared" si="206"/>
        <v>1.0752108999999999E-2</v>
      </c>
    </row>
    <row r="1559" spans="1:14" outlineLevel="1">
      <c r="A1559" s="1499">
        <f t="shared" si="209"/>
        <v>145</v>
      </c>
      <c r="B1559" s="1539" t="str">
        <f t="shared" si="209"/>
        <v>Project-U#8-TG set and its auxilleries-HP/LP Dozin</v>
      </c>
      <c r="C1559" s="1491" t="str">
        <f t="shared" si="209"/>
        <v>N.A.</v>
      </c>
      <c r="D1559" s="1531" t="str">
        <f t="shared" si="209"/>
        <v>-</v>
      </c>
      <c r="E1559" s="1318">
        <f t="shared" si="209"/>
        <v>0</v>
      </c>
      <c r="F1559" s="1437">
        <f t="shared" si="203"/>
        <v>3.9941100000000002E-4</v>
      </c>
      <c r="G1559" s="1437">
        <f t="shared" si="204"/>
        <v>0</v>
      </c>
      <c r="H1559" s="1437">
        <f t="shared" si="205"/>
        <v>3.9941100000000002E-4</v>
      </c>
      <c r="I1559" s="1437">
        <v>0</v>
      </c>
      <c r="J1559" s="1437">
        <v>0</v>
      </c>
      <c r="K1559" s="1438"/>
      <c r="L1559" s="1438"/>
      <c r="M1559" s="1437">
        <f t="shared" si="202"/>
        <v>0</v>
      </c>
      <c r="N1559" s="1437">
        <f t="shared" si="206"/>
        <v>3.9941100000000002E-4</v>
      </c>
    </row>
    <row r="1560" spans="1:14" outlineLevel="1">
      <c r="A1560" s="1499">
        <f t="shared" si="209"/>
        <v>146</v>
      </c>
      <c r="B1560" s="1539" t="str">
        <f t="shared" si="209"/>
        <v>Project-U#8-TG set and its auxilleries-SealOilPump</v>
      </c>
      <c r="C1560" s="1491" t="str">
        <f t="shared" si="209"/>
        <v>N.A.</v>
      </c>
      <c r="D1560" s="1531" t="str">
        <f t="shared" si="209"/>
        <v>-</v>
      </c>
      <c r="E1560" s="1318">
        <f t="shared" si="209"/>
        <v>0</v>
      </c>
      <c r="F1560" s="1437">
        <f t="shared" si="203"/>
        <v>9.8566000000000005E-5</v>
      </c>
      <c r="G1560" s="1437">
        <f t="shared" si="204"/>
        <v>0</v>
      </c>
      <c r="H1560" s="1437">
        <f t="shared" si="205"/>
        <v>9.8566000000000005E-5</v>
      </c>
      <c r="I1560" s="1437">
        <v>0</v>
      </c>
      <c r="J1560" s="1437">
        <v>0</v>
      </c>
      <c r="K1560" s="1438"/>
      <c r="L1560" s="1438"/>
      <c r="M1560" s="1437">
        <f t="shared" si="202"/>
        <v>0</v>
      </c>
      <c r="N1560" s="1437">
        <f t="shared" si="206"/>
        <v>9.8566000000000005E-5</v>
      </c>
    </row>
    <row r="1561" spans="1:14" outlineLevel="1">
      <c r="A1561" s="1499">
        <f t="shared" si="209"/>
        <v>147</v>
      </c>
      <c r="B1561" s="1539" t="str">
        <f t="shared" si="209"/>
        <v>Project-U#8-TG set and its auxilleries-Vaccum Syst</v>
      </c>
      <c r="C1561" s="1491" t="str">
        <f t="shared" si="209"/>
        <v>N.A.</v>
      </c>
      <c r="D1561" s="1531" t="str">
        <f t="shared" si="209"/>
        <v>-</v>
      </c>
      <c r="E1561" s="1318">
        <f t="shared" si="209"/>
        <v>0</v>
      </c>
      <c r="F1561" s="1437">
        <f t="shared" si="203"/>
        <v>1.0304429E-2</v>
      </c>
      <c r="G1561" s="1437">
        <f t="shared" si="204"/>
        <v>0</v>
      </c>
      <c r="H1561" s="1437">
        <f t="shared" si="205"/>
        <v>1.0304429E-2</v>
      </c>
      <c r="I1561" s="1437">
        <v>0</v>
      </c>
      <c r="J1561" s="1437">
        <v>0</v>
      </c>
      <c r="K1561" s="1438"/>
      <c r="L1561" s="1438"/>
      <c r="M1561" s="1437">
        <f t="shared" si="202"/>
        <v>0</v>
      </c>
      <c r="N1561" s="1437">
        <f t="shared" si="206"/>
        <v>1.0304429E-2</v>
      </c>
    </row>
    <row r="1562" spans="1:14" outlineLevel="1">
      <c r="A1562" s="1499">
        <f t="shared" si="209"/>
        <v>148</v>
      </c>
      <c r="B1562" s="1539" t="str">
        <f t="shared" si="209"/>
        <v>Project-U#8-Turbine Lub. Oil System With Purifier</v>
      </c>
      <c r="C1562" s="1491" t="str">
        <f t="shared" si="209"/>
        <v>N.A.</v>
      </c>
      <c r="D1562" s="1531" t="str">
        <f t="shared" si="209"/>
        <v>-</v>
      </c>
      <c r="E1562" s="1318">
        <f t="shared" si="209"/>
        <v>0</v>
      </c>
      <c r="F1562" s="1437">
        <f t="shared" si="203"/>
        <v>2.2363740000000002E-3</v>
      </c>
      <c r="G1562" s="1437">
        <f t="shared" si="204"/>
        <v>0</v>
      </c>
      <c r="H1562" s="1437">
        <f t="shared" si="205"/>
        <v>2.2363740000000002E-3</v>
      </c>
      <c r="I1562" s="1437">
        <v>0</v>
      </c>
      <c r="J1562" s="1437">
        <v>0</v>
      </c>
      <c r="K1562" s="1438"/>
      <c r="L1562" s="1438"/>
      <c r="M1562" s="1437">
        <f t="shared" si="202"/>
        <v>0</v>
      </c>
      <c r="N1562" s="1437">
        <f t="shared" si="206"/>
        <v>2.2363740000000002E-3</v>
      </c>
    </row>
    <row r="1563" spans="1:14" outlineLevel="1">
      <c r="A1563" s="1499">
        <f t="shared" si="209"/>
        <v>149</v>
      </c>
      <c r="B1563" s="1539" t="str">
        <f t="shared" si="209"/>
        <v>Project-U#8-Ventillation system-10599</v>
      </c>
      <c r="C1563" s="1491" t="str">
        <f t="shared" si="209"/>
        <v>N.A.</v>
      </c>
      <c r="D1563" s="1531" t="str">
        <f t="shared" si="209"/>
        <v>-</v>
      </c>
      <c r="E1563" s="1318">
        <f t="shared" si="209"/>
        <v>0</v>
      </c>
      <c r="F1563" s="1437">
        <f t="shared" si="203"/>
        <v>1.438855E-3</v>
      </c>
      <c r="G1563" s="1437">
        <f t="shared" si="204"/>
        <v>0</v>
      </c>
      <c r="H1563" s="1437">
        <f t="shared" si="205"/>
        <v>1.438855E-3</v>
      </c>
      <c r="I1563" s="1437">
        <v>0</v>
      </c>
      <c r="J1563" s="1437">
        <v>0</v>
      </c>
      <c r="K1563" s="1438"/>
      <c r="L1563" s="1438"/>
      <c r="M1563" s="1437">
        <f t="shared" si="202"/>
        <v>0</v>
      </c>
      <c r="N1563" s="1437">
        <f t="shared" si="206"/>
        <v>1.438855E-3</v>
      </c>
    </row>
    <row r="1564" spans="1:14" outlineLevel="1">
      <c r="A1564" s="1499">
        <f t="shared" si="209"/>
        <v>150</v>
      </c>
      <c r="B1564" s="1539" t="str">
        <f t="shared" si="209"/>
        <v>Asset Recived From Project-U#8-M.SPARE_Ventillation system-10599</v>
      </c>
      <c r="C1564" s="1491" t="str">
        <f t="shared" si="209"/>
        <v>N.A.</v>
      </c>
      <c r="D1564" s="1531" t="str">
        <f t="shared" si="209"/>
        <v>-</v>
      </c>
      <c r="E1564" s="1318">
        <f t="shared" si="209"/>
        <v>0</v>
      </c>
      <c r="F1564" s="1437">
        <f t="shared" si="203"/>
        <v>8.5482000000000006E-5</v>
      </c>
      <c r="G1564" s="1437">
        <f t="shared" si="204"/>
        <v>0</v>
      </c>
      <c r="H1564" s="1437">
        <f t="shared" si="205"/>
        <v>8.5482000000000006E-5</v>
      </c>
      <c r="I1564" s="1437">
        <v>0</v>
      </c>
      <c r="J1564" s="1437">
        <v>0</v>
      </c>
      <c r="K1564" s="1438"/>
      <c r="L1564" s="1438"/>
      <c r="M1564" s="1437">
        <f t="shared" si="202"/>
        <v>0</v>
      </c>
      <c r="N1564" s="1437">
        <f t="shared" si="206"/>
        <v>8.5482000000000006E-5</v>
      </c>
    </row>
    <row r="1565" spans="1:14" outlineLevel="1">
      <c r="A1565" s="1499">
        <f t="shared" si="209"/>
        <v>151</v>
      </c>
      <c r="B1565" s="1539" t="str">
        <f t="shared" si="209"/>
        <v>Asset Recived From Project-U#8-Water Treatment Plant-10509</v>
      </c>
      <c r="C1565" s="1491" t="str">
        <f t="shared" si="209"/>
        <v>N.A.</v>
      </c>
      <c r="D1565" s="1531" t="str">
        <f t="shared" si="209"/>
        <v>-</v>
      </c>
      <c r="E1565" s="1318">
        <f t="shared" si="209"/>
        <v>0</v>
      </c>
      <c r="F1565" s="1437">
        <f t="shared" si="203"/>
        <v>4.2384409999999999E-3</v>
      </c>
      <c r="G1565" s="1437">
        <f t="shared" si="204"/>
        <v>0</v>
      </c>
      <c r="H1565" s="1437">
        <f t="shared" si="205"/>
        <v>4.2384409999999999E-3</v>
      </c>
      <c r="I1565" s="1437">
        <v>0</v>
      </c>
      <c r="J1565" s="1437">
        <v>0</v>
      </c>
      <c r="K1565" s="1438"/>
      <c r="L1565" s="1438"/>
      <c r="M1565" s="1437">
        <f t="shared" si="202"/>
        <v>0</v>
      </c>
      <c r="N1565" s="1437">
        <f t="shared" si="206"/>
        <v>4.2384409999999999E-3</v>
      </c>
    </row>
    <row r="1566" spans="1:14" outlineLevel="1">
      <c r="A1566" s="1499">
        <f t="shared" si="209"/>
        <v>152</v>
      </c>
      <c r="B1566" s="1539" t="str">
        <f t="shared" si="209"/>
        <v>Asset Recived From Project-U#8-WORK SHOP MAD_SPARE-10565</v>
      </c>
      <c r="C1566" s="1491" t="str">
        <f t="shared" si="209"/>
        <v>N.A.</v>
      </c>
      <c r="D1566" s="1531" t="str">
        <f t="shared" si="209"/>
        <v>-</v>
      </c>
      <c r="E1566" s="1318">
        <f t="shared" si="209"/>
        <v>0</v>
      </c>
      <c r="F1566" s="1437">
        <f t="shared" si="203"/>
        <v>3.0444899999999998E-4</v>
      </c>
      <c r="G1566" s="1437">
        <f t="shared" si="204"/>
        <v>0</v>
      </c>
      <c r="H1566" s="1437">
        <f t="shared" si="205"/>
        <v>3.0444899999999998E-4</v>
      </c>
      <c r="I1566" s="1437">
        <v>0</v>
      </c>
      <c r="J1566" s="1437">
        <v>0</v>
      </c>
      <c r="K1566" s="1438"/>
      <c r="L1566" s="1438"/>
      <c r="M1566" s="1437">
        <f t="shared" si="202"/>
        <v>0</v>
      </c>
      <c r="N1566" s="1437">
        <f t="shared" si="206"/>
        <v>3.0444899999999998E-4</v>
      </c>
    </row>
    <row r="1567" spans="1:14" outlineLevel="1">
      <c r="A1567" s="1499">
        <f t="shared" si="209"/>
        <v>153</v>
      </c>
      <c r="B1567" s="1539" t="str">
        <f t="shared" si="209"/>
        <v>Asset Recived From Project-U#8-Workshop-10565</v>
      </c>
      <c r="C1567" s="1491" t="str">
        <f t="shared" si="209"/>
        <v>N.A.</v>
      </c>
      <c r="D1567" s="1531" t="str">
        <f t="shared" si="209"/>
        <v>-</v>
      </c>
      <c r="E1567" s="1318">
        <f t="shared" si="209"/>
        <v>0</v>
      </c>
      <c r="F1567" s="1437">
        <f t="shared" si="203"/>
        <v>1.3285770000000001E-3</v>
      </c>
      <c r="G1567" s="1437">
        <f t="shared" si="204"/>
        <v>0</v>
      </c>
      <c r="H1567" s="1437">
        <f t="shared" si="205"/>
        <v>1.3285770000000001E-3</v>
      </c>
      <c r="I1567" s="1437">
        <v>0</v>
      </c>
      <c r="J1567" s="1437">
        <v>0</v>
      </c>
      <c r="K1567" s="1438"/>
      <c r="L1567" s="1438"/>
      <c r="M1567" s="1437">
        <f t="shared" si="202"/>
        <v>0</v>
      </c>
      <c r="N1567" s="1437">
        <f t="shared" si="206"/>
        <v>1.3285770000000001E-3</v>
      </c>
    </row>
    <row r="1568" spans="1:14" outlineLevel="1">
      <c r="A1568" s="1499">
        <f t="shared" si="209"/>
        <v>154</v>
      </c>
      <c r="B1568" s="1539" t="str">
        <f t="shared" si="209"/>
        <v>Asset Recived From Project-U#8-CMR SYSTEM-10501</v>
      </c>
      <c r="C1568" s="1491" t="str">
        <f t="shared" si="209"/>
        <v>N.A.</v>
      </c>
      <c r="D1568" s="1531" t="str">
        <f t="shared" si="209"/>
        <v>-</v>
      </c>
      <c r="E1568" s="1318">
        <f t="shared" si="209"/>
        <v>0</v>
      </c>
      <c r="F1568" s="1437">
        <f t="shared" si="203"/>
        <v>2.0736180000000002E-3</v>
      </c>
      <c r="G1568" s="1437">
        <f t="shared" si="204"/>
        <v>0</v>
      </c>
      <c r="H1568" s="1437">
        <f t="shared" si="205"/>
        <v>2.0736180000000002E-3</v>
      </c>
      <c r="I1568" s="1437">
        <v>0</v>
      </c>
      <c r="J1568" s="1437">
        <v>0</v>
      </c>
      <c r="K1568" s="1438"/>
      <c r="L1568" s="1438"/>
      <c r="M1568" s="1437">
        <f t="shared" si="202"/>
        <v>0</v>
      </c>
      <c r="N1568" s="1437">
        <f t="shared" si="206"/>
        <v>2.0736180000000002E-3</v>
      </c>
    </row>
    <row r="1569" spans="1:14" outlineLevel="1">
      <c r="A1569" s="1499">
        <f t="shared" si="209"/>
        <v>155</v>
      </c>
      <c r="B1569" s="1539" t="str">
        <f t="shared" si="209"/>
        <v>Asset Recived From Project-U#8-MandatorySpares-WTP-10.509</v>
      </c>
      <c r="C1569" s="1491" t="str">
        <f t="shared" si="209"/>
        <v>N.A.</v>
      </c>
      <c r="D1569" s="1531" t="str">
        <f t="shared" si="209"/>
        <v>-</v>
      </c>
      <c r="E1569" s="1318">
        <f t="shared" si="209"/>
        <v>0</v>
      </c>
      <c r="F1569" s="1437">
        <f t="shared" si="203"/>
        <v>8.1516999999999999E-5</v>
      </c>
      <c r="G1569" s="1437">
        <f t="shared" si="204"/>
        <v>0</v>
      </c>
      <c r="H1569" s="1437">
        <f t="shared" si="205"/>
        <v>8.1516999999999999E-5</v>
      </c>
      <c r="I1569" s="1437">
        <v>0</v>
      </c>
      <c r="J1569" s="1437">
        <v>0</v>
      </c>
      <c r="K1569" s="1438"/>
      <c r="L1569" s="1438"/>
      <c r="M1569" s="1437">
        <f t="shared" si="202"/>
        <v>0</v>
      </c>
      <c r="N1569" s="1437">
        <f t="shared" si="206"/>
        <v>8.1516999999999999E-5</v>
      </c>
    </row>
    <row r="1570" spans="1:14" ht="29" outlineLevel="1">
      <c r="A1570" s="1499">
        <f t="shared" si="209"/>
        <v>156</v>
      </c>
      <c r="B1570" s="1539" t="str">
        <f t="shared" si="209"/>
        <v>Asset Recived From Project-U#8-E.1.07_MandSpar 4 C&amp;I MS 4MeasuringIns E.1.07_M S for C&amp;I_ MS For Measuring Ins</v>
      </c>
      <c r="C1570" s="1491" t="str">
        <f t="shared" si="209"/>
        <v>N.A.</v>
      </c>
      <c r="D1570" s="1531" t="str">
        <f t="shared" si="209"/>
        <v>-</v>
      </c>
      <c r="E1570" s="1318">
        <f t="shared" si="209"/>
        <v>0</v>
      </c>
      <c r="F1570" s="1437">
        <f t="shared" si="203"/>
        <v>7.8696799999999997E-2</v>
      </c>
      <c r="G1570" s="1437">
        <f t="shared" si="204"/>
        <v>0</v>
      </c>
      <c r="H1570" s="1437">
        <f t="shared" si="205"/>
        <v>7.8696799999999997E-2</v>
      </c>
      <c r="I1570" s="1437">
        <v>0</v>
      </c>
      <c r="J1570" s="1437">
        <v>0</v>
      </c>
      <c r="K1570" s="1438"/>
      <c r="L1570" s="1438"/>
      <c r="M1570" s="1437">
        <f t="shared" si="202"/>
        <v>0</v>
      </c>
      <c r="N1570" s="1437">
        <f t="shared" si="206"/>
        <v>7.8696799999999997E-2</v>
      </c>
    </row>
    <row r="1571" spans="1:14" outlineLevel="1">
      <c r="A1571" s="1499">
        <f t="shared" ref="A1571:E1576" si="210">A1178</f>
        <v>157</v>
      </c>
      <c r="B1571" s="1539" t="str">
        <f t="shared" si="210"/>
        <v>Asset Recived From Project-U#8-BOP_ELECTRICAL-10612</v>
      </c>
      <c r="C1571" s="1491" t="str">
        <f t="shared" si="210"/>
        <v>N.A.</v>
      </c>
      <c r="D1571" s="1531" t="str">
        <f t="shared" si="210"/>
        <v>-</v>
      </c>
      <c r="E1571" s="1318">
        <f t="shared" si="210"/>
        <v>0</v>
      </c>
      <c r="F1571" s="1437">
        <f t="shared" si="203"/>
        <v>1.6370498000000001E-2</v>
      </c>
      <c r="G1571" s="1437">
        <f t="shared" si="204"/>
        <v>0</v>
      </c>
      <c r="H1571" s="1437">
        <f t="shared" si="205"/>
        <v>1.6370498000000001E-2</v>
      </c>
      <c r="I1571" s="1437">
        <v>0</v>
      </c>
      <c r="J1571" s="1437">
        <v>0</v>
      </c>
      <c r="K1571" s="1438"/>
      <c r="L1571" s="1438"/>
      <c r="M1571" s="1437">
        <f t="shared" si="202"/>
        <v>0</v>
      </c>
      <c r="N1571" s="1437">
        <f t="shared" si="206"/>
        <v>1.6370498000000001E-2</v>
      </c>
    </row>
    <row r="1572" spans="1:14" outlineLevel="1">
      <c r="A1572" s="1499">
        <f t="shared" si="210"/>
        <v>158</v>
      </c>
      <c r="B1572" s="1539" t="str">
        <f t="shared" si="210"/>
        <v>Asset Recived From Project-U#8-Bus Ducts-10612</v>
      </c>
      <c r="C1572" s="1491" t="str">
        <f t="shared" si="210"/>
        <v>N.A.</v>
      </c>
      <c r="D1572" s="1531" t="str">
        <f t="shared" si="210"/>
        <v>-</v>
      </c>
      <c r="E1572" s="1318">
        <f t="shared" si="210"/>
        <v>0</v>
      </c>
      <c r="F1572" s="1437">
        <f t="shared" si="203"/>
        <v>1.2547599E-2</v>
      </c>
      <c r="G1572" s="1437">
        <f t="shared" si="204"/>
        <v>0</v>
      </c>
      <c r="H1572" s="1437">
        <f t="shared" si="205"/>
        <v>1.2547599E-2</v>
      </c>
      <c r="I1572" s="1437">
        <v>0</v>
      </c>
      <c r="J1572" s="1437">
        <v>0</v>
      </c>
      <c r="K1572" s="1438"/>
      <c r="L1572" s="1438"/>
      <c r="M1572" s="1437">
        <f t="shared" si="202"/>
        <v>0</v>
      </c>
      <c r="N1572" s="1437">
        <f t="shared" si="206"/>
        <v>1.2547599E-2</v>
      </c>
    </row>
    <row r="1573" spans="1:14" outlineLevel="1">
      <c r="A1573" s="1499">
        <f t="shared" si="210"/>
        <v>159</v>
      </c>
      <c r="B1573" s="1539" t="str">
        <f t="shared" si="210"/>
        <v>Asset Recived From Project-U#8-Cable trays &amp; supports-10612</v>
      </c>
      <c r="C1573" s="1491" t="str">
        <f t="shared" si="210"/>
        <v>N.A.</v>
      </c>
      <c r="D1573" s="1531" t="str">
        <f t="shared" si="210"/>
        <v>-</v>
      </c>
      <c r="E1573" s="1318">
        <f t="shared" si="210"/>
        <v>0</v>
      </c>
      <c r="F1573" s="1437">
        <f t="shared" si="203"/>
        <v>3.6008699999999998E-4</v>
      </c>
      <c r="G1573" s="1437">
        <f t="shared" si="204"/>
        <v>0</v>
      </c>
      <c r="H1573" s="1437">
        <f t="shared" si="205"/>
        <v>3.6008699999999998E-4</v>
      </c>
      <c r="I1573" s="1437">
        <v>0</v>
      </c>
      <c r="J1573" s="1437">
        <v>0</v>
      </c>
      <c r="K1573" s="1438"/>
      <c r="L1573" s="1438"/>
      <c r="M1573" s="1437">
        <f t="shared" ref="M1573:M1576" si="211">SUM(J1573:L1573)</f>
        <v>0</v>
      </c>
      <c r="N1573" s="1437">
        <f t="shared" si="206"/>
        <v>3.6008699999999998E-4</v>
      </c>
    </row>
    <row r="1574" spans="1:14" outlineLevel="1">
      <c r="A1574" s="1499">
        <f t="shared" si="210"/>
        <v>160</v>
      </c>
      <c r="B1574" s="1539" t="str">
        <f t="shared" si="210"/>
        <v>Project-U#8-PCR FURNITURE-10810</v>
      </c>
      <c r="C1574" s="1491" t="str">
        <f t="shared" si="210"/>
        <v>N.A.</v>
      </c>
      <c r="D1574" s="1531" t="str">
        <f t="shared" si="210"/>
        <v>-</v>
      </c>
      <c r="E1574" s="1318">
        <f t="shared" si="210"/>
        <v>0</v>
      </c>
      <c r="F1574" s="1437">
        <f t="shared" ref="F1574:F1576" si="212">F1181+I1181</f>
        <v>3.0684199999999999E-4</v>
      </c>
      <c r="G1574" s="1437">
        <f t="shared" ref="G1574:G1576" si="213">G1181+M1181</f>
        <v>0</v>
      </c>
      <c r="H1574" s="1437">
        <f t="shared" si="205"/>
        <v>3.0684199999999999E-4</v>
      </c>
      <c r="I1574" s="1437">
        <v>0</v>
      </c>
      <c r="J1574" s="1437">
        <v>0</v>
      </c>
      <c r="K1574" s="1438"/>
      <c r="L1574" s="1438"/>
      <c r="M1574" s="1437">
        <f t="shared" si="211"/>
        <v>0</v>
      </c>
      <c r="N1574" s="1437">
        <f t="shared" si="206"/>
        <v>3.0684199999999999E-4</v>
      </c>
    </row>
    <row r="1575" spans="1:14" outlineLevel="1">
      <c r="A1575" s="1499">
        <f t="shared" si="210"/>
        <v>161</v>
      </c>
      <c r="B1575" s="1539" t="str">
        <f t="shared" si="210"/>
        <v>Project-U#8 Server Intel QUAD CORE 02No. HP Office Server</v>
      </c>
      <c r="C1575" s="1491" t="str">
        <f t="shared" si="210"/>
        <v>N.A.</v>
      </c>
      <c r="D1575" s="1531" t="str">
        <f t="shared" si="210"/>
        <v>-</v>
      </c>
      <c r="E1575" s="1318">
        <f t="shared" si="210"/>
        <v>0</v>
      </c>
      <c r="F1575" s="1437">
        <f t="shared" si="212"/>
        <v>0.11917999999999999</v>
      </c>
      <c r="G1575" s="1437">
        <f t="shared" si="213"/>
        <v>0.11917999999999999</v>
      </c>
      <c r="H1575" s="1437">
        <f t="shared" ref="H1575:H1576" si="214">F1575-G1575</f>
        <v>0</v>
      </c>
      <c r="I1575" s="1437">
        <v>0</v>
      </c>
      <c r="J1575" s="1437">
        <v>0</v>
      </c>
      <c r="K1575" s="1438"/>
      <c r="L1575" s="1438"/>
      <c r="M1575" s="1437">
        <f t="shared" si="211"/>
        <v>0</v>
      </c>
      <c r="N1575" s="1437">
        <f t="shared" ref="N1575:N1576" si="215">H1575+I1575-M1575</f>
        <v>0</v>
      </c>
    </row>
    <row r="1576" spans="1:14" ht="15" outlineLevel="1" thickBot="1">
      <c r="A1576" s="1499">
        <f t="shared" si="210"/>
        <v>162</v>
      </c>
      <c r="B1576" s="1539" t="str">
        <f t="shared" si="210"/>
        <v>Supply Erection testing and commissining of 1000 m3 ETP Civil works</v>
      </c>
      <c r="C1576" s="1491" t="str">
        <f t="shared" si="210"/>
        <v>N.A.</v>
      </c>
      <c r="D1576" s="1531" t="str">
        <f t="shared" si="210"/>
        <v>-</v>
      </c>
      <c r="E1576" s="1318">
        <f t="shared" si="210"/>
        <v>0</v>
      </c>
      <c r="F1576" s="1437">
        <f t="shared" si="212"/>
        <v>0.68323680199999992</v>
      </c>
      <c r="G1576" s="1437">
        <f t="shared" si="213"/>
        <v>0.68323680199999992</v>
      </c>
      <c r="H1576" s="1437">
        <f t="shared" si="214"/>
        <v>0</v>
      </c>
      <c r="I1576" s="1437">
        <v>0</v>
      </c>
      <c r="J1576" s="1437">
        <v>0</v>
      </c>
      <c r="K1576" s="1438"/>
      <c r="L1576" s="1438"/>
      <c r="M1576" s="1437">
        <f t="shared" si="211"/>
        <v>0</v>
      </c>
      <c r="N1576" s="1437">
        <f t="shared" si="215"/>
        <v>0</v>
      </c>
    </row>
    <row r="1577" spans="1:14" ht="15" thickBot="1">
      <c r="A1577" s="1311"/>
      <c r="B1577" s="1431" t="str">
        <f>B1184</f>
        <v>Total</v>
      </c>
      <c r="C1577" s="1311"/>
      <c r="D1577" s="1432"/>
      <c r="E1577" s="1431"/>
      <c r="F1577" s="1543">
        <f>SUM(F1190:F1576)</f>
        <v>255.03354515099994</v>
      </c>
      <c r="G1577" s="1543">
        <f t="shared" ref="G1577:N1577" si="216">SUM(G1190:G1576)</f>
        <v>152.45262843100002</v>
      </c>
      <c r="H1577" s="1543">
        <f t="shared" si="216"/>
        <v>102.58091671999998</v>
      </c>
      <c r="I1577" s="1543">
        <f t="shared" si="216"/>
        <v>214.42000000000002</v>
      </c>
      <c r="J1577" s="1543">
        <f t="shared" si="216"/>
        <v>315.27999999999997</v>
      </c>
      <c r="K1577" s="1543">
        <f t="shared" si="216"/>
        <v>0</v>
      </c>
      <c r="L1577" s="1543">
        <f t="shared" si="216"/>
        <v>0</v>
      </c>
      <c r="M1577" s="1543">
        <f t="shared" si="216"/>
        <v>315.27999999999997</v>
      </c>
      <c r="N1577" s="1543">
        <f t="shared" si="216"/>
        <v>1.720916719999988</v>
      </c>
    </row>
    <row r="1578" spans="1:14">
      <c r="F1578" s="1545"/>
      <c r="G1578" s="1545"/>
      <c r="H1578" s="1545"/>
      <c r="I1578" s="1545"/>
      <c r="J1578" s="1545"/>
      <c r="K1578" s="1545"/>
      <c r="L1578" s="1545"/>
      <c r="M1578" s="1545"/>
      <c r="N1578" s="1545"/>
    </row>
    <row r="1579" spans="1:14">
      <c r="A1579" s="1486"/>
      <c r="B1579" s="1433" t="s">
        <v>959</v>
      </c>
      <c r="C1579" s="1309"/>
      <c r="D1579" s="1432"/>
      <c r="E1579" s="1309"/>
      <c r="F1579" s="1433"/>
      <c r="G1579" s="1433"/>
      <c r="H1579" s="1433"/>
      <c r="I1579" s="1433"/>
      <c r="J1579" s="1433"/>
      <c r="K1579" s="1433"/>
      <c r="L1579" s="1433"/>
      <c r="M1579" s="1433"/>
      <c r="N1579" s="1433"/>
    </row>
    <row r="1580" spans="1:14" outlineLevel="1">
      <c r="A1580" s="1487">
        <f t="shared" ref="A1580:E1595" si="217">A1187</f>
        <v>0</v>
      </c>
      <c r="B1580" s="1332" t="str">
        <f t="shared" si="217"/>
        <v>Add Cap (As per 296 of 2019)</v>
      </c>
      <c r="C1580" s="1488"/>
      <c r="D1580" s="1489"/>
      <c r="E1580" s="1490"/>
      <c r="F1580" s="1437"/>
      <c r="G1580" s="1437"/>
      <c r="H1580" s="1437"/>
      <c r="I1580" s="1437"/>
      <c r="J1580" s="1437"/>
      <c r="K1580" s="1438"/>
      <c r="L1580" s="1438"/>
      <c r="M1580" s="1437"/>
      <c r="N1580" s="1437"/>
    </row>
    <row r="1581" spans="1:14" ht="17.5" outlineLevel="1">
      <c r="A1581" s="1491" t="str">
        <f t="shared" si="217"/>
        <v>A</v>
      </c>
      <c r="B1581" s="1333" t="str">
        <f t="shared" si="217"/>
        <v xml:space="preserve">Initial spares </v>
      </c>
      <c r="C1581" s="1492" t="str">
        <f t="shared" si="217"/>
        <v>Add Cap (As per 296 of 2019)</v>
      </c>
      <c r="D1581" s="1334" t="str">
        <f t="shared" si="217"/>
        <v>-</v>
      </c>
      <c r="E1581" s="1335">
        <f t="shared" si="217"/>
        <v>0</v>
      </c>
      <c r="F1581" s="1437"/>
      <c r="G1581" s="1437"/>
      <c r="H1581" s="1437"/>
      <c r="I1581" s="1437"/>
      <c r="J1581" s="1437"/>
      <c r="K1581" s="1438"/>
      <c r="L1581" s="1438"/>
      <c r="M1581" s="1437"/>
      <c r="N1581" s="1437"/>
    </row>
    <row r="1582" spans="1:14" ht="15.5" outlineLevel="1">
      <c r="A1582" s="1493">
        <f t="shared" si="217"/>
        <v>1</v>
      </c>
      <c r="B1582" s="1494" t="str">
        <f t="shared" si="217"/>
        <v>Boiler and Auxiliaries</v>
      </c>
      <c r="C1582" s="1495" t="str">
        <f t="shared" si="217"/>
        <v>Add Cap (As per 296 of 2019)</v>
      </c>
      <c r="D1582" s="1341" t="str">
        <f t="shared" si="217"/>
        <v>-</v>
      </c>
      <c r="E1582" s="1496">
        <f t="shared" si="217"/>
        <v>7.2</v>
      </c>
      <c r="F1582" s="1437"/>
      <c r="G1582" s="1437"/>
      <c r="H1582" s="1437"/>
      <c r="I1582" s="1437"/>
      <c r="J1582" s="1437"/>
      <c r="K1582" s="1438"/>
      <c r="L1582" s="1438"/>
      <c r="M1582" s="1437"/>
      <c r="N1582" s="1437"/>
    </row>
    <row r="1583" spans="1:14" ht="31" outlineLevel="1">
      <c r="A1583" s="1491">
        <f t="shared" si="217"/>
        <v>1</v>
      </c>
      <c r="B1583" s="1497" t="str">
        <f t="shared" si="217"/>
        <v>Procurement of Coal Mill XRP-903 Gear Box Type KMP-280 Spares of Unit # 8 at BM-NPTPS Parli-Vaijnath</v>
      </c>
      <c r="C1583" s="1492" t="str">
        <f t="shared" si="217"/>
        <v>Add Cap (As per 296 of 2019)</v>
      </c>
      <c r="D1583" s="1334" t="str">
        <f t="shared" si="217"/>
        <v>-</v>
      </c>
      <c r="E1583" s="1498">
        <f t="shared" si="217"/>
        <v>0</v>
      </c>
      <c r="F1583" s="1437">
        <f t="shared" ref="F1583:F1646" si="218">F1190+I1190</f>
        <v>1.35</v>
      </c>
      <c r="G1583" s="1437">
        <f t="shared" ref="G1583:G1646" si="219">G1190+M1190</f>
        <v>1.35</v>
      </c>
      <c r="H1583" s="1437">
        <f t="shared" ref="H1583:H1646" si="220">F1583-G1583</f>
        <v>0</v>
      </c>
      <c r="I1583" s="1437">
        <v>0</v>
      </c>
      <c r="J1583" s="1437">
        <v>0</v>
      </c>
      <c r="K1583" s="1438"/>
      <c r="L1583" s="1438"/>
      <c r="M1583" s="1437">
        <f t="shared" ref="M1583:M1646" si="221">SUM(J1583:L1583)</f>
        <v>0</v>
      </c>
      <c r="N1583" s="1437">
        <f t="shared" ref="N1583:N1646" si="222">H1583+I1583-M1583</f>
        <v>0</v>
      </c>
    </row>
    <row r="1584" spans="1:14" ht="31" outlineLevel="1">
      <c r="A1584" s="1491">
        <f t="shared" si="217"/>
        <v>2</v>
      </c>
      <c r="B1584" s="1497" t="str">
        <f t="shared" si="217"/>
        <v>Supply of Labyrinth Seal Rings with replaceable Inner liners for Coal Mill XRP-903 required for BM Unit-8, NPTPS, Parli-V.</v>
      </c>
      <c r="C1584" s="1492" t="str">
        <f t="shared" si="217"/>
        <v>Add Cap (As per 296 of 2019)</v>
      </c>
      <c r="D1584" s="1334" t="str">
        <f t="shared" si="217"/>
        <v>-</v>
      </c>
      <c r="E1584" s="1498">
        <f t="shared" si="217"/>
        <v>0</v>
      </c>
      <c r="F1584" s="1437">
        <f t="shared" si="218"/>
        <v>0.33134400000000003</v>
      </c>
      <c r="G1584" s="1437">
        <f t="shared" si="219"/>
        <v>0.33134400000000003</v>
      </c>
      <c r="H1584" s="1437">
        <f t="shared" si="220"/>
        <v>0</v>
      </c>
      <c r="I1584" s="1437">
        <v>0</v>
      </c>
      <c r="J1584" s="1437">
        <v>0</v>
      </c>
      <c r="K1584" s="1438"/>
      <c r="L1584" s="1438"/>
      <c r="M1584" s="1437">
        <f t="shared" si="221"/>
        <v>0</v>
      </c>
      <c r="N1584" s="1437">
        <f t="shared" si="222"/>
        <v>0</v>
      </c>
    </row>
    <row r="1585" spans="1:14" ht="31" outlineLevel="1">
      <c r="A1585" s="1491">
        <f t="shared" si="217"/>
        <v>3</v>
      </c>
      <c r="B1585" s="1497" t="str">
        <f t="shared" si="217"/>
        <v>Supply and Installation of coal mill  liners(weld overlay) of XRP-903 Coal Mill in BM U-8, NPTPS,Parli-V.</v>
      </c>
      <c r="C1585" s="1492" t="str">
        <f t="shared" si="217"/>
        <v>Add Cap (As per 296 of 2019)</v>
      </c>
      <c r="D1585" s="1334" t="str">
        <f t="shared" si="217"/>
        <v>-</v>
      </c>
      <c r="E1585" s="1498">
        <f t="shared" si="217"/>
        <v>0</v>
      </c>
      <c r="F1585" s="1437">
        <f t="shared" si="218"/>
        <v>0.33134400000000003</v>
      </c>
      <c r="G1585" s="1437">
        <f t="shared" si="219"/>
        <v>0.33134400000000003</v>
      </c>
      <c r="H1585" s="1437">
        <f t="shared" si="220"/>
        <v>0</v>
      </c>
      <c r="I1585" s="1437">
        <v>0</v>
      </c>
      <c r="J1585" s="1437">
        <v>0</v>
      </c>
      <c r="K1585" s="1438"/>
      <c r="L1585" s="1438"/>
      <c r="M1585" s="1437">
        <f t="shared" si="221"/>
        <v>0</v>
      </c>
      <c r="N1585" s="1437">
        <f t="shared" si="222"/>
        <v>0</v>
      </c>
    </row>
    <row r="1586" spans="1:14" ht="31" outlineLevel="1">
      <c r="A1586" s="1491">
        <f t="shared" si="217"/>
        <v>4</v>
      </c>
      <c r="B1586" s="1497" t="str">
        <f t="shared" si="217"/>
        <v>Procurement of Coal Mill XRP-903 Bowl &amp; Bowl Hub of Unit # 8 at BM-NPTPS Parli-Vaijnath</v>
      </c>
      <c r="C1586" s="1492" t="str">
        <f t="shared" si="217"/>
        <v>Add Cap (As per 296 of 2019)</v>
      </c>
      <c r="D1586" s="1334" t="str">
        <f t="shared" si="217"/>
        <v>-</v>
      </c>
      <c r="E1586" s="1498">
        <f t="shared" si="217"/>
        <v>0</v>
      </c>
      <c r="F1586" s="1437">
        <f t="shared" si="218"/>
        <v>0.73326380000000002</v>
      </c>
      <c r="G1586" s="1437">
        <f t="shared" si="219"/>
        <v>0.73326380000000002</v>
      </c>
      <c r="H1586" s="1437">
        <f t="shared" si="220"/>
        <v>0</v>
      </c>
      <c r="I1586" s="1437">
        <v>0</v>
      </c>
      <c r="J1586" s="1437">
        <v>0</v>
      </c>
      <c r="K1586" s="1438"/>
      <c r="L1586" s="1438"/>
      <c r="M1586" s="1437">
        <f t="shared" si="221"/>
        <v>0</v>
      </c>
      <c r="N1586" s="1437">
        <f t="shared" si="222"/>
        <v>0</v>
      </c>
    </row>
    <row r="1587" spans="1:14" ht="15.5" outlineLevel="1">
      <c r="A1587" s="1491">
        <f t="shared" si="217"/>
        <v>5</v>
      </c>
      <c r="B1587" s="1497" t="str">
        <f t="shared" si="217"/>
        <v>Supply of impeller assembly for ID fan</v>
      </c>
      <c r="C1587" s="1492" t="str">
        <f t="shared" si="217"/>
        <v>Add Cap (As per 296 of 2019)</v>
      </c>
      <c r="D1587" s="1334" t="str">
        <f t="shared" si="217"/>
        <v>-</v>
      </c>
      <c r="E1587" s="1358">
        <f t="shared" si="217"/>
        <v>0</v>
      </c>
      <c r="F1587" s="1437">
        <f t="shared" si="218"/>
        <v>0.52329999999999999</v>
      </c>
      <c r="G1587" s="1437">
        <f t="shared" si="219"/>
        <v>0.52329999999999999</v>
      </c>
      <c r="H1587" s="1437">
        <f t="shared" si="220"/>
        <v>0</v>
      </c>
      <c r="I1587" s="1437">
        <v>0</v>
      </c>
      <c r="J1587" s="1437">
        <v>0</v>
      </c>
      <c r="K1587" s="1438"/>
      <c r="L1587" s="1438"/>
      <c r="M1587" s="1437">
        <f t="shared" si="221"/>
        <v>0</v>
      </c>
      <c r="N1587" s="1437">
        <f t="shared" si="222"/>
        <v>0</v>
      </c>
    </row>
    <row r="1588" spans="1:14" ht="31" outlineLevel="1">
      <c r="A1588" s="1491">
        <f t="shared" si="217"/>
        <v>6</v>
      </c>
      <c r="B1588" s="1497" t="str">
        <f t="shared" si="217"/>
        <v>Procurement of Primary Air Fan &amp; Forced Draught Fan Drive Coupling on OEM basis required at BM U-8, NPTPS, Parli-V</v>
      </c>
      <c r="C1588" s="1492" t="str">
        <f t="shared" si="217"/>
        <v>Add Cap (As per 296 of 2019)</v>
      </c>
      <c r="D1588" s="1334" t="str">
        <f t="shared" si="217"/>
        <v>-</v>
      </c>
      <c r="E1588" s="1358">
        <f t="shared" si="217"/>
        <v>0</v>
      </c>
      <c r="F1588" s="1437">
        <f t="shared" si="218"/>
        <v>0.19409999999999999</v>
      </c>
      <c r="G1588" s="1437">
        <f t="shared" si="219"/>
        <v>0.19409999999999999</v>
      </c>
      <c r="H1588" s="1437">
        <f t="shared" si="220"/>
        <v>0</v>
      </c>
      <c r="I1588" s="1437">
        <v>0</v>
      </c>
      <c r="J1588" s="1437">
        <v>0</v>
      </c>
      <c r="K1588" s="1438"/>
      <c r="L1588" s="1438"/>
      <c r="M1588" s="1437">
        <f t="shared" si="221"/>
        <v>0</v>
      </c>
      <c r="N1588" s="1437">
        <f t="shared" si="222"/>
        <v>0</v>
      </c>
    </row>
    <row r="1589" spans="1:14" ht="46.5" outlineLevel="1">
      <c r="A1589" s="1491">
        <f t="shared" si="217"/>
        <v>7</v>
      </c>
      <c r="B1589" s="1497" t="str">
        <f t="shared" si="217"/>
        <v>Procurement of  Primary Air Fan PAF 17/11.8-2 Hydraulic Adjustment Device on OEM basis required at BM U-8 NPTPS Parli-V</v>
      </c>
      <c r="C1589" s="1492" t="str">
        <f t="shared" si="217"/>
        <v>Add Cap (As per 296 of 2019)</v>
      </c>
      <c r="D1589" s="1334" t="str">
        <f t="shared" si="217"/>
        <v>-</v>
      </c>
      <c r="E1589" s="1359">
        <f t="shared" si="217"/>
        <v>0</v>
      </c>
      <c r="F1589" s="1437">
        <f t="shared" si="218"/>
        <v>0.53521083000000003</v>
      </c>
      <c r="G1589" s="1437">
        <f t="shared" si="219"/>
        <v>0.53521083000000003</v>
      </c>
      <c r="H1589" s="1437">
        <f t="shared" si="220"/>
        <v>0</v>
      </c>
      <c r="I1589" s="1437">
        <v>0</v>
      </c>
      <c r="J1589" s="1437">
        <v>0</v>
      </c>
      <c r="K1589" s="1438"/>
      <c r="L1589" s="1438"/>
      <c r="M1589" s="1437">
        <f t="shared" si="221"/>
        <v>0</v>
      </c>
      <c r="N1589" s="1437">
        <f t="shared" si="222"/>
        <v>0</v>
      </c>
    </row>
    <row r="1590" spans="1:14" ht="31" outlineLevel="1">
      <c r="A1590" s="1491">
        <f t="shared" si="217"/>
        <v>8</v>
      </c>
      <c r="B1590" s="1497" t="str">
        <f t="shared" si="217"/>
        <v>Proc of spares for fabric expansion joints required at BM U-8, NPTPS, Parli-V.</v>
      </c>
      <c r="C1590" s="1492" t="str">
        <f t="shared" si="217"/>
        <v>Add Cap (As per 296 of 2019)</v>
      </c>
      <c r="D1590" s="1334" t="str">
        <f t="shared" si="217"/>
        <v>-</v>
      </c>
      <c r="E1590" s="1358">
        <f t="shared" si="217"/>
        <v>0</v>
      </c>
      <c r="F1590" s="1437">
        <f t="shared" si="218"/>
        <v>0.56971689999999997</v>
      </c>
      <c r="G1590" s="1437">
        <f t="shared" si="219"/>
        <v>0.56971689999999997</v>
      </c>
      <c r="H1590" s="1437">
        <f t="shared" si="220"/>
        <v>0</v>
      </c>
      <c r="I1590" s="1437">
        <v>0</v>
      </c>
      <c r="J1590" s="1437">
        <v>0</v>
      </c>
      <c r="K1590" s="1438"/>
      <c r="L1590" s="1438"/>
      <c r="M1590" s="1437">
        <f t="shared" si="221"/>
        <v>0</v>
      </c>
      <c r="N1590" s="1437">
        <f t="shared" si="222"/>
        <v>0</v>
      </c>
    </row>
    <row r="1591" spans="1:14" ht="31" outlineLevel="1">
      <c r="A1591" s="1491">
        <f t="shared" si="217"/>
        <v>9</v>
      </c>
      <c r="B1591" s="1497" t="str">
        <f t="shared" si="217"/>
        <v>Proc of separator body and seperator top spares for coal mill XRP-903 at BM U-8, NPTPS Parli-V.</v>
      </c>
      <c r="C1591" s="1492" t="str">
        <f t="shared" si="217"/>
        <v>Add Cap (As per 296 of 2019)</v>
      </c>
      <c r="D1591" s="1334" t="str">
        <f t="shared" si="217"/>
        <v>-</v>
      </c>
      <c r="E1591" s="1358">
        <f t="shared" si="217"/>
        <v>0</v>
      </c>
      <c r="F1591" s="1437">
        <f t="shared" si="218"/>
        <v>0.42568995599999998</v>
      </c>
      <c r="G1591" s="1437">
        <f t="shared" si="219"/>
        <v>0.42568995599999998</v>
      </c>
      <c r="H1591" s="1437">
        <f t="shared" si="220"/>
        <v>0</v>
      </c>
      <c r="I1591" s="1437">
        <v>0</v>
      </c>
      <c r="J1591" s="1437">
        <v>0</v>
      </c>
      <c r="K1591" s="1438"/>
      <c r="L1591" s="1438"/>
      <c r="M1591" s="1437">
        <f t="shared" si="221"/>
        <v>0</v>
      </c>
      <c r="N1591" s="1437">
        <f t="shared" si="222"/>
        <v>0</v>
      </c>
    </row>
    <row r="1592" spans="1:14" ht="31" outlineLevel="1">
      <c r="A1592" s="1491">
        <f t="shared" si="217"/>
        <v>10</v>
      </c>
      <c r="B1592" s="1497" t="str">
        <f t="shared" si="217"/>
        <v>Proc of scrapper area &amp; reject system spares for coal mill XRP-903 at BM U-8, NPTPS Parli-V.</v>
      </c>
      <c r="C1592" s="1492" t="str">
        <f t="shared" si="217"/>
        <v>Add Cap (As per 296 of 2019)</v>
      </c>
      <c r="D1592" s="1334" t="str">
        <f t="shared" si="217"/>
        <v>-</v>
      </c>
      <c r="E1592" s="1358">
        <f t="shared" si="217"/>
        <v>0</v>
      </c>
      <c r="F1592" s="1437">
        <f t="shared" si="218"/>
        <v>0.27832896000000001</v>
      </c>
      <c r="G1592" s="1437">
        <f t="shared" si="219"/>
        <v>0.27832896000000001</v>
      </c>
      <c r="H1592" s="1437">
        <f t="shared" si="220"/>
        <v>0</v>
      </c>
      <c r="I1592" s="1437">
        <v>0</v>
      </c>
      <c r="J1592" s="1437">
        <v>0</v>
      </c>
      <c r="K1592" s="1438"/>
      <c r="L1592" s="1438"/>
      <c r="M1592" s="1437">
        <f t="shared" si="221"/>
        <v>0</v>
      </c>
      <c r="N1592" s="1437">
        <f t="shared" si="222"/>
        <v>0</v>
      </c>
    </row>
    <row r="1593" spans="1:14" ht="15.5" outlineLevel="1">
      <c r="A1593" s="1491">
        <f t="shared" si="217"/>
        <v>11</v>
      </c>
      <c r="B1593" s="1497" t="str">
        <f t="shared" si="217"/>
        <v>Proc of seal air fan spares at BM-8 NPTPS, Parli-V.</v>
      </c>
      <c r="C1593" s="1492" t="str">
        <f t="shared" si="217"/>
        <v>Add Cap (As per 296 of 2019)</v>
      </c>
      <c r="D1593" s="1334" t="str">
        <f t="shared" si="217"/>
        <v>-</v>
      </c>
      <c r="E1593" s="1359">
        <f t="shared" si="217"/>
        <v>0</v>
      </c>
      <c r="F1593" s="1437">
        <f t="shared" si="218"/>
        <v>0.26431690000000002</v>
      </c>
      <c r="G1593" s="1437">
        <f t="shared" si="219"/>
        <v>0.26431690000000002</v>
      </c>
      <c r="H1593" s="1437">
        <f t="shared" si="220"/>
        <v>0</v>
      </c>
      <c r="I1593" s="1437">
        <v>0</v>
      </c>
      <c r="J1593" s="1437">
        <v>0</v>
      </c>
      <c r="K1593" s="1438"/>
      <c r="L1593" s="1438"/>
      <c r="M1593" s="1437">
        <f t="shared" si="221"/>
        <v>0</v>
      </c>
      <c r="N1593" s="1437">
        <f t="shared" si="222"/>
        <v>0</v>
      </c>
    </row>
    <row r="1594" spans="1:14" ht="31" outlineLevel="1">
      <c r="A1594" s="1491">
        <f t="shared" si="217"/>
        <v>12</v>
      </c>
      <c r="B1594" s="1497" t="str">
        <f t="shared" si="217"/>
        <v>Procurement of  FD Fan Type FAF 17/9.5-1 Drive Coupling required at BM U-8 NPTPS Parli-V</v>
      </c>
      <c r="C1594" s="1492" t="str">
        <f t="shared" si="217"/>
        <v>Add Cap (As per 296 of 2019)</v>
      </c>
      <c r="D1594" s="1334" t="str">
        <f t="shared" si="217"/>
        <v>-</v>
      </c>
      <c r="E1594" s="1358">
        <f t="shared" si="217"/>
        <v>0</v>
      </c>
      <c r="F1594" s="1437">
        <f t="shared" si="218"/>
        <v>0</v>
      </c>
      <c r="G1594" s="1437">
        <f t="shared" si="219"/>
        <v>0</v>
      </c>
      <c r="H1594" s="1437">
        <f t="shared" si="220"/>
        <v>0</v>
      </c>
      <c r="I1594" s="1437">
        <v>0</v>
      </c>
      <c r="J1594" s="1437">
        <v>0</v>
      </c>
      <c r="K1594" s="1438"/>
      <c r="L1594" s="1438"/>
      <c r="M1594" s="1437">
        <f t="shared" si="221"/>
        <v>0</v>
      </c>
      <c r="N1594" s="1437">
        <f t="shared" si="222"/>
        <v>0</v>
      </c>
    </row>
    <row r="1595" spans="1:14" ht="31" outlineLevel="1">
      <c r="A1595" s="1491">
        <f t="shared" si="217"/>
        <v>13</v>
      </c>
      <c r="B1595" s="1497" t="str">
        <f t="shared" si="217"/>
        <v>Procurement of complete planatary gear box-KMP -280/300 for coal mill XRP-903 at BM U-8 NPTPS Parli-V</v>
      </c>
      <c r="C1595" s="1492" t="str">
        <f t="shared" si="217"/>
        <v>Add Cap (As per 296 of 2019)</v>
      </c>
      <c r="D1595" s="1334" t="str">
        <f t="shared" si="217"/>
        <v>-</v>
      </c>
      <c r="E1595" s="1358">
        <f t="shared" si="217"/>
        <v>0</v>
      </c>
      <c r="F1595" s="1437">
        <f t="shared" si="218"/>
        <v>0</v>
      </c>
      <c r="G1595" s="1437">
        <f t="shared" si="219"/>
        <v>0</v>
      </c>
      <c r="H1595" s="1437">
        <f t="shared" si="220"/>
        <v>0</v>
      </c>
      <c r="I1595" s="1437">
        <v>0</v>
      </c>
      <c r="J1595" s="1437">
        <v>0</v>
      </c>
      <c r="K1595" s="1438"/>
      <c r="L1595" s="1438"/>
      <c r="M1595" s="1437">
        <f t="shared" si="221"/>
        <v>0</v>
      </c>
      <c r="N1595" s="1437">
        <f t="shared" si="222"/>
        <v>0</v>
      </c>
    </row>
    <row r="1596" spans="1:14" ht="15.5" outlineLevel="1">
      <c r="A1596" s="1493">
        <f t="shared" ref="A1596:E1611" si="223">A1203</f>
        <v>2</v>
      </c>
      <c r="B1596" s="1494" t="str">
        <f t="shared" si="223"/>
        <v>Turbine and Auxiliaries</v>
      </c>
      <c r="C1596" s="1495" t="str">
        <f t="shared" si="223"/>
        <v>Add Cap (As per 296 of 2019)</v>
      </c>
      <c r="D1596" s="1341" t="str">
        <f t="shared" si="223"/>
        <v>-</v>
      </c>
      <c r="E1596" s="1496">
        <f t="shared" si="223"/>
        <v>4.3</v>
      </c>
      <c r="F1596" s="1437">
        <f t="shared" si="218"/>
        <v>0</v>
      </c>
      <c r="G1596" s="1437">
        <f t="shared" si="219"/>
        <v>0</v>
      </c>
      <c r="H1596" s="1437">
        <f t="shared" si="220"/>
        <v>0</v>
      </c>
      <c r="I1596" s="1437">
        <v>0</v>
      </c>
      <c r="J1596" s="1437">
        <v>0</v>
      </c>
      <c r="K1596" s="1438"/>
      <c r="L1596" s="1438"/>
      <c r="M1596" s="1437">
        <f t="shared" si="221"/>
        <v>0</v>
      </c>
      <c r="N1596" s="1437">
        <f t="shared" si="222"/>
        <v>0</v>
      </c>
    </row>
    <row r="1597" spans="1:14" ht="46.5" outlineLevel="1">
      <c r="A1597" s="1499">
        <f t="shared" si="223"/>
        <v>1</v>
      </c>
      <c r="B1597" s="1497" t="str">
        <f t="shared" si="223"/>
        <v>Procurement of spares for Equipment Cooling Water Pumps (Make-FLOWMORE) of model FIG-5824 (SG Side) and FIG-5822 (TG side) at Unit-8 NPTPS Parli-V</v>
      </c>
      <c r="C1597" s="1492" t="str">
        <f t="shared" si="223"/>
        <v>Add Cap (As per 296 of 2019)</v>
      </c>
      <c r="D1597" s="1334" t="str">
        <f t="shared" si="223"/>
        <v>-</v>
      </c>
      <c r="E1597" s="1358">
        <f t="shared" si="223"/>
        <v>0</v>
      </c>
      <c r="F1597" s="1437">
        <f t="shared" si="218"/>
        <v>0.51811829399999998</v>
      </c>
      <c r="G1597" s="1437">
        <f t="shared" si="219"/>
        <v>0.51811829399999998</v>
      </c>
      <c r="H1597" s="1437">
        <f t="shared" si="220"/>
        <v>0</v>
      </c>
      <c r="I1597" s="1437">
        <v>0</v>
      </c>
      <c r="J1597" s="1437">
        <v>0</v>
      </c>
      <c r="K1597" s="1438"/>
      <c r="L1597" s="1438"/>
      <c r="M1597" s="1437">
        <f t="shared" si="221"/>
        <v>0</v>
      </c>
      <c r="N1597" s="1437">
        <f t="shared" si="222"/>
        <v>0</v>
      </c>
    </row>
    <row r="1598" spans="1:14" ht="15.5" outlineLevel="1">
      <c r="A1598" s="1499">
        <f t="shared" si="223"/>
        <v>2</v>
      </c>
      <c r="B1598" s="1497" t="str">
        <f t="shared" si="223"/>
        <v>Supply of spars for recovery &amp; FF Pumps along with work  at U#8</v>
      </c>
      <c r="C1598" s="1492" t="str">
        <f t="shared" si="223"/>
        <v>Add Cap (As per 296 of 2019)</v>
      </c>
      <c r="D1598" s="1334" t="str">
        <f t="shared" si="223"/>
        <v>-</v>
      </c>
      <c r="E1598" s="1359">
        <f t="shared" si="223"/>
        <v>0</v>
      </c>
      <c r="F1598" s="1437">
        <f t="shared" si="218"/>
        <v>0.37712800000000002</v>
      </c>
      <c r="G1598" s="1437">
        <f t="shared" si="219"/>
        <v>0.37712800000000002</v>
      </c>
      <c r="H1598" s="1437">
        <f t="shared" si="220"/>
        <v>0</v>
      </c>
      <c r="I1598" s="1437">
        <v>0</v>
      </c>
      <c r="J1598" s="1437">
        <v>0</v>
      </c>
      <c r="K1598" s="1438"/>
      <c r="L1598" s="1438"/>
      <c r="M1598" s="1437">
        <f t="shared" si="221"/>
        <v>0</v>
      </c>
      <c r="N1598" s="1437">
        <f t="shared" si="222"/>
        <v>0</v>
      </c>
    </row>
    <row r="1599" spans="1:14" ht="15.5" outlineLevel="1">
      <c r="A1599" s="1499">
        <f t="shared" si="223"/>
        <v>3</v>
      </c>
      <c r="B1599" s="1497" t="str">
        <f t="shared" si="223"/>
        <v>Supply of seal oil vacuum pump  in unit 08</v>
      </c>
      <c r="C1599" s="1492" t="str">
        <f t="shared" si="223"/>
        <v>Add Cap (As per 296 of 2019)</v>
      </c>
      <c r="D1599" s="1334" t="str">
        <f t="shared" si="223"/>
        <v>-</v>
      </c>
      <c r="E1599" s="1358">
        <f t="shared" si="223"/>
        <v>0</v>
      </c>
      <c r="F1599" s="1437">
        <f t="shared" si="218"/>
        <v>0.27501740000000002</v>
      </c>
      <c r="G1599" s="1437">
        <f t="shared" si="219"/>
        <v>0.27501740000000002</v>
      </c>
      <c r="H1599" s="1437">
        <f t="shared" si="220"/>
        <v>0</v>
      </c>
      <c r="I1599" s="1437">
        <v>0</v>
      </c>
      <c r="J1599" s="1437">
        <v>0</v>
      </c>
      <c r="K1599" s="1438"/>
      <c r="L1599" s="1438"/>
      <c r="M1599" s="1437">
        <f t="shared" si="221"/>
        <v>0</v>
      </c>
      <c r="N1599" s="1437">
        <f t="shared" si="222"/>
        <v>0</v>
      </c>
    </row>
    <row r="1600" spans="1:14" ht="46.5" outlineLevel="1">
      <c r="A1600" s="1499">
        <f t="shared" si="223"/>
        <v>4</v>
      </c>
      <c r="B1600" s="1497" t="str">
        <f t="shared" si="223"/>
        <v>Procurement of AC pressure pipes (235MM OD, 200MM ID, 4.5M Length) for NDCT hot spray water distribution system in Unit-8 NPTPS Parli-Vaijnath</v>
      </c>
      <c r="C1600" s="1492" t="str">
        <f t="shared" si="223"/>
        <v>Add Cap (As per 296 of 2019)</v>
      </c>
      <c r="D1600" s="1334" t="str">
        <f t="shared" si="223"/>
        <v>-</v>
      </c>
      <c r="E1600" s="1358">
        <f t="shared" si="223"/>
        <v>0</v>
      </c>
      <c r="F1600" s="1437">
        <f t="shared" si="218"/>
        <v>0.42522480000000001</v>
      </c>
      <c r="G1600" s="1437">
        <f t="shared" si="219"/>
        <v>0.42522480000000001</v>
      </c>
      <c r="H1600" s="1437">
        <f t="shared" si="220"/>
        <v>0</v>
      </c>
      <c r="I1600" s="1437">
        <v>0</v>
      </c>
      <c r="J1600" s="1437">
        <v>0</v>
      </c>
      <c r="K1600" s="1438"/>
      <c r="L1600" s="1438"/>
      <c r="M1600" s="1437">
        <f t="shared" si="221"/>
        <v>0</v>
      </c>
      <c r="N1600" s="1437">
        <f t="shared" si="222"/>
        <v>0</v>
      </c>
    </row>
    <row r="1601" spans="1:14" ht="31" outlineLevel="1">
      <c r="A1601" s="1499">
        <f t="shared" si="223"/>
        <v>5</v>
      </c>
      <c r="B1601" s="1497" t="str">
        <f t="shared" si="223"/>
        <v>Supply of M/s Summits make Instrument Air Dryer &amp; spares at U # 8 TM, Parli-V</v>
      </c>
      <c r="C1601" s="1492" t="str">
        <f t="shared" si="223"/>
        <v>Add Cap (As per 296 of 2019)</v>
      </c>
      <c r="D1601" s="1334" t="str">
        <f t="shared" si="223"/>
        <v>-</v>
      </c>
      <c r="E1601" s="1358">
        <f t="shared" si="223"/>
        <v>0</v>
      </c>
      <c r="F1601" s="1437">
        <f t="shared" si="218"/>
        <v>0.54787163999999999</v>
      </c>
      <c r="G1601" s="1437">
        <f t="shared" si="219"/>
        <v>0.54787163999999999</v>
      </c>
      <c r="H1601" s="1437">
        <f t="shared" si="220"/>
        <v>0</v>
      </c>
      <c r="I1601" s="1437">
        <v>0</v>
      </c>
      <c r="J1601" s="1437">
        <v>0</v>
      </c>
      <c r="K1601" s="1438"/>
      <c r="L1601" s="1438"/>
      <c r="M1601" s="1437">
        <f t="shared" si="221"/>
        <v>0</v>
      </c>
      <c r="N1601" s="1437">
        <f t="shared" si="222"/>
        <v>0</v>
      </c>
    </row>
    <row r="1602" spans="1:14" ht="15.5" outlineLevel="1">
      <c r="A1602" s="1499">
        <f t="shared" si="223"/>
        <v>6</v>
      </c>
      <c r="B1602" s="1497" t="str">
        <f t="shared" si="223"/>
        <v>Supply of PVC fills for NDCTs at U # 8 TM, Parli-V</v>
      </c>
      <c r="C1602" s="1492" t="str">
        <f t="shared" si="223"/>
        <v>Add Cap (As per 296 of 2019)</v>
      </c>
      <c r="D1602" s="1334" t="str">
        <f t="shared" si="223"/>
        <v>-</v>
      </c>
      <c r="E1602" s="1358">
        <f t="shared" si="223"/>
        <v>0</v>
      </c>
      <c r="F1602" s="1437">
        <f t="shared" si="218"/>
        <v>0.58244799999999997</v>
      </c>
      <c r="G1602" s="1437">
        <f t="shared" si="219"/>
        <v>0.58244799999999997</v>
      </c>
      <c r="H1602" s="1437">
        <f t="shared" si="220"/>
        <v>0</v>
      </c>
      <c r="I1602" s="1437">
        <v>0</v>
      </c>
      <c r="J1602" s="1437">
        <v>0</v>
      </c>
      <c r="K1602" s="1438"/>
      <c r="L1602" s="1438"/>
      <c r="M1602" s="1437">
        <f t="shared" si="221"/>
        <v>0</v>
      </c>
      <c r="N1602" s="1437">
        <f t="shared" si="222"/>
        <v>0</v>
      </c>
    </row>
    <row r="1603" spans="1:14" ht="31" outlineLevel="1">
      <c r="A1603" s="1499">
        <f t="shared" si="223"/>
        <v>7</v>
      </c>
      <c r="B1603" s="1497" t="str">
        <f t="shared" si="223"/>
        <v>Procurement of NB 600MM Gate valves for ACW self cleaning strainers in U#8 TM NPTPS Parli-V</v>
      </c>
      <c r="C1603" s="1492" t="str">
        <f t="shared" si="223"/>
        <v>Add Cap (As per 296 of 2019)</v>
      </c>
      <c r="D1603" s="1334" t="str">
        <f t="shared" si="223"/>
        <v>-</v>
      </c>
      <c r="E1603" s="1358">
        <f t="shared" si="223"/>
        <v>0</v>
      </c>
      <c r="F1603" s="1437">
        <f t="shared" si="218"/>
        <v>0.42338399999999998</v>
      </c>
      <c r="G1603" s="1437">
        <f t="shared" si="219"/>
        <v>0.42338399999999998</v>
      </c>
      <c r="H1603" s="1437">
        <f t="shared" si="220"/>
        <v>0</v>
      </c>
      <c r="I1603" s="1437">
        <v>0</v>
      </c>
      <c r="J1603" s="1437">
        <v>0</v>
      </c>
      <c r="K1603" s="1438"/>
      <c r="L1603" s="1438"/>
      <c r="M1603" s="1437">
        <f t="shared" si="221"/>
        <v>0</v>
      </c>
      <c r="N1603" s="1437">
        <f t="shared" si="222"/>
        <v>0</v>
      </c>
    </row>
    <row r="1604" spans="1:14" ht="31" outlineLevel="1">
      <c r="A1604" s="1499">
        <f t="shared" si="223"/>
        <v>8</v>
      </c>
      <c r="B1604" s="1497" t="str">
        <f t="shared" si="223"/>
        <v>Procurement of Mechanical seals ( Make Leak-Proof) for various pumps in TM Unit-8 NPTPS Parli.</v>
      </c>
      <c r="C1604" s="1492" t="str">
        <f t="shared" si="223"/>
        <v>Add Cap (As per 296 of 2019)</v>
      </c>
      <c r="D1604" s="1334" t="str">
        <f t="shared" si="223"/>
        <v>-</v>
      </c>
      <c r="E1604" s="1359">
        <f t="shared" si="223"/>
        <v>0</v>
      </c>
      <c r="F1604" s="1437">
        <f t="shared" si="218"/>
        <v>0.49233139999999997</v>
      </c>
      <c r="G1604" s="1437">
        <f t="shared" si="219"/>
        <v>0.49233139999999997</v>
      </c>
      <c r="H1604" s="1437">
        <f t="shared" si="220"/>
        <v>0</v>
      </c>
      <c r="I1604" s="1437">
        <v>0</v>
      </c>
      <c r="J1604" s="1437">
        <v>0</v>
      </c>
      <c r="K1604" s="1438"/>
      <c r="L1604" s="1438"/>
      <c r="M1604" s="1437">
        <f t="shared" si="221"/>
        <v>0</v>
      </c>
      <c r="N1604" s="1437">
        <f t="shared" si="222"/>
        <v>0</v>
      </c>
    </row>
    <row r="1605" spans="1:14" ht="15.5" outlineLevel="1">
      <c r="A1605" s="1499">
        <f t="shared" si="223"/>
        <v>9</v>
      </c>
      <c r="B1605" s="1497" t="str">
        <f t="shared" si="223"/>
        <v>Supply of SS 304 pipes &amp; others at U # 8 TM, Parli-V.</v>
      </c>
      <c r="C1605" s="1492" t="str">
        <f t="shared" si="223"/>
        <v>Add Cap (As per 296 of 2019)</v>
      </c>
      <c r="D1605" s="1334" t="str">
        <f t="shared" si="223"/>
        <v>-</v>
      </c>
      <c r="E1605" s="1366">
        <f t="shared" si="223"/>
        <v>0</v>
      </c>
      <c r="F1605" s="1437">
        <f t="shared" si="218"/>
        <v>0.52905441600000003</v>
      </c>
      <c r="G1605" s="1437">
        <f t="shared" si="219"/>
        <v>0.52905441600000003</v>
      </c>
      <c r="H1605" s="1437">
        <f t="shared" si="220"/>
        <v>0</v>
      </c>
      <c r="I1605" s="1437">
        <v>0</v>
      </c>
      <c r="J1605" s="1437">
        <v>0</v>
      </c>
      <c r="K1605" s="1438"/>
      <c r="L1605" s="1438"/>
      <c r="M1605" s="1437">
        <f t="shared" si="221"/>
        <v>0</v>
      </c>
      <c r="N1605" s="1437">
        <f t="shared" si="222"/>
        <v>0</v>
      </c>
    </row>
    <row r="1606" spans="1:14" ht="15.5" outlineLevel="1">
      <c r="A1606" s="1493">
        <f t="shared" si="223"/>
        <v>3</v>
      </c>
      <c r="B1606" s="1494" t="str">
        <f t="shared" si="223"/>
        <v xml:space="preserve">Electrical and Instrumentation </v>
      </c>
      <c r="C1606" s="1495" t="str">
        <f t="shared" si="223"/>
        <v>Add Cap (As per 296 of 2019)</v>
      </c>
      <c r="D1606" s="1341" t="str">
        <f t="shared" si="223"/>
        <v>-</v>
      </c>
      <c r="E1606" s="1496">
        <f t="shared" si="223"/>
        <v>6.1</v>
      </c>
      <c r="F1606" s="1437">
        <f t="shared" si="218"/>
        <v>0</v>
      </c>
      <c r="G1606" s="1437">
        <f t="shared" si="219"/>
        <v>0</v>
      </c>
      <c r="H1606" s="1437">
        <f t="shared" si="220"/>
        <v>0</v>
      </c>
      <c r="I1606" s="1437">
        <v>0</v>
      </c>
      <c r="J1606" s="1437">
        <v>0</v>
      </c>
      <c r="K1606" s="1438"/>
      <c r="L1606" s="1438"/>
      <c r="M1606" s="1437">
        <f t="shared" si="221"/>
        <v>0</v>
      </c>
      <c r="N1606" s="1437">
        <f t="shared" si="222"/>
        <v>0</v>
      </c>
    </row>
    <row r="1607" spans="1:14" ht="31" outlineLevel="1">
      <c r="A1607" s="1499">
        <f t="shared" si="223"/>
        <v>1</v>
      </c>
      <c r="B1607" s="1500" t="str">
        <f t="shared" si="223"/>
        <v>Supply of Instrumentation Spares of LP Bypass System at Unit-8.</v>
      </c>
      <c r="C1607" s="1492" t="str">
        <f t="shared" si="223"/>
        <v>Add Cap (As per 296 of 2019)</v>
      </c>
      <c r="D1607" s="1334" t="str">
        <f t="shared" si="223"/>
        <v>-</v>
      </c>
      <c r="E1607" s="1366">
        <f t="shared" si="223"/>
        <v>0</v>
      </c>
      <c r="F1607" s="1437">
        <f t="shared" si="218"/>
        <v>1.9614571240000001</v>
      </c>
      <c r="G1607" s="1437">
        <f t="shared" si="219"/>
        <v>1.9614571240000001</v>
      </c>
      <c r="H1607" s="1437">
        <f t="shared" si="220"/>
        <v>0</v>
      </c>
      <c r="I1607" s="1437">
        <v>0</v>
      </c>
      <c r="J1607" s="1437">
        <v>0</v>
      </c>
      <c r="K1607" s="1438"/>
      <c r="L1607" s="1438"/>
      <c r="M1607" s="1437">
        <f t="shared" si="221"/>
        <v>0</v>
      </c>
      <c r="N1607" s="1437">
        <f t="shared" si="222"/>
        <v>0</v>
      </c>
    </row>
    <row r="1608" spans="1:14" ht="31" outlineLevel="1">
      <c r="A1608" s="1499">
        <f t="shared" si="223"/>
        <v>2</v>
      </c>
      <c r="B1608" s="1501" t="str">
        <f t="shared" si="223"/>
        <v>Procurement of Schneider MICOM Numerical Relays for GRP and STPR swithcgear at NPTPS Unit-8 Testing</v>
      </c>
      <c r="C1608" s="1492" t="str">
        <f t="shared" si="223"/>
        <v>Add Cap (As per 296 of 2019)</v>
      </c>
      <c r="D1608" s="1334" t="str">
        <f t="shared" si="223"/>
        <v>-</v>
      </c>
      <c r="E1608" s="1366">
        <f t="shared" si="223"/>
        <v>0</v>
      </c>
      <c r="F1608" s="1437">
        <f t="shared" si="218"/>
        <v>0.47613</v>
      </c>
      <c r="G1608" s="1437">
        <f t="shared" si="219"/>
        <v>0.47613</v>
      </c>
      <c r="H1608" s="1437">
        <f t="shared" si="220"/>
        <v>0</v>
      </c>
      <c r="I1608" s="1437">
        <v>0</v>
      </c>
      <c r="J1608" s="1437">
        <v>0</v>
      </c>
      <c r="K1608" s="1438"/>
      <c r="L1608" s="1438"/>
      <c r="M1608" s="1437">
        <f t="shared" si="221"/>
        <v>0</v>
      </c>
      <c r="N1608" s="1437">
        <f t="shared" si="222"/>
        <v>0</v>
      </c>
    </row>
    <row r="1609" spans="1:14" ht="31" outlineLevel="1">
      <c r="A1609" s="1502">
        <f t="shared" si="223"/>
        <v>3</v>
      </c>
      <c r="B1609" s="1501" t="str">
        <f t="shared" si="223"/>
        <v xml:space="preserve">Procurement of 220V DC Chloride make (formally caldyne) make battery chargers Spre of Unit 8 NPTPS Parli-V                           </v>
      </c>
      <c r="C1609" s="1492" t="str">
        <f t="shared" si="223"/>
        <v>Add Cap (As per 296 of 2019)</v>
      </c>
      <c r="D1609" s="1334" t="str">
        <f t="shared" si="223"/>
        <v>-</v>
      </c>
      <c r="E1609" s="1359">
        <f t="shared" si="223"/>
        <v>0</v>
      </c>
      <c r="F1609" s="1437">
        <f t="shared" si="218"/>
        <v>0.23365298000000001</v>
      </c>
      <c r="G1609" s="1437">
        <f t="shared" si="219"/>
        <v>0.23365298000000001</v>
      </c>
      <c r="H1609" s="1437">
        <f t="shared" si="220"/>
        <v>0</v>
      </c>
      <c r="I1609" s="1437">
        <v>0</v>
      </c>
      <c r="J1609" s="1437">
        <v>0</v>
      </c>
      <c r="K1609" s="1438"/>
      <c r="L1609" s="1438"/>
      <c r="M1609" s="1437">
        <f t="shared" si="221"/>
        <v>0</v>
      </c>
      <c r="N1609" s="1437">
        <f t="shared" si="222"/>
        <v>0</v>
      </c>
    </row>
    <row r="1610" spans="1:14" ht="31" outlineLevel="1">
      <c r="A1610" s="1502">
        <f t="shared" si="223"/>
        <v>4</v>
      </c>
      <c r="B1610" s="1501" t="str">
        <f t="shared" si="223"/>
        <v>Procurement of 24V DC Chhabi make make battery chargers Spare of Unit 8 NPTPS Parli-V</v>
      </c>
      <c r="C1610" s="1492" t="str">
        <f t="shared" si="223"/>
        <v>Add Cap (As per 296 of 2019)</v>
      </c>
      <c r="D1610" s="1334" t="str">
        <f t="shared" si="223"/>
        <v>-</v>
      </c>
      <c r="E1610" s="1358">
        <f t="shared" si="223"/>
        <v>0</v>
      </c>
      <c r="F1610" s="1437">
        <f t="shared" si="218"/>
        <v>0.22464893999999999</v>
      </c>
      <c r="G1610" s="1437">
        <f t="shared" si="219"/>
        <v>0.22464893999999999</v>
      </c>
      <c r="H1610" s="1437">
        <f t="shared" si="220"/>
        <v>0</v>
      </c>
      <c r="I1610" s="1437">
        <v>0</v>
      </c>
      <c r="J1610" s="1437">
        <v>0</v>
      </c>
      <c r="K1610" s="1438"/>
      <c r="L1610" s="1438"/>
      <c r="M1610" s="1437">
        <f t="shared" si="221"/>
        <v>0</v>
      </c>
      <c r="N1610" s="1437">
        <f t="shared" si="222"/>
        <v>0</v>
      </c>
    </row>
    <row r="1611" spans="1:14" ht="31" outlineLevel="1">
      <c r="A1611" s="1499">
        <f t="shared" si="223"/>
        <v>5</v>
      </c>
      <c r="B1611" s="1501" t="str">
        <f t="shared" si="223"/>
        <v xml:space="preserve"> Procurement of Spare for Hitachi Hi-Rel make UPS systems installed at Unit-8 NPTPS Parli Vaijnath.</v>
      </c>
      <c r="C1611" s="1492" t="str">
        <f t="shared" si="223"/>
        <v>Add Cap (As per 296 of 2019)</v>
      </c>
      <c r="D1611" s="1334" t="str">
        <f t="shared" si="223"/>
        <v>-</v>
      </c>
      <c r="E1611" s="1358">
        <f t="shared" si="223"/>
        <v>0</v>
      </c>
      <c r="F1611" s="1437">
        <f t="shared" si="218"/>
        <v>0.19186271399999999</v>
      </c>
      <c r="G1611" s="1437">
        <f t="shared" si="219"/>
        <v>0.19186271399999999</v>
      </c>
      <c r="H1611" s="1437">
        <f t="shared" si="220"/>
        <v>0</v>
      </c>
      <c r="I1611" s="1437">
        <v>0</v>
      </c>
      <c r="J1611" s="1437">
        <v>0</v>
      </c>
      <c r="K1611" s="1438"/>
      <c r="L1611" s="1438"/>
      <c r="M1611" s="1437">
        <f t="shared" si="221"/>
        <v>0</v>
      </c>
      <c r="N1611" s="1437">
        <f t="shared" si="222"/>
        <v>0</v>
      </c>
    </row>
    <row r="1612" spans="1:14" ht="62" outlineLevel="1">
      <c r="A1612" s="1502">
        <f t="shared" ref="A1612:E1627" si="224">A1219</f>
        <v>6</v>
      </c>
      <c r="B1612" s="1501" t="str">
        <f t="shared" si="224"/>
        <v>Procurement of various test kit for testing U#8 such as energy meter calibration kit, DC earth faulth locator kit, promary current injection kit, breaker time measurement kit, numeric relay test kit and other testing instruments.</v>
      </c>
      <c r="C1612" s="1492" t="str">
        <f t="shared" si="224"/>
        <v>Add Cap (As per 296 of 2019)</v>
      </c>
      <c r="D1612" s="1334" t="str">
        <f t="shared" si="224"/>
        <v>-</v>
      </c>
      <c r="E1612" s="1359">
        <f t="shared" si="224"/>
        <v>0</v>
      </c>
      <c r="F1612" s="1437">
        <f t="shared" si="218"/>
        <v>0.6734502</v>
      </c>
      <c r="G1612" s="1437">
        <f t="shared" si="219"/>
        <v>0.6734502</v>
      </c>
      <c r="H1612" s="1437">
        <f t="shared" si="220"/>
        <v>0</v>
      </c>
      <c r="I1612" s="1437">
        <v>0</v>
      </c>
      <c r="J1612" s="1437">
        <v>0</v>
      </c>
      <c r="K1612" s="1438"/>
      <c r="L1612" s="1438"/>
      <c r="M1612" s="1437">
        <f t="shared" si="221"/>
        <v>0</v>
      </c>
      <c r="N1612" s="1437">
        <f t="shared" si="222"/>
        <v>0</v>
      </c>
    </row>
    <row r="1613" spans="1:14" ht="46.5" outlineLevel="1">
      <c r="A1613" s="1499">
        <f t="shared" si="224"/>
        <v>7</v>
      </c>
      <c r="B1613" s="1501" t="str">
        <f t="shared" si="224"/>
        <v>Procurement of   Energymeter Caliberation Software Module and hardware for upgrading Numeric Relay Test kit at Unit -8 Testing.</v>
      </c>
      <c r="C1613" s="1492" t="str">
        <f t="shared" si="224"/>
        <v>Add Cap (As per 296 of 2019)</v>
      </c>
      <c r="D1613" s="1334" t="str">
        <f t="shared" si="224"/>
        <v>-</v>
      </c>
      <c r="E1613" s="1367">
        <f t="shared" si="224"/>
        <v>0</v>
      </c>
      <c r="F1613" s="1437">
        <f t="shared" si="218"/>
        <v>0.118629766</v>
      </c>
      <c r="G1613" s="1437">
        <f t="shared" si="219"/>
        <v>0.118629766</v>
      </c>
      <c r="H1613" s="1437">
        <f t="shared" si="220"/>
        <v>0</v>
      </c>
      <c r="I1613" s="1437">
        <v>0</v>
      </c>
      <c r="J1613" s="1437">
        <v>0</v>
      </c>
      <c r="K1613" s="1438"/>
      <c r="L1613" s="1438"/>
      <c r="M1613" s="1437">
        <f t="shared" si="221"/>
        <v>0</v>
      </c>
      <c r="N1613" s="1437">
        <f t="shared" si="222"/>
        <v>0</v>
      </c>
    </row>
    <row r="1614" spans="1:14" ht="15.5" outlineLevel="1">
      <c r="A1614" s="1502">
        <f t="shared" si="224"/>
        <v>8</v>
      </c>
      <c r="B1614" s="1503" t="str">
        <f t="shared" si="224"/>
        <v>Procurement of H T Motors.</v>
      </c>
      <c r="C1614" s="1492" t="str">
        <f t="shared" si="224"/>
        <v>Add Cap (As per 296 of 2019)</v>
      </c>
      <c r="D1614" s="1334" t="str">
        <f t="shared" si="224"/>
        <v>-</v>
      </c>
      <c r="E1614" s="1359">
        <f t="shared" si="224"/>
        <v>0</v>
      </c>
      <c r="F1614" s="1437">
        <f t="shared" si="218"/>
        <v>0</v>
      </c>
      <c r="G1614" s="1437">
        <f t="shared" si="219"/>
        <v>0</v>
      </c>
      <c r="H1614" s="1437">
        <f t="shared" si="220"/>
        <v>0</v>
      </c>
      <c r="I1614" s="1437">
        <v>0</v>
      </c>
      <c r="J1614" s="1437">
        <v>0</v>
      </c>
      <c r="K1614" s="1438"/>
      <c r="L1614" s="1438"/>
      <c r="M1614" s="1437">
        <f t="shared" si="221"/>
        <v>0</v>
      </c>
      <c r="N1614" s="1437">
        <f t="shared" si="222"/>
        <v>0</v>
      </c>
    </row>
    <row r="1615" spans="1:14" ht="15.5" outlineLevel="1">
      <c r="A1615" s="1499">
        <f t="shared" si="224"/>
        <v>9</v>
      </c>
      <c r="B1615" s="1503" t="str">
        <f t="shared" si="224"/>
        <v>Procurement of critical L T Motors</v>
      </c>
      <c r="C1615" s="1492" t="str">
        <f t="shared" si="224"/>
        <v>Add Cap (As per 296 of 2019)</v>
      </c>
      <c r="D1615" s="1334" t="str">
        <f t="shared" si="224"/>
        <v>-</v>
      </c>
      <c r="E1615" s="1368">
        <f t="shared" si="224"/>
        <v>0</v>
      </c>
      <c r="F1615" s="1437">
        <f t="shared" si="218"/>
        <v>0</v>
      </c>
      <c r="G1615" s="1437">
        <f t="shared" si="219"/>
        <v>0</v>
      </c>
      <c r="H1615" s="1437">
        <f t="shared" si="220"/>
        <v>0</v>
      </c>
      <c r="I1615" s="1437">
        <v>0</v>
      </c>
      <c r="J1615" s="1437">
        <v>0</v>
      </c>
      <c r="K1615" s="1438"/>
      <c r="L1615" s="1438"/>
      <c r="M1615" s="1437">
        <f t="shared" si="221"/>
        <v>0</v>
      </c>
      <c r="N1615" s="1437">
        <f t="shared" si="222"/>
        <v>0</v>
      </c>
    </row>
    <row r="1616" spans="1:14" ht="62" outlineLevel="1">
      <c r="A1616" s="1502">
        <f t="shared" si="224"/>
        <v>10</v>
      </c>
      <c r="B1616" s="1501" t="str">
        <f t="shared" si="224"/>
        <v xml:space="preserve">Procurement  of ESP Hopper heaters (As a initial spares) Installed at EM U-8, NPTPS, Parli-Vaijnath under add cap scheme.
</v>
      </c>
      <c r="C1616" s="1492" t="str">
        <f t="shared" si="224"/>
        <v>Add Cap (As per 296 of 2019)</v>
      </c>
      <c r="D1616" s="1334" t="str">
        <f t="shared" si="224"/>
        <v>-</v>
      </c>
      <c r="E1616" s="1359">
        <f t="shared" si="224"/>
        <v>0</v>
      </c>
      <c r="F1616" s="1437">
        <f t="shared" si="218"/>
        <v>0.38585999999999998</v>
      </c>
      <c r="G1616" s="1437">
        <f t="shared" si="219"/>
        <v>0.38585999999999998</v>
      </c>
      <c r="H1616" s="1437">
        <f t="shared" si="220"/>
        <v>0</v>
      </c>
      <c r="I1616" s="1437">
        <v>0</v>
      </c>
      <c r="J1616" s="1437">
        <v>0</v>
      </c>
      <c r="K1616" s="1438"/>
      <c r="L1616" s="1438"/>
      <c r="M1616" s="1437">
        <f t="shared" si="221"/>
        <v>0</v>
      </c>
      <c r="N1616" s="1437">
        <f t="shared" si="222"/>
        <v>0</v>
      </c>
    </row>
    <row r="1617" spans="1:14" ht="15.5" outlineLevel="1">
      <c r="A1617" s="1493">
        <f t="shared" si="224"/>
        <v>4</v>
      </c>
      <c r="B1617" s="1494" t="str">
        <f t="shared" si="224"/>
        <v>Outdoor Plant(CHP/AHP/WTP)</v>
      </c>
      <c r="C1617" s="1495" t="str">
        <f t="shared" si="224"/>
        <v>Add Cap (As per 296 of 2019)</v>
      </c>
      <c r="D1617" s="1341" t="str">
        <f t="shared" si="224"/>
        <v>-</v>
      </c>
      <c r="E1617" s="1496">
        <f t="shared" si="224"/>
        <v>6.64</v>
      </c>
      <c r="F1617" s="1437">
        <f t="shared" si="218"/>
        <v>0</v>
      </c>
      <c r="G1617" s="1437">
        <f t="shared" si="219"/>
        <v>0</v>
      </c>
      <c r="H1617" s="1437">
        <f t="shared" si="220"/>
        <v>0</v>
      </c>
      <c r="I1617" s="1437">
        <v>0</v>
      </c>
      <c r="J1617" s="1437">
        <v>0</v>
      </c>
      <c r="K1617" s="1438"/>
      <c r="L1617" s="1438"/>
      <c r="M1617" s="1437">
        <f t="shared" si="221"/>
        <v>0</v>
      </c>
      <c r="N1617" s="1437">
        <f t="shared" si="222"/>
        <v>0</v>
      </c>
    </row>
    <row r="1618" spans="1:14" ht="15.5" outlineLevel="1">
      <c r="A1618" s="1504">
        <f t="shared" si="224"/>
        <v>1</v>
      </c>
      <c r="B1618" s="1497" t="str">
        <f t="shared" si="224"/>
        <v>Supply of Apron Feeder spares installed at CHP NPTPS Parli-V</v>
      </c>
      <c r="C1618" s="1492" t="str">
        <f t="shared" si="224"/>
        <v>Add Cap (As per 296 of 2019)</v>
      </c>
      <c r="D1618" s="1334" t="str">
        <f t="shared" si="224"/>
        <v>-</v>
      </c>
      <c r="E1618" s="1359">
        <f t="shared" si="224"/>
        <v>0</v>
      </c>
      <c r="F1618" s="1437">
        <f t="shared" si="218"/>
        <v>1.6232788</v>
      </c>
      <c r="G1618" s="1437">
        <f t="shared" si="219"/>
        <v>1.6232788</v>
      </c>
      <c r="H1618" s="1437">
        <f t="shared" si="220"/>
        <v>0</v>
      </c>
      <c r="I1618" s="1437">
        <v>0</v>
      </c>
      <c r="J1618" s="1437">
        <v>0</v>
      </c>
      <c r="K1618" s="1438"/>
      <c r="L1618" s="1438"/>
      <c r="M1618" s="1437">
        <f t="shared" si="221"/>
        <v>0</v>
      </c>
      <c r="N1618" s="1437">
        <f t="shared" si="222"/>
        <v>0</v>
      </c>
    </row>
    <row r="1619" spans="1:14" ht="15.5" outlineLevel="1">
      <c r="A1619" s="1504">
        <f t="shared" si="224"/>
        <v>2</v>
      </c>
      <c r="B1619" s="1497" t="str">
        <f t="shared" si="224"/>
        <v>Supply of various drive and non drive pulleys for CHP U-8.</v>
      </c>
      <c r="C1619" s="1492" t="str">
        <f t="shared" si="224"/>
        <v>Add Cap (As per 296 of 2019)</v>
      </c>
      <c r="D1619" s="1334" t="str">
        <f t="shared" si="224"/>
        <v>-</v>
      </c>
      <c r="E1619" s="1368">
        <f t="shared" si="224"/>
        <v>0</v>
      </c>
      <c r="F1619" s="1437">
        <f t="shared" si="218"/>
        <v>0.54529209999999995</v>
      </c>
      <c r="G1619" s="1437">
        <f t="shared" si="219"/>
        <v>0.54529209999999995</v>
      </c>
      <c r="H1619" s="1437">
        <f t="shared" si="220"/>
        <v>0</v>
      </c>
      <c r="I1619" s="1437">
        <v>0</v>
      </c>
      <c r="J1619" s="1437">
        <v>0</v>
      </c>
      <c r="K1619" s="1438"/>
      <c r="L1619" s="1438"/>
      <c r="M1619" s="1437">
        <f t="shared" si="221"/>
        <v>0</v>
      </c>
      <c r="N1619" s="1437">
        <f t="shared" si="222"/>
        <v>0</v>
      </c>
    </row>
    <row r="1620" spans="1:14" ht="31" outlineLevel="1">
      <c r="A1620" s="1504">
        <f t="shared" si="224"/>
        <v>3</v>
      </c>
      <c r="B1620" s="1497" t="str">
        <f t="shared" si="224"/>
        <v>Supply and installation of clamp pads &amp; resting pads for Side Beam of Wagon Tippler for CHP U-8</v>
      </c>
      <c r="C1620" s="1492" t="str">
        <f t="shared" si="224"/>
        <v>Add Cap (As per 296 of 2019)</v>
      </c>
      <c r="D1620" s="1334" t="str">
        <f t="shared" si="224"/>
        <v>-</v>
      </c>
      <c r="E1620" s="1368">
        <f t="shared" si="224"/>
        <v>0</v>
      </c>
      <c r="F1620" s="1437">
        <f t="shared" si="218"/>
        <v>0.54801796000000003</v>
      </c>
      <c r="G1620" s="1437">
        <f t="shared" si="219"/>
        <v>0.54801796000000003</v>
      </c>
      <c r="H1620" s="1437">
        <f t="shared" si="220"/>
        <v>0</v>
      </c>
      <c r="I1620" s="1437">
        <v>0</v>
      </c>
      <c r="J1620" s="1437">
        <v>0</v>
      </c>
      <c r="K1620" s="1438"/>
      <c r="L1620" s="1438"/>
      <c r="M1620" s="1437">
        <f t="shared" si="221"/>
        <v>0</v>
      </c>
      <c r="N1620" s="1437">
        <f t="shared" si="222"/>
        <v>0</v>
      </c>
    </row>
    <row r="1621" spans="1:14" ht="31" outlineLevel="1">
      <c r="A1621" s="1504">
        <f t="shared" si="224"/>
        <v>4</v>
      </c>
      <c r="B1621" s="1497" t="str">
        <f t="shared" si="224"/>
        <v>Supply of unbalance motorozied vibrating feeder for S/R of U-7/8 CHP NPTPS Parli-V.</v>
      </c>
      <c r="C1621" s="1492" t="str">
        <f t="shared" si="224"/>
        <v>Add Cap (As per 296 of 2019)</v>
      </c>
      <c r="D1621" s="1334" t="str">
        <f t="shared" si="224"/>
        <v>-</v>
      </c>
      <c r="E1621" s="1318">
        <f t="shared" si="224"/>
        <v>0</v>
      </c>
      <c r="F1621" s="1437">
        <f t="shared" si="218"/>
        <v>0.39579560000000003</v>
      </c>
      <c r="G1621" s="1437">
        <f t="shared" si="219"/>
        <v>0.39579560000000003</v>
      </c>
      <c r="H1621" s="1437">
        <f t="shared" si="220"/>
        <v>0</v>
      </c>
      <c r="I1621" s="1437">
        <v>0</v>
      </c>
      <c r="J1621" s="1437">
        <v>0</v>
      </c>
      <c r="K1621" s="1438"/>
      <c r="L1621" s="1438"/>
      <c r="M1621" s="1437">
        <f t="shared" si="221"/>
        <v>0</v>
      </c>
      <c r="N1621" s="1437">
        <f t="shared" si="222"/>
        <v>0</v>
      </c>
    </row>
    <row r="1622" spans="1:14" ht="31" outlineLevel="1">
      <c r="A1622" s="1504">
        <f t="shared" si="224"/>
        <v>5</v>
      </c>
      <c r="B1622" s="1501" t="str">
        <f t="shared" si="224"/>
        <v>Procurement of conveying and Instrument air compressor spares at AHP U#8</v>
      </c>
      <c r="C1622" s="1492" t="str">
        <f t="shared" si="224"/>
        <v>Add Cap (As per 296 of 2019)</v>
      </c>
      <c r="D1622" s="1334" t="str">
        <f t="shared" si="224"/>
        <v>-</v>
      </c>
      <c r="E1622" s="1359">
        <f t="shared" si="224"/>
        <v>0</v>
      </c>
      <c r="F1622" s="1437">
        <f t="shared" si="218"/>
        <v>1.769983804</v>
      </c>
      <c r="G1622" s="1437">
        <f t="shared" si="219"/>
        <v>1.769983804</v>
      </c>
      <c r="H1622" s="1437">
        <f t="shared" si="220"/>
        <v>0</v>
      </c>
      <c r="I1622" s="1437">
        <v>0</v>
      </c>
      <c r="J1622" s="1437">
        <v>0</v>
      </c>
      <c r="K1622" s="1438"/>
      <c r="L1622" s="1438"/>
      <c r="M1622" s="1437">
        <f t="shared" si="221"/>
        <v>0</v>
      </c>
      <c r="N1622" s="1437">
        <f t="shared" si="222"/>
        <v>0</v>
      </c>
    </row>
    <row r="1623" spans="1:14" ht="15.5" outlineLevel="1">
      <c r="A1623" s="1504">
        <f t="shared" si="224"/>
        <v>6</v>
      </c>
      <c r="B1623" s="1501" t="str">
        <f t="shared" si="224"/>
        <v>Procurement of vacuum pump spares at AHP U#8</v>
      </c>
      <c r="C1623" s="1492" t="str">
        <f t="shared" si="224"/>
        <v>Add Cap (As per 296 of 2019)</v>
      </c>
      <c r="D1623" s="1334" t="str">
        <f t="shared" si="224"/>
        <v>-</v>
      </c>
      <c r="E1623" s="1368">
        <f t="shared" si="224"/>
        <v>0</v>
      </c>
      <c r="F1623" s="1437">
        <f t="shared" si="218"/>
        <v>0.229104904</v>
      </c>
      <c r="G1623" s="1437">
        <f t="shared" si="219"/>
        <v>0.229104904</v>
      </c>
      <c r="H1623" s="1437">
        <f t="shared" si="220"/>
        <v>0</v>
      </c>
      <c r="I1623" s="1437">
        <v>0</v>
      </c>
      <c r="J1623" s="1437">
        <v>0</v>
      </c>
      <c r="K1623" s="1438"/>
      <c r="L1623" s="1438"/>
      <c r="M1623" s="1437">
        <f t="shared" si="221"/>
        <v>0</v>
      </c>
      <c r="N1623" s="1437">
        <f t="shared" si="222"/>
        <v>0</v>
      </c>
    </row>
    <row r="1624" spans="1:14" ht="15.5" outlineLevel="1">
      <c r="A1624" s="1504">
        <f t="shared" si="224"/>
        <v>7</v>
      </c>
      <c r="B1624" s="1501" t="str">
        <f t="shared" si="224"/>
        <v>Procurement of fluidizing blower spares at AHP U#8</v>
      </c>
      <c r="C1624" s="1492" t="str">
        <f t="shared" si="224"/>
        <v>Add Cap (As per 296 of 2019)</v>
      </c>
      <c r="D1624" s="1334" t="str">
        <f t="shared" si="224"/>
        <v>-</v>
      </c>
      <c r="E1624" s="1359">
        <f t="shared" si="224"/>
        <v>0</v>
      </c>
      <c r="F1624" s="1437">
        <f t="shared" si="218"/>
        <v>0.11795988</v>
      </c>
      <c r="G1624" s="1437">
        <f t="shared" si="219"/>
        <v>0.11795988</v>
      </c>
      <c r="H1624" s="1437">
        <f t="shared" si="220"/>
        <v>0</v>
      </c>
      <c r="I1624" s="1437">
        <v>0</v>
      </c>
      <c r="J1624" s="1437">
        <v>0</v>
      </c>
      <c r="K1624" s="1438"/>
      <c r="L1624" s="1438"/>
      <c r="M1624" s="1437">
        <f t="shared" si="221"/>
        <v>0</v>
      </c>
      <c r="N1624" s="1437">
        <f t="shared" si="222"/>
        <v>0</v>
      </c>
    </row>
    <row r="1625" spans="1:14" ht="15.5" outlineLevel="1">
      <c r="A1625" s="1504">
        <f t="shared" si="224"/>
        <v>8</v>
      </c>
      <c r="B1625" s="1501" t="str">
        <f t="shared" si="224"/>
        <v>Procurement of slurry pump spares at AHP U#8</v>
      </c>
      <c r="C1625" s="1492" t="str">
        <f t="shared" si="224"/>
        <v>Add Cap (As per 296 of 2019)</v>
      </c>
      <c r="D1625" s="1334" t="str">
        <f t="shared" si="224"/>
        <v>-</v>
      </c>
      <c r="E1625" s="1368">
        <f t="shared" si="224"/>
        <v>0</v>
      </c>
      <c r="F1625" s="1437">
        <f t="shared" si="218"/>
        <v>0</v>
      </c>
      <c r="G1625" s="1437">
        <f t="shared" si="219"/>
        <v>0</v>
      </c>
      <c r="H1625" s="1437">
        <f t="shared" si="220"/>
        <v>0</v>
      </c>
      <c r="I1625" s="1437">
        <v>0</v>
      </c>
      <c r="J1625" s="1437">
        <v>0</v>
      </c>
      <c r="K1625" s="1438"/>
      <c r="L1625" s="1438"/>
      <c r="M1625" s="1437">
        <f t="shared" si="221"/>
        <v>0</v>
      </c>
      <c r="N1625" s="1437">
        <f t="shared" si="222"/>
        <v>0</v>
      </c>
    </row>
    <row r="1626" spans="1:14" ht="15.5" outlineLevel="1">
      <c r="A1626" s="1504">
        <f t="shared" si="224"/>
        <v>9</v>
      </c>
      <c r="B1626" s="1501" t="str">
        <f t="shared" si="224"/>
        <v>Procurement of Clinker grinder spares at AHP U#8</v>
      </c>
      <c r="C1626" s="1492" t="str">
        <f t="shared" si="224"/>
        <v>Add Cap (As per 296 of 2019)</v>
      </c>
      <c r="D1626" s="1334" t="str">
        <f t="shared" si="224"/>
        <v>-</v>
      </c>
      <c r="E1626" s="1368">
        <f t="shared" si="224"/>
        <v>0</v>
      </c>
      <c r="F1626" s="1437">
        <f t="shared" si="218"/>
        <v>0.1233369</v>
      </c>
      <c r="G1626" s="1437">
        <f t="shared" si="219"/>
        <v>0.1233369</v>
      </c>
      <c r="H1626" s="1437">
        <f t="shared" si="220"/>
        <v>0</v>
      </c>
      <c r="I1626" s="1437">
        <v>0</v>
      </c>
      <c r="J1626" s="1437">
        <v>0</v>
      </c>
      <c r="K1626" s="1438"/>
      <c r="L1626" s="1438"/>
      <c r="M1626" s="1437">
        <f t="shared" si="221"/>
        <v>0</v>
      </c>
      <c r="N1626" s="1437">
        <f t="shared" si="222"/>
        <v>0</v>
      </c>
    </row>
    <row r="1627" spans="1:14" outlineLevel="1">
      <c r="A1627" s="1505">
        <f t="shared" si="224"/>
        <v>0</v>
      </c>
      <c r="B1627" s="1506">
        <f t="shared" si="224"/>
        <v>0</v>
      </c>
      <c r="C1627" s="1507">
        <f t="shared" si="224"/>
        <v>0</v>
      </c>
      <c r="D1627" s="1508" t="str">
        <f t="shared" si="224"/>
        <v>-</v>
      </c>
      <c r="E1627" s="1359">
        <f t="shared" si="224"/>
        <v>0</v>
      </c>
      <c r="F1627" s="1437">
        <f t="shared" si="218"/>
        <v>0</v>
      </c>
      <c r="G1627" s="1437">
        <f t="shared" si="219"/>
        <v>0</v>
      </c>
      <c r="H1627" s="1437">
        <f t="shared" si="220"/>
        <v>0</v>
      </c>
      <c r="I1627" s="1437">
        <v>0</v>
      </c>
      <c r="J1627" s="1437">
        <v>0</v>
      </c>
      <c r="K1627" s="1438"/>
      <c r="L1627" s="1438"/>
      <c r="M1627" s="1437">
        <f t="shared" si="221"/>
        <v>0</v>
      </c>
      <c r="N1627" s="1437">
        <f t="shared" si="222"/>
        <v>0</v>
      </c>
    </row>
    <row r="1628" spans="1:14" ht="31" outlineLevel="1">
      <c r="A1628" s="1493" t="str">
        <f t="shared" ref="A1628:E1643" si="225">A1235</f>
        <v>B</v>
      </c>
      <c r="B1628" s="1494" t="str">
        <f t="shared" si="225"/>
        <v>Reassessment of remaining BOP work after insolvency of M/s Sunil Hi-Tech</v>
      </c>
      <c r="C1628" s="1495">
        <f t="shared" si="225"/>
        <v>0</v>
      </c>
      <c r="D1628" s="1341" t="str">
        <f t="shared" si="225"/>
        <v>-</v>
      </c>
      <c r="E1628" s="1496">
        <f t="shared" si="225"/>
        <v>0</v>
      </c>
      <c r="F1628" s="1437">
        <f t="shared" si="218"/>
        <v>0</v>
      </c>
      <c r="G1628" s="1437">
        <f t="shared" si="219"/>
        <v>0</v>
      </c>
      <c r="H1628" s="1437">
        <f t="shared" si="220"/>
        <v>0</v>
      </c>
      <c r="I1628" s="1437">
        <v>0</v>
      </c>
      <c r="J1628" s="1437">
        <v>0</v>
      </c>
      <c r="K1628" s="1438"/>
      <c r="L1628" s="1438"/>
      <c r="M1628" s="1437">
        <f t="shared" si="221"/>
        <v>0</v>
      </c>
      <c r="N1628" s="1437">
        <f t="shared" si="222"/>
        <v>0</v>
      </c>
    </row>
    <row r="1629" spans="1:14" ht="31" outlineLevel="1">
      <c r="A1629" s="1493">
        <f t="shared" si="225"/>
        <v>0</v>
      </c>
      <c r="B1629" s="1494" t="str">
        <f t="shared" si="225"/>
        <v>Project balance E&amp;M  and procurement of mandetory spares</v>
      </c>
      <c r="C1629" s="1495" t="str">
        <f t="shared" si="225"/>
        <v>MERC CAPEX Approval in MTR Order 296 of 2019</v>
      </c>
      <c r="D1629" s="1341" t="str">
        <f t="shared" si="225"/>
        <v>Order 296 of 2019</v>
      </c>
      <c r="E1629" s="1509">
        <f t="shared" si="225"/>
        <v>41.453400000000002</v>
      </c>
      <c r="F1629" s="1437">
        <f t="shared" si="218"/>
        <v>0</v>
      </c>
      <c r="G1629" s="1437">
        <f t="shared" si="219"/>
        <v>0</v>
      </c>
      <c r="H1629" s="1437">
        <f t="shared" si="220"/>
        <v>0</v>
      </c>
      <c r="I1629" s="1437">
        <v>0</v>
      </c>
      <c r="J1629" s="1437">
        <v>0</v>
      </c>
      <c r="K1629" s="1438"/>
      <c r="L1629" s="1438"/>
      <c r="M1629" s="1437">
        <f t="shared" si="221"/>
        <v>0</v>
      </c>
      <c r="N1629" s="1437">
        <f t="shared" si="222"/>
        <v>0</v>
      </c>
    </row>
    <row r="1630" spans="1:14" ht="43.5" outlineLevel="1">
      <c r="A1630" s="1499">
        <f t="shared" si="225"/>
        <v>1</v>
      </c>
      <c r="B1630" s="1510" t="str">
        <f t="shared" si="225"/>
        <v>Work order for Contract of Supply and application of Fire Stop Mortar Seal and Fire Retardant Cable Coating Compound at NPTP U-8 Parli Project</v>
      </c>
      <c r="C1630" s="1511" t="str">
        <f t="shared" si="225"/>
        <v>MERC CAPEX Approval in MTR Order 296 of 2019</v>
      </c>
      <c r="D1630" s="1334" t="str">
        <f t="shared" si="225"/>
        <v>-</v>
      </c>
      <c r="E1630" s="1430">
        <f t="shared" si="225"/>
        <v>0</v>
      </c>
      <c r="F1630" s="1437">
        <f t="shared" si="218"/>
        <v>3.4589155919999999</v>
      </c>
      <c r="G1630" s="1437">
        <f t="shared" si="219"/>
        <v>3.4589155919999999</v>
      </c>
      <c r="H1630" s="1437">
        <f t="shared" si="220"/>
        <v>0</v>
      </c>
      <c r="I1630" s="1437">
        <v>0</v>
      </c>
      <c r="J1630" s="1437">
        <v>0</v>
      </c>
      <c r="K1630" s="1438"/>
      <c r="L1630" s="1438"/>
      <c r="M1630" s="1437">
        <f t="shared" si="221"/>
        <v>0</v>
      </c>
      <c r="N1630" s="1437">
        <f t="shared" si="222"/>
        <v>0</v>
      </c>
    </row>
    <row r="1631" spans="1:14" ht="29" outlineLevel="1">
      <c r="A1631" s="1499">
        <f t="shared" si="225"/>
        <v>2</v>
      </c>
      <c r="B1631" s="1510" t="str">
        <f t="shared" si="225"/>
        <v>Work order for contract for Supply Installaion Testing &amp; Commissioning Smoke Detection &amp; alaram system</v>
      </c>
      <c r="C1631" s="1511" t="str">
        <f t="shared" si="225"/>
        <v>MERC CAPEX Approval in MTR Order 296 of 2019</v>
      </c>
      <c r="D1631" s="1334" t="str">
        <f t="shared" si="225"/>
        <v>-</v>
      </c>
      <c r="E1631" s="1430">
        <f t="shared" si="225"/>
        <v>0</v>
      </c>
      <c r="F1631" s="1437">
        <f t="shared" si="218"/>
        <v>2.5606</v>
      </c>
      <c r="G1631" s="1437">
        <f t="shared" si="219"/>
        <v>2.5606</v>
      </c>
      <c r="H1631" s="1437">
        <f t="shared" si="220"/>
        <v>0</v>
      </c>
      <c r="I1631" s="1437">
        <v>0</v>
      </c>
      <c r="J1631" s="1437">
        <v>0</v>
      </c>
      <c r="K1631" s="1438"/>
      <c r="L1631" s="1438"/>
      <c r="M1631" s="1437">
        <f t="shared" si="221"/>
        <v>0</v>
      </c>
      <c r="N1631" s="1437">
        <f t="shared" si="222"/>
        <v>0</v>
      </c>
    </row>
    <row r="1632" spans="1:14" ht="43.5" outlineLevel="1">
      <c r="A1632" s="1499">
        <f t="shared" si="225"/>
        <v>3</v>
      </c>
      <c r="B1632" s="1510" t="str">
        <f t="shared" si="225"/>
        <v>Work order for contract for Supply Installaion Testing &amp; Commissioning of Balance Fire Fighting System at NPTP U-8 Parli Project</v>
      </c>
      <c r="C1632" s="1511" t="str">
        <f t="shared" si="225"/>
        <v>MERC CAPEX Approval in MTR Order 296 of 2019</v>
      </c>
      <c r="D1632" s="1334" t="str">
        <f t="shared" si="225"/>
        <v>-</v>
      </c>
      <c r="E1632" s="1430">
        <f t="shared" si="225"/>
        <v>0</v>
      </c>
      <c r="F1632" s="1437">
        <f t="shared" si="218"/>
        <v>1.0502</v>
      </c>
      <c r="G1632" s="1437">
        <f t="shared" si="219"/>
        <v>1.0502</v>
      </c>
      <c r="H1632" s="1437">
        <f t="shared" si="220"/>
        <v>0</v>
      </c>
      <c r="I1632" s="1437">
        <v>0</v>
      </c>
      <c r="J1632" s="1437">
        <v>0</v>
      </c>
      <c r="K1632" s="1438"/>
      <c r="L1632" s="1438"/>
      <c r="M1632" s="1437">
        <f t="shared" si="221"/>
        <v>0</v>
      </c>
      <c r="N1632" s="1437">
        <f t="shared" si="222"/>
        <v>0</v>
      </c>
    </row>
    <row r="1633" spans="1:14" ht="58" outlineLevel="1">
      <c r="A1633" s="1499">
        <f t="shared" si="225"/>
        <v>4</v>
      </c>
      <c r="B1633" s="1510" t="str">
        <f t="shared" si="225"/>
        <v>Supply, Errection, testing &amp; commissioning works of RWP, PT potable chlorination system, ETP system control panel, automation of LDO, HFO tank foam system Hose boxes with RRL hoses and branch pipe and allied system at NPTP</v>
      </c>
      <c r="C1633" s="1511" t="str">
        <f t="shared" si="225"/>
        <v>MERC CAPEX Approval in MTR Order 296 of 2019</v>
      </c>
      <c r="D1633" s="1334" t="str">
        <f t="shared" si="225"/>
        <v>-</v>
      </c>
      <c r="E1633" s="1430">
        <f t="shared" si="225"/>
        <v>0</v>
      </c>
      <c r="F1633" s="1437">
        <f t="shared" si="218"/>
        <v>0.84960000000000002</v>
      </c>
      <c r="G1633" s="1437">
        <f t="shared" si="219"/>
        <v>0.84960000000000002</v>
      </c>
      <c r="H1633" s="1437">
        <f t="shared" si="220"/>
        <v>0</v>
      </c>
      <c r="I1633" s="1437">
        <v>0</v>
      </c>
      <c r="J1633" s="1437">
        <v>0</v>
      </c>
      <c r="K1633" s="1438"/>
      <c r="L1633" s="1438"/>
      <c r="M1633" s="1437">
        <f t="shared" si="221"/>
        <v>0</v>
      </c>
      <c r="N1633" s="1437">
        <f t="shared" si="222"/>
        <v>0</v>
      </c>
    </row>
    <row r="1634" spans="1:14" ht="43.5" outlineLevel="1">
      <c r="A1634" s="1499">
        <f t="shared" si="225"/>
        <v>5</v>
      </c>
      <c r="B1634" s="1510" t="str">
        <f t="shared" si="225"/>
        <v xml:space="preserve">Work Order contract for supply, installation Testing &amp; Commissioning of telephone exchange (EPBAX) &amp; Telephone System at NPTP U-8 Parli project  </v>
      </c>
      <c r="C1634" s="1511" t="str">
        <f t="shared" si="225"/>
        <v>MERC CAPEX Approval in MTR Order 296 of 2019</v>
      </c>
      <c r="D1634" s="1334" t="str">
        <f t="shared" si="225"/>
        <v>-</v>
      </c>
      <c r="E1634" s="1430">
        <f t="shared" si="225"/>
        <v>0</v>
      </c>
      <c r="F1634" s="1437">
        <f t="shared" si="218"/>
        <v>0.91256150000000003</v>
      </c>
      <c r="G1634" s="1437">
        <f t="shared" si="219"/>
        <v>0.91256150000000003</v>
      </c>
      <c r="H1634" s="1437">
        <f t="shared" si="220"/>
        <v>0</v>
      </c>
      <c r="I1634" s="1437">
        <v>0</v>
      </c>
      <c r="J1634" s="1437">
        <v>0</v>
      </c>
      <c r="K1634" s="1438"/>
      <c r="L1634" s="1438"/>
      <c r="M1634" s="1437">
        <f t="shared" si="221"/>
        <v>0</v>
      </c>
      <c r="N1634" s="1437">
        <f t="shared" si="222"/>
        <v>0</v>
      </c>
    </row>
    <row r="1635" spans="1:14" ht="29" outlineLevel="1">
      <c r="A1635" s="1499">
        <f t="shared" si="225"/>
        <v>6</v>
      </c>
      <c r="B1635" s="1510" t="str">
        <f t="shared" si="225"/>
        <v>Balance Supply of Electrical Lab Equipment  at NPTP parli-V</v>
      </c>
      <c r="C1635" s="1511" t="str">
        <f t="shared" si="225"/>
        <v>MERC CAPEX Approval in MTR Order 296 of 2019</v>
      </c>
      <c r="D1635" s="1334" t="str">
        <f t="shared" si="225"/>
        <v>-</v>
      </c>
      <c r="E1635" s="1430">
        <f t="shared" si="225"/>
        <v>0</v>
      </c>
      <c r="F1635" s="1437">
        <f t="shared" si="218"/>
        <v>0.60826469999999999</v>
      </c>
      <c r="G1635" s="1437">
        <f t="shared" si="219"/>
        <v>0.60826469999999999</v>
      </c>
      <c r="H1635" s="1437">
        <f t="shared" si="220"/>
        <v>0</v>
      </c>
      <c r="I1635" s="1437">
        <v>0</v>
      </c>
      <c r="J1635" s="1437">
        <v>0</v>
      </c>
      <c r="K1635" s="1438"/>
      <c r="L1635" s="1438"/>
      <c r="M1635" s="1437">
        <f t="shared" si="221"/>
        <v>0</v>
      </c>
      <c r="N1635" s="1437">
        <f t="shared" si="222"/>
        <v>0</v>
      </c>
    </row>
    <row r="1636" spans="1:14" ht="43.5" outlineLevel="1">
      <c r="A1636" s="1499">
        <f t="shared" si="225"/>
        <v>7</v>
      </c>
      <c r="B1636" s="1510" t="str">
        <f t="shared" si="225"/>
        <v>Work order for contract for Supply Installaion Testing &amp; Commissioning with required material to complete  Balance CHP work at NPTP U-8 Parli Project</v>
      </c>
      <c r="C1636" s="1511" t="str">
        <f t="shared" si="225"/>
        <v>MERC CAPEX Approval in MTR Order 296 of 2019</v>
      </c>
      <c r="D1636" s="1334" t="str">
        <f t="shared" si="225"/>
        <v>-</v>
      </c>
      <c r="E1636" s="1430">
        <f t="shared" si="225"/>
        <v>0</v>
      </c>
      <c r="F1636" s="1437">
        <f t="shared" si="218"/>
        <v>0.41</v>
      </c>
      <c r="G1636" s="1437">
        <f t="shared" si="219"/>
        <v>0.41</v>
      </c>
      <c r="H1636" s="1437">
        <f t="shared" si="220"/>
        <v>0</v>
      </c>
      <c r="I1636" s="1437">
        <v>0</v>
      </c>
      <c r="J1636" s="1437">
        <v>0</v>
      </c>
      <c r="K1636" s="1438"/>
      <c r="L1636" s="1438"/>
      <c r="M1636" s="1437">
        <f t="shared" si="221"/>
        <v>0</v>
      </c>
      <c r="N1636" s="1437">
        <f t="shared" si="222"/>
        <v>0</v>
      </c>
    </row>
    <row r="1637" spans="1:14" ht="43.5" outlineLevel="1">
      <c r="A1637" s="1499">
        <f t="shared" si="225"/>
        <v>8</v>
      </c>
      <c r="B1637" s="1510" t="str">
        <f t="shared" si="225"/>
        <v>Supply, Errection, testing &amp; commissioning of Interconnecting Conveyor no.9 &amp; 10 from U-8 to U-6&amp;7 of CHP at NPTP U-8, Parli-V</v>
      </c>
      <c r="C1637" s="1511" t="str">
        <f t="shared" si="225"/>
        <v>MERC CAPEX Approval in MTR Order 296 of 2019</v>
      </c>
      <c r="D1637" s="1334" t="str">
        <f t="shared" si="225"/>
        <v>-</v>
      </c>
      <c r="E1637" s="1430">
        <f t="shared" si="225"/>
        <v>0</v>
      </c>
      <c r="F1637" s="1437">
        <f t="shared" si="218"/>
        <v>5.3318899999999996</v>
      </c>
      <c r="G1637" s="1437">
        <f t="shared" si="219"/>
        <v>5.3262307</v>
      </c>
      <c r="H1637" s="1437">
        <f t="shared" si="220"/>
        <v>5.6592999999995897E-3</v>
      </c>
      <c r="I1637" s="1437">
        <v>0</v>
      </c>
      <c r="J1637" s="1437">
        <v>0</v>
      </c>
      <c r="K1637" s="1438"/>
      <c r="L1637" s="1438"/>
      <c r="M1637" s="1437">
        <f t="shared" si="221"/>
        <v>0</v>
      </c>
      <c r="N1637" s="1437">
        <f t="shared" si="222"/>
        <v>5.6592999999995897E-3</v>
      </c>
    </row>
    <row r="1638" spans="1:14" ht="29" outlineLevel="1">
      <c r="A1638" s="1499">
        <f t="shared" si="225"/>
        <v>9</v>
      </c>
      <c r="B1638" s="1510" t="str">
        <f t="shared" si="225"/>
        <v>SUPPLY ,INSTA,TEST ,COMM ELECTRICAL SYS</v>
      </c>
      <c r="C1638" s="1511" t="str">
        <f t="shared" si="225"/>
        <v>MERC CAPEX Approval in MTR Order 296 of 2019</v>
      </c>
      <c r="D1638" s="1334" t="str">
        <f t="shared" si="225"/>
        <v>-</v>
      </c>
      <c r="E1638" s="1430">
        <f t="shared" si="225"/>
        <v>0</v>
      </c>
      <c r="F1638" s="1437">
        <f t="shared" si="218"/>
        <v>0</v>
      </c>
      <c r="G1638" s="1437">
        <f t="shared" si="219"/>
        <v>0</v>
      </c>
      <c r="H1638" s="1437">
        <f t="shared" si="220"/>
        <v>0</v>
      </c>
      <c r="I1638" s="1437">
        <v>0</v>
      </c>
      <c r="J1638" s="1437">
        <v>0</v>
      </c>
      <c r="K1638" s="1438"/>
      <c r="L1638" s="1438"/>
      <c r="M1638" s="1437">
        <f t="shared" si="221"/>
        <v>0</v>
      </c>
      <c r="N1638" s="1437">
        <f t="shared" si="222"/>
        <v>0</v>
      </c>
    </row>
    <row r="1639" spans="1:14" ht="29" outlineLevel="1">
      <c r="A1639" s="1499">
        <f t="shared" si="225"/>
        <v>10</v>
      </c>
      <c r="B1639" s="1510" t="str">
        <f t="shared" si="225"/>
        <v>SUPPLY,INSTAL,TEST,COMM OF  CRANS&amp;HOIST</v>
      </c>
      <c r="C1639" s="1511" t="str">
        <f t="shared" si="225"/>
        <v>MERC CAPEX Approval in MTR Order 296 of 2019</v>
      </c>
      <c r="D1639" s="1334" t="str">
        <f t="shared" si="225"/>
        <v>-</v>
      </c>
      <c r="E1639" s="1430">
        <f t="shared" si="225"/>
        <v>0</v>
      </c>
      <c r="F1639" s="1437">
        <f t="shared" si="218"/>
        <v>1.8104819999999999</v>
      </c>
      <c r="G1639" s="1437">
        <f t="shared" si="219"/>
        <v>3.6223049999999999</v>
      </c>
      <c r="H1639" s="1437">
        <f t="shared" si="220"/>
        <v>-1.811823</v>
      </c>
      <c r="I1639" s="1437">
        <v>0</v>
      </c>
      <c r="J1639" s="1437">
        <v>0</v>
      </c>
      <c r="K1639" s="1438"/>
      <c r="L1639" s="1438"/>
      <c r="M1639" s="1437">
        <f t="shared" si="221"/>
        <v>0</v>
      </c>
      <c r="N1639" s="1437">
        <f t="shared" si="222"/>
        <v>-1.811823</v>
      </c>
    </row>
    <row r="1640" spans="1:14" ht="29" outlineLevel="1">
      <c r="A1640" s="1499">
        <f t="shared" si="225"/>
        <v>11</v>
      </c>
      <c r="B1640" s="1510" t="str">
        <f t="shared" si="225"/>
        <v>Supply, Errection, testing &amp; commissioning of Dust Extraction system at NPTP U-8, Parli-V</v>
      </c>
      <c r="C1640" s="1511" t="str">
        <f t="shared" si="225"/>
        <v>MERC CAPEX Approval in MTR Order 296 of 2019</v>
      </c>
      <c r="D1640" s="1334" t="str">
        <f t="shared" si="225"/>
        <v>-</v>
      </c>
      <c r="E1640" s="1430">
        <f t="shared" si="225"/>
        <v>0</v>
      </c>
      <c r="F1640" s="1437">
        <f t="shared" si="218"/>
        <v>1.8060844</v>
      </c>
      <c r="G1640" s="1437">
        <f t="shared" si="219"/>
        <v>0</v>
      </c>
      <c r="H1640" s="1437">
        <f t="shared" si="220"/>
        <v>1.8060844</v>
      </c>
      <c r="I1640" s="1437">
        <v>0</v>
      </c>
      <c r="J1640" s="1437">
        <v>0</v>
      </c>
      <c r="K1640" s="1438"/>
      <c r="L1640" s="1438"/>
      <c r="M1640" s="1437">
        <f t="shared" si="221"/>
        <v>0</v>
      </c>
      <c r="N1640" s="1437">
        <f t="shared" si="222"/>
        <v>1.8060844</v>
      </c>
    </row>
    <row r="1641" spans="1:14" ht="29" outlineLevel="1">
      <c r="A1641" s="1499">
        <f t="shared" si="225"/>
        <v>12</v>
      </c>
      <c r="B1641" s="1510" t="str">
        <f t="shared" si="225"/>
        <v>Supply, Errection, testing &amp; commissioning of DSS &amp; DFDS at NPTP U-8, Parli-V</v>
      </c>
      <c r="C1641" s="1511" t="str">
        <f t="shared" si="225"/>
        <v>MERC CAPEX Approval in MTR Order 296 of 2019</v>
      </c>
      <c r="D1641" s="1334" t="str">
        <f t="shared" si="225"/>
        <v>-</v>
      </c>
      <c r="E1641" s="1430">
        <f t="shared" si="225"/>
        <v>0</v>
      </c>
      <c r="F1641" s="1437">
        <f t="shared" si="218"/>
        <v>4.3391143999999997</v>
      </c>
      <c r="G1641" s="1437">
        <f t="shared" si="219"/>
        <v>4.34</v>
      </c>
      <c r="H1641" s="1437">
        <f t="shared" si="220"/>
        <v>-8.8560000000015293E-4</v>
      </c>
      <c r="I1641" s="1437">
        <v>0</v>
      </c>
      <c r="J1641" s="1437">
        <v>0</v>
      </c>
      <c r="K1641" s="1438"/>
      <c r="L1641" s="1438"/>
      <c r="M1641" s="1437">
        <f t="shared" si="221"/>
        <v>0</v>
      </c>
      <c r="N1641" s="1437">
        <f t="shared" si="222"/>
        <v>-8.8560000000015293E-4</v>
      </c>
    </row>
    <row r="1642" spans="1:14" ht="29" outlineLevel="1">
      <c r="A1642" s="1499">
        <f t="shared" si="225"/>
        <v>13</v>
      </c>
      <c r="B1642" s="1510" t="str">
        <f t="shared" si="225"/>
        <v>Supply, Errection, testing &amp; commissioning of Monorail at NPTP U-8, Parli-V</v>
      </c>
      <c r="C1642" s="1511" t="str">
        <f t="shared" si="225"/>
        <v>MERC CAPEX Approval in MTR Order 296 of 2019</v>
      </c>
      <c r="D1642" s="1334" t="str">
        <f t="shared" si="225"/>
        <v>-</v>
      </c>
      <c r="E1642" s="1430">
        <f t="shared" si="225"/>
        <v>0</v>
      </c>
      <c r="F1642" s="1437">
        <f t="shared" si="218"/>
        <v>1.1891777000000001</v>
      </c>
      <c r="G1642" s="1437">
        <f t="shared" si="219"/>
        <v>1.1891</v>
      </c>
      <c r="H1642" s="1437">
        <f t="shared" si="220"/>
        <v>7.770000000006938E-5</v>
      </c>
      <c r="I1642" s="1437">
        <v>0</v>
      </c>
      <c r="J1642" s="1437">
        <v>0</v>
      </c>
      <c r="K1642" s="1438"/>
      <c r="L1642" s="1438"/>
      <c r="M1642" s="1437">
        <f t="shared" si="221"/>
        <v>0</v>
      </c>
      <c r="N1642" s="1437">
        <f t="shared" si="222"/>
        <v>7.770000000006938E-5</v>
      </c>
    </row>
    <row r="1643" spans="1:14" ht="29" outlineLevel="1">
      <c r="A1643" s="1499">
        <f t="shared" si="225"/>
        <v>14</v>
      </c>
      <c r="B1643" s="1510" t="str">
        <f t="shared" si="225"/>
        <v>Supply, Errection, testing &amp; commissioning of various Control &amp; Instrumentation equipments at NPTP U-8, Parli-V</v>
      </c>
      <c r="C1643" s="1511" t="str">
        <f t="shared" si="225"/>
        <v>MERC CAPEX Approval in MTR Order 296 of 2019</v>
      </c>
      <c r="D1643" s="1334" t="str">
        <f t="shared" si="225"/>
        <v>-</v>
      </c>
      <c r="E1643" s="1430">
        <f t="shared" si="225"/>
        <v>0</v>
      </c>
      <c r="F1643" s="1437">
        <f t="shared" si="218"/>
        <v>0.72225269999999997</v>
      </c>
      <c r="G1643" s="1437">
        <f t="shared" si="219"/>
        <v>0.72225269999999997</v>
      </c>
      <c r="H1643" s="1437">
        <f t="shared" si="220"/>
        <v>0</v>
      </c>
      <c r="I1643" s="1437">
        <v>0</v>
      </c>
      <c r="J1643" s="1437">
        <v>0</v>
      </c>
      <c r="K1643" s="1438"/>
      <c r="L1643" s="1438"/>
      <c r="M1643" s="1437">
        <f t="shared" si="221"/>
        <v>0</v>
      </c>
      <c r="N1643" s="1437">
        <f t="shared" si="222"/>
        <v>0</v>
      </c>
    </row>
    <row r="1644" spans="1:14" ht="29" outlineLevel="1">
      <c r="A1644" s="1499">
        <f t="shared" ref="A1644:E1659" si="226">A1251</f>
        <v>15</v>
      </c>
      <c r="B1644" s="1510" t="str">
        <f t="shared" si="226"/>
        <v>Supply, Errection, testing &amp; commissioning of Air Conditioning System at NPTP U-8, Parli-V</v>
      </c>
      <c r="C1644" s="1511" t="str">
        <f t="shared" si="226"/>
        <v>MERC CAPEX Approval in MTR Order 296 of 2019</v>
      </c>
      <c r="D1644" s="1334" t="str">
        <f t="shared" si="226"/>
        <v>-</v>
      </c>
      <c r="E1644" s="1430">
        <f t="shared" si="226"/>
        <v>0</v>
      </c>
      <c r="F1644" s="1437">
        <f t="shared" si="218"/>
        <v>0.15304309999999999</v>
      </c>
      <c r="G1644" s="1437">
        <f t="shared" si="219"/>
        <v>0.44729429999999998</v>
      </c>
      <c r="H1644" s="1437">
        <f t="shared" si="220"/>
        <v>-0.29425119999999999</v>
      </c>
      <c r="I1644" s="1437">
        <v>0</v>
      </c>
      <c r="J1644" s="1437">
        <v>0</v>
      </c>
      <c r="K1644" s="1438"/>
      <c r="L1644" s="1438"/>
      <c r="M1644" s="1437">
        <f t="shared" si="221"/>
        <v>0</v>
      </c>
      <c r="N1644" s="1437">
        <f t="shared" si="222"/>
        <v>-0.29425119999999999</v>
      </c>
    </row>
    <row r="1645" spans="1:14" ht="29" outlineLevel="1">
      <c r="A1645" s="1499">
        <f t="shared" si="226"/>
        <v>16</v>
      </c>
      <c r="B1645" s="1510" t="str">
        <f t="shared" si="226"/>
        <v>Supply, Errection, testing &amp; commissioning of Ventilation  System at NPTP U-8, Parli-V</v>
      </c>
      <c r="C1645" s="1511" t="str">
        <f t="shared" si="226"/>
        <v>MERC CAPEX Approval in MTR Order 296 of 2019</v>
      </c>
      <c r="D1645" s="1334" t="str">
        <f t="shared" si="226"/>
        <v>-</v>
      </c>
      <c r="E1645" s="1430">
        <f t="shared" si="226"/>
        <v>0</v>
      </c>
      <c r="F1645" s="1437">
        <f t="shared" si="218"/>
        <v>2.1135999999999999</v>
      </c>
      <c r="G1645" s="1437">
        <f t="shared" si="219"/>
        <v>1.2036</v>
      </c>
      <c r="H1645" s="1437">
        <f t="shared" si="220"/>
        <v>0.90999999999999992</v>
      </c>
      <c r="I1645" s="1437">
        <v>0</v>
      </c>
      <c r="J1645" s="1437">
        <v>0</v>
      </c>
      <c r="K1645" s="1438"/>
      <c r="L1645" s="1438"/>
      <c r="M1645" s="1437">
        <f t="shared" si="221"/>
        <v>0</v>
      </c>
      <c r="N1645" s="1437">
        <f t="shared" si="222"/>
        <v>0.90999999999999992</v>
      </c>
    </row>
    <row r="1646" spans="1:14" ht="29" outlineLevel="1">
      <c r="A1646" s="1499">
        <f t="shared" si="226"/>
        <v>17</v>
      </c>
      <c r="B1646" s="1510" t="str">
        <f t="shared" si="226"/>
        <v>Supply, Errection, testing &amp; commissioning of Elevator works.</v>
      </c>
      <c r="C1646" s="1511" t="str">
        <f t="shared" si="226"/>
        <v>MERC CAPEX Approval in MTR Order 296 of 2019</v>
      </c>
      <c r="D1646" s="1334" t="str">
        <f t="shared" si="226"/>
        <v>-</v>
      </c>
      <c r="E1646" s="1430">
        <f t="shared" si="226"/>
        <v>0</v>
      </c>
      <c r="F1646" s="1437">
        <f t="shared" si="218"/>
        <v>3.5173187000000001</v>
      </c>
      <c r="G1646" s="1437">
        <f t="shared" si="219"/>
        <v>4.4273186999999998</v>
      </c>
      <c r="H1646" s="1437">
        <f t="shared" si="220"/>
        <v>-0.9099999999999997</v>
      </c>
      <c r="I1646" s="1437">
        <v>0</v>
      </c>
      <c r="J1646" s="1437">
        <v>0</v>
      </c>
      <c r="K1646" s="1438"/>
      <c r="L1646" s="1438"/>
      <c r="M1646" s="1437">
        <f t="shared" si="221"/>
        <v>0</v>
      </c>
      <c r="N1646" s="1437">
        <f t="shared" si="222"/>
        <v>-0.9099999999999997</v>
      </c>
    </row>
    <row r="1647" spans="1:14" ht="29" outlineLevel="1">
      <c r="A1647" s="1499">
        <f t="shared" si="226"/>
        <v>18</v>
      </c>
      <c r="B1647" s="1510" t="str">
        <f t="shared" si="226"/>
        <v>Work contract for dismentaling, supply, erection &amp; commissioning of MRHS</v>
      </c>
      <c r="C1647" s="1511" t="str">
        <f t="shared" si="226"/>
        <v>MERC CAPEX Approval in MTR Order 296 of 2019</v>
      </c>
      <c r="D1647" s="1334" t="str">
        <f t="shared" si="226"/>
        <v>-</v>
      </c>
      <c r="E1647" s="1430">
        <f t="shared" si="226"/>
        <v>0</v>
      </c>
      <c r="F1647" s="1437">
        <f t="shared" ref="F1647:F1710" si="227">F1254+I1254</f>
        <v>2.2335039999999999</v>
      </c>
      <c r="G1647" s="1437">
        <f t="shared" ref="G1647:G1710" si="228">G1254+M1254</f>
        <v>2.2335039999999999</v>
      </c>
      <c r="H1647" s="1437">
        <f t="shared" ref="H1647:H1710" si="229">F1647-G1647</f>
        <v>0</v>
      </c>
      <c r="I1647" s="1437">
        <v>0</v>
      </c>
      <c r="J1647" s="1437">
        <v>0</v>
      </c>
      <c r="K1647" s="1438"/>
      <c r="L1647" s="1438"/>
      <c r="M1647" s="1437">
        <f t="shared" ref="M1647:M1707" si="230">SUM(J1647:L1647)</f>
        <v>0</v>
      </c>
      <c r="N1647" s="1437">
        <f t="shared" ref="N1647:N1710" si="231">H1647+I1647-M1647</f>
        <v>0</v>
      </c>
    </row>
    <row r="1648" spans="1:14" ht="43.5" outlineLevel="1">
      <c r="A1648" s="1499">
        <f t="shared" si="226"/>
        <v>19</v>
      </c>
      <c r="B1648" s="1510" t="str">
        <f t="shared" si="226"/>
        <v>Supply, Errection, testing &amp; commissioning of FF System, Smoke detection &amp; Fire stop mortar &amp; Fire retradant cable coating for conveyor 09 &amp; 10</v>
      </c>
      <c r="C1648" s="1511" t="str">
        <f t="shared" si="226"/>
        <v>MERC CAPEX Approval in MTR Order 296 of 2019</v>
      </c>
      <c r="D1648" s="1334" t="str">
        <f t="shared" si="226"/>
        <v>-</v>
      </c>
      <c r="E1648" s="1430">
        <f t="shared" si="226"/>
        <v>0</v>
      </c>
      <c r="F1648" s="1437">
        <f t="shared" si="227"/>
        <v>0.22170519999999999</v>
      </c>
      <c r="G1648" s="1437">
        <f t="shared" si="228"/>
        <v>0.51866310000000004</v>
      </c>
      <c r="H1648" s="1437">
        <f t="shared" si="229"/>
        <v>-0.29695790000000005</v>
      </c>
      <c r="I1648" s="1437">
        <v>0</v>
      </c>
      <c r="J1648" s="1437">
        <v>0</v>
      </c>
      <c r="K1648" s="1438"/>
      <c r="L1648" s="1438"/>
      <c r="M1648" s="1437">
        <f t="shared" si="230"/>
        <v>0</v>
      </c>
      <c r="N1648" s="1437">
        <f t="shared" si="231"/>
        <v>-0.29695790000000005</v>
      </c>
    </row>
    <row r="1649" spans="1:14" ht="29" outlineLevel="1">
      <c r="A1649" s="1499">
        <f t="shared" si="226"/>
        <v>20</v>
      </c>
      <c r="B1649" s="1510" t="str">
        <f t="shared" si="226"/>
        <v>Supply, Errection, testing &amp; commissioning of Chimney Elevator</v>
      </c>
      <c r="C1649" s="1511" t="str">
        <f t="shared" si="226"/>
        <v>MERC CAPEX Approval in MTR Order 296 of 2019</v>
      </c>
      <c r="D1649" s="1334" t="str">
        <f t="shared" si="226"/>
        <v>-</v>
      </c>
      <c r="E1649" s="1430">
        <f t="shared" si="226"/>
        <v>0</v>
      </c>
      <c r="F1649" s="1437">
        <f t="shared" si="227"/>
        <v>1.060802</v>
      </c>
      <c r="G1649" s="1437">
        <f t="shared" si="228"/>
        <v>0</v>
      </c>
      <c r="H1649" s="1437">
        <f t="shared" si="229"/>
        <v>1.060802</v>
      </c>
      <c r="I1649" s="1437">
        <v>0</v>
      </c>
      <c r="J1649" s="1437">
        <v>0</v>
      </c>
      <c r="K1649" s="1438"/>
      <c r="L1649" s="1438"/>
      <c r="M1649" s="1437">
        <f t="shared" si="230"/>
        <v>0</v>
      </c>
      <c r="N1649" s="1437">
        <f t="shared" si="231"/>
        <v>1.060802</v>
      </c>
    </row>
    <row r="1650" spans="1:14" ht="29" outlineLevel="1">
      <c r="A1650" s="1499">
        <f t="shared" si="226"/>
        <v>21</v>
      </c>
      <c r="B1650" s="1510" t="str">
        <f t="shared" si="226"/>
        <v>Supply, Errection, testing &amp; commissioning work of GEHO Pumps.</v>
      </c>
      <c r="C1650" s="1511" t="str">
        <f t="shared" si="226"/>
        <v>MERC CAPEX Approval in MTR Order 296 of 2019</v>
      </c>
      <c r="D1650" s="1334" t="str">
        <f t="shared" si="226"/>
        <v>-</v>
      </c>
      <c r="E1650" s="1430">
        <f t="shared" si="226"/>
        <v>0</v>
      </c>
      <c r="F1650" s="1437">
        <f t="shared" si="227"/>
        <v>0</v>
      </c>
      <c r="G1650" s="1437">
        <f t="shared" si="228"/>
        <v>1.06</v>
      </c>
      <c r="H1650" s="1437">
        <f t="shared" si="229"/>
        <v>-1.06</v>
      </c>
      <c r="I1650" s="1437">
        <v>0</v>
      </c>
      <c r="J1650" s="1437">
        <v>0</v>
      </c>
      <c r="K1650" s="1438"/>
      <c r="L1650" s="1438"/>
      <c r="M1650" s="1437">
        <f t="shared" si="230"/>
        <v>0</v>
      </c>
      <c r="N1650" s="1437">
        <f t="shared" si="231"/>
        <v>-1.06</v>
      </c>
    </row>
    <row r="1651" spans="1:14" ht="29" outlineLevel="1">
      <c r="A1651" s="1499">
        <f t="shared" si="226"/>
        <v>22</v>
      </c>
      <c r="B1651" s="1510" t="str">
        <f t="shared" si="226"/>
        <v>Procurement of various Mandetory spares of BOP packages</v>
      </c>
      <c r="C1651" s="1511" t="str">
        <f t="shared" si="226"/>
        <v>MERC CAPEX Approval in MTR Order 296 of 2019</v>
      </c>
      <c r="D1651" s="1334" t="str">
        <f t="shared" si="226"/>
        <v>-</v>
      </c>
      <c r="E1651" s="1430">
        <f t="shared" si="226"/>
        <v>0</v>
      </c>
      <c r="F1651" s="1437">
        <f t="shared" si="227"/>
        <v>5.47</v>
      </c>
      <c r="G1651" s="1437">
        <f t="shared" si="228"/>
        <v>6.54</v>
      </c>
      <c r="H1651" s="1437">
        <f t="shared" si="229"/>
        <v>-1.0700000000000003</v>
      </c>
      <c r="I1651" s="1437">
        <v>0</v>
      </c>
      <c r="J1651" s="1437">
        <v>0</v>
      </c>
      <c r="K1651" s="1438"/>
      <c r="L1651" s="1438"/>
      <c r="M1651" s="1437">
        <f t="shared" si="230"/>
        <v>0</v>
      </c>
      <c r="N1651" s="1437">
        <f t="shared" si="231"/>
        <v>-1.0700000000000003</v>
      </c>
    </row>
    <row r="1652" spans="1:14" ht="31" outlineLevel="1">
      <c r="A1652" s="1493">
        <f t="shared" si="226"/>
        <v>0</v>
      </c>
      <c r="B1652" s="1494" t="str">
        <f t="shared" si="226"/>
        <v>Balance civil work of BOP scope at 250 MW Parli-V</v>
      </c>
      <c r="C1652" s="1495" t="str">
        <f t="shared" si="226"/>
        <v>MERC CAPEX Approval in MTR Order 296 of 2019</v>
      </c>
      <c r="D1652" s="1341" t="str">
        <f t="shared" si="226"/>
        <v>-</v>
      </c>
      <c r="E1652" s="1509">
        <f t="shared" si="226"/>
        <v>45.323799999999991</v>
      </c>
      <c r="F1652" s="1437">
        <f t="shared" si="227"/>
        <v>0.55711806000000097</v>
      </c>
      <c r="G1652" s="1437">
        <f t="shared" si="228"/>
        <v>16.720000000000002</v>
      </c>
      <c r="H1652" s="1437">
        <f t="shared" si="229"/>
        <v>-16.162881940000002</v>
      </c>
      <c r="I1652" s="1437">
        <v>0</v>
      </c>
      <c r="J1652" s="1437">
        <v>0</v>
      </c>
      <c r="K1652" s="1438"/>
      <c r="L1652" s="1438"/>
      <c r="M1652" s="1437">
        <f t="shared" si="230"/>
        <v>0</v>
      </c>
      <c r="N1652" s="1437">
        <f t="shared" si="231"/>
        <v>-16.162881940000002</v>
      </c>
    </row>
    <row r="1653" spans="1:14" ht="29" outlineLevel="1">
      <c r="A1653" s="1499">
        <f t="shared" si="226"/>
        <v>1</v>
      </c>
      <c r="B1653" s="1512" t="str">
        <f t="shared" si="226"/>
        <v>Area grading</v>
      </c>
      <c r="C1653" s="1511" t="str">
        <f t="shared" si="226"/>
        <v>MERC CAPEX Approval in MTR Order 296 of 2019</v>
      </c>
      <c r="D1653" s="1334" t="str">
        <f t="shared" si="226"/>
        <v>-</v>
      </c>
      <c r="E1653" s="1430">
        <f t="shared" si="226"/>
        <v>0</v>
      </c>
      <c r="F1653" s="1437">
        <f t="shared" si="227"/>
        <v>6.9866406799999998</v>
      </c>
      <c r="G1653" s="1437">
        <f t="shared" si="228"/>
        <v>0.89</v>
      </c>
      <c r="H1653" s="1437">
        <f t="shared" si="229"/>
        <v>6.0966406800000001</v>
      </c>
      <c r="I1653" s="1437">
        <v>0</v>
      </c>
      <c r="J1653" s="1437">
        <v>0</v>
      </c>
      <c r="K1653" s="1438"/>
      <c r="L1653" s="1438"/>
      <c r="M1653" s="1437">
        <f t="shared" si="230"/>
        <v>0</v>
      </c>
      <c r="N1653" s="1437">
        <f t="shared" si="231"/>
        <v>6.0966406800000001</v>
      </c>
    </row>
    <row r="1654" spans="1:14" ht="29" outlineLevel="1">
      <c r="A1654" s="1499">
        <f t="shared" si="226"/>
        <v>2</v>
      </c>
      <c r="B1654" s="1512" t="str">
        <f t="shared" si="226"/>
        <v>CMD</v>
      </c>
      <c r="C1654" s="1511" t="str">
        <f t="shared" si="226"/>
        <v>MERC CAPEX Approval in MTR Order 296 of 2019</v>
      </c>
      <c r="D1654" s="1334" t="str">
        <f t="shared" si="226"/>
        <v>-</v>
      </c>
      <c r="E1654" s="1430">
        <f t="shared" si="226"/>
        <v>0</v>
      </c>
      <c r="F1654" s="1437">
        <f t="shared" si="227"/>
        <v>1.2410745000000012</v>
      </c>
      <c r="G1654" s="1437">
        <f t="shared" si="228"/>
        <v>1.3549000000000009</v>
      </c>
      <c r="H1654" s="1437">
        <f t="shared" si="229"/>
        <v>-0.11382549999999969</v>
      </c>
      <c r="I1654" s="1437">
        <v>0</v>
      </c>
      <c r="J1654" s="1437">
        <v>0</v>
      </c>
      <c r="K1654" s="1438"/>
      <c r="L1654" s="1438"/>
      <c r="M1654" s="1437">
        <f t="shared" si="230"/>
        <v>0</v>
      </c>
      <c r="N1654" s="1437">
        <f t="shared" si="231"/>
        <v>-0.11382549999999969</v>
      </c>
    </row>
    <row r="1655" spans="1:14" ht="29" outlineLevel="1">
      <c r="A1655" s="1499">
        <f t="shared" si="226"/>
        <v>3</v>
      </c>
      <c r="B1655" s="1512" t="str">
        <f t="shared" si="226"/>
        <v>Conveyor 09, 10 &amp; TP 06</v>
      </c>
      <c r="C1655" s="1511" t="str">
        <f t="shared" si="226"/>
        <v>MERC CAPEX Approval in MTR Order 296 of 2019</v>
      </c>
      <c r="D1655" s="1334" t="str">
        <f t="shared" si="226"/>
        <v>-</v>
      </c>
      <c r="E1655" s="1430">
        <f t="shared" si="226"/>
        <v>0</v>
      </c>
      <c r="F1655" s="1437">
        <f t="shared" si="227"/>
        <v>14.560539259999999</v>
      </c>
      <c r="G1655" s="1437">
        <f t="shared" si="228"/>
        <v>12.129999999999999</v>
      </c>
      <c r="H1655" s="1437">
        <f t="shared" si="229"/>
        <v>2.4305392599999998</v>
      </c>
      <c r="I1655" s="1437">
        <v>0</v>
      </c>
      <c r="J1655" s="1437">
        <v>0</v>
      </c>
      <c r="K1655" s="1438"/>
      <c r="L1655" s="1438"/>
      <c r="M1655" s="1437">
        <f t="shared" si="230"/>
        <v>0</v>
      </c>
      <c r="N1655" s="1437">
        <f t="shared" si="231"/>
        <v>2.4305392599999998</v>
      </c>
    </row>
    <row r="1656" spans="1:14" ht="29" outlineLevel="1">
      <c r="A1656" s="1499">
        <f t="shared" si="226"/>
        <v>4</v>
      </c>
      <c r="B1656" s="1512" t="str">
        <f t="shared" si="226"/>
        <v>Finishing item</v>
      </c>
      <c r="C1656" s="1511" t="str">
        <f t="shared" si="226"/>
        <v>MERC CAPEX Approval in MTR Order 296 of 2019</v>
      </c>
      <c r="D1656" s="1334" t="str">
        <f t="shared" si="226"/>
        <v>-</v>
      </c>
      <c r="E1656" s="1430">
        <f t="shared" si="226"/>
        <v>0</v>
      </c>
      <c r="F1656" s="1437">
        <f t="shared" si="227"/>
        <v>8.0849650400000002</v>
      </c>
      <c r="G1656" s="1437">
        <f t="shared" si="228"/>
        <v>4.6505999999999998</v>
      </c>
      <c r="H1656" s="1437">
        <f t="shared" si="229"/>
        <v>3.4343650400000003</v>
      </c>
      <c r="I1656" s="1437">
        <v>0</v>
      </c>
      <c r="J1656" s="1437">
        <v>0</v>
      </c>
      <c r="K1656" s="1438"/>
      <c r="L1656" s="1438"/>
      <c r="M1656" s="1437">
        <f t="shared" si="230"/>
        <v>0</v>
      </c>
      <c r="N1656" s="1437">
        <f t="shared" si="231"/>
        <v>3.4343650400000003</v>
      </c>
    </row>
    <row r="1657" spans="1:14" ht="29" outlineLevel="1">
      <c r="A1657" s="1499">
        <f t="shared" si="226"/>
        <v>5</v>
      </c>
      <c r="B1657" s="1512" t="str">
        <f t="shared" si="226"/>
        <v>Drain &amp; nala</v>
      </c>
      <c r="C1657" s="1511" t="str">
        <f t="shared" si="226"/>
        <v>MERC CAPEX Approval in MTR Order 296 of 2019</v>
      </c>
      <c r="D1657" s="1334" t="str">
        <f t="shared" si="226"/>
        <v>-</v>
      </c>
      <c r="E1657" s="1430">
        <f t="shared" si="226"/>
        <v>0</v>
      </c>
      <c r="F1657" s="1437">
        <f t="shared" si="227"/>
        <v>5.08483324</v>
      </c>
      <c r="G1657" s="1437">
        <f t="shared" si="228"/>
        <v>11.79</v>
      </c>
      <c r="H1657" s="1437">
        <f t="shared" si="229"/>
        <v>-6.7051667599999991</v>
      </c>
      <c r="I1657" s="1437">
        <v>0</v>
      </c>
      <c r="J1657" s="1437">
        <v>0</v>
      </c>
      <c r="K1657" s="1438"/>
      <c r="L1657" s="1438"/>
      <c r="M1657" s="1437">
        <f t="shared" si="230"/>
        <v>0</v>
      </c>
      <c r="N1657" s="1437">
        <f t="shared" si="231"/>
        <v>-6.7051667599999991</v>
      </c>
    </row>
    <row r="1658" spans="1:14" ht="29" outlineLevel="1">
      <c r="A1658" s="1499">
        <f t="shared" si="226"/>
        <v>6</v>
      </c>
      <c r="B1658" s="1512" t="str">
        <f t="shared" si="226"/>
        <v>Internal roads</v>
      </c>
      <c r="C1658" s="1511" t="str">
        <f t="shared" si="226"/>
        <v>MERC CAPEX Approval in MTR Order 296 of 2019</v>
      </c>
      <c r="D1658" s="1334" t="str">
        <f t="shared" si="226"/>
        <v>-</v>
      </c>
      <c r="E1658" s="1430">
        <f t="shared" si="226"/>
        <v>0</v>
      </c>
      <c r="F1658" s="1437">
        <f t="shared" si="227"/>
        <v>9.7521449799999989</v>
      </c>
      <c r="G1658" s="1437">
        <f t="shared" si="228"/>
        <v>1.5</v>
      </c>
      <c r="H1658" s="1437">
        <f t="shared" si="229"/>
        <v>8.2521449799999989</v>
      </c>
      <c r="I1658" s="1437">
        <v>0</v>
      </c>
      <c r="J1658" s="1437">
        <v>0</v>
      </c>
      <c r="K1658" s="1438"/>
      <c r="L1658" s="1438"/>
      <c r="M1658" s="1437">
        <f t="shared" si="230"/>
        <v>0</v>
      </c>
      <c r="N1658" s="1437">
        <f t="shared" si="231"/>
        <v>8.2521449799999989</v>
      </c>
    </row>
    <row r="1659" spans="1:14" ht="29" outlineLevel="1">
      <c r="A1659" s="1499">
        <f t="shared" si="226"/>
        <v>7</v>
      </c>
      <c r="B1659" s="1512" t="str">
        <f t="shared" si="226"/>
        <v>Stacker &amp; reclaimer</v>
      </c>
      <c r="C1659" s="1511" t="str">
        <f t="shared" si="226"/>
        <v>MERC CAPEX Approval in MTR Order 296 of 2019</v>
      </c>
      <c r="D1659" s="1334" t="str">
        <f t="shared" si="226"/>
        <v>-</v>
      </c>
      <c r="E1659" s="1430">
        <f t="shared" si="226"/>
        <v>0</v>
      </c>
      <c r="F1659" s="1437">
        <f t="shared" si="227"/>
        <v>1.1626842399999999</v>
      </c>
      <c r="G1659" s="1437">
        <f t="shared" si="228"/>
        <v>0</v>
      </c>
      <c r="H1659" s="1437">
        <f t="shared" si="229"/>
        <v>1.1626842399999999</v>
      </c>
      <c r="I1659" s="1437">
        <v>0</v>
      </c>
      <c r="J1659" s="1437">
        <v>0</v>
      </c>
      <c r="K1659" s="1438"/>
      <c r="L1659" s="1438"/>
      <c r="M1659" s="1437">
        <f t="shared" si="230"/>
        <v>0</v>
      </c>
      <c r="N1659" s="1437">
        <f t="shared" si="231"/>
        <v>1.1626842399999999</v>
      </c>
    </row>
    <row r="1660" spans="1:14" ht="15.5" outlineLevel="1">
      <c r="A1660" s="1493">
        <f t="shared" ref="A1660:E1675" si="232">A1267</f>
        <v>0</v>
      </c>
      <c r="B1660" s="1494" t="str">
        <f t="shared" si="232"/>
        <v>Other Add Cap</v>
      </c>
      <c r="C1660" s="1495">
        <f t="shared" si="232"/>
        <v>0</v>
      </c>
      <c r="D1660" s="1341" t="str">
        <f t="shared" si="232"/>
        <v>-</v>
      </c>
      <c r="E1660" s="1496">
        <f t="shared" si="232"/>
        <v>0</v>
      </c>
      <c r="F1660" s="1437">
        <f t="shared" si="227"/>
        <v>0</v>
      </c>
      <c r="G1660" s="1437">
        <f t="shared" si="228"/>
        <v>0</v>
      </c>
      <c r="H1660" s="1437">
        <f t="shared" si="229"/>
        <v>0</v>
      </c>
      <c r="I1660" s="1437">
        <v>0</v>
      </c>
      <c r="J1660" s="1437">
        <v>0</v>
      </c>
      <c r="K1660" s="1438"/>
      <c r="L1660" s="1438"/>
      <c r="M1660" s="1437">
        <f t="shared" si="230"/>
        <v>0</v>
      </c>
      <c r="N1660" s="1437">
        <f t="shared" si="231"/>
        <v>0</v>
      </c>
    </row>
    <row r="1661" spans="1:14" ht="15.5" outlineLevel="1">
      <c r="A1661" s="1491">
        <f t="shared" si="232"/>
        <v>0</v>
      </c>
      <c r="B1661" s="1377" t="str">
        <f t="shared" si="232"/>
        <v>Laboratory set up</v>
      </c>
      <c r="C1661" s="1492" t="str">
        <f t="shared" si="232"/>
        <v>Add Cap (As per 296 of 2019)</v>
      </c>
      <c r="D1661" s="1334" t="str">
        <f t="shared" si="232"/>
        <v>-</v>
      </c>
      <c r="E1661" s="1378">
        <f t="shared" si="232"/>
        <v>0</v>
      </c>
      <c r="F1661" s="1437">
        <f t="shared" si="227"/>
        <v>0</v>
      </c>
      <c r="G1661" s="1437">
        <f t="shared" si="228"/>
        <v>0</v>
      </c>
      <c r="H1661" s="1437">
        <f t="shared" si="229"/>
        <v>0</v>
      </c>
      <c r="I1661" s="1437">
        <v>0</v>
      </c>
      <c r="J1661" s="1437">
        <v>0</v>
      </c>
      <c r="K1661" s="1438"/>
      <c r="L1661" s="1438"/>
      <c r="M1661" s="1437">
        <f t="shared" si="230"/>
        <v>0</v>
      </c>
      <c r="N1661" s="1437">
        <f t="shared" si="231"/>
        <v>0</v>
      </c>
    </row>
    <row r="1662" spans="1:14" ht="31" outlineLevel="1">
      <c r="A1662" s="1491">
        <f t="shared" si="232"/>
        <v>1</v>
      </c>
      <c r="B1662" s="1513" t="str">
        <f t="shared" si="232"/>
        <v>Supply of Analytical Instruments for condition monitoring Laboratory for 1X250 MW of   NPTPS, Parli-V.</v>
      </c>
      <c r="C1662" s="1492" t="str">
        <f t="shared" si="232"/>
        <v>Add Cap (As per 296 of 2019)</v>
      </c>
      <c r="D1662" s="1514" t="str">
        <f t="shared" si="232"/>
        <v>-</v>
      </c>
      <c r="E1662" s="1382">
        <f t="shared" si="232"/>
        <v>0.5</v>
      </c>
      <c r="F1662" s="1437">
        <f t="shared" si="227"/>
        <v>0.49655460000000001</v>
      </c>
      <c r="G1662" s="1437">
        <f t="shared" si="228"/>
        <v>0.49655460000000001</v>
      </c>
      <c r="H1662" s="1437">
        <f t="shared" si="229"/>
        <v>0</v>
      </c>
      <c r="I1662" s="1437">
        <v>0</v>
      </c>
      <c r="J1662" s="1437">
        <v>0</v>
      </c>
      <c r="K1662" s="1438"/>
      <c r="L1662" s="1438"/>
      <c r="M1662" s="1437">
        <f t="shared" si="230"/>
        <v>0</v>
      </c>
      <c r="N1662" s="1437">
        <f t="shared" si="231"/>
        <v>0</v>
      </c>
    </row>
    <row r="1663" spans="1:14" ht="31" outlineLevel="1">
      <c r="A1663" s="1491">
        <f t="shared" si="232"/>
        <v>2</v>
      </c>
      <c r="B1663" s="1513" t="str">
        <f t="shared" si="232"/>
        <v>Supply of Analytical Instruments for Water Analysis Laboratory for 1X250 MW of   NPTPS, Parli-V</v>
      </c>
      <c r="C1663" s="1492" t="str">
        <f t="shared" si="232"/>
        <v>Add Cap (As per 296 of 2019)</v>
      </c>
      <c r="D1663" s="1334" t="str">
        <f t="shared" si="232"/>
        <v>-</v>
      </c>
      <c r="E1663" s="1382">
        <f t="shared" si="232"/>
        <v>1.23</v>
      </c>
      <c r="F1663" s="1437">
        <f t="shared" si="227"/>
        <v>0.29846889999999998</v>
      </c>
      <c r="G1663" s="1437">
        <f t="shared" si="228"/>
        <v>0.29846889999999998</v>
      </c>
      <c r="H1663" s="1437">
        <f t="shared" si="229"/>
        <v>0</v>
      </c>
      <c r="I1663" s="1437">
        <v>0</v>
      </c>
      <c r="J1663" s="1437">
        <v>0</v>
      </c>
      <c r="K1663" s="1438"/>
      <c r="L1663" s="1438"/>
      <c r="M1663" s="1437">
        <f t="shared" si="230"/>
        <v>0</v>
      </c>
      <c r="N1663" s="1437">
        <f t="shared" si="231"/>
        <v>0</v>
      </c>
    </row>
    <row r="1664" spans="1:14" ht="31" outlineLevel="1">
      <c r="A1664" s="1491">
        <f t="shared" si="232"/>
        <v>3</v>
      </c>
      <c r="B1664" s="1513" t="str">
        <f t="shared" si="232"/>
        <v>Supply of Analytical Instruments for Environment Laboratory for 1 x 250 MW, NPTPS, Parli-V.</v>
      </c>
      <c r="C1664" s="1492" t="str">
        <f t="shared" si="232"/>
        <v>Add Cap (As per 296 of 2019)</v>
      </c>
      <c r="D1664" s="1514" t="str">
        <f t="shared" si="232"/>
        <v>-</v>
      </c>
      <c r="E1664" s="1382">
        <f t="shared" si="232"/>
        <v>0.39</v>
      </c>
      <c r="F1664" s="1437">
        <f t="shared" si="227"/>
        <v>0.36579919999999999</v>
      </c>
      <c r="G1664" s="1437">
        <f t="shared" si="228"/>
        <v>0.36579919999999999</v>
      </c>
      <c r="H1664" s="1437">
        <f t="shared" si="229"/>
        <v>0</v>
      </c>
      <c r="I1664" s="1437">
        <v>0</v>
      </c>
      <c r="J1664" s="1437">
        <v>0</v>
      </c>
      <c r="K1664" s="1438"/>
      <c r="L1664" s="1438"/>
      <c r="M1664" s="1437">
        <f t="shared" si="230"/>
        <v>0</v>
      </c>
      <c r="N1664" s="1437">
        <f t="shared" si="231"/>
        <v>0</v>
      </c>
    </row>
    <row r="1665" spans="1:16" ht="31" outlineLevel="1">
      <c r="A1665" s="1491">
        <f t="shared" si="232"/>
        <v>4</v>
      </c>
      <c r="B1665" s="1513" t="str">
        <f t="shared" si="232"/>
        <v>Supply of Analytical Instruments for Precision Laboratory for 1 x 250 MW, NPTPS, Parli-V.</v>
      </c>
      <c r="C1665" s="1492" t="str">
        <f t="shared" si="232"/>
        <v>Add Cap (As per 296 of 2019)</v>
      </c>
      <c r="D1665" s="1334" t="str">
        <f t="shared" si="232"/>
        <v>-</v>
      </c>
      <c r="E1665" s="1382">
        <f t="shared" si="232"/>
        <v>1</v>
      </c>
      <c r="F1665" s="1437">
        <f t="shared" si="227"/>
        <v>0</v>
      </c>
      <c r="G1665" s="1437">
        <f t="shared" si="228"/>
        <v>0</v>
      </c>
      <c r="H1665" s="1437">
        <f t="shared" si="229"/>
        <v>0</v>
      </c>
      <c r="I1665" s="1437">
        <v>0</v>
      </c>
      <c r="J1665" s="1437">
        <v>0</v>
      </c>
      <c r="K1665" s="1438"/>
      <c r="L1665" s="1438"/>
      <c r="M1665" s="1437">
        <f t="shared" si="230"/>
        <v>0</v>
      </c>
      <c r="N1665" s="1437">
        <f t="shared" si="231"/>
        <v>0</v>
      </c>
    </row>
    <row r="1666" spans="1:16" ht="31" outlineLevel="1">
      <c r="A1666" s="1491">
        <f t="shared" si="232"/>
        <v>5</v>
      </c>
      <c r="B1666" s="1513" t="str">
        <f t="shared" si="232"/>
        <v>Supply of Analytical Instruments for General Laboratory of Water Treatment Plant of 1 x 250 MW, NPTPS, Parli-V.</v>
      </c>
      <c r="C1666" s="1492" t="str">
        <f t="shared" si="232"/>
        <v>Add Cap (As per 296 of 2019)</v>
      </c>
      <c r="D1666" s="1334" t="str">
        <f t="shared" si="232"/>
        <v>-</v>
      </c>
      <c r="E1666" s="1382">
        <f t="shared" si="232"/>
        <v>0.93</v>
      </c>
      <c r="F1666" s="1437">
        <f t="shared" si="227"/>
        <v>0</v>
      </c>
      <c r="G1666" s="1437">
        <f t="shared" si="228"/>
        <v>0</v>
      </c>
      <c r="H1666" s="1437">
        <f t="shared" si="229"/>
        <v>0</v>
      </c>
      <c r="I1666" s="1437">
        <v>0</v>
      </c>
      <c r="J1666" s="1437">
        <v>0</v>
      </c>
      <c r="K1666" s="1438"/>
      <c r="L1666" s="1438"/>
      <c r="M1666" s="1437">
        <f t="shared" si="230"/>
        <v>0</v>
      </c>
      <c r="N1666" s="1437">
        <f t="shared" si="231"/>
        <v>0</v>
      </c>
    </row>
    <row r="1667" spans="1:16" ht="31" outlineLevel="1">
      <c r="A1667" s="1491">
        <f t="shared" si="232"/>
        <v>6</v>
      </c>
      <c r="B1667" s="1513" t="str">
        <f t="shared" si="232"/>
        <v>Supply of Corrosion Monitor/Meter, Corrosion Coupon &amp; Coupon Rack for 1X250 MW of   NPTPS, Parli-V.</v>
      </c>
      <c r="C1667" s="1492" t="str">
        <f t="shared" si="232"/>
        <v>Add Cap (As per 296 of 2019)</v>
      </c>
      <c r="D1667" s="1334" t="str">
        <f t="shared" si="232"/>
        <v>-</v>
      </c>
      <c r="E1667" s="1382">
        <f t="shared" si="232"/>
        <v>0.34</v>
      </c>
      <c r="F1667" s="1437">
        <f t="shared" si="227"/>
        <v>0.347356836</v>
      </c>
      <c r="G1667" s="1437">
        <f t="shared" si="228"/>
        <v>0.347356836</v>
      </c>
      <c r="H1667" s="1437">
        <f t="shared" si="229"/>
        <v>0</v>
      </c>
      <c r="I1667" s="1437">
        <v>0</v>
      </c>
      <c r="J1667" s="1437">
        <v>0</v>
      </c>
      <c r="K1667" s="1438"/>
      <c r="L1667" s="1438"/>
      <c r="M1667" s="1437">
        <f t="shared" si="230"/>
        <v>0</v>
      </c>
      <c r="N1667" s="1437">
        <f t="shared" si="231"/>
        <v>0</v>
      </c>
    </row>
    <row r="1668" spans="1:16" ht="31" outlineLevel="1">
      <c r="A1668" s="1491">
        <f t="shared" si="232"/>
        <v>7</v>
      </c>
      <c r="B1668" s="1515" t="str">
        <f t="shared" si="232"/>
        <v>Supply of Analytical Instruments for Coal Analysis Laboratory for 1X250 MW of   NPTPS, Parli-V</v>
      </c>
      <c r="C1668" s="1492" t="str">
        <f t="shared" si="232"/>
        <v>Add Cap (As per 296 of 2019)</v>
      </c>
      <c r="D1668" s="1334" t="str">
        <f t="shared" si="232"/>
        <v>-</v>
      </c>
      <c r="E1668" s="1382">
        <f t="shared" si="232"/>
        <v>1.65</v>
      </c>
      <c r="F1668" s="1437">
        <f t="shared" si="227"/>
        <v>0.39444410000000002</v>
      </c>
      <c r="G1668" s="1437">
        <f t="shared" si="228"/>
        <v>0.39444410000000002</v>
      </c>
      <c r="H1668" s="1437">
        <f t="shared" si="229"/>
        <v>0</v>
      </c>
      <c r="I1668" s="1437">
        <v>0</v>
      </c>
      <c r="J1668" s="1437">
        <v>0</v>
      </c>
      <c r="K1668" s="1438"/>
      <c r="L1668" s="1438"/>
      <c r="M1668" s="1437">
        <f t="shared" si="230"/>
        <v>0</v>
      </c>
      <c r="N1668" s="1437">
        <f t="shared" si="231"/>
        <v>0</v>
      </c>
      <c r="O1668" s="1529">
        <f t="shared" ref="O1668:O1670" si="233">MAX(0,IF(M1668=0,0,IF(G1668+M1668&lt;E1668,M1668,E1668-G1668)))</f>
        <v>0</v>
      </c>
      <c r="P1668" s="1439">
        <f t="shared" ref="P1668:P1670" si="234">M1668-O1668</f>
        <v>0</v>
      </c>
    </row>
    <row r="1669" spans="1:16" ht="15.5" outlineLevel="1">
      <c r="A1669" s="1491">
        <f t="shared" si="232"/>
        <v>9</v>
      </c>
      <c r="B1669" s="1377" t="str">
        <f t="shared" si="232"/>
        <v>Grade slab (WTP Area)</v>
      </c>
      <c r="C1669" s="1492" t="str">
        <f t="shared" si="232"/>
        <v>Add Cap (As per 296 of 2019)</v>
      </c>
      <c r="D1669" s="1334" t="str">
        <f t="shared" si="232"/>
        <v>-</v>
      </c>
      <c r="E1669" s="1378">
        <f t="shared" si="232"/>
        <v>1</v>
      </c>
      <c r="F1669" s="1437">
        <f t="shared" si="227"/>
        <v>0.99752063400000002</v>
      </c>
      <c r="G1669" s="1437">
        <f t="shared" si="228"/>
        <v>0.99752063400000002</v>
      </c>
      <c r="H1669" s="1437">
        <f t="shared" si="229"/>
        <v>0</v>
      </c>
      <c r="I1669" s="1437">
        <v>0</v>
      </c>
      <c r="J1669" s="1437">
        <v>0</v>
      </c>
      <c r="K1669" s="1438"/>
      <c r="L1669" s="1438"/>
      <c r="M1669" s="1437">
        <f t="shared" si="230"/>
        <v>0</v>
      </c>
      <c r="N1669" s="1437">
        <f t="shared" si="231"/>
        <v>0</v>
      </c>
      <c r="O1669" s="1529">
        <f t="shared" si="233"/>
        <v>0</v>
      </c>
      <c r="P1669" s="1439">
        <f t="shared" si="234"/>
        <v>0</v>
      </c>
    </row>
    <row r="1670" spans="1:16" ht="15.5" outlineLevel="1">
      <c r="A1670" s="1491">
        <f t="shared" si="232"/>
        <v>10</v>
      </c>
      <c r="B1670" s="1377" t="str">
        <f t="shared" si="232"/>
        <v>Grade slab (Near AHP Building)</v>
      </c>
      <c r="C1670" s="1492" t="str">
        <f t="shared" si="232"/>
        <v>Add Cap (As per 296 of 2019)</v>
      </c>
      <c r="D1670" s="1334" t="str">
        <f t="shared" si="232"/>
        <v>-</v>
      </c>
      <c r="E1670" s="1384">
        <f t="shared" si="232"/>
        <v>0.75</v>
      </c>
      <c r="F1670" s="1437">
        <f t="shared" si="227"/>
        <v>0.74556261000000001</v>
      </c>
      <c r="G1670" s="1437">
        <f t="shared" si="228"/>
        <v>0.74556261000000001</v>
      </c>
      <c r="H1670" s="1437">
        <f t="shared" si="229"/>
        <v>0</v>
      </c>
      <c r="I1670" s="1437">
        <v>0</v>
      </c>
      <c r="J1670" s="1437">
        <v>0</v>
      </c>
      <c r="K1670" s="1438"/>
      <c r="L1670" s="1438"/>
      <c r="M1670" s="1437">
        <f t="shared" si="230"/>
        <v>0</v>
      </c>
      <c r="N1670" s="1437">
        <f t="shared" si="231"/>
        <v>0</v>
      </c>
      <c r="O1670" s="1529">
        <f t="shared" si="233"/>
        <v>0</v>
      </c>
      <c r="P1670" s="1439">
        <f t="shared" si="234"/>
        <v>0</v>
      </c>
    </row>
    <row r="1671" spans="1:16" ht="15.5" outlineLevel="1">
      <c r="A1671" s="1516">
        <f t="shared" si="232"/>
        <v>11</v>
      </c>
      <c r="B1671" s="1385" t="str">
        <f t="shared" si="232"/>
        <v>Temporary shed for empty barrles &amp; filled barrles</v>
      </c>
      <c r="C1671" s="1492" t="str">
        <f t="shared" si="232"/>
        <v>Add Cap (As per 296 of 2019)</v>
      </c>
      <c r="D1671" s="1514" t="str">
        <f t="shared" si="232"/>
        <v>-</v>
      </c>
      <c r="E1671" s="1384">
        <f t="shared" si="232"/>
        <v>0.5</v>
      </c>
      <c r="F1671" s="1437">
        <f t="shared" si="227"/>
        <v>0.45635233799999997</v>
      </c>
      <c r="G1671" s="1437">
        <f t="shared" si="228"/>
        <v>0.45635233799999997</v>
      </c>
      <c r="H1671" s="1437">
        <f t="shared" si="229"/>
        <v>0</v>
      </c>
      <c r="I1671" s="1437">
        <v>0</v>
      </c>
      <c r="J1671" s="1437">
        <v>0</v>
      </c>
      <c r="K1671" s="1438"/>
      <c r="L1671" s="1438"/>
      <c r="M1671" s="1437">
        <f t="shared" si="230"/>
        <v>0</v>
      </c>
      <c r="N1671" s="1437">
        <f t="shared" si="231"/>
        <v>0</v>
      </c>
    </row>
    <row r="1672" spans="1:16" ht="15.5" outlineLevel="1">
      <c r="A1672" s="1491">
        <f t="shared" si="232"/>
        <v>12</v>
      </c>
      <c r="B1672" s="1386" t="str">
        <f t="shared" si="232"/>
        <v>Cabins for operators at TP.</v>
      </c>
      <c r="C1672" s="1492" t="str">
        <f t="shared" si="232"/>
        <v>Add Cap (As per 296 of 2019)</v>
      </c>
      <c r="D1672" s="1334" t="str">
        <f t="shared" si="232"/>
        <v>-</v>
      </c>
      <c r="E1672" s="1384">
        <f t="shared" si="232"/>
        <v>0.2</v>
      </c>
      <c r="F1672" s="1437">
        <f t="shared" si="227"/>
        <v>0.18583111099999999</v>
      </c>
      <c r="G1672" s="1437">
        <f t="shared" si="228"/>
        <v>0.18583111099999999</v>
      </c>
      <c r="H1672" s="1437">
        <f t="shared" si="229"/>
        <v>0</v>
      </c>
      <c r="I1672" s="1437">
        <v>0</v>
      </c>
      <c r="J1672" s="1437">
        <v>0</v>
      </c>
      <c r="K1672" s="1438"/>
      <c r="L1672" s="1438"/>
      <c r="M1672" s="1437">
        <f t="shared" si="230"/>
        <v>0</v>
      </c>
      <c r="N1672" s="1437">
        <f t="shared" si="231"/>
        <v>0</v>
      </c>
    </row>
    <row r="1673" spans="1:16" ht="15.5" outlineLevel="1">
      <c r="A1673" s="1491">
        <f t="shared" si="232"/>
        <v>13</v>
      </c>
      <c r="B1673" s="1385" t="str">
        <f t="shared" si="232"/>
        <v>Compound wall for isolation of administrative building.</v>
      </c>
      <c r="C1673" s="1492" t="str">
        <f t="shared" si="232"/>
        <v>Add Cap (As per 296 of 2019)</v>
      </c>
      <c r="D1673" s="1334" t="str">
        <f t="shared" si="232"/>
        <v>-</v>
      </c>
      <c r="E1673" s="1384">
        <f t="shared" si="232"/>
        <v>0.5</v>
      </c>
      <c r="F1673" s="1437">
        <f t="shared" si="227"/>
        <v>0</v>
      </c>
      <c r="G1673" s="1437">
        <f t="shared" si="228"/>
        <v>0</v>
      </c>
      <c r="H1673" s="1437">
        <f t="shared" si="229"/>
        <v>0</v>
      </c>
      <c r="I1673" s="1437">
        <v>0</v>
      </c>
      <c r="J1673" s="1437">
        <v>0</v>
      </c>
      <c r="K1673" s="1438"/>
      <c r="L1673" s="1438"/>
      <c r="M1673" s="1437">
        <f t="shared" si="230"/>
        <v>0</v>
      </c>
      <c r="N1673" s="1437">
        <f t="shared" si="231"/>
        <v>0</v>
      </c>
    </row>
    <row r="1674" spans="1:16" ht="46.5" outlineLevel="1">
      <c r="A1674" s="1491">
        <f t="shared" si="232"/>
        <v>14</v>
      </c>
      <c r="B1674" s="1386" t="str">
        <f t="shared" si="232"/>
        <v>Work of providing/ fixing of internal partitions of aluminium/Nova palm/glass/wooden for Unit 8 service building &amp; other allied builings in the premises.</v>
      </c>
      <c r="C1674" s="1492" t="str">
        <f t="shared" si="232"/>
        <v>Add Cap (As per 296 of 2019)</v>
      </c>
      <c r="D1674" s="1334" t="str">
        <f t="shared" si="232"/>
        <v>-</v>
      </c>
      <c r="E1674" s="1378">
        <f t="shared" si="232"/>
        <v>0.7</v>
      </c>
      <c r="F1674" s="1437">
        <f t="shared" si="227"/>
        <v>0.67356391299999996</v>
      </c>
      <c r="G1674" s="1437">
        <f t="shared" si="228"/>
        <v>0.67356391299999996</v>
      </c>
      <c r="H1674" s="1437">
        <f t="shared" si="229"/>
        <v>0</v>
      </c>
      <c r="I1674" s="1437">
        <v>0</v>
      </c>
      <c r="J1674" s="1437">
        <v>0</v>
      </c>
      <c r="K1674" s="1438"/>
      <c r="L1674" s="1438"/>
      <c r="M1674" s="1437">
        <f t="shared" si="230"/>
        <v>0</v>
      </c>
      <c r="N1674" s="1437">
        <f t="shared" si="231"/>
        <v>0</v>
      </c>
    </row>
    <row r="1675" spans="1:16" ht="46.5" outlineLevel="1">
      <c r="A1675" s="1517">
        <f t="shared" si="232"/>
        <v>15</v>
      </c>
      <c r="B1675" s="1518" t="str">
        <f t="shared" si="232"/>
        <v>Provision of DM and softening water line interconnection from u-6,7 to u-8 &amp; Provision of recovery of waste water from sandava pump house,NDCT.</v>
      </c>
      <c r="C1675" s="1492" t="str">
        <f t="shared" si="232"/>
        <v>Add Cap (As per 296 of 2019)</v>
      </c>
      <c r="D1675" s="1334" t="str">
        <f t="shared" si="232"/>
        <v>-</v>
      </c>
      <c r="E1675" s="1378">
        <f t="shared" si="232"/>
        <v>3</v>
      </c>
      <c r="F1675" s="1437">
        <f t="shared" si="227"/>
        <v>1.0266339840000001</v>
      </c>
      <c r="G1675" s="1437">
        <f t="shared" si="228"/>
        <v>1.0266339840000001</v>
      </c>
      <c r="H1675" s="1437">
        <f t="shared" si="229"/>
        <v>0</v>
      </c>
      <c r="I1675" s="1437">
        <v>0</v>
      </c>
      <c r="J1675" s="1437">
        <v>0</v>
      </c>
      <c r="K1675" s="1438"/>
      <c r="L1675" s="1438"/>
      <c r="M1675" s="1437">
        <f t="shared" si="230"/>
        <v>0</v>
      </c>
      <c r="N1675" s="1437">
        <f t="shared" si="231"/>
        <v>0</v>
      </c>
    </row>
    <row r="1676" spans="1:16" ht="15.5" outlineLevel="1">
      <c r="A1676" s="1519">
        <f t="shared" ref="A1676:E1691" si="235">A1283</f>
        <v>0</v>
      </c>
      <c r="B1676" s="1520">
        <f t="shared" si="235"/>
        <v>0</v>
      </c>
      <c r="C1676" s="1492" t="str">
        <f t="shared" si="235"/>
        <v>Add Cap (As per 296 of 2019)</v>
      </c>
      <c r="D1676" s="1334" t="str">
        <f t="shared" si="235"/>
        <v>-</v>
      </c>
      <c r="E1676" s="1378">
        <f t="shared" si="235"/>
        <v>0</v>
      </c>
      <c r="F1676" s="1437">
        <f t="shared" si="227"/>
        <v>1.8371300820000001</v>
      </c>
      <c r="G1676" s="1437">
        <f t="shared" si="228"/>
        <v>1.8371300820000001</v>
      </c>
      <c r="H1676" s="1437">
        <f t="shared" si="229"/>
        <v>0</v>
      </c>
      <c r="I1676" s="1437">
        <v>0</v>
      </c>
      <c r="J1676" s="1437">
        <v>0</v>
      </c>
      <c r="K1676" s="1438"/>
      <c r="L1676" s="1438"/>
      <c r="M1676" s="1437">
        <f t="shared" si="230"/>
        <v>0</v>
      </c>
      <c r="N1676" s="1437">
        <f t="shared" si="231"/>
        <v>0</v>
      </c>
    </row>
    <row r="1677" spans="1:16" ht="15.5" outlineLevel="1">
      <c r="A1677" s="1491">
        <f t="shared" si="235"/>
        <v>16</v>
      </c>
      <c r="B1677" s="1513" t="str">
        <f t="shared" si="235"/>
        <v xml:space="preserve"> Hydraulic drive system modification.    </v>
      </c>
      <c r="C1677" s="1492" t="str">
        <f t="shared" si="235"/>
        <v>Add Cap (As per 296 of 2019)</v>
      </c>
      <c r="D1677" s="1334" t="str">
        <f t="shared" si="235"/>
        <v>-</v>
      </c>
      <c r="E1677" s="1521">
        <f t="shared" si="235"/>
        <v>2.5</v>
      </c>
      <c r="F1677" s="1437">
        <f t="shared" si="227"/>
        <v>2.4383865259999999</v>
      </c>
      <c r="G1677" s="1437">
        <f t="shared" si="228"/>
        <v>2.4383865259999999</v>
      </c>
      <c r="H1677" s="1437">
        <f t="shared" si="229"/>
        <v>0</v>
      </c>
      <c r="I1677" s="1437">
        <v>0</v>
      </c>
      <c r="J1677" s="1437">
        <v>0</v>
      </c>
      <c r="K1677" s="1438"/>
      <c r="L1677" s="1438"/>
      <c r="M1677" s="1437">
        <f t="shared" si="230"/>
        <v>0</v>
      </c>
      <c r="N1677" s="1437">
        <f t="shared" si="231"/>
        <v>0</v>
      </c>
    </row>
    <row r="1678" spans="1:16" ht="15.5" outlineLevel="1">
      <c r="A1678" s="1491">
        <f t="shared" si="235"/>
        <v>17</v>
      </c>
      <c r="B1678" s="1513" t="str">
        <f t="shared" si="235"/>
        <v xml:space="preserve">Link conveyor from Con-2 of U-6/7 to Con.-2AB of U-8. </v>
      </c>
      <c r="C1678" s="1492" t="str">
        <f t="shared" si="235"/>
        <v>Add Cap (As per 296 of 2019)</v>
      </c>
      <c r="D1678" s="1334" t="str">
        <f t="shared" si="235"/>
        <v>-</v>
      </c>
      <c r="E1678" s="1521">
        <f t="shared" si="235"/>
        <v>3.7</v>
      </c>
      <c r="F1678" s="1437">
        <f t="shared" si="227"/>
        <v>4.6434434319999998</v>
      </c>
      <c r="G1678" s="1437">
        <f t="shared" si="228"/>
        <v>22.656371991</v>
      </c>
      <c r="H1678" s="1437">
        <f t="shared" si="229"/>
        <v>-18.012928559000002</v>
      </c>
      <c r="I1678" s="1437">
        <v>0</v>
      </c>
      <c r="J1678" s="1437">
        <v>0</v>
      </c>
      <c r="K1678" s="1438"/>
      <c r="L1678" s="1438"/>
      <c r="M1678" s="1437">
        <f t="shared" si="230"/>
        <v>0</v>
      </c>
      <c r="N1678" s="1437">
        <f t="shared" si="231"/>
        <v>-18.012928559000002</v>
      </c>
    </row>
    <row r="1679" spans="1:16" ht="15.5" outlineLevel="1">
      <c r="A1679" s="1491">
        <f t="shared" si="235"/>
        <v>18</v>
      </c>
      <c r="B1679" s="1513" t="str">
        <f t="shared" si="235"/>
        <v>Ozone plant for Unit -8</v>
      </c>
      <c r="C1679" s="1492" t="str">
        <f t="shared" si="235"/>
        <v>Add Cap (As per 296 of 2019)</v>
      </c>
      <c r="D1679" s="1334" t="str">
        <f t="shared" si="235"/>
        <v>-</v>
      </c>
      <c r="E1679" s="1521">
        <f t="shared" si="235"/>
        <v>20</v>
      </c>
      <c r="F1679" s="1437">
        <f t="shared" si="227"/>
        <v>20.094708300000001</v>
      </c>
      <c r="G1679" s="1437">
        <f t="shared" si="228"/>
        <v>2.1929439999999998</v>
      </c>
      <c r="H1679" s="1437">
        <f t="shared" si="229"/>
        <v>17.9017643</v>
      </c>
      <c r="I1679" s="1437">
        <v>0</v>
      </c>
      <c r="J1679" s="1437">
        <v>0</v>
      </c>
      <c r="K1679" s="1438"/>
      <c r="L1679" s="1438"/>
      <c r="M1679" s="1437">
        <f t="shared" si="230"/>
        <v>0</v>
      </c>
      <c r="N1679" s="1437">
        <f t="shared" si="231"/>
        <v>17.9017643</v>
      </c>
    </row>
    <row r="1680" spans="1:16" ht="15.5" outlineLevel="1">
      <c r="A1680" s="1499">
        <f t="shared" si="235"/>
        <v>0</v>
      </c>
      <c r="B1680" s="1522" t="str">
        <f t="shared" si="235"/>
        <v>IDC</v>
      </c>
      <c r="C1680" s="1492">
        <f t="shared" si="235"/>
        <v>0</v>
      </c>
      <c r="D1680" s="1334" t="str">
        <f t="shared" si="235"/>
        <v>-</v>
      </c>
      <c r="E1680" s="1521">
        <f t="shared" si="235"/>
        <v>0</v>
      </c>
      <c r="F1680" s="1437">
        <f t="shared" si="227"/>
        <v>0</v>
      </c>
      <c r="G1680" s="1437">
        <f t="shared" si="228"/>
        <v>0</v>
      </c>
      <c r="H1680" s="1437">
        <f t="shared" si="229"/>
        <v>0</v>
      </c>
      <c r="I1680" s="1437">
        <v>0</v>
      </c>
      <c r="J1680" s="1437">
        <v>0</v>
      </c>
      <c r="K1680" s="1438"/>
      <c r="L1680" s="1438"/>
      <c r="M1680" s="1437">
        <f t="shared" si="230"/>
        <v>0</v>
      </c>
      <c r="N1680" s="1437">
        <f t="shared" si="231"/>
        <v>0</v>
      </c>
    </row>
    <row r="1681" spans="1:14" ht="15.5" outlineLevel="1">
      <c r="A1681" s="1491">
        <f t="shared" si="235"/>
        <v>19</v>
      </c>
      <c r="B1681" s="1377" t="str">
        <f t="shared" si="235"/>
        <v>Water management system</v>
      </c>
      <c r="C1681" s="1492" t="str">
        <f t="shared" si="235"/>
        <v>Add Cap (As per 296 of 2019)</v>
      </c>
      <c r="D1681" s="1334" t="str">
        <f t="shared" si="235"/>
        <v>-</v>
      </c>
      <c r="E1681" s="1378">
        <f t="shared" si="235"/>
        <v>2</v>
      </c>
      <c r="F1681" s="1437">
        <f t="shared" si="227"/>
        <v>0</v>
      </c>
      <c r="G1681" s="1437">
        <f t="shared" si="228"/>
        <v>0</v>
      </c>
      <c r="H1681" s="1437">
        <f t="shared" si="229"/>
        <v>0</v>
      </c>
      <c r="I1681" s="1437">
        <v>0</v>
      </c>
      <c r="J1681" s="1437">
        <v>0</v>
      </c>
      <c r="K1681" s="1438"/>
      <c r="L1681" s="1438"/>
      <c r="M1681" s="1437">
        <f t="shared" si="230"/>
        <v>0</v>
      </c>
      <c r="N1681" s="1437">
        <f t="shared" si="231"/>
        <v>0</v>
      </c>
    </row>
    <row r="1682" spans="1:14" ht="31" outlineLevel="1">
      <c r="A1682" s="1491" t="str">
        <f t="shared" si="235"/>
        <v>8, 20</v>
      </c>
      <c r="B1682" s="1523" t="str">
        <f t="shared" si="235"/>
        <v>Procurement &amp; Installation of EMS system at Unit-8 NPTPS Parli-Vaijnath</v>
      </c>
      <c r="C1682" s="1492" t="str">
        <f t="shared" si="235"/>
        <v>Add Cap (As per 296 of 2019)</v>
      </c>
      <c r="D1682" s="1514" t="str">
        <f t="shared" si="235"/>
        <v>-</v>
      </c>
      <c r="E1682" s="1394">
        <f t="shared" si="235"/>
        <v>1</v>
      </c>
      <c r="F1682" s="1437">
        <f t="shared" si="227"/>
        <v>0.144170512</v>
      </c>
      <c r="G1682" s="1437">
        <f t="shared" si="228"/>
        <v>0.144170512</v>
      </c>
      <c r="H1682" s="1437">
        <f t="shared" si="229"/>
        <v>0</v>
      </c>
      <c r="I1682" s="1437">
        <v>0</v>
      </c>
      <c r="J1682" s="1437">
        <v>0</v>
      </c>
      <c r="K1682" s="1438"/>
      <c r="L1682" s="1438"/>
      <c r="M1682" s="1437">
        <f t="shared" si="230"/>
        <v>0</v>
      </c>
      <c r="N1682" s="1437">
        <f t="shared" si="231"/>
        <v>0</v>
      </c>
    </row>
    <row r="1683" spans="1:14" ht="31" outlineLevel="1">
      <c r="A1683" s="1491">
        <f t="shared" si="235"/>
        <v>21</v>
      </c>
      <c r="B1683" s="1515" t="str">
        <f t="shared" si="235"/>
        <v>Conveyor-5 of  stacking/reclaiming belt double drive arrangement.</v>
      </c>
      <c r="C1683" s="1492" t="str">
        <f t="shared" si="235"/>
        <v>Add Cap (As per 296 of 2019)</v>
      </c>
      <c r="D1683" s="1334" t="str">
        <f t="shared" si="235"/>
        <v>-</v>
      </c>
      <c r="E1683" s="1524">
        <f t="shared" si="235"/>
        <v>2</v>
      </c>
      <c r="F1683" s="1437">
        <f t="shared" si="227"/>
        <v>2.0431699999999999</v>
      </c>
      <c r="G1683" s="1437">
        <f t="shared" si="228"/>
        <v>2.0431699999999999</v>
      </c>
      <c r="H1683" s="1437">
        <f t="shared" si="229"/>
        <v>0</v>
      </c>
      <c r="I1683" s="1437">
        <v>0</v>
      </c>
      <c r="J1683" s="1437">
        <v>0</v>
      </c>
      <c r="K1683" s="1438"/>
      <c r="L1683" s="1438"/>
      <c r="M1683" s="1437">
        <f t="shared" si="230"/>
        <v>0</v>
      </c>
      <c r="N1683" s="1437">
        <f t="shared" si="231"/>
        <v>0</v>
      </c>
    </row>
    <row r="1684" spans="1:14" ht="15.5" outlineLevel="1">
      <c r="A1684" s="1491">
        <f t="shared" si="235"/>
        <v>22</v>
      </c>
      <c r="B1684" s="1377" t="str">
        <f t="shared" si="235"/>
        <v>Chemical lab building</v>
      </c>
      <c r="C1684" s="1492" t="str">
        <f t="shared" si="235"/>
        <v>Add Cap (As per 296 of 2019)</v>
      </c>
      <c r="D1684" s="1334" t="str">
        <f t="shared" si="235"/>
        <v>-</v>
      </c>
      <c r="E1684" s="1384">
        <f t="shared" si="235"/>
        <v>1.5</v>
      </c>
      <c r="F1684" s="1437">
        <f t="shared" si="227"/>
        <v>0</v>
      </c>
      <c r="G1684" s="1437">
        <f t="shared" si="228"/>
        <v>0</v>
      </c>
      <c r="H1684" s="1437">
        <f t="shared" si="229"/>
        <v>0</v>
      </c>
      <c r="I1684" s="1437">
        <v>0</v>
      </c>
      <c r="J1684" s="1437">
        <v>0</v>
      </c>
      <c r="K1684" s="1438"/>
      <c r="L1684" s="1438"/>
      <c r="M1684" s="1437">
        <f t="shared" si="230"/>
        <v>0</v>
      </c>
      <c r="N1684" s="1437">
        <f t="shared" si="231"/>
        <v>0</v>
      </c>
    </row>
    <row r="1685" spans="1:14" ht="15.5" outlineLevel="1">
      <c r="A1685" s="1491">
        <f t="shared" si="235"/>
        <v>23</v>
      </c>
      <c r="B1685" s="1377" t="str">
        <f t="shared" si="235"/>
        <v>Chemical store</v>
      </c>
      <c r="C1685" s="1492" t="str">
        <f t="shared" si="235"/>
        <v>Add Cap (As per 296 of 2019)</v>
      </c>
      <c r="D1685" s="1334" t="str">
        <f t="shared" si="235"/>
        <v>-</v>
      </c>
      <c r="E1685" s="1384">
        <f t="shared" si="235"/>
        <v>2.5</v>
      </c>
      <c r="F1685" s="1437">
        <f t="shared" si="227"/>
        <v>0</v>
      </c>
      <c r="G1685" s="1437">
        <f t="shared" si="228"/>
        <v>0</v>
      </c>
      <c r="H1685" s="1437">
        <f t="shared" si="229"/>
        <v>0</v>
      </c>
      <c r="I1685" s="1437">
        <v>0</v>
      </c>
      <c r="J1685" s="1437">
        <v>0</v>
      </c>
      <c r="K1685" s="1438"/>
      <c r="L1685" s="1438"/>
      <c r="M1685" s="1437">
        <f t="shared" si="230"/>
        <v>0</v>
      </c>
      <c r="N1685" s="1437">
        <f t="shared" si="231"/>
        <v>0</v>
      </c>
    </row>
    <row r="1686" spans="1:14" outlineLevel="1">
      <c r="A1686" s="1491">
        <f t="shared" si="235"/>
        <v>24</v>
      </c>
      <c r="B1686" s="1397" t="str">
        <f t="shared" si="235"/>
        <v xml:space="preserve"> Lawn development around NDCT.</v>
      </c>
      <c r="C1686" s="1492" t="str">
        <f t="shared" si="235"/>
        <v>Add Cap (As per 296 of 2019)</v>
      </c>
      <c r="D1686" s="1514" t="str">
        <f t="shared" si="235"/>
        <v>-</v>
      </c>
      <c r="E1686" s="1398">
        <f t="shared" si="235"/>
        <v>0.75</v>
      </c>
      <c r="F1686" s="1437">
        <f t="shared" si="227"/>
        <v>0</v>
      </c>
      <c r="G1686" s="1437">
        <f t="shared" si="228"/>
        <v>0</v>
      </c>
      <c r="H1686" s="1437">
        <f t="shared" si="229"/>
        <v>0</v>
      </c>
      <c r="I1686" s="1437">
        <v>0</v>
      </c>
      <c r="J1686" s="1437">
        <v>0</v>
      </c>
      <c r="K1686" s="1438"/>
      <c r="L1686" s="1438"/>
      <c r="M1686" s="1437">
        <f t="shared" si="230"/>
        <v>0</v>
      </c>
      <c r="N1686" s="1437">
        <f t="shared" si="231"/>
        <v>0</v>
      </c>
    </row>
    <row r="1687" spans="1:14" outlineLevel="1">
      <c r="A1687" s="1491">
        <f t="shared" si="235"/>
        <v>25</v>
      </c>
      <c r="B1687" s="1399" t="str">
        <f t="shared" si="235"/>
        <v>Tree plantation &amp; greenery along road side.</v>
      </c>
      <c r="C1687" s="1492" t="str">
        <f t="shared" si="235"/>
        <v>Add Cap (As per 296 of 2019)</v>
      </c>
      <c r="D1687" s="1334" t="str">
        <f t="shared" si="235"/>
        <v>-</v>
      </c>
      <c r="E1687" s="1400">
        <f t="shared" si="235"/>
        <v>0.5</v>
      </c>
      <c r="F1687" s="1437">
        <f t="shared" si="227"/>
        <v>0</v>
      </c>
      <c r="G1687" s="1437">
        <f t="shared" si="228"/>
        <v>0</v>
      </c>
      <c r="H1687" s="1437">
        <f t="shared" si="229"/>
        <v>0</v>
      </c>
      <c r="I1687" s="1437">
        <v>0</v>
      </c>
      <c r="J1687" s="1437">
        <v>0</v>
      </c>
      <c r="K1687" s="1438"/>
      <c r="L1687" s="1438"/>
      <c r="M1687" s="1437">
        <f t="shared" si="230"/>
        <v>0</v>
      </c>
      <c r="N1687" s="1437">
        <f t="shared" si="231"/>
        <v>0</v>
      </c>
    </row>
    <row r="1688" spans="1:14" outlineLevel="1">
      <c r="A1688" s="1491">
        <f t="shared" si="235"/>
        <v>26</v>
      </c>
      <c r="B1688" s="1399" t="str">
        <f t="shared" si="235"/>
        <v>Greenery development in area between  WTP &amp; main plant.</v>
      </c>
      <c r="C1688" s="1492" t="str">
        <f t="shared" si="235"/>
        <v>Add Cap (As per 296 of 2019)</v>
      </c>
      <c r="D1688" s="1334" t="str">
        <f t="shared" si="235"/>
        <v>-</v>
      </c>
      <c r="E1688" s="1400">
        <f t="shared" si="235"/>
        <v>1.25</v>
      </c>
      <c r="F1688" s="1437">
        <f t="shared" si="227"/>
        <v>0</v>
      </c>
      <c r="G1688" s="1437">
        <f t="shared" si="228"/>
        <v>0</v>
      </c>
      <c r="H1688" s="1437">
        <f t="shared" si="229"/>
        <v>0</v>
      </c>
      <c r="I1688" s="1437">
        <v>0</v>
      </c>
      <c r="J1688" s="1437">
        <v>0</v>
      </c>
      <c r="K1688" s="1438"/>
      <c r="L1688" s="1438"/>
      <c r="M1688" s="1437">
        <f t="shared" si="230"/>
        <v>0</v>
      </c>
      <c r="N1688" s="1437">
        <f t="shared" si="231"/>
        <v>0</v>
      </c>
    </row>
    <row r="1689" spans="1:14" ht="15.5" outlineLevel="1">
      <c r="A1689" s="1491">
        <f t="shared" si="235"/>
        <v>27</v>
      </c>
      <c r="B1689" s="1385" t="str">
        <f t="shared" si="235"/>
        <v>Construction of staff rooms &amp; store for CHP maint..</v>
      </c>
      <c r="C1689" s="1492" t="str">
        <f t="shared" si="235"/>
        <v>Add Cap (As per 296 of 2019)</v>
      </c>
      <c r="D1689" s="1334" t="str">
        <f t="shared" si="235"/>
        <v>-</v>
      </c>
      <c r="E1689" s="1378">
        <f t="shared" si="235"/>
        <v>1</v>
      </c>
      <c r="F1689" s="1437">
        <f t="shared" si="227"/>
        <v>0.90702717499999985</v>
      </c>
      <c r="G1689" s="1437">
        <f t="shared" si="228"/>
        <v>0.90702717499999996</v>
      </c>
      <c r="H1689" s="1437">
        <f t="shared" si="229"/>
        <v>0</v>
      </c>
      <c r="I1689" s="1437">
        <v>0</v>
      </c>
      <c r="J1689" s="1437">
        <v>0</v>
      </c>
      <c r="K1689" s="1438"/>
      <c r="L1689" s="1438"/>
      <c r="M1689" s="1437">
        <f t="shared" si="230"/>
        <v>0</v>
      </c>
      <c r="N1689" s="1437">
        <f t="shared" si="231"/>
        <v>0</v>
      </c>
    </row>
    <row r="1690" spans="1:14" ht="15.5" outlineLevel="1">
      <c r="A1690" s="1491">
        <f t="shared" si="235"/>
        <v>28</v>
      </c>
      <c r="B1690" s="1377" t="str">
        <f t="shared" si="235"/>
        <v xml:space="preserve">Dsludg filteration for raw water </v>
      </c>
      <c r="C1690" s="1492" t="str">
        <f t="shared" si="235"/>
        <v>Add Cap (As per 296 of 2019)</v>
      </c>
      <c r="D1690" s="1334" t="str">
        <f t="shared" si="235"/>
        <v>-</v>
      </c>
      <c r="E1690" s="1401">
        <f t="shared" si="235"/>
        <v>17</v>
      </c>
      <c r="F1690" s="1437">
        <f t="shared" si="227"/>
        <v>0</v>
      </c>
      <c r="G1690" s="1437">
        <f t="shared" si="228"/>
        <v>0</v>
      </c>
      <c r="H1690" s="1437">
        <f t="shared" si="229"/>
        <v>0</v>
      </c>
      <c r="I1690" s="1437">
        <v>0</v>
      </c>
      <c r="J1690" s="1437">
        <v>0</v>
      </c>
      <c r="K1690" s="1438"/>
      <c r="L1690" s="1438"/>
      <c r="M1690" s="1437">
        <f t="shared" si="230"/>
        <v>0</v>
      </c>
      <c r="N1690" s="1437">
        <f t="shared" si="231"/>
        <v>0</v>
      </c>
    </row>
    <row r="1691" spans="1:14" ht="15.5" outlineLevel="1">
      <c r="A1691" s="1491">
        <f t="shared" si="235"/>
        <v>29</v>
      </c>
      <c r="B1691" s="1525" t="str">
        <f t="shared" si="235"/>
        <v>PLC/UPS system  upgradation</v>
      </c>
      <c r="C1691" s="1492" t="str">
        <f t="shared" si="235"/>
        <v>Add Cap (As per 296 of 2019)</v>
      </c>
      <c r="D1691" s="1514" t="str">
        <f t="shared" si="235"/>
        <v>-</v>
      </c>
      <c r="E1691" s="1498">
        <f t="shared" si="235"/>
        <v>0.5</v>
      </c>
      <c r="F1691" s="1437">
        <f t="shared" si="227"/>
        <v>0.40149499999999999</v>
      </c>
      <c r="G1691" s="1437">
        <f t="shared" si="228"/>
        <v>0.40149499999999999</v>
      </c>
      <c r="H1691" s="1437">
        <f t="shared" si="229"/>
        <v>0</v>
      </c>
      <c r="I1691" s="1437">
        <v>0</v>
      </c>
      <c r="J1691" s="1437">
        <v>0</v>
      </c>
      <c r="K1691" s="1438"/>
      <c r="L1691" s="1438"/>
      <c r="M1691" s="1437">
        <f t="shared" si="230"/>
        <v>0</v>
      </c>
      <c r="N1691" s="1437">
        <f t="shared" si="231"/>
        <v>0</v>
      </c>
    </row>
    <row r="1692" spans="1:14" outlineLevel="1">
      <c r="A1692" s="1392">
        <f t="shared" ref="A1692:E1707" si="236">A1299</f>
        <v>0</v>
      </c>
      <c r="B1692" s="1332" t="str">
        <f t="shared" si="236"/>
        <v>DPR Schemes</v>
      </c>
      <c r="C1692" s="1338">
        <f t="shared" si="236"/>
        <v>0</v>
      </c>
      <c r="D1692" s="1334" t="str">
        <f t="shared" si="236"/>
        <v>-</v>
      </c>
      <c r="E1692" s="1336">
        <f t="shared" si="236"/>
        <v>0</v>
      </c>
      <c r="F1692" s="1437">
        <f t="shared" si="227"/>
        <v>0</v>
      </c>
      <c r="G1692" s="1437">
        <f t="shared" si="228"/>
        <v>0</v>
      </c>
      <c r="H1692" s="1437">
        <f t="shared" si="229"/>
        <v>0</v>
      </c>
      <c r="I1692" s="1437">
        <v>0</v>
      </c>
      <c r="J1692" s="1437">
        <v>0</v>
      </c>
      <c r="K1692" s="1438"/>
      <c r="L1692" s="1438"/>
      <c r="M1692" s="1437">
        <f t="shared" si="230"/>
        <v>0</v>
      </c>
      <c r="N1692" s="1437">
        <f t="shared" si="231"/>
        <v>0</v>
      </c>
    </row>
    <row r="1693" spans="1:14" outlineLevel="1">
      <c r="A1693" s="1526">
        <f t="shared" si="236"/>
        <v>22</v>
      </c>
      <c r="B1693" s="1527" t="str">
        <f t="shared" si="236"/>
        <v>FGD at Parli Unit # 8</v>
      </c>
      <c r="C1693" s="1526" t="str">
        <f t="shared" si="236"/>
        <v>MERC/CAPEX/2021-2022/0284</v>
      </c>
      <c r="D1693" s="1528">
        <f t="shared" si="236"/>
        <v>44739</v>
      </c>
      <c r="E1693" s="1405">
        <f t="shared" si="236"/>
        <v>89.240000000000009</v>
      </c>
      <c r="F1693" s="1437">
        <f t="shared" si="227"/>
        <v>4.0999999999999996</v>
      </c>
      <c r="G1693" s="1437">
        <f t="shared" si="228"/>
        <v>0</v>
      </c>
      <c r="H1693" s="1437">
        <f t="shared" si="229"/>
        <v>4.0999999999999996</v>
      </c>
      <c r="I1693" s="1437">
        <v>0</v>
      </c>
      <c r="J1693" s="1437">
        <v>0</v>
      </c>
      <c r="K1693" s="1438"/>
      <c r="L1693" s="1438"/>
      <c r="M1693" s="1437">
        <f t="shared" si="230"/>
        <v>0</v>
      </c>
      <c r="N1693" s="1437">
        <f t="shared" si="231"/>
        <v>4.0999999999999996</v>
      </c>
    </row>
    <row r="1694" spans="1:14" outlineLevel="1">
      <c r="A1694" s="1499">
        <f t="shared" si="236"/>
        <v>22.1</v>
      </c>
      <c r="B1694" s="1530" t="str">
        <f t="shared" si="236"/>
        <v>FGD at Parli Unit # 8</v>
      </c>
      <c r="C1694" s="1491" t="str">
        <f t="shared" si="236"/>
        <v>MERC/CAPEX/2021-2022/0284</v>
      </c>
      <c r="D1694" s="1531">
        <f t="shared" si="236"/>
        <v>44739</v>
      </c>
      <c r="E1694" s="1318">
        <f t="shared" si="236"/>
        <v>85.2</v>
      </c>
      <c r="F1694" s="1437">
        <f t="shared" si="227"/>
        <v>95.21</v>
      </c>
      <c r="G1694" s="1437">
        <f t="shared" si="228"/>
        <v>108.86</v>
      </c>
      <c r="H1694" s="1437">
        <f t="shared" si="229"/>
        <v>-13.650000000000006</v>
      </c>
      <c r="I1694" s="1437">
        <v>0</v>
      </c>
      <c r="J1694" s="1437">
        <v>0</v>
      </c>
      <c r="K1694" s="1438"/>
      <c r="L1694" s="1438"/>
      <c r="M1694" s="1437">
        <f t="shared" si="230"/>
        <v>0</v>
      </c>
      <c r="N1694" s="1437">
        <f t="shared" si="231"/>
        <v>-13.650000000000006</v>
      </c>
    </row>
    <row r="1695" spans="1:14" outlineLevel="1">
      <c r="A1695" s="1511">
        <f t="shared" si="236"/>
        <v>0</v>
      </c>
      <c r="B1695" s="1532" t="str">
        <f t="shared" si="236"/>
        <v>IDC</v>
      </c>
      <c r="C1695" s="1491" t="str">
        <f t="shared" si="236"/>
        <v>MERC/CAPEX/2021-2022/0284</v>
      </c>
      <c r="D1695" s="1531">
        <f t="shared" si="236"/>
        <v>44739</v>
      </c>
      <c r="E1695" s="1318">
        <f t="shared" si="236"/>
        <v>4.04</v>
      </c>
      <c r="F1695" s="1437">
        <f t="shared" si="227"/>
        <v>4.04</v>
      </c>
      <c r="G1695" s="1437">
        <f t="shared" si="228"/>
        <v>0</v>
      </c>
      <c r="H1695" s="1437">
        <f t="shared" si="229"/>
        <v>4.04</v>
      </c>
      <c r="I1695" s="1437">
        <v>0</v>
      </c>
      <c r="J1695" s="1437">
        <v>0</v>
      </c>
      <c r="K1695" s="1438"/>
      <c r="L1695" s="1438"/>
      <c r="M1695" s="1437">
        <f t="shared" si="230"/>
        <v>0</v>
      </c>
      <c r="N1695" s="1437">
        <f t="shared" si="231"/>
        <v>4.04</v>
      </c>
    </row>
    <row r="1696" spans="1:14" ht="31" outlineLevel="1">
      <c r="A1696" s="1533" t="str">
        <f t="shared" si="236"/>
        <v>HO
DPR 16</v>
      </c>
      <c r="B1696" s="1534" t="str">
        <f t="shared" si="236"/>
        <v>Construction of new Administrative Building for Mahagenco at Vidyut Bhawan, Katol Road, Nagpur</v>
      </c>
      <c r="C1696" s="1526" t="str">
        <f t="shared" si="236"/>
        <v>MERC/CAPEX/2021-2022/MSPGCL/063</v>
      </c>
      <c r="D1696" s="1528">
        <f t="shared" si="236"/>
        <v>44604</v>
      </c>
      <c r="E1696" s="1405">
        <f t="shared" si="236"/>
        <v>57</v>
      </c>
      <c r="F1696" s="1437">
        <f t="shared" si="227"/>
        <v>0</v>
      </c>
      <c r="G1696" s="1437">
        <f t="shared" si="228"/>
        <v>0</v>
      </c>
      <c r="H1696" s="1437">
        <f t="shared" si="229"/>
        <v>0</v>
      </c>
      <c r="I1696" s="1437">
        <v>0</v>
      </c>
      <c r="J1696" s="1437">
        <v>0</v>
      </c>
      <c r="K1696" s="1438"/>
      <c r="L1696" s="1438"/>
      <c r="M1696" s="1437">
        <f t="shared" si="230"/>
        <v>0</v>
      </c>
      <c r="N1696" s="1437">
        <f t="shared" si="231"/>
        <v>0</v>
      </c>
    </row>
    <row r="1697" spans="1:14" ht="46.5" outlineLevel="1">
      <c r="A1697" s="1535" t="str">
        <f t="shared" si="236"/>
        <v>HO
DPR 16.1</v>
      </c>
      <c r="B1697" s="1536" t="str">
        <f t="shared" si="236"/>
        <v>Construction of new Administrative Building for Mahagenco at Vidyut Bhawan, Katol Road, Nagpur</v>
      </c>
      <c r="C1697" s="1491" t="str">
        <f t="shared" si="236"/>
        <v>MERC/CAPEX/2021-2022/MSPGCL/063</v>
      </c>
      <c r="D1697" s="1531">
        <f t="shared" si="236"/>
        <v>44604</v>
      </c>
      <c r="E1697" s="1318">
        <f t="shared" si="236"/>
        <v>54.24</v>
      </c>
      <c r="F1697" s="1437">
        <f t="shared" si="227"/>
        <v>0</v>
      </c>
      <c r="G1697" s="1437">
        <f t="shared" si="228"/>
        <v>0</v>
      </c>
      <c r="H1697" s="1437">
        <f t="shared" si="229"/>
        <v>0</v>
      </c>
      <c r="I1697" s="1437">
        <v>0</v>
      </c>
      <c r="J1697" s="1437">
        <v>0</v>
      </c>
      <c r="K1697" s="1438"/>
      <c r="L1697" s="1438"/>
      <c r="M1697" s="1437">
        <f t="shared" si="230"/>
        <v>0</v>
      </c>
      <c r="N1697" s="1437">
        <f t="shared" si="231"/>
        <v>0</v>
      </c>
    </row>
    <row r="1698" spans="1:14" ht="15.5" outlineLevel="1">
      <c r="A1698" s="1537">
        <f t="shared" si="236"/>
        <v>0</v>
      </c>
      <c r="B1698" s="1536" t="str">
        <f t="shared" si="236"/>
        <v>IDC</v>
      </c>
      <c r="C1698" s="1491" t="str">
        <f t="shared" si="236"/>
        <v>MERC/CAPEX/2021-2022/MSPGCL/063</v>
      </c>
      <c r="D1698" s="1531">
        <f t="shared" si="236"/>
        <v>44604</v>
      </c>
      <c r="E1698" s="1318">
        <f t="shared" si="236"/>
        <v>2.76</v>
      </c>
      <c r="F1698" s="1437">
        <f t="shared" si="227"/>
        <v>0</v>
      </c>
      <c r="G1698" s="1437">
        <f t="shared" si="228"/>
        <v>0</v>
      </c>
      <c r="H1698" s="1437">
        <f t="shared" si="229"/>
        <v>0</v>
      </c>
      <c r="I1698" s="1437">
        <v>0</v>
      </c>
      <c r="J1698" s="1437">
        <v>0</v>
      </c>
      <c r="K1698" s="1438"/>
      <c r="L1698" s="1438"/>
      <c r="M1698" s="1437">
        <f t="shared" si="230"/>
        <v>0</v>
      </c>
      <c r="N1698" s="1437">
        <f t="shared" si="231"/>
        <v>0</v>
      </c>
    </row>
    <row r="1699" spans="1:14" ht="31" outlineLevel="1">
      <c r="A1699" s="1533" t="str">
        <f t="shared" si="236"/>
        <v>HO
DPR 17</v>
      </c>
      <c r="B1699" s="1534" t="str">
        <f t="shared" si="236"/>
        <v>Centralized Monitoring Solution</v>
      </c>
      <c r="C1699" s="1526" t="str">
        <f t="shared" si="236"/>
        <v>MERC/CAPEX/MSPGCL/2023-24/0576</v>
      </c>
      <c r="D1699" s="1528">
        <f t="shared" si="236"/>
        <v>45232</v>
      </c>
      <c r="E1699" s="1405">
        <f t="shared" si="236"/>
        <v>69.308999999999997</v>
      </c>
      <c r="F1699" s="1437">
        <f t="shared" si="227"/>
        <v>0</v>
      </c>
      <c r="G1699" s="1437">
        <f t="shared" si="228"/>
        <v>0</v>
      </c>
      <c r="H1699" s="1437">
        <f t="shared" si="229"/>
        <v>0</v>
      </c>
      <c r="I1699" s="1437">
        <v>0</v>
      </c>
      <c r="J1699" s="1437">
        <v>0</v>
      </c>
      <c r="K1699" s="1438"/>
      <c r="L1699" s="1438"/>
      <c r="M1699" s="1437">
        <f t="shared" si="230"/>
        <v>0</v>
      </c>
      <c r="N1699" s="1437">
        <f t="shared" si="231"/>
        <v>0</v>
      </c>
    </row>
    <row r="1700" spans="1:14" ht="46.5" outlineLevel="1">
      <c r="A1700" s="1535" t="str">
        <f t="shared" si="236"/>
        <v>HO
DPR 17.1</v>
      </c>
      <c r="B1700" s="1536" t="str">
        <f t="shared" si="236"/>
        <v>Centralized Monitoring Solution</v>
      </c>
      <c r="C1700" s="1491" t="str">
        <f t="shared" si="236"/>
        <v>MERC/CAPEX/MSPGCL/2023-24/0576</v>
      </c>
      <c r="D1700" s="1531">
        <f t="shared" si="236"/>
        <v>45232</v>
      </c>
      <c r="E1700" s="1318">
        <f t="shared" si="236"/>
        <v>66.009</v>
      </c>
      <c r="F1700" s="1437">
        <f t="shared" si="227"/>
        <v>2.23</v>
      </c>
      <c r="G1700" s="1437">
        <f t="shared" si="228"/>
        <v>2.23</v>
      </c>
      <c r="H1700" s="1437">
        <f t="shared" si="229"/>
        <v>0</v>
      </c>
      <c r="I1700" s="1437">
        <v>0</v>
      </c>
      <c r="J1700" s="1437">
        <v>0</v>
      </c>
      <c r="K1700" s="1438"/>
      <c r="L1700" s="1438"/>
      <c r="M1700" s="1437">
        <f t="shared" si="230"/>
        <v>0</v>
      </c>
      <c r="N1700" s="1437">
        <f t="shared" si="231"/>
        <v>0</v>
      </c>
    </row>
    <row r="1701" spans="1:14" ht="15.5" outlineLevel="1">
      <c r="A1701" s="1537">
        <f t="shared" si="236"/>
        <v>0</v>
      </c>
      <c r="B1701" s="1536" t="str">
        <f t="shared" si="236"/>
        <v>IDC</v>
      </c>
      <c r="C1701" s="1491" t="str">
        <f t="shared" si="236"/>
        <v>MERC/CAPEX/MSPGCL/2023-24/0576</v>
      </c>
      <c r="D1701" s="1531">
        <f t="shared" si="236"/>
        <v>45232</v>
      </c>
      <c r="E1701" s="1318">
        <f t="shared" si="236"/>
        <v>3.3</v>
      </c>
      <c r="F1701" s="1437">
        <f t="shared" si="227"/>
        <v>0</v>
      </c>
      <c r="G1701" s="1437">
        <f t="shared" si="228"/>
        <v>0</v>
      </c>
      <c r="H1701" s="1437">
        <f t="shared" si="229"/>
        <v>0</v>
      </c>
      <c r="I1701" s="1437">
        <v>0</v>
      </c>
      <c r="J1701" s="1437">
        <v>0</v>
      </c>
      <c r="K1701" s="1438"/>
      <c r="L1701" s="1438"/>
      <c r="M1701" s="1437">
        <f t="shared" si="230"/>
        <v>0</v>
      </c>
      <c r="N1701" s="1437">
        <f t="shared" si="231"/>
        <v>0</v>
      </c>
    </row>
    <row r="1702" spans="1:14" outlineLevel="1">
      <c r="A1702" s="1505">
        <f t="shared" si="236"/>
        <v>0</v>
      </c>
      <c r="B1702" s="1332" t="str">
        <f t="shared" si="236"/>
        <v>(ii) Yet to be submitted to MERC</v>
      </c>
      <c r="C1702" s="1491">
        <f t="shared" si="236"/>
        <v>0</v>
      </c>
      <c r="D1702" s="1531" t="str">
        <f t="shared" si="236"/>
        <v>-</v>
      </c>
      <c r="E1702" s="1318">
        <f t="shared" si="236"/>
        <v>0</v>
      </c>
      <c r="F1702" s="1437">
        <f t="shared" si="227"/>
        <v>0</v>
      </c>
      <c r="G1702" s="1437">
        <f t="shared" si="228"/>
        <v>0</v>
      </c>
      <c r="H1702" s="1437">
        <f t="shared" si="229"/>
        <v>0</v>
      </c>
      <c r="I1702" s="1437">
        <v>0</v>
      </c>
      <c r="J1702" s="1437">
        <v>0</v>
      </c>
      <c r="K1702" s="1438"/>
      <c r="L1702" s="1438"/>
      <c r="M1702" s="1437">
        <f t="shared" si="230"/>
        <v>0</v>
      </c>
      <c r="N1702" s="1437">
        <f t="shared" si="231"/>
        <v>0</v>
      </c>
    </row>
    <row r="1703" spans="1:14" ht="46.5" outlineLevel="1">
      <c r="A1703" s="1533">
        <f t="shared" si="236"/>
        <v>1</v>
      </c>
      <c r="B1703" s="1534" t="str">
        <f t="shared" si="236"/>
        <v xml:space="preserve">Detailed Project Report on  Boiler plant performance improvement and availability improvement schemes at Boiler Maintenance 1x250MW Unit-8 TPS Parli-V </v>
      </c>
      <c r="C1703" s="1526" t="str">
        <f t="shared" si="236"/>
        <v>Yet to be approved</v>
      </c>
      <c r="D1703" s="1528" t="str">
        <f t="shared" si="236"/>
        <v>-</v>
      </c>
      <c r="E1703" s="1405">
        <f t="shared" si="236"/>
        <v>0</v>
      </c>
      <c r="F1703" s="1437">
        <f t="shared" si="227"/>
        <v>0</v>
      </c>
      <c r="G1703" s="1437">
        <f t="shared" si="228"/>
        <v>0</v>
      </c>
      <c r="H1703" s="1437">
        <f t="shared" si="229"/>
        <v>0</v>
      </c>
      <c r="I1703" s="1437">
        <v>0</v>
      </c>
      <c r="J1703" s="1437">
        <v>0</v>
      </c>
      <c r="K1703" s="1438"/>
      <c r="L1703" s="1438"/>
      <c r="M1703" s="1437">
        <f t="shared" si="230"/>
        <v>0</v>
      </c>
      <c r="N1703" s="1437">
        <f t="shared" si="231"/>
        <v>0</v>
      </c>
    </row>
    <row r="1704" spans="1:14" ht="29" outlineLevel="1">
      <c r="A1704" s="1491">
        <f t="shared" si="236"/>
        <v>1.1000000000000001</v>
      </c>
      <c r="B1704" s="1530" t="str">
        <f t="shared" si="236"/>
        <v>Procurement &amp; Replacement of Complete Economizer Upper &amp; Lower Bank Coil Assemblies at Unit-8, NPTPS Parli-V</v>
      </c>
      <c r="C1704" s="1491" t="str">
        <f t="shared" si="236"/>
        <v>Yet to be approved</v>
      </c>
      <c r="D1704" s="1531" t="str">
        <f t="shared" si="236"/>
        <v>-</v>
      </c>
      <c r="E1704" s="1318">
        <f t="shared" si="236"/>
        <v>0</v>
      </c>
      <c r="F1704" s="1437">
        <f t="shared" si="227"/>
        <v>5.68</v>
      </c>
      <c r="G1704" s="1437">
        <f t="shared" si="228"/>
        <v>5.68</v>
      </c>
      <c r="H1704" s="1437">
        <f t="shared" si="229"/>
        <v>0</v>
      </c>
      <c r="I1704" s="1437">
        <v>0</v>
      </c>
      <c r="J1704" s="1437">
        <v>0</v>
      </c>
      <c r="K1704" s="1438"/>
      <c r="L1704" s="1438"/>
      <c r="M1704" s="1437">
        <f t="shared" si="230"/>
        <v>0</v>
      </c>
      <c r="N1704" s="1437">
        <f t="shared" si="231"/>
        <v>0</v>
      </c>
    </row>
    <row r="1705" spans="1:14" ht="29" outlineLevel="1">
      <c r="A1705" s="1491">
        <f t="shared" si="236"/>
        <v>1.2</v>
      </c>
      <c r="B1705" s="1530" t="str">
        <f t="shared" si="236"/>
        <v>Procurement &amp; Replacement of Two complete set of APH Baskets at 250 MW Unit-8, Parli TPS.</v>
      </c>
      <c r="C1705" s="1491" t="str">
        <f t="shared" si="236"/>
        <v>Yet to be approved</v>
      </c>
      <c r="D1705" s="1531" t="str">
        <f t="shared" si="236"/>
        <v>-</v>
      </c>
      <c r="E1705" s="1318">
        <f t="shared" si="236"/>
        <v>0</v>
      </c>
      <c r="F1705" s="1437">
        <f t="shared" si="227"/>
        <v>4.5</v>
      </c>
      <c r="G1705" s="1437">
        <f t="shared" si="228"/>
        <v>4.5</v>
      </c>
      <c r="H1705" s="1437">
        <f t="shared" si="229"/>
        <v>0</v>
      </c>
      <c r="I1705" s="1437">
        <v>0</v>
      </c>
      <c r="J1705" s="1437">
        <v>0</v>
      </c>
      <c r="K1705" s="1438"/>
      <c r="L1705" s="1438"/>
      <c r="M1705" s="1437">
        <f t="shared" si="230"/>
        <v>0</v>
      </c>
      <c r="N1705" s="1437">
        <f t="shared" si="231"/>
        <v>0</v>
      </c>
    </row>
    <row r="1706" spans="1:14" ht="29" outlineLevel="1">
      <c r="A1706" s="1491">
        <f t="shared" si="236"/>
        <v>1.3</v>
      </c>
      <c r="B1706" s="1530" t="str">
        <f t="shared" si="236"/>
        <v>Procurement &amp; replacement of  PA Fan PAF 17/11.8-2 and FD Fan FAF 17/9.5-1 Complete Blade set required at BM U-8 NPTPS Parli-V.</v>
      </c>
      <c r="C1706" s="1491" t="str">
        <f t="shared" si="236"/>
        <v>Yet to be approved</v>
      </c>
      <c r="D1706" s="1531" t="str">
        <f t="shared" si="236"/>
        <v>-</v>
      </c>
      <c r="E1706" s="1318">
        <f t="shared" si="236"/>
        <v>0</v>
      </c>
      <c r="F1706" s="1437">
        <f t="shared" si="227"/>
        <v>5.45</v>
      </c>
      <c r="G1706" s="1437">
        <f t="shared" si="228"/>
        <v>5.45</v>
      </c>
      <c r="H1706" s="1437">
        <f t="shared" si="229"/>
        <v>0</v>
      </c>
      <c r="I1706" s="1437">
        <v>0</v>
      </c>
      <c r="J1706" s="1437">
        <v>0</v>
      </c>
      <c r="K1706" s="1438"/>
      <c r="L1706" s="1438"/>
      <c r="M1706" s="1437">
        <f t="shared" si="230"/>
        <v>0</v>
      </c>
      <c r="N1706" s="1437">
        <f t="shared" si="231"/>
        <v>0</v>
      </c>
    </row>
    <row r="1707" spans="1:14" ht="29" outlineLevel="1">
      <c r="A1707" s="1491">
        <f t="shared" si="236"/>
        <v>1.4</v>
      </c>
      <c r="B1707" s="1530" t="str">
        <f t="shared" si="236"/>
        <v>Procurement &amp; Replacement of  Coal Mill Gear Box Type KMP 280 at 250 MW Unit-8, Parli TPS.</v>
      </c>
      <c r="C1707" s="1491" t="str">
        <f t="shared" si="236"/>
        <v>Yet to be approved</v>
      </c>
      <c r="D1707" s="1531" t="str">
        <f t="shared" si="236"/>
        <v>-</v>
      </c>
      <c r="E1707" s="1318">
        <f t="shared" si="236"/>
        <v>0</v>
      </c>
      <c r="F1707" s="1437">
        <f t="shared" si="227"/>
        <v>7.43</v>
      </c>
      <c r="G1707" s="1437">
        <f t="shared" si="228"/>
        <v>7.43</v>
      </c>
      <c r="H1707" s="1437">
        <f t="shared" si="229"/>
        <v>0</v>
      </c>
      <c r="I1707" s="1437">
        <v>0</v>
      </c>
      <c r="J1707" s="1437">
        <v>0</v>
      </c>
      <c r="K1707" s="1438"/>
      <c r="L1707" s="1438"/>
      <c r="M1707" s="1437">
        <f t="shared" si="230"/>
        <v>0</v>
      </c>
      <c r="N1707" s="1437">
        <f t="shared" si="231"/>
        <v>0</v>
      </c>
    </row>
    <row r="1708" spans="1:14" ht="29" outlineLevel="1">
      <c r="A1708" s="1491">
        <f t="shared" ref="A1708:E1723" si="237">A1315</f>
        <v>1.5</v>
      </c>
      <c r="B1708" s="1530" t="str">
        <f t="shared" si="237"/>
        <v>Procurement &amp; replacement of Bowl &amp; Bowl Hub Assembly of Coal Mill XRP-903 required at BM U-8 NPTPS Parli-V.</v>
      </c>
      <c r="C1708" s="1491" t="str">
        <f t="shared" si="237"/>
        <v>Yet to be approved</v>
      </c>
      <c r="D1708" s="1531" t="str">
        <f t="shared" si="237"/>
        <v>-</v>
      </c>
      <c r="E1708" s="1318">
        <f t="shared" si="237"/>
        <v>0</v>
      </c>
      <c r="F1708" s="1437">
        <f t="shared" si="227"/>
        <v>3.1</v>
      </c>
      <c r="G1708" s="1437">
        <f t="shared" si="228"/>
        <v>3.1</v>
      </c>
      <c r="H1708" s="1437">
        <f t="shared" si="229"/>
        <v>0</v>
      </c>
      <c r="I1708" s="1437">
        <v>0</v>
      </c>
      <c r="J1708" s="1437">
        <v>0</v>
      </c>
      <c r="K1708" s="1438"/>
      <c r="L1708" s="1438"/>
      <c r="M1708" s="1437">
        <f t="shared" ref="M1708" si="238">SUM(J1708:L1708)</f>
        <v>0</v>
      </c>
      <c r="N1708" s="1437">
        <f t="shared" si="231"/>
        <v>0</v>
      </c>
    </row>
    <row r="1709" spans="1:14" ht="29" outlineLevel="1">
      <c r="A1709" s="1491">
        <f t="shared" si="237"/>
        <v>1.6</v>
      </c>
      <c r="B1709" s="1530" t="str">
        <f t="shared" si="237"/>
        <v>Procurement of Complete Journal Assembly without Grinding roll for Coal Mill XRP-903  required at BM U-8 NPTPS Parli-V</v>
      </c>
      <c r="C1709" s="1491" t="str">
        <f t="shared" si="237"/>
        <v>Yet to be approved</v>
      </c>
      <c r="D1709" s="1531" t="str">
        <f t="shared" si="237"/>
        <v>-</v>
      </c>
      <c r="E1709" s="1318">
        <f t="shared" si="237"/>
        <v>0</v>
      </c>
      <c r="F1709" s="1437">
        <f t="shared" si="227"/>
        <v>1.29</v>
      </c>
      <c r="G1709" s="1437">
        <f t="shared" si="228"/>
        <v>1.29</v>
      </c>
      <c r="H1709" s="1437">
        <f t="shared" si="229"/>
        <v>0</v>
      </c>
      <c r="I1709" s="1437">
        <v>0</v>
      </c>
      <c r="J1709" s="1437">
        <v>0</v>
      </c>
      <c r="K1709" s="1438"/>
      <c r="L1709" s="1438"/>
      <c r="M1709" s="1437">
        <f t="shared" ref="M1709:M1773" si="239">SUM(J1709:L1709)</f>
        <v>0</v>
      </c>
      <c r="N1709" s="1437">
        <f t="shared" si="231"/>
        <v>0</v>
      </c>
    </row>
    <row r="1710" spans="1:14" ht="29" outlineLevel="1">
      <c r="A1710" s="1491">
        <f t="shared" si="237"/>
        <v>1.7</v>
      </c>
      <c r="B1710" s="1530" t="str">
        <f t="shared" si="237"/>
        <v>Procurement of  Hydraulic Adjustment Device for FD Fan FAF 17/9.5-1 at BM U-8 NPTPS Parli-V.</v>
      </c>
      <c r="C1710" s="1491" t="str">
        <f t="shared" si="237"/>
        <v>Yet to be approved</v>
      </c>
      <c r="D1710" s="1531" t="str">
        <f t="shared" si="237"/>
        <v>-</v>
      </c>
      <c r="E1710" s="1318">
        <f t="shared" si="237"/>
        <v>0</v>
      </c>
      <c r="F1710" s="1437">
        <f t="shared" si="227"/>
        <v>1.4</v>
      </c>
      <c r="G1710" s="1437">
        <f t="shared" si="228"/>
        <v>1.4</v>
      </c>
      <c r="H1710" s="1437">
        <f t="shared" si="229"/>
        <v>0</v>
      </c>
      <c r="I1710" s="1437">
        <v>0</v>
      </c>
      <c r="J1710" s="1437">
        <v>0</v>
      </c>
      <c r="K1710" s="1438"/>
      <c r="L1710" s="1438"/>
      <c r="M1710" s="1437">
        <f t="shared" si="239"/>
        <v>0</v>
      </c>
      <c r="N1710" s="1437">
        <f t="shared" si="231"/>
        <v>0</v>
      </c>
    </row>
    <row r="1711" spans="1:14" outlineLevel="1">
      <c r="A1711" s="1491">
        <f t="shared" si="237"/>
        <v>1.8</v>
      </c>
      <c r="B1711" s="1530" t="str">
        <f t="shared" si="237"/>
        <v>SWAS upgradation at U#8</v>
      </c>
      <c r="C1711" s="1491" t="str">
        <f t="shared" si="237"/>
        <v>Yet to be approved</v>
      </c>
      <c r="D1711" s="1531" t="str">
        <f t="shared" si="237"/>
        <v>-</v>
      </c>
      <c r="E1711" s="1318">
        <f t="shared" si="237"/>
        <v>0</v>
      </c>
      <c r="F1711" s="1437">
        <f t="shared" ref="F1711:F1774" si="240">F1318+I1318</f>
        <v>4.8</v>
      </c>
      <c r="G1711" s="1437">
        <f t="shared" ref="G1711:G1774" si="241">G1318+M1318</f>
        <v>4.8</v>
      </c>
      <c r="H1711" s="1437">
        <f t="shared" ref="H1711:H1775" si="242">F1711-G1711</f>
        <v>0</v>
      </c>
      <c r="I1711" s="1437">
        <v>0</v>
      </c>
      <c r="J1711" s="1437">
        <v>0</v>
      </c>
      <c r="K1711" s="1438"/>
      <c r="L1711" s="1438"/>
      <c r="M1711" s="1437">
        <f t="shared" si="239"/>
        <v>0</v>
      </c>
      <c r="N1711" s="1437">
        <f t="shared" ref="N1711:N1775" si="243">H1711+I1711-M1711</f>
        <v>0</v>
      </c>
    </row>
    <row r="1712" spans="1:14" ht="21" outlineLevel="1">
      <c r="A1712" s="1538">
        <f t="shared" si="237"/>
        <v>0</v>
      </c>
      <c r="B1712" s="1410" t="str">
        <f t="shared" si="237"/>
        <v>(ii) Yet to be submitted to MERC</v>
      </c>
      <c r="C1712" s="1491">
        <f t="shared" si="237"/>
        <v>0</v>
      </c>
      <c r="D1712" s="1531" t="str">
        <f t="shared" si="237"/>
        <v>-</v>
      </c>
      <c r="E1712" s="1318">
        <f t="shared" si="237"/>
        <v>0</v>
      </c>
      <c r="F1712" s="1437">
        <f t="shared" si="240"/>
        <v>0</v>
      </c>
      <c r="G1712" s="1437">
        <f t="shared" si="241"/>
        <v>0</v>
      </c>
      <c r="H1712" s="1437">
        <f t="shared" si="242"/>
        <v>0</v>
      </c>
      <c r="I1712" s="1437">
        <v>0</v>
      </c>
      <c r="J1712" s="1437">
        <v>0</v>
      </c>
      <c r="K1712" s="1438"/>
      <c r="L1712" s="1438"/>
      <c r="M1712" s="1437">
        <f t="shared" si="239"/>
        <v>0</v>
      </c>
      <c r="N1712" s="1437">
        <f t="shared" si="243"/>
        <v>0</v>
      </c>
    </row>
    <row r="1713" spans="1:14" ht="77.5" outlineLevel="1">
      <c r="A1713" s="1533">
        <f t="shared" si="237"/>
        <v>2</v>
      </c>
      <c r="B1713" s="1534" t="str">
        <f t="shared" si="237"/>
        <v xml:space="preserve"> Procurement &amp; Replacement of Complete Platen super heater coils  Coil Assemblies at Unit-8, TPS Parli-V,  Procurement &amp; Replacement of Complete LTSH upper &amp; lower bank Coil Assemblies at Unit-8, TPS Parli-V &amp;  Procurement &amp; Replacement of  Coal Mill Gear Box Type KMP 280 at 250 MW Unit-8, Parli TPS.</v>
      </c>
      <c r="C1713" s="1491" t="str">
        <f t="shared" si="237"/>
        <v>Yet to be approved</v>
      </c>
      <c r="D1713" s="1531" t="str">
        <f t="shared" si="237"/>
        <v>-</v>
      </c>
      <c r="E1713" s="1318">
        <f t="shared" si="237"/>
        <v>0</v>
      </c>
      <c r="F1713" s="1437">
        <f t="shared" si="240"/>
        <v>0</v>
      </c>
      <c r="G1713" s="1437">
        <f t="shared" si="241"/>
        <v>0</v>
      </c>
      <c r="H1713" s="1437">
        <f t="shared" si="242"/>
        <v>0</v>
      </c>
      <c r="I1713" s="1437">
        <v>0</v>
      </c>
      <c r="J1713" s="1437">
        <v>0</v>
      </c>
      <c r="K1713" s="1438"/>
      <c r="L1713" s="1438"/>
      <c r="M1713" s="1437">
        <f t="shared" si="239"/>
        <v>0</v>
      </c>
      <c r="N1713" s="1437">
        <f t="shared" si="243"/>
        <v>0</v>
      </c>
    </row>
    <row r="1714" spans="1:14" ht="29" outlineLevel="1">
      <c r="A1714" s="1491">
        <f t="shared" si="237"/>
        <v>2.1</v>
      </c>
      <c r="B1714" s="1530" t="str">
        <f t="shared" si="237"/>
        <v>Procurement &amp; Replacement of Complete Platen super heater coils  Coil Assemblies at Unit-8, TPS Parli-V</v>
      </c>
      <c r="C1714" s="1491" t="str">
        <f t="shared" si="237"/>
        <v>Yet to be approved</v>
      </c>
      <c r="D1714" s="1531" t="str">
        <f t="shared" si="237"/>
        <v>-</v>
      </c>
      <c r="E1714" s="1318">
        <f t="shared" si="237"/>
        <v>0</v>
      </c>
      <c r="F1714" s="1437">
        <f t="shared" si="240"/>
        <v>0</v>
      </c>
      <c r="G1714" s="1437">
        <f t="shared" si="241"/>
        <v>0</v>
      </c>
      <c r="H1714" s="1437">
        <f t="shared" si="242"/>
        <v>0</v>
      </c>
      <c r="I1714" s="1437">
        <v>12</v>
      </c>
      <c r="J1714" s="1437">
        <v>12</v>
      </c>
      <c r="K1714" s="1438"/>
      <c r="L1714" s="1438"/>
      <c r="M1714" s="1437">
        <f t="shared" si="239"/>
        <v>12</v>
      </c>
      <c r="N1714" s="1437">
        <f t="shared" si="243"/>
        <v>0</v>
      </c>
    </row>
    <row r="1715" spans="1:14" ht="29" outlineLevel="1">
      <c r="A1715" s="1491">
        <f t="shared" si="237"/>
        <v>2.2000000000000002</v>
      </c>
      <c r="B1715" s="1530" t="str">
        <f t="shared" si="237"/>
        <v>Procurement &amp; Replacement of Complete LTSH upper &amp; lower bank Coil Assemblies at Unit-8, TPS Parli-V</v>
      </c>
      <c r="C1715" s="1491" t="str">
        <f t="shared" si="237"/>
        <v>Yet to be approved</v>
      </c>
      <c r="D1715" s="1531" t="str">
        <f t="shared" si="237"/>
        <v>-</v>
      </c>
      <c r="E1715" s="1318">
        <f t="shared" si="237"/>
        <v>0</v>
      </c>
      <c r="F1715" s="1437">
        <f t="shared" si="240"/>
        <v>0</v>
      </c>
      <c r="G1715" s="1437">
        <f t="shared" si="241"/>
        <v>0</v>
      </c>
      <c r="H1715" s="1437">
        <f t="shared" si="242"/>
        <v>0</v>
      </c>
      <c r="I1715" s="1437">
        <v>9.35</v>
      </c>
      <c r="J1715" s="1437">
        <v>9.35</v>
      </c>
      <c r="K1715" s="1438"/>
      <c r="L1715" s="1438"/>
      <c r="M1715" s="1437">
        <f t="shared" si="239"/>
        <v>9.35</v>
      </c>
      <c r="N1715" s="1437">
        <f t="shared" si="243"/>
        <v>0</v>
      </c>
    </row>
    <row r="1716" spans="1:14" ht="29" outlineLevel="1">
      <c r="A1716" s="1491">
        <f t="shared" si="237"/>
        <v>2.2999999999999998</v>
      </c>
      <c r="B1716" s="1530" t="str">
        <f t="shared" si="237"/>
        <v xml:space="preserve"> Procurement &amp; Replacement of  Coal Mill Gear Box Type KMP 280 at 250 MW Unit-8, Parli TPS.</v>
      </c>
      <c r="C1716" s="1491" t="str">
        <f t="shared" si="237"/>
        <v>Yet to be approved</v>
      </c>
      <c r="D1716" s="1531" t="str">
        <f t="shared" si="237"/>
        <v>-</v>
      </c>
      <c r="E1716" s="1318">
        <f t="shared" si="237"/>
        <v>0</v>
      </c>
      <c r="F1716" s="1437">
        <f t="shared" si="240"/>
        <v>0</v>
      </c>
      <c r="G1716" s="1437">
        <f t="shared" si="241"/>
        <v>0</v>
      </c>
      <c r="H1716" s="1437">
        <f t="shared" si="242"/>
        <v>0</v>
      </c>
      <c r="I1716" s="1437">
        <v>7.8</v>
      </c>
      <c r="J1716" s="1437">
        <v>7.8</v>
      </c>
      <c r="K1716" s="1438"/>
      <c r="L1716" s="1438"/>
      <c r="M1716" s="1437">
        <f t="shared" si="239"/>
        <v>7.8</v>
      </c>
      <c r="N1716" s="1437">
        <f t="shared" si="243"/>
        <v>0</v>
      </c>
    </row>
    <row r="1717" spans="1:14" ht="46.5" outlineLevel="1">
      <c r="A1717" s="1533">
        <f t="shared" si="237"/>
        <v>3</v>
      </c>
      <c r="B1717" s="1534" t="str">
        <f t="shared" si="237"/>
        <v xml:space="preserve"> Procurement &amp; Replacement of Two complete set of APH Baskets at 250 MW Unit-8, Parli TPS Procurement &amp; replacement of PA &amp; FD fan rotar hub assembly at Unit-8 TPS Parli-V</v>
      </c>
      <c r="C1717" s="1491" t="str">
        <f t="shared" si="237"/>
        <v>Yet to be approved</v>
      </c>
      <c r="D1717" s="1531" t="str">
        <f t="shared" si="237"/>
        <v>-</v>
      </c>
      <c r="E1717" s="1318">
        <f t="shared" si="237"/>
        <v>0</v>
      </c>
      <c r="F1717" s="1437">
        <f t="shared" si="240"/>
        <v>0</v>
      </c>
      <c r="G1717" s="1437">
        <f t="shared" si="241"/>
        <v>0</v>
      </c>
      <c r="H1717" s="1437">
        <f t="shared" si="242"/>
        <v>0</v>
      </c>
      <c r="I1717" s="1437">
        <v>0</v>
      </c>
      <c r="J1717" s="1437">
        <v>0</v>
      </c>
      <c r="K1717" s="1438"/>
      <c r="L1717" s="1438"/>
      <c r="M1717" s="1437">
        <f t="shared" si="239"/>
        <v>0</v>
      </c>
      <c r="N1717" s="1437">
        <f t="shared" si="243"/>
        <v>0</v>
      </c>
    </row>
    <row r="1718" spans="1:14" ht="29" outlineLevel="1">
      <c r="A1718" s="1491">
        <f t="shared" si="237"/>
        <v>3.1</v>
      </c>
      <c r="B1718" s="1530" t="str">
        <f t="shared" si="237"/>
        <v xml:space="preserve"> Procurement &amp; Replacement of Two complete set of APH Baskets at 250 MW Unit-8, Parli TPS.</v>
      </c>
      <c r="C1718" s="1491" t="str">
        <f t="shared" si="237"/>
        <v>Yet to be approved</v>
      </c>
      <c r="D1718" s="1531" t="str">
        <f t="shared" si="237"/>
        <v>-</v>
      </c>
      <c r="E1718" s="1318">
        <f t="shared" si="237"/>
        <v>0</v>
      </c>
      <c r="F1718" s="1437">
        <f t="shared" si="240"/>
        <v>0</v>
      </c>
      <c r="G1718" s="1437">
        <f t="shared" si="241"/>
        <v>0</v>
      </c>
      <c r="H1718" s="1437">
        <f t="shared" si="242"/>
        <v>0</v>
      </c>
      <c r="I1718" s="1437">
        <v>0</v>
      </c>
      <c r="J1718" s="1437">
        <v>0</v>
      </c>
      <c r="K1718" s="1438"/>
      <c r="L1718" s="1438"/>
      <c r="M1718" s="1437">
        <f t="shared" si="239"/>
        <v>0</v>
      </c>
      <c r="N1718" s="1437">
        <f t="shared" si="243"/>
        <v>0</v>
      </c>
    </row>
    <row r="1719" spans="1:14" ht="29" outlineLevel="1">
      <c r="A1719" s="1491">
        <f t="shared" si="237"/>
        <v>3.2</v>
      </c>
      <c r="B1719" s="1530" t="str">
        <f t="shared" si="237"/>
        <v>Procurement &amp; replacement of PA &amp; FD fan rotar hub assembly at Unit-8 TPS Parli-V</v>
      </c>
      <c r="C1719" s="1491" t="str">
        <f t="shared" si="237"/>
        <v>Yet to be approved</v>
      </c>
      <c r="D1719" s="1531" t="str">
        <f t="shared" si="237"/>
        <v>-</v>
      </c>
      <c r="E1719" s="1318">
        <f t="shared" si="237"/>
        <v>0</v>
      </c>
      <c r="F1719" s="1437">
        <f t="shared" si="240"/>
        <v>0</v>
      </c>
      <c r="G1719" s="1437">
        <f t="shared" si="241"/>
        <v>0</v>
      </c>
      <c r="H1719" s="1437">
        <f t="shared" si="242"/>
        <v>0</v>
      </c>
      <c r="I1719" s="1437">
        <v>0</v>
      </c>
      <c r="J1719" s="1437">
        <v>0</v>
      </c>
      <c r="K1719" s="1438"/>
      <c r="L1719" s="1438"/>
      <c r="M1719" s="1437">
        <f t="shared" si="239"/>
        <v>0</v>
      </c>
      <c r="N1719" s="1437">
        <f t="shared" si="243"/>
        <v>0</v>
      </c>
    </row>
    <row r="1720" spans="1:14" ht="31" outlineLevel="1">
      <c r="A1720" s="1533">
        <f t="shared" si="237"/>
        <v>4</v>
      </c>
      <c r="B1720" s="1534" t="str">
        <f t="shared" si="237"/>
        <v xml:space="preserve">DPR on Refurbishment of TG Governing system at Unit-8, PTPS, Parli V. </v>
      </c>
      <c r="C1720" s="1491" t="str">
        <f t="shared" si="237"/>
        <v>Yet to be approved</v>
      </c>
      <c r="D1720" s="1531" t="str">
        <f t="shared" si="237"/>
        <v>-</v>
      </c>
      <c r="E1720" s="1318">
        <f t="shared" si="237"/>
        <v>0</v>
      </c>
      <c r="F1720" s="1437">
        <f t="shared" si="240"/>
        <v>0</v>
      </c>
      <c r="G1720" s="1437">
        <f t="shared" si="241"/>
        <v>0</v>
      </c>
      <c r="H1720" s="1437">
        <f t="shared" si="242"/>
        <v>0</v>
      </c>
      <c r="I1720" s="1437">
        <v>0</v>
      </c>
      <c r="J1720" s="1437">
        <v>0</v>
      </c>
      <c r="K1720" s="1438"/>
      <c r="L1720" s="1438"/>
      <c r="M1720" s="1437">
        <f t="shared" si="239"/>
        <v>0</v>
      </c>
      <c r="N1720" s="1437">
        <f t="shared" si="243"/>
        <v>0</v>
      </c>
    </row>
    <row r="1721" spans="1:14" outlineLevel="1">
      <c r="A1721" s="1491">
        <f t="shared" si="237"/>
        <v>4.0999999999999996</v>
      </c>
      <c r="B1721" s="1530" t="str">
        <f t="shared" si="237"/>
        <v xml:space="preserve">Refurbishment of TG Governing system at Unit-8, PTPS, Parli V. </v>
      </c>
      <c r="C1721" s="1491" t="str">
        <f t="shared" si="237"/>
        <v>Yet to be approved</v>
      </c>
      <c r="D1721" s="1531" t="str">
        <f t="shared" si="237"/>
        <v>-</v>
      </c>
      <c r="E1721" s="1318">
        <f t="shared" si="237"/>
        <v>0</v>
      </c>
      <c r="F1721" s="1437">
        <f t="shared" si="240"/>
        <v>25</v>
      </c>
      <c r="G1721" s="1437">
        <f t="shared" si="241"/>
        <v>25</v>
      </c>
      <c r="H1721" s="1437">
        <f t="shared" si="242"/>
        <v>0</v>
      </c>
      <c r="I1721" s="1437">
        <v>0</v>
      </c>
      <c r="J1721" s="1437">
        <v>0</v>
      </c>
      <c r="K1721" s="1438"/>
      <c r="L1721" s="1438"/>
      <c r="M1721" s="1437">
        <f t="shared" si="239"/>
        <v>0</v>
      </c>
      <c r="N1721" s="1437">
        <f t="shared" si="243"/>
        <v>0</v>
      </c>
    </row>
    <row r="1722" spans="1:14" ht="31" outlineLevel="1">
      <c r="A1722" s="1533">
        <f t="shared" si="237"/>
        <v>5</v>
      </c>
      <c r="B1722" s="1534" t="str">
        <f t="shared" si="237"/>
        <v>DPR on Performance improvement of Natural Draft Cooling Tower (NDCT) at Unit-8, PTPS, Parli V.</v>
      </c>
      <c r="C1722" s="1491" t="str">
        <f t="shared" si="237"/>
        <v>Yet to be approved</v>
      </c>
      <c r="D1722" s="1531" t="str">
        <f t="shared" si="237"/>
        <v>-</v>
      </c>
      <c r="E1722" s="1318">
        <f t="shared" si="237"/>
        <v>0</v>
      </c>
      <c r="F1722" s="1437">
        <f t="shared" si="240"/>
        <v>0</v>
      </c>
      <c r="G1722" s="1437">
        <f t="shared" si="241"/>
        <v>0</v>
      </c>
      <c r="H1722" s="1437">
        <f t="shared" si="242"/>
        <v>0</v>
      </c>
      <c r="I1722" s="1437">
        <v>0</v>
      </c>
      <c r="J1722" s="1437">
        <v>0</v>
      </c>
      <c r="K1722" s="1438"/>
      <c r="L1722" s="1438"/>
      <c r="M1722" s="1437">
        <f t="shared" si="239"/>
        <v>0</v>
      </c>
      <c r="N1722" s="1437">
        <f t="shared" si="243"/>
        <v>0</v>
      </c>
    </row>
    <row r="1723" spans="1:14" ht="58" outlineLevel="1">
      <c r="A1723" s="1491">
        <f t="shared" si="237"/>
        <v>5.0999999999999996</v>
      </c>
      <c r="B1723" s="1530" t="str">
        <f t="shared" si="237"/>
        <v>Performance improvement of Natural Draft Cooling Tower (NDCT) by replacement of PVC fills, AC cement pipes, strengthening of Hot water distribution system, replacement of beams, columns, support structures, etc. at Unit-8, PTPS, Parli V.</v>
      </c>
      <c r="C1723" s="1491" t="str">
        <f t="shared" si="237"/>
        <v>Yet to be approved</v>
      </c>
      <c r="D1723" s="1531" t="str">
        <f t="shared" si="237"/>
        <v>-</v>
      </c>
      <c r="E1723" s="1318">
        <f t="shared" si="237"/>
        <v>0</v>
      </c>
      <c r="F1723" s="1437">
        <f t="shared" si="240"/>
        <v>25</v>
      </c>
      <c r="G1723" s="1437">
        <f t="shared" si="241"/>
        <v>25</v>
      </c>
      <c r="H1723" s="1437">
        <f t="shared" si="242"/>
        <v>0</v>
      </c>
      <c r="I1723" s="1437">
        <v>0</v>
      </c>
      <c r="J1723" s="1437">
        <v>0</v>
      </c>
      <c r="K1723" s="1438"/>
      <c r="L1723" s="1438"/>
      <c r="M1723" s="1437">
        <f t="shared" si="239"/>
        <v>0</v>
      </c>
      <c r="N1723" s="1437">
        <f t="shared" si="243"/>
        <v>0</v>
      </c>
    </row>
    <row r="1724" spans="1:14" ht="31" outlineLevel="1">
      <c r="A1724" s="1533">
        <f t="shared" ref="A1724:E1739" si="244">A1331</f>
        <v>6</v>
      </c>
      <c r="B1724" s="1534" t="str">
        <f t="shared" si="244"/>
        <v xml:space="preserve">DPR on Procurement of  ACW &amp; CW pump along with mandatory spares at Unit-8, PTPS, Parli V. </v>
      </c>
      <c r="C1724" s="1491" t="str">
        <f t="shared" si="244"/>
        <v>Yet to be approved</v>
      </c>
      <c r="D1724" s="1531" t="str">
        <f t="shared" si="244"/>
        <v>-</v>
      </c>
      <c r="E1724" s="1318">
        <f t="shared" si="244"/>
        <v>0</v>
      </c>
      <c r="F1724" s="1437">
        <f t="shared" si="240"/>
        <v>0</v>
      </c>
      <c r="G1724" s="1437">
        <f t="shared" si="241"/>
        <v>0</v>
      </c>
      <c r="H1724" s="1437">
        <f t="shared" si="242"/>
        <v>0</v>
      </c>
      <c r="I1724" s="1437">
        <v>0</v>
      </c>
      <c r="J1724" s="1437">
        <v>0</v>
      </c>
      <c r="K1724" s="1438"/>
      <c r="L1724" s="1438"/>
      <c r="M1724" s="1437">
        <f t="shared" si="239"/>
        <v>0</v>
      </c>
      <c r="N1724" s="1437">
        <f t="shared" si="243"/>
        <v>0</v>
      </c>
    </row>
    <row r="1725" spans="1:14" ht="29" outlineLevel="1">
      <c r="A1725" s="1491">
        <f t="shared" si="244"/>
        <v>6.1</v>
      </c>
      <c r="B1725" s="1530" t="str">
        <f t="shared" si="244"/>
        <v xml:space="preserve">DPR on Procurement of  ACW &amp; CW pump along with mandatory spares at Unit-8, PTPS, Parli V. </v>
      </c>
      <c r="C1725" s="1491" t="str">
        <f t="shared" si="244"/>
        <v>Yet to be approved</v>
      </c>
      <c r="D1725" s="1531" t="str">
        <f t="shared" si="244"/>
        <v>-</v>
      </c>
      <c r="E1725" s="1318">
        <f t="shared" si="244"/>
        <v>0</v>
      </c>
      <c r="F1725" s="1437">
        <f t="shared" si="240"/>
        <v>35</v>
      </c>
      <c r="G1725" s="1437">
        <f t="shared" si="241"/>
        <v>35</v>
      </c>
      <c r="H1725" s="1437">
        <f t="shared" si="242"/>
        <v>0</v>
      </c>
      <c r="I1725" s="1437">
        <v>0</v>
      </c>
      <c r="J1725" s="1437">
        <v>0</v>
      </c>
      <c r="K1725" s="1438"/>
      <c r="L1725" s="1438"/>
      <c r="M1725" s="1437">
        <f t="shared" si="239"/>
        <v>0</v>
      </c>
      <c r="N1725" s="1437">
        <f t="shared" si="243"/>
        <v>0</v>
      </c>
    </row>
    <row r="1726" spans="1:14" ht="62" outlineLevel="1">
      <c r="A1726" s="1533">
        <f t="shared" si="244"/>
        <v>7</v>
      </c>
      <c r="B1726" s="1534" t="str">
        <f t="shared" si="244"/>
        <v xml:space="preserve">DPR on Procurement of  CEP pump and BFP Booster pump along with mandatory spares at Unit-8, PTPS, Parli V and Procurement of Energy Efficient Cartridges of Boiler Feed Pump at Unit-8, PTPS, Parli V. </v>
      </c>
      <c r="C1726" s="1491" t="str">
        <f t="shared" si="244"/>
        <v>Yet to be approved</v>
      </c>
      <c r="D1726" s="1531" t="str">
        <f t="shared" si="244"/>
        <v>-</v>
      </c>
      <c r="E1726" s="1318">
        <f t="shared" si="244"/>
        <v>0</v>
      </c>
      <c r="F1726" s="1437">
        <f t="shared" si="240"/>
        <v>0</v>
      </c>
      <c r="G1726" s="1437">
        <f t="shared" si="241"/>
        <v>0</v>
      </c>
      <c r="H1726" s="1437">
        <f t="shared" si="242"/>
        <v>0</v>
      </c>
      <c r="I1726" s="1437">
        <v>0</v>
      </c>
      <c r="J1726" s="1437">
        <v>0</v>
      </c>
      <c r="K1726" s="1438"/>
      <c r="L1726" s="1438"/>
      <c r="M1726" s="1437">
        <f t="shared" si="239"/>
        <v>0</v>
      </c>
      <c r="N1726" s="1437">
        <f t="shared" si="243"/>
        <v>0</v>
      </c>
    </row>
    <row r="1727" spans="1:14" ht="29" outlineLevel="1">
      <c r="A1727" s="1491">
        <f t="shared" si="244"/>
        <v>7.1</v>
      </c>
      <c r="B1727" s="1530" t="str">
        <f t="shared" si="244"/>
        <v xml:space="preserve">Procurement of  CEP pump and BFP Booster pump along with mandatory spares at Unit-8, PTPS, Parli </v>
      </c>
      <c r="C1727" s="1491" t="str">
        <f t="shared" si="244"/>
        <v>Yet to be approved</v>
      </c>
      <c r="D1727" s="1531" t="str">
        <f t="shared" si="244"/>
        <v>-</v>
      </c>
      <c r="E1727" s="1318">
        <f t="shared" si="244"/>
        <v>0</v>
      </c>
      <c r="F1727" s="1437">
        <f t="shared" si="240"/>
        <v>30</v>
      </c>
      <c r="G1727" s="1437">
        <f t="shared" si="241"/>
        <v>30</v>
      </c>
      <c r="H1727" s="1437">
        <f t="shared" si="242"/>
        <v>0</v>
      </c>
      <c r="I1727" s="1437">
        <v>0</v>
      </c>
      <c r="J1727" s="1437">
        <v>0</v>
      </c>
      <c r="K1727" s="1438"/>
      <c r="L1727" s="1438"/>
      <c r="M1727" s="1437">
        <f t="shared" si="239"/>
        <v>0</v>
      </c>
      <c r="N1727" s="1437">
        <f t="shared" si="243"/>
        <v>0</v>
      </c>
    </row>
    <row r="1728" spans="1:14" ht="29" outlineLevel="1">
      <c r="A1728" s="1491">
        <f t="shared" si="244"/>
        <v>7.2</v>
      </c>
      <c r="B1728" s="1530" t="str">
        <f t="shared" si="244"/>
        <v xml:space="preserve">Procurement of Energy Efficient Cartridges of Boiler Feed Pump at Unit-8, PTPS, Parli V. </v>
      </c>
      <c r="C1728" s="1491" t="str">
        <f t="shared" si="244"/>
        <v>Yet to be approved</v>
      </c>
      <c r="D1728" s="1531" t="str">
        <f t="shared" si="244"/>
        <v>-</v>
      </c>
      <c r="E1728" s="1318">
        <f t="shared" si="244"/>
        <v>0</v>
      </c>
      <c r="F1728" s="1437">
        <f t="shared" si="240"/>
        <v>10</v>
      </c>
      <c r="G1728" s="1437">
        <f t="shared" si="241"/>
        <v>10</v>
      </c>
      <c r="H1728" s="1437">
        <f t="shared" si="242"/>
        <v>0</v>
      </c>
      <c r="I1728" s="1437">
        <v>0</v>
      </c>
      <c r="J1728" s="1437">
        <v>0</v>
      </c>
      <c r="K1728" s="1438"/>
      <c r="L1728" s="1438"/>
      <c r="M1728" s="1437">
        <f t="shared" si="239"/>
        <v>0</v>
      </c>
      <c r="N1728" s="1437">
        <f t="shared" si="243"/>
        <v>0</v>
      </c>
    </row>
    <row r="1729" spans="1:14" ht="31" outlineLevel="1">
      <c r="A1729" s="1533">
        <f t="shared" si="244"/>
        <v>8</v>
      </c>
      <c r="B1729" s="1534" t="str">
        <f t="shared" si="244"/>
        <v>DPR on Procurement of turbine blades of HP, IP &amp; LP rotor in Unit-8, PTPS, Parli V.</v>
      </c>
      <c r="C1729" s="1491" t="str">
        <f t="shared" si="244"/>
        <v>Yet to be approved</v>
      </c>
      <c r="D1729" s="1531" t="str">
        <f t="shared" si="244"/>
        <v>-</v>
      </c>
      <c r="E1729" s="1318">
        <f t="shared" si="244"/>
        <v>0</v>
      </c>
      <c r="F1729" s="1437">
        <f t="shared" si="240"/>
        <v>0</v>
      </c>
      <c r="G1729" s="1437">
        <f t="shared" si="241"/>
        <v>0</v>
      </c>
      <c r="H1729" s="1437">
        <f t="shared" si="242"/>
        <v>0</v>
      </c>
      <c r="I1729" s="1437">
        <v>0</v>
      </c>
      <c r="J1729" s="1437">
        <v>0</v>
      </c>
      <c r="K1729" s="1438"/>
      <c r="L1729" s="1438"/>
      <c r="M1729" s="1437">
        <f t="shared" si="239"/>
        <v>0</v>
      </c>
      <c r="N1729" s="1437">
        <f t="shared" si="243"/>
        <v>0</v>
      </c>
    </row>
    <row r="1730" spans="1:14" ht="29" outlineLevel="1">
      <c r="A1730" s="1491">
        <f t="shared" si="244"/>
        <v>8.1</v>
      </c>
      <c r="B1730" s="1530" t="str">
        <f t="shared" si="244"/>
        <v>DPR on Procurement of turbine blades of HP, IP &amp; LP rotor in Unit-8, PTPS, Parli V.</v>
      </c>
      <c r="C1730" s="1491" t="str">
        <f t="shared" si="244"/>
        <v>Yet to be approved</v>
      </c>
      <c r="D1730" s="1531" t="str">
        <f t="shared" si="244"/>
        <v>-</v>
      </c>
      <c r="E1730" s="1318">
        <f t="shared" si="244"/>
        <v>0</v>
      </c>
      <c r="F1730" s="1437">
        <f t="shared" si="240"/>
        <v>0</v>
      </c>
      <c r="G1730" s="1437">
        <f t="shared" si="241"/>
        <v>0</v>
      </c>
      <c r="H1730" s="1437">
        <f t="shared" si="242"/>
        <v>0</v>
      </c>
      <c r="I1730" s="1437">
        <v>35</v>
      </c>
      <c r="J1730" s="1437">
        <v>35</v>
      </c>
      <c r="K1730" s="1438"/>
      <c r="L1730" s="1438"/>
      <c r="M1730" s="1437">
        <f t="shared" si="239"/>
        <v>35</v>
      </c>
      <c r="N1730" s="1437">
        <f t="shared" si="243"/>
        <v>0</v>
      </c>
    </row>
    <row r="1731" spans="1:14" ht="46.5" outlineLevel="1">
      <c r="A1731" s="1533">
        <f t="shared" si="244"/>
        <v>9</v>
      </c>
      <c r="B1731" s="1534" t="str">
        <f t="shared" si="244"/>
        <v xml:space="preserve">DPR on Repair &amp; Reconditioning of Water treatment plant at Unit-8, PTPS, Parli V and Performance improvement of centralised AC plant at Unit-8, PTPS, Parli V. </v>
      </c>
      <c r="C1731" s="1491" t="str">
        <f t="shared" si="244"/>
        <v>Yet to be approved</v>
      </c>
      <c r="D1731" s="1531" t="str">
        <f t="shared" si="244"/>
        <v>-</v>
      </c>
      <c r="E1731" s="1318">
        <f t="shared" si="244"/>
        <v>0</v>
      </c>
      <c r="F1731" s="1437">
        <f t="shared" si="240"/>
        <v>0</v>
      </c>
      <c r="G1731" s="1437">
        <f t="shared" si="241"/>
        <v>0</v>
      </c>
      <c r="H1731" s="1437">
        <f t="shared" si="242"/>
        <v>0</v>
      </c>
      <c r="I1731" s="1437">
        <v>0</v>
      </c>
      <c r="J1731" s="1437">
        <v>0</v>
      </c>
      <c r="K1731" s="1438"/>
      <c r="L1731" s="1438"/>
      <c r="M1731" s="1437">
        <f t="shared" si="239"/>
        <v>0</v>
      </c>
      <c r="N1731" s="1437">
        <f t="shared" si="243"/>
        <v>0</v>
      </c>
    </row>
    <row r="1732" spans="1:14" ht="29" outlineLevel="1">
      <c r="A1732" s="1491">
        <f t="shared" si="244"/>
        <v>9.1</v>
      </c>
      <c r="B1732" s="1530" t="str">
        <f t="shared" si="244"/>
        <v>Reconditioning of Acid and Alkali Unloading and storage system at Unit-8, PTPS, Parli V.</v>
      </c>
      <c r="C1732" s="1491" t="str">
        <f t="shared" si="244"/>
        <v>Yet to be approved</v>
      </c>
      <c r="D1732" s="1531" t="str">
        <f t="shared" si="244"/>
        <v>-</v>
      </c>
      <c r="E1732" s="1318">
        <f t="shared" si="244"/>
        <v>0</v>
      </c>
      <c r="F1732" s="1437">
        <f t="shared" si="240"/>
        <v>0</v>
      </c>
      <c r="G1732" s="1437">
        <f t="shared" si="241"/>
        <v>0</v>
      </c>
      <c r="H1732" s="1437">
        <f t="shared" si="242"/>
        <v>0</v>
      </c>
      <c r="I1732" s="1437">
        <v>10</v>
      </c>
      <c r="J1732" s="1437">
        <v>10</v>
      </c>
      <c r="K1732" s="1438"/>
      <c r="L1732" s="1438"/>
      <c r="M1732" s="1437">
        <f t="shared" si="239"/>
        <v>10</v>
      </c>
      <c r="N1732" s="1437">
        <f t="shared" si="243"/>
        <v>0</v>
      </c>
    </row>
    <row r="1733" spans="1:14" ht="29" outlineLevel="1">
      <c r="A1733" s="1491">
        <f t="shared" si="244"/>
        <v>9.1999999999999993</v>
      </c>
      <c r="B1733" s="1530" t="str">
        <f t="shared" si="244"/>
        <v>Reconditioning &amp; repairing of WTP DM Plant regeneration system at Unit-8, PTPS, Parli V.</v>
      </c>
      <c r="C1733" s="1491" t="str">
        <f t="shared" si="244"/>
        <v>Yet to be approved</v>
      </c>
      <c r="D1733" s="1531" t="str">
        <f t="shared" si="244"/>
        <v>-</v>
      </c>
      <c r="E1733" s="1318">
        <f t="shared" si="244"/>
        <v>0</v>
      </c>
      <c r="F1733" s="1437">
        <f t="shared" si="240"/>
        <v>0</v>
      </c>
      <c r="G1733" s="1437">
        <f t="shared" si="241"/>
        <v>0</v>
      </c>
      <c r="H1733" s="1437">
        <f t="shared" si="242"/>
        <v>0</v>
      </c>
      <c r="I1733" s="1437">
        <v>20</v>
      </c>
      <c r="J1733" s="1437">
        <v>20</v>
      </c>
      <c r="K1733" s="1438"/>
      <c r="L1733" s="1438"/>
      <c r="M1733" s="1437">
        <f t="shared" si="239"/>
        <v>20</v>
      </c>
      <c r="N1733" s="1437">
        <f t="shared" si="243"/>
        <v>0</v>
      </c>
    </row>
    <row r="1734" spans="1:14" ht="43.5" outlineLevel="1">
      <c r="A1734" s="1491">
        <f t="shared" si="244"/>
        <v>9.3000000000000007</v>
      </c>
      <c r="B1734" s="1530" t="str">
        <f t="shared" si="244"/>
        <v xml:space="preserve"> Performance improvement of centralised AC plant by reconditioning of cooling tower, various pumps, heat exchangers, etc. at Unit-8, PTPS, Parli V. </v>
      </c>
      <c r="C1734" s="1491" t="str">
        <f t="shared" si="244"/>
        <v>Yet to be approved</v>
      </c>
      <c r="D1734" s="1531" t="str">
        <f t="shared" si="244"/>
        <v>-</v>
      </c>
      <c r="E1734" s="1318">
        <f t="shared" si="244"/>
        <v>0</v>
      </c>
      <c r="F1734" s="1437">
        <f t="shared" si="240"/>
        <v>0</v>
      </c>
      <c r="G1734" s="1437">
        <f t="shared" si="241"/>
        <v>0</v>
      </c>
      <c r="H1734" s="1437">
        <f t="shared" si="242"/>
        <v>0</v>
      </c>
      <c r="I1734" s="1437">
        <v>10</v>
      </c>
      <c r="J1734" s="1437">
        <v>10</v>
      </c>
      <c r="K1734" s="1438"/>
      <c r="L1734" s="1438"/>
      <c r="M1734" s="1437">
        <f t="shared" si="239"/>
        <v>10</v>
      </c>
      <c r="N1734" s="1437">
        <f t="shared" si="243"/>
        <v>0</v>
      </c>
    </row>
    <row r="1735" spans="1:14" ht="46.5" outlineLevel="1">
      <c r="A1735" s="1533">
        <f t="shared" si="244"/>
        <v>10</v>
      </c>
      <c r="B1735" s="1534" t="str">
        <f t="shared" si="244"/>
        <v>DPR on Procurement of Control Fluid (HPCF) pump, Lube Oil pump, Emergency Oil pump, Jacking Oil pump, Seal oil pump at Unit-8, PTPS, Parli V.</v>
      </c>
      <c r="C1735" s="1491" t="str">
        <f t="shared" si="244"/>
        <v>Yet to be approved</v>
      </c>
      <c r="D1735" s="1531" t="str">
        <f t="shared" si="244"/>
        <v>-</v>
      </c>
      <c r="E1735" s="1318">
        <f t="shared" si="244"/>
        <v>0</v>
      </c>
      <c r="F1735" s="1437">
        <f t="shared" si="240"/>
        <v>0</v>
      </c>
      <c r="G1735" s="1437">
        <f t="shared" si="241"/>
        <v>0</v>
      </c>
      <c r="H1735" s="1437">
        <f t="shared" si="242"/>
        <v>0</v>
      </c>
      <c r="I1735" s="1437">
        <v>0</v>
      </c>
      <c r="J1735" s="1437">
        <v>0</v>
      </c>
      <c r="K1735" s="1438"/>
      <c r="L1735" s="1438"/>
      <c r="M1735" s="1437">
        <f t="shared" si="239"/>
        <v>0</v>
      </c>
      <c r="N1735" s="1437">
        <f t="shared" si="243"/>
        <v>0</v>
      </c>
    </row>
    <row r="1736" spans="1:14" ht="43.5" outlineLevel="1">
      <c r="A1736" s="1491">
        <f t="shared" si="244"/>
        <v>10.1</v>
      </c>
      <c r="B1736" s="1530" t="str">
        <f t="shared" si="244"/>
        <v>DPR on Procurement of Control Fluid (HPCF) pump, Lube Oil pump, Emergency Oil pump, Jacking Oil pump, Seal oil pump at Unit-8, PTPS, Parli V.</v>
      </c>
      <c r="C1736" s="1491" t="str">
        <f t="shared" si="244"/>
        <v>Yet to be approved</v>
      </c>
      <c r="D1736" s="1531" t="str">
        <f t="shared" si="244"/>
        <v>-</v>
      </c>
      <c r="E1736" s="1318">
        <f t="shared" si="244"/>
        <v>0</v>
      </c>
      <c r="F1736" s="1437">
        <f t="shared" si="240"/>
        <v>0</v>
      </c>
      <c r="G1736" s="1437">
        <f t="shared" si="241"/>
        <v>0</v>
      </c>
      <c r="H1736" s="1437">
        <f t="shared" si="242"/>
        <v>0</v>
      </c>
      <c r="I1736" s="1437">
        <v>25</v>
      </c>
      <c r="J1736" s="1437">
        <v>25</v>
      </c>
      <c r="K1736" s="1438"/>
      <c r="L1736" s="1438"/>
      <c r="M1736" s="1437">
        <f t="shared" si="239"/>
        <v>25</v>
      </c>
      <c r="N1736" s="1437">
        <f t="shared" si="243"/>
        <v>0</v>
      </c>
    </row>
    <row r="1737" spans="1:14" ht="31" outlineLevel="1">
      <c r="A1737" s="1533">
        <f t="shared" si="244"/>
        <v>11</v>
      </c>
      <c r="B1737" s="1534" t="str">
        <f t="shared" si="244"/>
        <v xml:space="preserve">DPR on Procurement of H2 cooler, BFP coolers, generator exciter cooler, Seal and Lube oil coolers at Unit-8, PTPS, Parli V. </v>
      </c>
      <c r="C1737" s="1491" t="str">
        <f t="shared" si="244"/>
        <v>Yet to be approved</v>
      </c>
      <c r="D1737" s="1531" t="str">
        <f t="shared" si="244"/>
        <v>-</v>
      </c>
      <c r="E1737" s="1318">
        <f t="shared" si="244"/>
        <v>0</v>
      </c>
      <c r="F1737" s="1437">
        <f t="shared" si="240"/>
        <v>0</v>
      </c>
      <c r="G1737" s="1437">
        <f t="shared" si="241"/>
        <v>0</v>
      </c>
      <c r="H1737" s="1437">
        <f t="shared" si="242"/>
        <v>0</v>
      </c>
      <c r="I1737" s="1437">
        <v>0</v>
      </c>
      <c r="J1737" s="1437">
        <v>0</v>
      </c>
      <c r="K1737" s="1438"/>
      <c r="L1737" s="1438"/>
      <c r="M1737" s="1437">
        <f t="shared" si="239"/>
        <v>0</v>
      </c>
      <c r="N1737" s="1437">
        <f t="shared" si="243"/>
        <v>0</v>
      </c>
    </row>
    <row r="1738" spans="1:14" ht="29" outlineLevel="1">
      <c r="A1738" s="1491">
        <f t="shared" si="244"/>
        <v>11.1</v>
      </c>
      <c r="B1738" s="1530" t="str">
        <f t="shared" si="244"/>
        <v xml:space="preserve">DPR on Procurement of H2 cooler, BFP coolers, generator exciter cooler, Seal and Lube oil coolers at Unit-8, PTPS, Parli V. </v>
      </c>
      <c r="C1738" s="1491" t="str">
        <f t="shared" si="244"/>
        <v>Yet to be approved</v>
      </c>
      <c r="D1738" s="1531" t="str">
        <f t="shared" si="244"/>
        <v>-</v>
      </c>
      <c r="E1738" s="1318">
        <f t="shared" si="244"/>
        <v>0</v>
      </c>
      <c r="F1738" s="1437">
        <f t="shared" si="240"/>
        <v>0</v>
      </c>
      <c r="G1738" s="1437">
        <f t="shared" si="241"/>
        <v>0</v>
      </c>
      <c r="H1738" s="1437">
        <f t="shared" si="242"/>
        <v>0</v>
      </c>
      <c r="I1738" s="1437">
        <v>0</v>
      </c>
      <c r="J1738" s="1437">
        <v>0</v>
      </c>
      <c r="K1738" s="1438"/>
      <c r="L1738" s="1438"/>
      <c r="M1738" s="1437">
        <f t="shared" si="239"/>
        <v>0</v>
      </c>
      <c r="N1738" s="1437">
        <f t="shared" si="243"/>
        <v>0</v>
      </c>
    </row>
    <row r="1739" spans="1:14" ht="62" outlineLevel="1">
      <c r="A1739" s="1533">
        <f t="shared" si="244"/>
        <v>12</v>
      </c>
      <c r="B1739" s="1534" t="str">
        <f t="shared" si="244"/>
        <v>Supply, installation &amp; commissioning of 220V 2140AH,24V 830AH &amp; 710AH, 360V 570AH Mains UPS,110V 110AH AHP PLC , 110V , 103 AH DM plant battery set for unit 8 , NPTPS Parli-V &amp; Procurement of HT motors at U#8</v>
      </c>
      <c r="C1739" s="1491" t="str">
        <f t="shared" si="244"/>
        <v>Yet to be approved</v>
      </c>
      <c r="D1739" s="1531" t="str">
        <f t="shared" si="244"/>
        <v>-</v>
      </c>
      <c r="E1739" s="1318">
        <f t="shared" si="244"/>
        <v>0</v>
      </c>
      <c r="F1739" s="1437">
        <f t="shared" si="240"/>
        <v>0</v>
      </c>
      <c r="G1739" s="1437">
        <f t="shared" si="241"/>
        <v>0</v>
      </c>
      <c r="H1739" s="1437">
        <f t="shared" si="242"/>
        <v>0</v>
      </c>
      <c r="I1739" s="1437">
        <v>0</v>
      </c>
      <c r="J1739" s="1437">
        <v>0</v>
      </c>
      <c r="K1739" s="1438"/>
      <c r="L1739" s="1438"/>
      <c r="M1739" s="1437">
        <f t="shared" si="239"/>
        <v>0</v>
      </c>
      <c r="N1739" s="1437">
        <f t="shared" si="243"/>
        <v>0</v>
      </c>
    </row>
    <row r="1740" spans="1:14" ht="43.5" outlineLevel="1">
      <c r="A1740" s="1491">
        <f t="shared" ref="A1740:E1755" si="245">A1347</f>
        <v>12.1</v>
      </c>
      <c r="B1740" s="1530" t="str">
        <f t="shared" si="245"/>
        <v>Supply, installation &amp; commissioning of 220V 2140AH,24V 830AH &amp; 710AH, 360V 570AH Mains UPS,110V 110AH AHP PLC , 110V , 103 AH DM plant battery set for unit 8 , NPTPS Parli-V</v>
      </c>
      <c r="C1740" s="1491" t="str">
        <f t="shared" si="245"/>
        <v>Yet to be approved</v>
      </c>
      <c r="D1740" s="1531" t="str">
        <f t="shared" si="245"/>
        <v>-</v>
      </c>
      <c r="E1740" s="1318">
        <f t="shared" si="245"/>
        <v>0</v>
      </c>
      <c r="F1740" s="1437">
        <f t="shared" si="240"/>
        <v>0</v>
      </c>
      <c r="G1740" s="1437">
        <f t="shared" si="241"/>
        <v>0</v>
      </c>
      <c r="H1740" s="1437">
        <f t="shared" si="242"/>
        <v>0</v>
      </c>
      <c r="I1740" s="1437">
        <v>0</v>
      </c>
      <c r="J1740" s="1437">
        <v>0</v>
      </c>
      <c r="K1740" s="1438"/>
      <c r="L1740" s="1438"/>
      <c r="M1740" s="1437">
        <f t="shared" si="239"/>
        <v>0</v>
      </c>
      <c r="N1740" s="1437">
        <f t="shared" si="243"/>
        <v>0</v>
      </c>
    </row>
    <row r="1741" spans="1:14" outlineLevel="1">
      <c r="A1741" s="1491">
        <f t="shared" si="245"/>
        <v>12.2</v>
      </c>
      <c r="B1741" s="1530" t="str">
        <f t="shared" si="245"/>
        <v>Procurement of HT motors at U#8</v>
      </c>
      <c r="C1741" s="1491" t="str">
        <f t="shared" si="245"/>
        <v>Yet to be approved</v>
      </c>
      <c r="D1741" s="1531" t="str">
        <f t="shared" si="245"/>
        <v>-</v>
      </c>
      <c r="E1741" s="1318">
        <f t="shared" si="245"/>
        <v>0</v>
      </c>
      <c r="F1741" s="1437">
        <f t="shared" si="240"/>
        <v>10</v>
      </c>
      <c r="G1741" s="1437">
        <f t="shared" si="241"/>
        <v>10</v>
      </c>
      <c r="H1741" s="1437">
        <f t="shared" si="242"/>
        <v>0</v>
      </c>
      <c r="I1741" s="1437">
        <v>0</v>
      </c>
      <c r="J1741" s="1437">
        <v>0</v>
      </c>
      <c r="K1741" s="1438"/>
      <c r="L1741" s="1438"/>
      <c r="M1741" s="1437">
        <f t="shared" si="239"/>
        <v>0</v>
      </c>
      <c r="N1741" s="1437">
        <f t="shared" si="243"/>
        <v>0</v>
      </c>
    </row>
    <row r="1742" spans="1:14" ht="15.5" outlineLevel="1">
      <c r="A1742" s="1533">
        <f t="shared" si="245"/>
        <v>13</v>
      </c>
      <c r="B1742" s="1534" t="str">
        <f t="shared" si="245"/>
        <v>DPR on various instrumentation &amp; control schemes at U#8</v>
      </c>
      <c r="C1742" s="1491" t="str">
        <f t="shared" si="245"/>
        <v>Yet to be approved</v>
      </c>
      <c r="D1742" s="1531" t="str">
        <f t="shared" si="245"/>
        <v>-</v>
      </c>
      <c r="E1742" s="1318">
        <f t="shared" si="245"/>
        <v>0</v>
      </c>
      <c r="F1742" s="1437">
        <f t="shared" si="240"/>
        <v>0</v>
      </c>
      <c r="G1742" s="1437">
        <f t="shared" si="241"/>
        <v>0</v>
      </c>
      <c r="H1742" s="1437">
        <f t="shared" si="242"/>
        <v>0</v>
      </c>
      <c r="I1742" s="1437">
        <v>0</v>
      </c>
      <c r="J1742" s="1437">
        <v>0</v>
      </c>
      <c r="K1742" s="1438"/>
      <c r="L1742" s="1438"/>
      <c r="M1742" s="1437">
        <f t="shared" si="239"/>
        <v>0</v>
      </c>
      <c r="N1742" s="1437">
        <f t="shared" si="243"/>
        <v>0</v>
      </c>
    </row>
    <row r="1743" spans="1:14" outlineLevel="1">
      <c r="A1743" s="1491">
        <f t="shared" si="245"/>
        <v>13.1</v>
      </c>
      <c r="B1743" s="1530" t="str">
        <f t="shared" si="245"/>
        <v>Upgradation of MAX-DNA  DCS system at U#8 (HMI upgradation)</v>
      </c>
      <c r="C1743" s="1491" t="str">
        <f t="shared" si="245"/>
        <v>Yet to be approved</v>
      </c>
      <c r="D1743" s="1531" t="str">
        <f t="shared" si="245"/>
        <v>-</v>
      </c>
      <c r="E1743" s="1318">
        <f t="shared" si="245"/>
        <v>0</v>
      </c>
      <c r="F1743" s="1437">
        <f t="shared" si="240"/>
        <v>6.81</v>
      </c>
      <c r="G1743" s="1437">
        <f t="shared" si="241"/>
        <v>6.81</v>
      </c>
      <c r="H1743" s="1437">
        <f t="shared" si="242"/>
        <v>0</v>
      </c>
      <c r="I1743" s="1437">
        <v>0</v>
      </c>
      <c r="J1743" s="1437">
        <v>0</v>
      </c>
      <c r="K1743" s="1438"/>
      <c r="L1743" s="1438"/>
      <c r="M1743" s="1437">
        <f t="shared" si="239"/>
        <v>0</v>
      </c>
      <c r="N1743" s="1437">
        <f t="shared" si="243"/>
        <v>0</v>
      </c>
    </row>
    <row r="1744" spans="1:14" ht="29" outlineLevel="1">
      <c r="A1744" s="1491">
        <f t="shared" si="245"/>
        <v>13.2</v>
      </c>
      <c r="B1744" s="1530" t="str">
        <f t="shared" si="245"/>
        <v>Upgradation of existing Pcal system with plant performance analysis diagnostic and optimization system (PADO) at Unit  8 New Parli TPS</v>
      </c>
      <c r="C1744" s="1491" t="str">
        <f t="shared" si="245"/>
        <v>Yet to be approved</v>
      </c>
      <c r="D1744" s="1531" t="str">
        <f t="shared" si="245"/>
        <v>-</v>
      </c>
      <c r="E1744" s="1318">
        <f t="shared" si="245"/>
        <v>0</v>
      </c>
      <c r="F1744" s="1437">
        <f t="shared" si="240"/>
        <v>1.4</v>
      </c>
      <c r="G1744" s="1437">
        <f t="shared" si="241"/>
        <v>1.4</v>
      </c>
      <c r="H1744" s="1437">
        <f t="shared" si="242"/>
        <v>0</v>
      </c>
      <c r="I1744" s="1437">
        <v>0</v>
      </c>
      <c r="J1744" s="1437">
        <v>0</v>
      </c>
      <c r="K1744" s="1438"/>
      <c r="L1744" s="1438"/>
      <c r="M1744" s="1437">
        <f t="shared" si="239"/>
        <v>0</v>
      </c>
      <c r="N1744" s="1437">
        <f t="shared" si="243"/>
        <v>0</v>
      </c>
    </row>
    <row r="1745" spans="1:14" outlineLevel="1">
      <c r="A1745" s="1491">
        <f t="shared" si="245"/>
        <v>13.3</v>
      </c>
      <c r="B1745" s="1530" t="str">
        <f t="shared" si="245"/>
        <v xml:space="preserve"> Upgradation of coal feeder for I&amp;C Unit8 PTPS Parli V.</v>
      </c>
      <c r="C1745" s="1491" t="str">
        <f t="shared" si="245"/>
        <v>Yet to be approved</v>
      </c>
      <c r="D1745" s="1531" t="str">
        <f t="shared" si="245"/>
        <v>-</v>
      </c>
      <c r="E1745" s="1318">
        <f t="shared" si="245"/>
        <v>0</v>
      </c>
      <c r="F1745" s="1437">
        <f t="shared" si="240"/>
        <v>0</v>
      </c>
      <c r="G1745" s="1437">
        <f t="shared" si="241"/>
        <v>0</v>
      </c>
      <c r="H1745" s="1437">
        <f t="shared" si="242"/>
        <v>0</v>
      </c>
      <c r="I1745" s="1437">
        <v>1.5</v>
      </c>
      <c r="J1745" s="1437">
        <v>1.5</v>
      </c>
      <c r="K1745" s="1438"/>
      <c r="L1745" s="1438"/>
      <c r="M1745" s="1437">
        <f t="shared" si="239"/>
        <v>1.5</v>
      </c>
      <c r="N1745" s="1437">
        <f t="shared" si="243"/>
        <v>0</v>
      </c>
    </row>
    <row r="1746" spans="1:14" outlineLevel="1">
      <c r="A1746" s="1491">
        <f t="shared" si="245"/>
        <v>13.4</v>
      </c>
      <c r="B1746" s="1530" t="str">
        <f t="shared" si="245"/>
        <v>Procurement of smart control positioner at I&amp;C Unit8 PTPS Parli V.</v>
      </c>
      <c r="C1746" s="1491" t="str">
        <f t="shared" si="245"/>
        <v>Yet to be approved</v>
      </c>
      <c r="D1746" s="1531" t="str">
        <f t="shared" si="245"/>
        <v>-</v>
      </c>
      <c r="E1746" s="1318">
        <f t="shared" si="245"/>
        <v>0</v>
      </c>
      <c r="F1746" s="1437">
        <f t="shared" si="240"/>
        <v>0</v>
      </c>
      <c r="G1746" s="1437">
        <f t="shared" si="241"/>
        <v>0</v>
      </c>
      <c r="H1746" s="1437">
        <f t="shared" si="242"/>
        <v>0</v>
      </c>
      <c r="I1746" s="1437">
        <v>0.95</v>
      </c>
      <c r="J1746" s="1437">
        <v>0.95</v>
      </c>
      <c r="K1746" s="1438"/>
      <c r="L1746" s="1438"/>
      <c r="M1746" s="1437">
        <f t="shared" si="239"/>
        <v>0.95</v>
      </c>
      <c r="N1746" s="1437">
        <f t="shared" si="243"/>
        <v>0</v>
      </c>
    </row>
    <row r="1747" spans="1:14" outlineLevel="1">
      <c r="A1747" s="1491">
        <f t="shared" si="245"/>
        <v>13.5</v>
      </c>
      <c r="B1747" s="1530" t="str">
        <f t="shared" si="245"/>
        <v>Upgradation Electronic control drive for I&amp;C Unit8 PTPS Parli V.</v>
      </c>
      <c r="C1747" s="1491" t="str">
        <f t="shared" si="245"/>
        <v>Yet to be approved</v>
      </c>
      <c r="D1747" s="1531" t="str">
        <f t="shared" si="245"/>
        <v>-</v>
      </c>
      <c r="E1747" s="1318">
        <f t="shared" si="245"/>
        <v>0</v>
      </c>
      <c r="F1747" s="1437">
        <f t="shared" si="240"/>
        <v>0</v>
      </c>
      <c r="G1747" s="1437">
        <f t="shared" si="241"/>
        <v>0</v>
      </c>
      <c r="H1747" s="1437">
        <f t="shared" si="242"/>
        <v>0</v>
      </c>
      <c r="I1747" s="1437">
        <v>3.05</v>
      </c>
      <c r="J1747" s="1437">
        <v>3.05</v>
      </c>
      <c r="K1747" s="1438"/>
      <c r="L1747" s="1438"/>
      <c r="M1747" s="1437">
        <f t="shared" si="239"/>
        <v>3.05</v>
      </c>
      <c r="N1747" s="1437">
        <f t="shared" si="243"/>
        <v>0</v>
      </c>
    </row>
    <row r="1748" spans="1:14" ht="29" outlineLevel="1">
      <c r="A1748" s="1491">
        <f t="shared" si="245"/>
        <v>13.6</v>
      </c>
      <c r="B1748" s="1530" t="str">
        <f t="shared" si="245"/>
        <v>Upgradation of turbovisory &amp; vibration monitoring system control panel.</v>
      </c>
      <c r="C1748" s="1491" t="str">
        <f t="shared" si="245"/>
        <v>Yet to be approved</v>
      </c>
      <c r="D1748" s="1531" t="str">
        <f t="shared" si="245"/>
        <v>-</v>
      </c>
      <c r="E1748" s="1318">
        <f t="shared" si="245"/>
        <v>0</v>
      </c>
      <c r="F1748" s="1437">
        <f t="shared" si="240"/>
        <v>0</v>
      </c>
      <c r="G1748" s="1437">
        <f t="shared" si="241"/>
        <v>0</v>
      </c>
      <c r="H1748" s="1437">
        <f t="shared" si="242"/>
        <v>0</v>
      </c>
      <c r="I1748" s="1437">
        <v>2</v>
      </c>
      <c r="J1748" s="1437">
        <v>2</v>
      </c>
      <c r="K1748" s="1438"/>
      <c r="L1748" s="1438"/>
      <c r="M1748" s="1437">
        <f t="shared" si="239"/>
        <v>2</v>
      </c>
      <c r="N1748" s="1437">
        <f t="shared" si="243"/>
        <v>0</v>
      </c>
    </row>
    <row r="1749" spans="1:14" ht="46.5" outlineLevel="1">
      <c r="A1749" s="1533">
        <f t="shared" si="245"/>
        <v>14</v>
      </c>
      <c r="B1749" s="1534" t="str">
        <f t="shared" si="245"/>
        <v>Performance improvement by system up gradation  at CHP &amp; DPR for normalization and stabilization of coal handling plant performance at Parli TPS</v>
      </c>
      <c r="C1749" s="1491" t="str">
        <f t="shared" si="245"/>
        <v>Yet to be approved</v>
      </c>
      <c r="D1749" s="1531" t="str">
        <f t="shared" si="245"/>
        <v>-</v>
      </c>
      <c r="E1749" s="1318">
        <f t="shared" si="245"/>
        <v>0</v>
      </c>
      <c r="F1749" s="1437">
        <f t="shared" si="240"/>
        <v>0</v>
      </c>
      <c r="G1749" s="1437">
        <f t="shared" si="241"/>
        <v>0</v>
      </c>
      <c r="H1749" s="1437">
        <f t="shared" si="242"/>
        <v>0</v>
      </c>
      <c r="I1749" s="1437">
        <v>0</v>
      </c>
      <c r="J1749" s="1437">
        <v>0</v>
      </c>
      <c r="K1749" s="1438"/>
      <c r="L1749" s="1438"/>
      <c r="M1749" s="1437">
        <f t="shared" si="239"/>
        <v>0</v>
      </c>
      <c r="N1749" s="1437">
        <f t="shared" si="243"/>
        <v>0</v>
      </c>
    </row>
    <row r="1750" spans="1:14" ht="43.5" outlineLevel="1">
      <c r="A1750" s="1491">
        <f t="shared" si="245"/>
        <v>14.1</v>
      </c>
      <c r="B1750" s="1530" t="str">
        <f t="shared" si="245"/>
        <v xml:space="preserve">Supply and Commissioning of Energy Efficient Evaporative Cooling System for Control Panel &amp; Breaker room of CHP Unit-8   For  PARLI TPS </v>
      </c>
      <c r="C1750" s="1491" t="str">
        <f t="shared" si="245"/>
        <v>Yet to be approved</v>
      </c>
      <c r="D1750" s="1531" t="str">
        <f t="shared" si="245"/>
        <v>-</v>
      </c>
      <c r="E1750" s="1318">
        <f t="shared" si="245"/>
        <v>0</v>
      </c>
      <c r="F1750" s="1437">
        <f t="shared" si="240"/>
        <v>1.38</v>
      </c>
      <c r="G1750" s="1437">
        <f t="shared" si="241"/>
        <v>1.38</v>
      </c>
      <c r="H1750" s="1437">
        <f t="shared" si="242"/>
        <v>0</v>
      </c>
      <c r="I1750" s="1437">
        <v>0</v>
      </c>
      <c r="J1750" s="1437">
        <v>0</v>
      </c>
      <c r="K1750" s="1438"/>
      <c r="L1750" s="1438"/>
      <c r="M1750" s="1437">
        <f t="shared" si="239"/>
        <v>0</v>
      </c>
      <c r="N1750" s="1437">
        <f t="shared" si="243"/>
        <v>0</v>
      </c>
    </row>
    <row r="1751" spans="1:14" outlineLevel="1">
      <c r="A1751" s="1491">
        <f t="shared" si="245"/>
        <v>14.2</v>
      </c>
      <c r="B1751" s="1530" t="str">
        <f t="shared" si="245"/>
        <v>Supply and commissioning of Suspended Magnets for U-8 CHP NPTPS</v>
      </c>
      <c r="C1751" s="1491" t="str">
        <f t="shared" si="245"/>
        <v>Yet to be approved</v>
      </c>
      <c r="D1751" s="1531" t="str">
        <f t="shared" si="245"/>
        <v>-</v>
      </c>
      <c r="E1751" s="1318">
        <f t="shared" si="245"/>
        <v>0</v>
      </c>
      <c r="F1751" s="1437">
        <f t="shared" si="240"/>
        <v>3.3</v>
      </c>
      <c r="G1751" s="1437">
        <f t="shared" si="241"/>
        <v>3.3</v>
      </c>
      <c r="H1751" s="1437">
        <f t="shared" si="242"/>
        <v>0</v>
      </c>
      <c r="I1751" s="1437">
        <v>0</v>
      </c>
      <c r="J1751" s="1437">
        <v>0</v>
      </c>
      <c r="K1751" s="1438"/>
      <c r="L1751" s="1438"/>
      <c r="M1751" s="1437">
        <f t="shared" si="239"/>
        <v>0</v>
      </c>
      <c r="N1751" s="1437">
        <f t="shared" si="243"/>
        <v>0</v>
      </c>
    </row>
    <row r="1752" spans="1:14" outlineLevel="1">
      <c r="A1752" s="1491">
        <f t="shared" si="245"/>
        <v>14.3</v>
      </c>
      <c r="B1752" s="1530" t="str">
        <f t="shared" si="245"/>
        <v>Stacker-reclaimer Bucket wheel drive modification work of U- 8 CHP</v>
      </c>
      <c r="C1752" s="1491" t="str">
        <f t="shared" si="245"/>
        <v>Yet to be approved</v>
      </c>
      <c r="D1752" s="1531" t="str">
        <f t="shared" si="245"/>
        <v>-</v>
      </c>
      <c r="E1752" s="1318">
        <f t="shared" si="245"/>
        <v>0</v>
      </c>
      <c r="F1752" s="1437">
        <f t="shared" si="240"/>
        <v>3.32</v>
      </c>
      <c r="G1752" s="1437">
        <f t="shared" si="241"/>
        <v>3.32</v>
      </c>
      <c r="H1752" s="1437">
        <f t="shared" si="242"/>
        <v>0</v>
      </c>
      <c r="I1752" s="1437">
        <v>0</v>
      </c>
      <c r="J1752" s="1437">
        <v>0</v>
      </c>
      <c r="K1752" s="1438"/>
      <c r="L1752" s="1438"/>
      <c r="M1752" s="1437">
        <f t="shared" si="239"/>
        <v>0</v>
      </c>
      <c r="N1752" s="1437">
        <f t="shared" si="243"/>
        <v>0</v>
      </c>
    </row>
    <row r="1753" spans="1:14" ht="29" outlineLevel="1">
      <c r="A1753" s="1491">
        <f t="shared" si="245"/>
        <v>14.4</v>
      </c>
      <c r="B1753" s="1530" t="str">
        <f t="shared" si="245"/>
        <v>Apron feeder drive modification from Hydraulic to Electro-Mechanical at CHP U-8  NPTPS</v>
      </c>
      <c r="C1753" s="1491" t="str">
        <f t="shared" si="245"/>
        <v>Yet to be approved</v>
      </c>
      <c r="D1753" s="1531" t="str">
        <f t="shared" si="245"/>
        <v>-</v>
      </c>
      <c r="E1753" s="1318">
        <f t="shared" si="245"/>
        <v>0</v>
      </c>
      <c r="F1753" s="1437">
        <f t="shared" si="240"/>
        <v>4.0199999999999996</v>
      </c>
      <c r="G1753" s="1437">
        <f t="shared" si="241"/>
        <v>4.0199999999999996</v>
      </c>
      <c r="H1753" s="1437">
        <f t="shared" si="242"/>
        <v>0</v>
      </c>
      <c r="I1753" s="1437">
        <v>0</v>
      </c>
      <c r="J1753" s="1437">
        <v>0</v>
      </c>
      <c r="K1753" s="1438"/>
      <c r="L1753" s="1438"/>
      <c r="M1753" s="1437">
        <f t="shared" si="239"/>
        <v>0</v>
      </c>
      <c r="N1753" s="1437">
        <f t="shared" si="243"/>
        <v>0</v>
      </c>
    </row>
    <row r="1754" spans="1:14" outlineLevel="1">
      <c r="A1754" s="1491">
        <f t="shared" si="245"/>
        <v>14.5</v>
      </c>
      <c r="B1754" s="1530" t="str">
        <f t="shared" si="245"/>
        <v>Procurement of U-8 W/T Major spares</v>
      </c>
      <c r="C1754" s="1491" t="str">
        <f t="shared" si="245"/>
        <v>Yet to be approved</v>
      </c>
      <c r="D1754" s="1531" t="str">
        <f t="shared" si="245"/>
        <v>-</v>
      </c>
      <c r="E1754" s="1318">
        <f t="shared" si="245"/>
        <v>0</v>
      </c>
      <c r="F1754" s="1437">
        <f t="shared" si="240"/>
        <v>0</v>
      </c>
      <c r="G1754" s="1437">
        <f t="shared" si="241"/>
        <v>0</v>
      </c>
      <c r="H1754" s="1437">
        <f t="shared" si="242"/>
        <v>0</v>
      </c>
      <c r="I1754" s="1437">
        <v>10</v>
      </c>
      <c r="J1754" s="1437">
        <v>10</v>
      </c>
      <c r="K1754" s="1438"/>
      <c r="L1754" s="1438"/>
      <c r="M1754" s="1437">
        <f t="shared" si="239"/>
        <v>10</v>
      </c>
      <c r="N1754" s="1437">
        <f t="shared" si="243"/>
        <v>0</v>
      </c>
    </row>
    <row r="1755" spans="1:14" outlineLevel="1">
      <c r="A1755" s="1491">
        <f t="shared" si="245"/>
        <v>14.6</v>
      </c>
      <c r="B1755" s="1530" t="str">
        <f t="shared" si="245"/>
        <v>Provision of Soft starter / VFD for Various conveyor</v>
      </c>
      <c r="C1755" s="1491" t="str">
        <f t="shared" si="245"/>
        <v>Yet to be approved</v>
      </c>
      <c r="D1755" s="1531" t="str">
        <f t="shared" si="245"/>
        <v>-</v>
      </c>
      <c r="E1755" s="1318">
        <f t="shared" si="245"/>
        <v>0</v>
      </c>
      <c r="F1755" s="1437">
        <f t="shared" si="240"/>
        <v>0</v>
      </c>
      <c r="G1755" s="1437">
        <f t="shared" si="241"/>
        <v>0</v>
      </c>
      <c r="H1755" s="1437">
        <f t="shared" si="242"/>
        <v>0</v>
      </c>
      <c r="I1755" s="1437">
        <v>8</v>
      </c>
      <c r="J1755" s="1437">
        <v>8</v>
      </c>
      <c r="K1755" s="1438"/>
      <c r="L1755" s="1438"/>
      <c r="M1755" s="1437">
        <f t="shared" si="239"/>
        <v>8</v>
      </c>
      <c r="N1755" s="1437">
        <f t="shared" si="243"/>
        <v>0</v>
      </c>
    </row>
    <row r="1756" spans="1:14" outlineLevel="1">
      <c r="A1756" s="1491">
        <f t="shared" ref="A1756:E1771" si="246">A1363</f>
        <v>14.7</v>
      </c>
      <c r="B1756" s="1530" t="str">
        <f t="shared" si="246"/>
        <v>TP-3 chute modification at U-8 CHP.</v>
      </c>
      <c r="C1756" s="1491" t="str">
        <f t="shared" si="246"/>
        <v>Yet to be approved</v>
      </c>
      <c r="D1756" s="1531" t="str">
        <f t="shared" si="246"/>
        <v>-</v>
      </c>
      <c r="E1756" s="1318">
        <f t="shared" si="246"/>
        <v>0</v>
      </c>
      <c r="F1756" s="1437">
        <f t="shared" si="240"/>
        <v>0</v>
      </c>
      <c r="G1756" s="1437">
        <f t="shared" si="241"/>
        <v>0</v>
      </c>
      <c r="H1756" s="1437">
        <f t="shared" si="242"/>
        <v>0</v>
      </c>
      <c r="I1756" s="1437">
        <v>3</v>
      </c>
      <c r="J1756" s="1437">
        <v>3</v>
      </c>
      <c r="K1756" s="1438"/>
      <c r="L1756" s="1438"/>
      <c r="M1756" s="1437">
        <f t="shared" si="239"/>
        <v>3</v>
      </c>
      <c r="N1756" s="1437">
        <f t="shared" si="243"/>
        <v>0</v>
      </c>
    </row>
    <row r="1757" spans="1:14" ht="29" outlineLevel="1">
      <c r="A1757" s="1491">
        <f t="shared" si="246"/>
        <v>14.8</v>
      </c>
      <c r="B1757" s="1530" t="str">
        <f t="shared" si="246"/>
        <v>Design, supply and commissioning of solar operated lighting system in CHP  U-8.</v>
      </c>
      <c r="C1757" s="1491" t="str">
        <f t="shared" si="246"/>
        <v>Yet to be approved</v>
      </c>
      <c r="D1757" s="1531" t="str">
        <f t="shared" si="246"/>
        <v>-</v>
      </c>
      <c r="E1757" s="1318">
        <f t="shared" si="246"/>
        <v>0</v>
      </c>
      <c r="F1757" s="1437">
        <f t="shared" si="240"/>
        <v>0</v>
      </c>
      <c r="G1757" s="1437">
        <f t="shared" si="241"/>
        <v>0</v>
      </c>
      <c r="H1757" s="1437">
        <f t="shared" si="242"/>
        <v>0</v>
      </c>
      <c r="I1757" s="1437">
        <v>15</v>
      </c>
      <c r="J1757" s="1437">
        <v>15</v>
      </c>
      <c r="K1757" s="1438"/>
      <c r="L1757" s="1438"/>
      <c r="M1757" s="1437">
        <f t="shared" si="239"/>
        <v>15</v>
      </c>
      <c r="N1757" s="1437">
        <f t="shared" si="243"/>
        <v>0</v>
      </c>
    </row>
    <row r="1758" spans="1:14" outlineLevel="1">
      <c r="A1758" s="1491">
        <f t="shared" si="246"/>
        <v>14.9</v>
      </c>
      <c r="B1758" s="1530" t="str">
        <f t="shared" si="246"/>
        <v xml:space="preserve"> Installation of CCTV survillance system alongwith all conveyors.</v>
      </c>
      <c r="C1758" s="1491" t="str">
        <f t="shared" si="246"/>
        <v>Yet to be approved</v>
      </c>
      <c r="D1758" s="1531" t="str">
        <f t="shared" si="246"/>
        <v>-</v>
      </c>
      <c r="E1758" s="1318">
        <f t="shared" si="246"/>
        <v>0</v>
      </c>
      <c r="F1758" s="1437">
        <f t="shared" si="240"/>
        <v>0</v>
      </c>
      <c r="G1758" s="1437">
        <f t="shared" si="241"/>
        <v>0</v>
      </c>
      <c r="H1758" s="1437">
        <f t="shared" si="242"/>
        <v>0</v>
      </c>
      <c r="I1758" s="1437">
        <v>4</v>
      </c>
      <c r="J1758" s="1437">
        <v>4</v>
      </c>
      <c r="K1758" s="1438"/>
      <c r="L1758" s="1438"/>
      <c r="M1758" s="1437">
        <f t="shared" si="239"/>
        <v>4</v>
      </c>
      <c r="N1758" s="1437">
        <f t="shared" si="243"/>
        <v>0</v>
      </c>
    </row>
    <row r="1759" spans="1:14" ht="31" outlineLevel="1">
      <c r="A1759" s="1533">
        <f t="shared" si="246"/>
        <v>15</v>
      </c>
      <c r="B1759" s="1534" t="str">
        <f t="shared" si="246"/>
        <v>DPR for maximiation of Coal Handling Plant efficiency &amp; DPR on life enhancement of Coal Handling Plant</v>
      </c>
      <c r="C1759" s="1491" t="str">
        <f t="shared" si="246"/>
        <v>Yet to be approved</v>
      </c>
      <c r="D1759" s="1531" t="str">
        <f t="shared" si="246"/>
        <v>-</v>
      </c>
      <c r="E1759" s="1318">
        <f t="shared" si="246"/>
        <v>0</v>
      </c>
      <c r="F1759" s="1437">
        <f t="shared" si="240"/>
        <v>0</v>
      </c>
      <c r="G1759" s="1437">
        <f t="shared" si="241"/>
        <v>0</v>
      </c>
      <c r="H1759" s="1437">
        <f t="shared" si="242"/>
        <v>0</v>
      </c>
      <c r="I1759" s="1437">
        <v>0</v>
      </c>
      <c r="J1759" s="1437">
        <v>0</v>
      </c>
      <c r="K1759" s="1438"/>
      <c r="L1759" s="1438"/>
      <c r="M1759" s="1437">
        <f t="shared" si="239"/>
        <v>0</v>
      </c>
      <c r="N1759" s="1437">
        <f t="shared" si="243"/>
        <v>0</v>
      </c>
    </row>
    <row r="1760" spans="1:14" outlineLevel="1">
      <c r="A1760" s="1491">
        <f t="shared" si="246"/>
        <v>15.1</v>
      </c>
      <c r="B1760" s="1530" t="str">
        <f t="shared" si="246"/>
        <v>W/T control room &amp; bunker house battery &amp; UPS upgradation</v>
      </c>
      <c r="C1760" s="1491" t="str">
        <f t="shared" si="246"/>
        <v>Yet to be approved</v>
      </c>
      <c r="D1760" s="1531" t="str">
        <f t="shared" si="246"/>
        <v>-</v>
      </c>
      <c r="E1760" s="1318">
        <f t="shared" si="246"/>
        <v>0</v>
      </c>
      <c r="F1760" s="1437">
        <f t="shared" si="240"/>
        <v>0</v>
      </c>
      <c r="G1760" s="1437">
        <f t="shared" si="241"/>
        <v>0</v>
      </c>
      <c r="H1760" s="1437">
        <f t="shared" si="242"/>
        <v>0</v>
      </c>
      <c r="I1760" s="1437">
        <v>0</v>
      </c>
      <c r="J1760" s="1437">
        <v>0</v>
      </c>
      <c r="K1760" s="1438"/>
      <c r="L1760" s="1438"/>
      <c r="M1760" s="1437">
        <f t="shared" si="239"/>
        <v>0</v>
      </c>
      <c r="N1760" s="1437">
        <f t="shared" si="243"/>
        <v>0</v>
      </c>
    </row>
    <row r="1761" spans="1:14" ht="29" outlineLevel="1">
      <c r="A1761" s="1491">
        <f t="shared" si="246"/>
        <v>15.2</v>
      </c>
      <c r="B1761" s="1530" t="str">
        <f t="shared" si="246"/>
        <v>Refurbishment of  conveyor no. 2 A/B &amp; 6 A/B drive system of CHP U-8 TPS Parli.</v>
      </c>
      <c r="C1761" s="1491" t="str">
        <f t="shared" si="246"/>
        <v>Yet to be approved</v>
      </c>
      <c r="D1761" s="1531" t="str">
        <f t="shared" si="246"/>
        <v>-</v>
      </c>
      <c r="E1761" s="1318">
        <f t="shared" si="246"/>
        <v>0</v>
      </c>
      <c r="F1761" s="1437">
        <f t="shared" si="240"/>
        <v>0</v>
      </c>
      <c r="G1761" s="1437">
        <f t="shared" si="241"/>
        <v>0</v>
      </c>
      <c r="H1761" s="1437">
        <f t="shared" si="242"/>
        <v>0</v>
      </c>
      <c r="I1761" s="1437">
        <v>0</v>
      </c>
      <c r="J1761" s="1437">
        <v>0</v>
      </c>
      <c r="K1761" s="1438"/>
      <c r="L1761" s="1438"/>
      <c r="M1761" s="1437">
        <f t="shared" si="239"/>
        <v>0</v>
      </c>
      <c r="N1761" s="1437">
        <f t="shared" si="243"/>
        <v>0</v>
      </c>
    </row>
    <row r="1762" spans="1:14" outlineLevel="1">
      <c r="A1762" s="1491">
        <f t="shared" si="246"/>
        <v>15.3</v>
      </c>
      <c r="B1762" s="1530" t="str">
        <f t="shared" si="246"/>
        <v>Provision of Soft starter / VFD for Various conveyor</v>
      </c>
      <c r="C1762" s="1491" t="str">
        <f t="shared" si="246"/>
        <v>Yet to be approved</v>
      </c>
      <c r="D1762" s="1531" t="str">
        <f t="shared" si="246"/>
        <v>-</v>
      </c>
      <c r="E1762" s="1318">
        <f t="shared" si="246"/>
        <v>0</v>
      </c>
      <c r="F1762" s="1437">
        <f t="shared" si="240"/>
        <v>0</v>
      </c>
      <c r="G1762" s="1437">
        <f t="shared" si="241"/>
        <v>0</v>
      </c>
      <c r="H1762" s="1437">
        <f t="shared" si="242"/>
        <v>0</v>
      </c>
      <c r="I1762" s="1437">
        <v>0</v>
      </c>
      <c r="J1762" s="1437">
        <v>0</v>
      </c>
      <c r="K1762" s="1438"/>
      <c r="L1762" s="1438"/>
      <c r="M1762" s="1437">
        <f t="shared" si="239"/>
        <v>0</v>
      </c>
      <c r="N1762" s="1437">
        <f t="shared" si="243"/>
        <v>0</v>
      </c>
    </row>
    <row r="1763" spans="1:14" outlineLevel="1">
      <c r="A1763" s="1491">
        <f t="shared" si="246"/>
        <v>15.4</v>
      </c>
      <c r="B1763" s="1530" t="str">
        <f t="shared" si="246"/>
        <v>Procurement &amp; installation of Belt tear detection system</v>
      </c>
      <c r="C1763" s="1491" t="str">
        <f t="shared" si="246"/>
        <v>Yet to be approved</v>
      </c>
      <c r="D1763" s="1531" t="str">
        <f t="shared" si="246"/>
        <v>-</v>
      </c>
      <c r="E1763" s="1318">
        <f t="shared" si="246"/>
        <v>0</v>
      </c>
      <c r="F1763" s="1437">
        <f t="shared" si="240"/>
        <v>0</v>
      </c>
      <c r="G1763" s="1437">
        <f t="shared" si="241"/>
        <v>0</v>
      </c>
      <c r="H1763" s="1437">
        <f t="shared" si="242"/>
        <v>0</v>
      </c>
      <c r="I1763" s="1437">
        <v>0</v>
      </c>
      <c r="J1763" s="1437">
        <v>0</v>
      </c>
      <c r="K1763" s="1438"/>
      <c r="L1763" s="1438"/>
      <c r="M1763" s="1437">
        <f t="shared" si="239"/>
        <v>0</v>
      </c>
      <c r="N1763" s="1437">
        <f t="shared" si="243"/>
        <v>0</v>
      </c>
    </row>
    <row r="1764" spans="1:14" outlineLevel="1">
      <c r="A1764" s="1491">
        <f t="shared" si="246"/>
        <v>15.5</v>
      </c>
      <c r="B1764" s="1530" t="str">
        <f t="shared" si="246"/>
        <v>Conveyor gravity takeup infrastructure strengthening work</v>
      </c>
      <c r="C1764" s="1491" t="str">
        <f t="shared" si="246"/>
        <v>Yet to be approved</v>
      </c>
      <c r="D1764" s="1531" t="str">
        <f t="shared" si="246"/>
        <v>-</v>
      </c>
      <c r="E1764" s="1318">
        <f t="shared" si="246"/>
        <v>0</v>
      </c>
      <c r="F1764" s="1437">
        <f t="shared" si="240"/>
        <v>0</v>
      </c>
      <c r="G1764" s="1437">
        <f t="shared" si="241"/>
        <v>0</v>
      </c>
      <c r="H1764" s="1437">
        <f t="shared" si="242"/>
        <v>0</v>
      </c>
      <c r="I1764" s="1437">
        <v>0</v>
      </c>
      <c r="J1764" s="1437">
        <v>0</v>
      </c>
      <c r="K1764" s="1438"/>
      <c r="L1764" s="1438"/>
      <c r="M1764" s="1437">
        <f t="shared" si="239"/>
        <v>0</v>
      </c>
      <c r="N1764" s="1437">
        <f t="shared" si="243"/>
        <v>0</v>
      </c>
    </row>
    <row r="1765" spans="1:14" outlineLevel="1">
      <c r="A1765" s="1491">
        <f t="shared" si="246"/>
        <v>15.6</v>
      </c>
      <c r="B1765" s="1530" t="str">
        <f t="shared" si="246"/>
        <v>U-8 CHP apron feeder-I to Conveyor 1 A/B chute modification work .</v>
      </c>
      <c r="C1765" s="1491" t="str">
        <f t="shared" si="246"/>
        <v>Yet to be approved</v>
      </c>
      <c r="D1765" s="1531" t="str">
        <f t="shared" si="246"/>
        <v>-</v>
      </c>
      <c r="E1765" s="1318">
        <f t="shared" si="246"/>
        <v>0</v>
      </c>
      <c r="F1765" s="1437">
        <f t="shared" si="240"/>
        <v>0</v>
      </c>
      <c r="G1765" s="1437">
        <f t="shared" si="241"/>
        <v>0</v>
      </c>
      <c r="H1765" s="1437">
        <f t="shared" si="242"/>
        <v>0</v>
      </c>
      <c r="I1765" s="1437">
        <v>0</v>
      </c>
      <c r="J1765" s="1437">
        <v>0</v>
      </c>
      <c r="K1765" s="1438"/>
      <c r="L1765" s="1438"/>
      <c r="M1765" s="1437">
        <f t="shared" si="239"/>
        <v>0</v>
      </c>
      <c r="N1765" s="1437">
        <f t="shared" si="243"/>
        <v>0</v>
      </c>
    </row>
    <row r="1766" spans="1:14" ht="15.5" outlineLevel="1">
      <c r="A1766" s="1533">
        <f t="shared" si="246"/>
        <v>16</v>
      </c>
      <c r="B1766" s="1534" t="str">
        <f t="shared" si="246"/>
        <v>DPR for stabiliazation of Coal Handling Performance.</v>
      </c>
      <c r="C1766" s="1491" t="str">
        <f t="shared" si="246"/>
        <v>Yet to be approved</v>
      </c>
      <c r="D1766" s="1531" t="str">
        <f t="shared" si="246"/>
        <v>-</v>
      </c>
      <c r="E1766" s="1318">
        <f t="shared" si="246"/>
        <v>0</v>
      </c>
      <c r="F1766" s="1437">
        <f t="shared" si="240"/>
        <v>0</v>
      </c>
      <c r="G1766" s="1437">
        <f t="shared" si="241"/>
        <v>0</v>
      </c>
      <c r="H1766" s="1437">
        <f t="shared" si="242"/>
        <v>0</v>
      </c>
      <c r="I1766" s="1437">
        <v>0</v>
      </c>
      <c r="J1766" s="1437">
        <v>0</v>
      </c>
      <c r="K1766" s="1438"/>
      <c r="L1766" s="1438"/>
      <c r="M1766" s="1437">
        <f t="shared" si="239"/>
        <v>0</v>
      </c>
      <c r="N1766" s="1437">
        <f t="shared" si="243"/>
        <v>0</v>
      </c>
    </row>
    <row r="1767" spans="1:14" outlineLevel="1">
      <c r="A1767" s="1491">
        <f t="shared" si="246"/>
        <v>16.100000000000001</v>
      </c>
      <c r="B1767" s="1530" t="str">
        <f t="shared" si="246"/>
        <v xml:space="preserve">Drive modification of Stacker Reclaimer slewing system. </v>
      </c>
      <c r="C1767" s="1491" t="str">
        <f t="shared" si="246"/>
        <v>Yet to be approved</v>
      </c>
      <c r="D1767" s="1531" t="str">
        <f t="shared" si="246"/>
        <v>-</v>
      </c>
      <c r="E1767" s="1318">
        <f t="shared" si="246"/>
        <v>0</v>
      </c>
      <c r="F1767" s="1437">
        <f t="shared" si="240"/>
        <v>0</v>
      </c>
      <c r="G1767" s="1437">
        <f t="shared" si="241"/>
        <v>0</v>
      </c>
      <c r="H1767" s="1437">
        <f t="shared" si="242"/>
        <v>0</v>
      </c>
      <c r="I1767" s="1437">
        <v>0</v>
      </c>
      <c r="J1767" s="1437">
        <v>0</v>
      </c>
      <c r="K1767" s="1438"/>
      <c r="L1767" s="1438"/>
      <c r="M1767" s="1437">
        <f t="shared" si="239"/>
        <v>0</v>
      </c>
      <c r="N1767" s="1437">
        <f t="shared" si="243"/>
        <v>0</v>
      </c>
    </row>
    <row r="1768" spans="1:14" outlineLevel="1">
      <c r="A1768" s="1491">
        <f t="shared" si="246"/>
        <v>16.2</v>
      </c>
      <c r="B1768" s="1530" t="str">
        <f t="shared" si="246"/>
        <v>Retrofitting of Side Arm Charger-I &amp; II at CHP U-8</v>
      </c>
      <c r="C1768" s="1491" t="str">
        <f t="shared" si="246"/>
        <v>Yet to be approved</v>
      </c>
      <c r="D1768" s="1531" t="str">
        <f t="shared" si="246"/>
        <v>-</v>
      </c>
      <c r="E1768" s="1318">
        <f t="shared" si="246"/>
        <v>0</v>
      </c>
      <c r="F1768" s="1437">
        <f t="shared" si="240"/>
        <v>0</v>
      </c>
      <c r="G1768" s="1437">
        <f t="shared" si="241"/>
        <v>0</v>
      </c>
      <c r="H1768" s="1437">
        <f t="shared" si="242"/>
        <v>0</v>
      </c>
      <c r="I1768" s="1437">
        <v>0</v>
      </c>
      <c r="J1768" s="1437">
        <v>0</v>
      </c>
      <c r="K1768" s="1438"/>
      <c r="L1768" s="1438"/>
      <c r="M1768" s="1437">
        <f t="shared" si="239"/>
        <v>0</v>
      </c>
      <c r="N1768" s="1437">
        <f t="shared" si="243"/>
        <v>0</v>
      </c>
    </row>
    <row r="1769" spans="1:14" outlineLevel="1">
      <c r="A1769" s="1491">
        <f t="shared" si="246"/>
        <v>16.3</v>
      </c>
      <c r="B1769" s="1530" t="str">
        <f t="shared" si="246"/>
        <v>Upgradation of GE/Schineder make PLC system atU-8 CHP.</v>
      </c>
      <c r="C1769" s="1491" t="str">
        <f t="shared" si="246"/>
        <v>Yet to be approved</v>
      </c>
      <c r="D1769" s="1531" t="str">
        <f t="shared" si="246"/>
        <v>-</v>
      </c>
      <c r="E1769" s="1318">
        <f t="shared" si="246"/>
        <v>0</v>
      </c>
      <c r="F1769" s="1437">
        <f t="shared" si="240"/>
        <v>0</v>
      </c>
      <c r="G1769" s="1437">
        <f t="shared" si="241"/>
        <v>0</v>
      </c>
      <c r="H1769" s="1437">
        <f t="shared" si="242"/>
        <v>0</v>
      </c>
      <c r="I1769" s="1437">
        <v>0</v>
      </c>
      <c r="J1769" s="1437">
        <v>0</v>
      </c>
      <c r="K1769" s="1438"/>
      <c r="L1769" s="1438"/>
      <c r="M1769" s="1437">
        <f t="shared" si="239"/>
        <v>0</v>
      </c>
      <c r="N1769" s="1437">
        <f t="shared" si="243"/>
        <v>0</v>
      </c>
    </row>
    <row r="1770" spans="1:14" outlineLevel="1">
      <c r="A1770" s="1491">
        <f t="shared" si="246"/>
        <v>16.399999999999999</v>
      </c>
      <c r="B1770" s="1530" t="str">
        <f t="shared" si="246"/>
        <v>Refurbishment of Apron Feeder at CHP U-8.</v>
      </c>
      <c r="C1770" s="1491" t="str">
        <f t="shared" si="246"/>
        <v>Yet to be approved</v>
      </c>
      <c r="D1770" s="1531" t="str">
        <f t="shared" si="246"/>
        <v>-</v>
      </c>
      <c r="E1770" s="1318">
        <f t="shared" si="246"/>
        <v>0</v>
      </c>
      <c r="F1770" s="1437">
        <f t="shared" si="240"/>
        <v>0</v>
      </c>
      <c r="G1770" s="1437">
        <f t="shared" si="241"/>
        <v>0</v>
      </c>
      <c r="H1770" s="1437">
        <f t="shared" si="242"/>
        <v>0</v>
      </c>
      <c r="I1770" s="1437">
        <v>0</v>
      </c>
      <c r="J1770" s="1437">
        <v>0</v>
      </c>
      <c r="K1770" s="1438"/>
      <c r="L1770" s="1438"/>
      <c r="M1770" s="1437">
        <f t="shared" si="239"/>
        <v>0</v>
      </c>
      <c r="N1770" s="1437">
        <f t="shared" si="243"/>
        <v>0</v>
      </c>
    </row>
    <row r="1771" spans="1:14" ht="29" outlineLevel="1">
      <c r="A1771" s="1491">
        <f t="shared" si="246"/>
        <v>16.5</v>
      </c>
      <c r="B1771" s="1530" t="str">
        <f t="shared" si="246"/>
        <v>Provision of moveable stacker and crusher in CHP coal stack yard at CHP U-8.</v>
      </c>
      <c r="C1771" s="1491" t="str">
        <f t="shared" si="246"/>
        <v>Yet to be approved</v>
      </c>
      <c r="D1771" s="1531" t="str">
        <f t="shared" si="246"/>
        <v>-</v>
      </c>
      <c r="E1771" s="1318">
        <f t="shared" si="246"/>
        <v>0</v>
      </c>
      <c r="F1771" s="1437">
        <f t="shared" si="240"/>
        <v>0</v>
      </c>
      <c r="G1771" s="1437">
        <f t="shared" si="241"/>
        <v>0</v>
      </c>
      <c r="H1771" s="1437">
        <f t="shared" si="242"/>
        <v>0</v>
      </c>
      <c r="I1771" s="1437">
        <v>0</v>
      </c>
      <c r="J1771" s="1437">
        <v>0</v>
      </c>
      <c r="K1771" s="1438"/>
      <c r="L1771" s="1438"/>
      <c r="M1771" s="1437">
        <f t="shared" si="239"/>
        <v>0</v>
      </c>
      <c r="N1771" s="1437">
        <f t="shared" si="243"/>
        <v>0</v>
      </c>
    </row>
    <row r="1772" spans="1:14" outlineLevel="1">
      <c r="A1772" s="1491">
        <f t="shared" ref="A1772:E1787" si="247">A1379</f>
        <v>16.600000000000001</v>
      </c>
      <c r="B1772" s="1530" t="str">
        <f t="shared" si="247"/>
        <v>Procurement of Loco &amp; Bulldozer at CHP U-8.</v>
      </c>
      <c r="C1772" s="1491" t="str">
        <f t="shared" si="247"/>
        <v>Yet to be approved</v>
      </c>
      <c r="D1772" s="1531" t="str">
        <f t="shared" si="247"/>
        <v>-</v>
      </c>
      <c r="E1772" s="1318">
        <f t="shared" si="247"/>
        <v>0</v>
      </c>
      <c r="F1772" s="1437">
        <f t="shared" si="240"/>
        <v>0</v>
      </c>
      <c r="G1772" s="1437">
        <f t="shared" si="241"/>
        <v>0</v>
      </c>
      <c r="H1772" s="1437">
        <f t="shared" si="242"/>
        <v>0</v>
      </c>
      <c r="I1772" s="1437">
        <v>0</v>
      </c>
      <c r="J1772" s="1437">
        <v>0</v>
      </c>
      <c r="K1772" s="1438"/>
      <c r="L1772" s="1438"/>
      <c r="M1772" s="1437">
        <f t="shared" si="239"/>
        <v>0</v>
      </c>
      <c r="N1772" s="1437">
        <f t="shared" si="243"/>
        <v>0</v>
      </c>
    </row>
    <row r="1773" spans="1:14" ht="31" outlineLevel="1">
      <c r="A1773" s="1533">
        <f t="shared" si="247"/>
        <v>17</v>
      </c>
      <c r="B1773" s="1534" t="str">
        <f t="shared" si="247"/>
        <v>DPR on dry fly ash utilisation improvement scheme for AHP U-8 NPTPS Parli-V.</v>
      </c>
      <c r="C1773" s="1491" t="str">
        <f t="shared" si="247"/>
        <v>Yet to be approved</v>
      </c>
      <c r="D1773" s="1531" t="str">
        <f t="shared" si="247"/>
        <v>-</v>
      </c>
      <c r="E1773" s="1318">
        <f t="shared" si="247"/>
        <v>0</v>
      </c>
      <c r="F1773" s="1437">
        <f t="shared" si="240"/>
        <v>0</v>
      </c>
      <c r="G1773" s="1437">
        <f t="shared" si="241"/>
        <v>0</v>
      </c>
      <c r="H1773" s="1437">
        <f t="shared" si="242"/>
        <v>0</v>
      </c>
      <c r="I1773" s="1437">
        <v>0</v>
      </c>
      <c r="J1773" s="1437">
        <v>0</v>
      </c>
      <c r="K1773" s="1438"/>
      <c r="L1773" s="1438"/>
      <c r="M1773" s="1437">
        <f t="shared" si="239"/>
        <v>0</v>
      </c>
      <c r="N1773" s="1437">
        <f t="shared" si="243"/>
        <v>0</v>
      </c>
    </row>
    <row r="1774" spans="1:14" ht="29" outlineLevel="1">
      <c r="A1774" s="1491">
        <f t="shared" si="247"/>
        <v>17.100000000000001</v>
      </c>
      <c r="B1774" s="1530" t="str">
        <f t="shared" si="247"/>
        <v>Design, supply, erection, installation &amp; comissioning of intermediate silo with sub system at AHP U-8.</v>
      </c>
      <c r="C1774" s="1491" t="str">
        <f t="shared" si="247"/>
        <v>Yet to be approved</v>
      </c>
      <c r="D1774" s="1531" t="str">
        <f t="shared" si="247"/>
        <v>-</v>
      </c>
      <c r="E1774" s="1318">
        <f t="shared" si="247"/>
        <v>0</v>
      </c>
      <c r="F1774" s="1437">
        <f t="shared" si="240"/>
        <v>0</v>
      </c>
      <c r="G1774" s="1437">
        <f t="shared" si="241"/>
        <v>0</v>
      </c>
      <c r="H1774" s="1437">
        <f t="shared" si="242"/>
        <v>0</v>
      </c>
      <c r="I1774" s="1437">
        <v>0</v>
      </c>
      <c r="J1774" s="1437">
        <v>0</v>
      </c>
      <c r="K1774" s="1438"/>
      <c r="L1774" s="1438"/>
      <c r="M1774" s="1437">
        <f t="shared" ref="M1774:M1837" si="248">SUM(J1774:L1774)</f>
        <v>0</v>
      </c>
      <c r="N1774" s="1437">
        <f t="shared" si="243"/>
        <v>0</v>
      </c>
    </row>
    <row r="1775" spans="1:14" ht="31" outlineLevel="1">
      <c r="A1775" s="1533">
        <f t="shared" si="247"/>
        <v>18</v>
      </c>
      <c r="B1775" s="1534" t="str">
        <f t="shared" si="247"/>
        <v>DPR on ash handling plant improvement scheme for AHP U-8 NPTPS Parli-V.</v>
      </c>
      <c r="C1775" s="1491" t="str">
        <f t="shared" si="247"/>
        <v>Yet to be approved</v>
      </c>
      <c r="D1775" s="1531" t="str">
        <f t="shared" si="247"/>
        <v>-</v>
      </c>
      <c r="E1775" s="1318">
        <f t="shared" si="247"/>
        <v>0</v>
      </c>
      <c r="F1775" s="1437">
        <f t="shared" ref="F1775:F1838" si="249">F1382+I1382</f>
        <v>0</v>
      </c>
      <c r="G1775" s="1437">
        <f t="shared" ref="G1775:G1838" si="250">G1382+M1382</f>
        <v>0</v>
      </c>
      <c r="H1775" s="1437">
        <f t="shared" si="242"/>
        <v>0</v>
      </c>
      <c r="I1775" s="1437">
        <v>0</v>
      </c>
      <c r="J1775" s="1437">
        <v>0</v>
      </c>
      <c r="K1775" s="1438"/>
      <c r="L1775" s="1438"/>
      <c r="M1775" s="1437">
        <f t="shared" si="248"/>
        <v>0</v>
      </c>
      <c r="N1775" s="1437">
        <f t="shared" si="243"/>
        <v>0</v>
      </c>
    </row>
    <row r="1776" spans="1:14" ht="29" outlineLevel="1">
      <c r="A1776" s="1491">
        <f t="shared" si="247"/>
        <v>18.100000000000001</v>
      </c>
      <c r="B1776" s="1530" t="str">
        <f t="shared" si="247"/>
        <v xml:space="preserve"> Design, supply, erection &amp; comissioning of weigh bridge for silo at AHP U-8.</v>
      </c>
      <c r="C1776" s="1491" t="str">
        <f t="shared" si="247"/>
        <v>Yet to be approved</v>
      </c>
      <c r="D1776" s="1531" t="str">
        <f t="shared" si="247"/>
        <v>-</v>
      </c>
      <c r="E1776" s="1318">
        <f t="shared" si="247"/>
        <v>0</v>
      </c>
      <c r="F1776" s="1437">
        <f t="shared" si="249"/>
        <v>0.5</v>
      </c>
      <c r="G1776" s="1437">
        <f t="shared" si="250"/>
        <v>0.5</v>
      </c>
      <c r="H1776" s="1437">
        <f t="shared" ref="H1776:H1839" si="251">F1776-G1776</f>
        <v>0</v>
      </c>
      <c r="I1776" s="1437">
        <v>0</v>
      </c>
      <c r="J1776" s="1437">
        <v>0</v>
      </c>
      <c r="K1776" s="1438"/>
      <c r="L1776" s="1438"/>
      <c r="M1776" s="1437">
        <f t="shared" si="248"/>
        <v>0</v>
      </c>
      <c r="N1776" s="1437">
        <f t="shared" ref="N1776:N1839" si="252">H1776+I1776-M1776</f>
        <v>0</v>
      </c>
    </row>
    <row r="1777" spans="1:14" ht="29" outlineLevel="1">
      <c r="A1777" s="1491">
        <f t="shared" si="247"/>
        <v>18.2</v>
      </c>
      <c r="B1777" s="1530" t="str">
        <f t="shared" si="247"/>
        <v>Supply, installation &amp; comissioning of energy efficient air compressor at AHP U-8.</v>
      </c>
      <c r="C1777" s="1491" t="str">
        <f t="shared" si="247"/>
        <v>Yet to be approved</v>
      </c>
      <c r="D1777" s="1531" t="str">
        <f t="shared" si="247"/>
        <v>-</v>
      </c>
      <c r="E1777" s="1318">
        <f t="shared" si="247"/>
        <v>0</v>
      </c>
      <c r="F1777" s="1437">
        <f t="shared" si="249"/>
        <v>6</v>
      </c>
      <c r="G1777" s="1437">
        <f t="shared" si="250"/>
        <v>6</v>
      </c>
      <c r="H1777" s="1437">
        <f t="shared" si="251"/>
        <v>0</v>
      </c>
      <c r="I1777" s="1437">
        <v>0</v>
      </c>
      <c r="J1777" s="1437">
        <v>0</v>
      </c>
      <c r="K1777" s="1438"/>
      <c r="L1777" s="1438"/>
      <c r="M1777" s="1437">
        <f t="shared" si="248"/>
        <v>0</v>
      </c>
      <c r="N1777" s="1437">
        <f t="shared" si="252"/>
        <v>0</v>
      </c>
    </row>
    <row r="1778" spans="1:14" ht="58" outlineLevel="1">
      <c r="A1778" s="1491">
        <f t="shared" si="247"/>
        <v>18.3</v>
      </c>
      <c r="B1778" s="1530" t="str">
        <f t="shared" si="247"/>
        <v xml:space="preserve"> PROCUREMENT OF COMPLETE ASSEMBLY OF SAM MAKE AR-150/510 PUMPS (2 NOS) FOR REPLACEMENT OF ASH SLURRY PUMPS OF BOTTOM ASH SLURRY DISPOSAL FROM SLURRY TANK TO ASH BUND IN SLURRY PUMP HOUSE. </v>
      </c>
      <c r="C1778" s="1491" t="str">
        <f t="shared" si="247"/>
        <v>Yet to be approved</v>
      </c>
      <c r="D1778" s="1531" t="str">
        <f t="shared" si="247"/>
        <v>-</v>
      </c>
      <c r="E1778" s="1318">
        <f t="shared" si="247"/>
        <v>0</v>
      </c>
      <c r="F1778" s="1437">
        <f t="shared" si="249"/>
        <v>0.5</v>
      </c>
      <c r="G1778" s="1437">
        <f t="shared" si="250"/>
        <v>0.5</v>
      </c>
      <c r="H1778" s="1437">
        <f t="shared" si="251"/>
        <v>0</v>
      </c>
      <c r="I1778" s="1437">
        <v>0</v>
      </c>
      <c r="J1778" s="1437">
        <v>0</v>
      </c>
      <c r="K1778" s="1438"/>
      <c r="L1778" s="1438"/>
      <c r="M1778" s="1437">
        <f t="shared" si="248"/>
        <v>0</v>
      </c>
      <c r="N1778" s="1437">
        <f t="shared" si="252"/>
        <v>0</v>
      </c>
    </row>
    <row r="1779" spans="1:14" ht="58" outlineLevel="1">
      <c r="A1779" s="1491">
        <f t="shared" si="247"/>
        <v>18.399999999999999</v>
      </c>
      <c r="B1779" s="1530" t="str">
        <f t="shared" si="247"/>
        <v>PROCUREMENT OF COMPLETE ASSEMBLY OF SAM MAKE ZM-II 530/02 (2 NOS) FOR REPLACEMENT OF HP PUMPS OF BOTTOM ASH &amp; COARSE ASH EVACUATION FROM BA/CA HOPPERS TO SLURRY TANK IN ASH WATER PUMP HOUSE. 0.75 0.89</v>
      </c>
      <c r="C1779" s="1491" t="str">
        <f t="shared" si="247"/>
        <v>Yet to be approved</v>
      </c>
      <c r="D1779" s="1531" t="str">
        <f t="shared" si="247"/>
        <v>-</v>
      </c>
      <c r="E1779" s="1318">
        <f t="shared" si="247"/>
        <v>0</v>
      </c>
      <c r="F1779" s="1437">
        <f t="shared" si="249"/>
        <v>0.4</v>
      </c>
      <c r="G1779" s="1437">
        <f t="shared" si="250"/>
        <v>0.4</v>
      </c>
      <c r="H1779" s="1437">
        <f t="shared" si="251"/>
        <v>0</v>
      </c>
      <c r="I1779" s="1437">
        <v>0</v>
      </c>
      <c r="J1779" s="1437">
        <v>0</v>
      </c>
      <c r="K1779" s="1438"/>
      <c r="L1779" s="1438"/>
      <c r="M1779" s="1437">
        <f t="shared" si="248"/>
        <v>0</v>
      </c>
      <c r="N1779" s="1437">
        <f t="shared" si="252"/>
        <v>0</v>
      </c>
    </row>
    <row r="1780" spans="1:14" ht="29" outlineLevel="1">
      <c r="A1780" s="1491">
        <f t="shared" si="247"/>
        <v>18.5</v>
      </c>
      <c r="B1780" s="1530" t="str">
        <f t="shared" si="247"/>
        <v>Procurement of vacuum pumps complete assembly for AHP U-8 NPTPS Parli-V.</v>
      </c>
      <c r="C1780" s="1491" t="str">
        <f t="shared" si="247"/>
        <v>Yet to be approved</v>
      </c>
      <c r="D1780" s="1531" t="str">
        <f t="shared" si="247"/>
        <v>-</v>
      </c>
      <c r="E1780" s="1318">
        <f t="shared" si="247"/>
        <v>0</v>
      </c>
      <c r="F1780" s="1437">
        <f t="shared" si="249"/>
        <v>1.5</v>
      </c>
      <c r="G1780" s="1437">
        <f t="shared" si="250"/>
        <v>1.5</v>
      </c>
      <c r="H1780" s="1437">
        <f t="shared" si="251"/>
        <v>0</v>
      </c>
      <c r="I1780" s="1437">
        <v>0</v>
      </c>
      <c r="J1780" s="1437">
        <v>0</v>
      </c>
      <c r="K1780" s="1438"/>
      <c r="L1780" s="1438"/>
      <c r="M1780" s="1437">
        <f t="shared" si="248"/>
        <v>0</v>
      </c>
      <c r="N1780" s="1437">
        <f t="shared" si="252"/>
        <v>0</v>
      </c>
    </row>
    <row r="1781" spans="1:14" ht="29" outlineLevel="1">
      <c r="A1781" s="1491">
        <f t="shared" si="247"/>
        <v>18.600000000000001</v>
      </c>
      <c r="B1781" s="1530" t="str">
        <f t="shared" si="247"/>
        <v>Procurement of vacuum pumps complete assembly for AHP U-8 NPTPS Parli-V.</v>
      </c>
      <c r="C1781" s="1491" t="str">
        <f t="shared" si="247"/>
        <v>Yet to be approved</v>
      </c>
      <c r="D1781" s="1531" t="str">
        <f t="shared" si="247"/>
        <v>-</v>
      </c>
      <c r="E1781" s="1318">
        <f t="shared" si="247"/>
        <v>0</v>
      </c>
      <c r="F1781" s="1437">
        <f t="shared" si="249"/>
        <v>2</v>
      </c>
      <c r="G1781" s="1437">
        <f t="shared" si="250"/>
        <v>2</v>
      </c>
      <c r="H1781" s="1437">
        <f t="shared" si="251"/>
        <v>0</v>
      </c>
      <c r="I1781" s="1437">
        <v>0</v>
      </c>
      <c r="J1781" s="1437">
        <v>0</v>
      </c>
      <c r="K1781" s="1438"/>
      <c r="L1781" s="1438"/>
      <c r="M1781" s="1437">
        <f t="shared" si="248"/>
        <v>0</v>
      </c>
      <c r="N1781" s="1437">
        <f t="shared" si="252"/>
        <v>0</v>
      </c>
    </row>
    <row r="1782" spans="1:14" ht="29" outlineLevel="1">
      <c r="A1782" s="1491">
        <f t="shared" si="247"/>
        <v>18.7</v>
      </c>
      <c r="B1782" s="1530" t="str">
        <f t="shared" si="247"/>
        <v>Procurement of Feed Gate Complete Assembly along with modified metallurgy to enhance the life of Clinker Grinder.</v>
      </c>
      <c r="C1782" s="1491" t="str">
        <f t="shared" si="247"/>
        <v>Yet to be approved</v>
      </c>
      <c r="D1782" s="1531" t="str">
        <f t="shared" si="247"/>
        <v>-</v>
      </c>
      <c r="E1782" s="1318">
        <f t="shared" si="247"/>
        <v>0</v>
      </c>
      <c r="F1782" s="1437">
        <f t="shared" si="249"/>
        <v>1</v>
      </c>
      <c r="G1782" s="1437">
        <f t="shared" si="250"/>
        <v>1</v>
      </c>
      <c r="H1782" s="1437">
        <f t="shared" si="251"/>
        <v>0</v>
      </c>
      <c r="I1782" s="1437">
        <v>0</v>
      </c>
      <c r="J1782" s="1437">
        <v>0</v>
      </c>
      <c r="K1782" s="1438"/>
      <c r="L1782" s="1438"/>
      <c r="M1782" s="1437">
        <f t="shared" si="248"/>
        <v>0</v>
      </c>
      <c r="N1782" s="1437">
        <f t="shared" si="252"/>
        <v>0</v>
      </c>
    </row>
    <row r="1783" spans="1:14" ht="29" outlineLevel="1">
      <c r="A1783" s="1491">
        <f t="shared" si="247"/>
        <v>18.8</v>
      </c>
      <c r="B1783" s="1530" t="str">
        <f t="shared" si="247"/>
        <v>Procurement of Double Roll Clinker Grinder Complete Assembly with Drive Unit installed at AHP</v>
      </c>
      <c r="C1783" s="1491" t="str">
        <f t="shared" si="247"/>
        <v>Yet to be approved</v>
      </c>
      <c r="D1783" s="1531" t="str">
        <f t="shared" si="247"/>
        <v>-</v>
      </c>
      <c r="E1783" s="1318">
        <f t="shared" si="247"/>
        <v>0</v>
      </c>
      <c r="F1783" s="1437">
        <f t="shared" si="249"/>
        <v>1.25</v>
      </c>
      <c r="G1783" s="1437">
        <f t="shared" si="250"/>
        <v>1.25</v>
      </c>
      <c r="H1783" s="1437">
        <f t="shared" si="251"/>
        <v>0</v>
      </c>
      <c r="I1783" s="1437">
        <v>0</v>
      </c>
      <c r="J1783" s="1437">
        <v>0</v>
      </c>
      <c r="K1783" s="1438"/>
      <c r="L1783" s="1438"/>
      <c r="M1783" s="1437">
        <f t="shared" si="248"/>
        <v>0</v>
      </c>
      <c r="N1783" s="1437">
        <f t="shared" si="252"/>
        <v>0</v>
      </c>
    </row>
    <row r="1784" spans="1:14" ht="29" outlineLevel="1">
      <c r="A1784" s="1491">
        <f t="shared" si="247"/>
        <v>18.899999999999999</v>
      </c>
      <c r="B1784" s="1530" t="str">
        <f t="shared" si="247"/>
        <v>Procurement of Instrument Air Dryers assembly for performance improvement</v>
      </c>
      <c r="C1784" s="1491" t="str">
        <f t="shared" si="247"/>
        <v>Yet to be approved</v>
      </c>
      <c r="D1784" s="1531" t="str">
        <f t="shared" si="247"/>
        <v>-</v>
      </c>
      <c r="E1784" s="1318">
        <f t="shared" si="247"/>
        <v>0</v>
      </c>
      <c r="F1784" s="1437">
        <f t="shared" si="249"/>
        <v>0.5</v>
      </c>
      <c r="G1784" s="1437">
        <f t="shared" si="250"/>
        <v>0.5</v>
      </c>
      <c r="H1784" s="1437">
        <f t="shared" si="251"/>
        <v>0</v>
      </c>
      <c r="I1784" s="1437">
        <v>0</v>
      </c>
      <c r="J1784" s="1437">
        <v>0</v>
      </c>
      <c r="K1784" s="1438"/>
      <c r="L1784" s="1438"/>
      <c r="M1784" s="1437">
        <f t="shared" si="248"/>
        <v>0</v>
      </c>
      <c r="N1784" s="1437">
        <f t="shared" si="252"/>
        <v>0</v>
      </c>
    </row>
    <row r="1785" spans="1:14" ht="43.5" outlineLevel="1">
      <c r="A1785" s="1491">
        <f t="shared" si="247"/>
        <v>18.100000000000001</v>
      </c>
      <c r="B1785" s="1530" t="str">
        <f t="shared" si="247"/>
        <v>Procurement of various types of Isolation Valves assembly, Dome Valves assembly, Root Valve Assembly &amp; Expansion Bellows Assembly for Dry Ash Conveing performance improvement</v>
      </c>
      <c r="C1785" s="1491" t="str">
        <f t="shared" si="247"/>
        <v>Yet to be approved</v>
      </c>
      <c r="D1785" s="1531" t="str">
        <f t="shared" si="247"/>
        <v>-</v>
      </c>
      <c r="E1785" s="1318">
        <f t="shared" si="247"/>
        <v>0</v>
      </c>
      <c r="F1785" s="1437">
        <f t="shared" si="249"/>
        <v>3.6</v>
      </c>
      <c r="G1785" s="1437">
        <f t="shared" si="250"/>
        <v>3.6</v>
      </c>
      <c r="H1785" s="1437">
        <f t="shared" si="251"/>
        <v>0</v>
      </c>
      <c r="I1785" s="1437">
        <v>0</v>
      </c>
      <c r="J1785" s="1437">
        <v>0</v>
      </c>
      <c r="K1785" s="1438"/>
      <c r="L1785" s="1438"/>
      <c r="M1785" s="1437">
        <f t="shared" si="248"/>
        <v>0</v>
      </c>
      <c r="N1785" s="1437">
        <f t="shared" si="252"/>
        <v>0</v>
      </c>
    </row>
    <row r="1786" spans="1:14" ht="31" outlineLevel="1">
      <c r="A1786" s="1533">
        <f t="shared" si="247"/>
        <v>19</v>
      </c>
      <c r="B1786" s="1534" t="str">
        <f t="shared" si="247"/>
        <v>DPR on ash handling plant improvement scheme for AHP U-8 NPTPS Parli-V.</v>
      </c>
      <c r="C1786" s="1491" t="str">
        <f t="shared" si="247"/>
        <v>Yet to be approved</v>
      </c>
      <c r="D1786" s="1531" t="str">
        <f t="shared" si="247"/>
        <v>-</v>
      </c>
      <c r="E1786" s="1318">
        <f t="shared" si="247"/>
        <v>0</v>
      </c>
      <c r="F1786" s="1437">
        <f t="shared" si="249"/>
        <v>0</v>
      </c>
      <c r="G1786" s="1437">
        <f t="shared" si="250"/>
        <v>0</v>
      </c>
      <c r="H1786" s="1437">
        <f t="shared" si="251"/>
        <v>0</v>
      </c>
      <c r="I1786" s="1437">
        <v>0</v>
      </c>
      <c r="J1786" s="1437">
        <v>0</v>
      </c>
      <c r="K1786" s="1438"/>
      <c r="L1786" s="1438"/>
      <c r="M1786" s="1437">
        <f t="shared" si="248"/>
        <v>0</v>
      </c>
      <c r="N1786" s="1437">
        <f t="shared" si="252"/>
        <v>0</v>
      </c>
    </row>
    <row r="1787" spans="1:14" ht="29" outlineLevel="1">
      <c r="A1787" s="1491">
        <f t="shared" si="247"/>
        <v>19.100000000000001</v>
      </c>
      <c r="B1787" s="1530" t="str">
        <f t="shared" si="247"/>
        <v>Design, supply, erection, installation &amp; comissioning of DM water close loop cooling system for air compressors at AHP U-8.</v>
      </c>
      <c r="C1787" s="1491" t="str">
        <f t="shared" si="247"/>
        <v>Yet to be approved</v>
      </c>
      <c r="D1787" s="1531" t="str">
        <f t="shared" si="247"/>
        <v>-</v>
      </c>
      <c r="E1787" s="1318">
        <f t="shared" si="247"/>
        <v>0</v>
      </c>
      <c r="F1787" s="1437">
        <f t="shared" si="249"/>
        <v>0</v>
      </c>
      <c r="G1787" s="1437">
        <f t="shared" si="250"/>
        <v>0</v>
      </c>
      <c r="H1787" s="1437">
        <f t="shared" si="251"/>
        <v>0</v>
      </c>
      <c r="I1787" s="1437">
        <v>3</v>
      </c>
      <c r="J1787" s="1437">
        <v>3</v>
      </c>
      <c r="K1787" s="1438"/>
      <c r="L1787" s="1438"/>
      <c r="M1787" s="1437">
        <f t="shared" si="248"/>
        <v>3</v>
      </c>
      <c r="N1787" s="1437">
        <f t="shared" si="252"/>
        <v>0</v>
      </c>
    </row>
    <row r="1788" spans="1:14" ht="29" outlineLevel="1">
      <c r="A1788" s="1491">
        <f t="shared" ref="A1788:E1803" si="253">A1395</f>
        <v>19.2</v>
      </c>
      <c r="B1788" s="1530" t="str">
        <f t="shared" si="253"/>
        <v>Up-gradation of Existing Schneider make PLC (HMI + PLC hardware) installed at AHP Unit -8 at Parli TPS.</v>
      </c>
      <c r="C1788" s="1491" t="str">
        <f t="shared" si="253"/>
        <v>Yet to be approved</v>
      </c>
      <c r="D1788" s="1531" t="str">
        <f t="shared" si="253"/>
        <v>-</v>
      </c>
      <c r="E1788" s="1318">
        <f t="shared" si="253"/>
        <v>0</v>
      </c>
      <c r="F1788" s="1437">
        <f t="shared" si="249"/>
        <v>0</v>
      </c>
      <c r="G1788" s="1437">
        <f t="shared" si="250"/>
        <v>0</v>
      </c>
      <c r="H1788" s="1437">
        <f t="shared" si="251"/>
        <v>0</v>
      </c>
      <c r="I1788" s="1437">
        <v>1.5</v>
      </c>
      <c r="J1788" s="1437">
        <v>1.5</v>
      </c>
      <c r="K1788" s="1438"/>
      <c r="L1788" s="1438"/>
      <c r="M1788" s="1437">
        <f t="shared" si="248"/>
        <v>1.5</v>
      </c>
      <c r="N1788" s="1437">
        <f t="shared" si="252"/>
        <v>0</v>
      </c>
    </row>
    <row r="1789" spans="1:14" outlineLevel="1">
      <c r="A1789" s="1491">
        <f t="shared" si="253"/>
        <v>19.3</v>
      </c>
      <c r="B1789" s="1530" t="str">
        <f t="shared" si="253"/>
        <v>Procurement of HT motors for AHP U-8 Parli TPS.</v>
      </c>
      <c r="C1789" s="1491" t="str">
        <f t="shared" si="253"/>
        <v>Yet to be approved</v>
      </c>
      <c r="D1789" s="1531" t="str">
        <f t="shared" si="253"/>
        <v>-</v>
      </c>
      <c r="E1789" s="1318">
        <f t="shared" si="253"/>
        <v>0</v>
      </c>
      <c r="F1789" s="1437">
        <f t="shared" si="249"/>
        <v>0</v>
      </c>
      <c r="G1789" s="1437">
        <f t="shared" si="250"/>
        <v>0</v>
      </c>
      <c r="H1789" s="1437">
        <f t="shared" si="251"/>
        <v>0</v>
      </c>
      <c r="I1789" s="1437">
        <v>2.2999999999999998</v>
      </c>
      <c r="J1789" s="1437">
        <v>2.2999999999999998</v>
      </c>
      <c r="K1789" s="1438"/>
      <c r="L1789" s="1438"/>
      <c r="M1789" s="1437">
        <f t="shared" si="248"/>
        <v>2.2999999999999998</v>
      </c>
      <c r="N1789" s="1437">
        <f t="shared" si="252"/>
        <v>0</v>
      </c>
    </row>
    <row r="1790" spans="1:14" ht="43.5" outlineLevel="1">
      <c r="A1790" s="1491">
        <f t="shared" si="253"/>
        <v>19.399999999999999</v>
      </c>
      <c r="B1790" s="1530" t="str">
        <f t="shared" si="253"/>
        <v>PROCUREMENT OF CRITICAL GEARBOXES AND FLUID COUPLINGS INTERNAL ASSEMBLIES FOR SLURRY PUMPS AND SILO HCSD SYSTEM INSTALLED AT AHP, PARLI TPS.</v>
      </c>
      <c r="C1790" s="1491" t="str">
        <f t="shared" si="253"/>
        <v>Yet to be approved</v>
      </c>
      <c r="D1790" s="1531" t="str">
        <f t="shared" si="253"/>
        <v>-</v>
      </c>
      <c r="E1790" s="1318">
        <f t="shared" si="253"/>
        <v>0</v>
      </c>
      <c r="F1790" s="1437">
        <f t="shared" si="249"/>
        <v>0</v>
      </c>
      <c r="G1790" s="1437">
        <f t="shared" si="250"/>
        <v>0</v>
      </c>
      <c r="H1790" s="1437">
        <f t="shared" si="251"/>
        <v>0</v>
      </c>
      <c r="I1790" s="1437">
        <v>1.2</v>
      </c>
      <c r="J1790" s="1437">
        <v>1.2</v>
      </c>
      <c r="K1790" s="1438"/>
      <c r="L1790" s="1438"/>
      <c r="M1790" s="1437">
        <f t="shared" si="248"/>
        <v>1.2</v>
      </c>
      <c r="N1790" s="1437">
        <f t="shared" si="252"/>
        <v>0</v>
      </c>
    </row>
    <row r="1791" spans="1:14" ht="43.5" outlineLevel="1">
      <c r="A1791" s="1491">
        <f t="shared" si="253"/>
        <v>19.5</v>
      </c>
      <c r="B1791" s="1530" t="str">
        <f t="shared" si="253"/>
        <v>Procurement of Atlas Copco Make Instrument Air Compressors Critical/Non-Critical Spares sub-assembly for performance improvement</v>
      </c>
      <c r="C1791" s="1491" t="str">
        <f t="shared" si="253"/>
        <v>Yet to be approved</v>
      </c>
      <c r="D1791" s="1531" t="str">
        <f t="shared" si="253"/>
        <v>-</v>
      </c>
      <c r="E1791" s="1318">
        <f t="shared" si="253"/>
        <v>0</v>
      </c>
      <c r="F1791" s="1437">
        <f t="shared" si="249"/>
        <v>0</v>
      </c>
      <c r="G1791" s="1437">
        <f t="shared" si="250"/>
        <v>0</v>
      </c>
      <c r="H1791" s="1437">
        <f t="shared" si="251"/>
        <v>0</v>
      </c>
      <c r="I1791" s="1437">
        <v>6</v>
      </c>
      <c r="J1791" s="1437">
        <v>6</v>
      </c>
      <c r="K1791" s="1438"/>
      <c r="L1791" s="1438"/>
      <c r="M1791" s="1437">
        <f t="shared" si="248"/>
        <v>6</v>
      </c>
      <c r="N1791" s="1437">
        <f t="shared" si="252"/>
        <v>0</v>
      </c>
    </row>
    <row r="1792" spans="1:14" ht="43.5" outlineLevel="1">
      <c r="A1792" s="1491">
        <f t="shared" si="253"/>
        <v>19.600000000000001</v>
      </c>
      <c r="B1792" s="1530" t="str">
        <f t="shared" si="253"/>
        <v>Upgradation and improvement in Hopper Temperature monitoring system by providing Rf Type Hopper Level Sensors for performance improvement of conveying of Dry ash evacuation system.</v>
      </c>
      <c r="C1792" s="1491" t="str">
        <f t="shared" si="253"/>
        <v>Yet to be approved</v>
      </c>
      <c r="D1792" s="1531" t="str">
        <f t="shared" si="253"/>
        <v>-</v>
      </c>
      <c r="E1792" s="1318">
        <f t="shared" si="253"/>
        <v>0</v>
      </c>
      <c r="F1792" s="1437">
        <f t="shared" si="249"/>
        <v>0</v>
      </c>
      <c r="G1792" s="1437">
        <f t="shared" si="250"/>
        <v>0</v>
      </c>
      <c r="H1792" s="1437">
        <f t="shared" si="251"/>
        <v>0</v>
      </c>
      <c r="I1792" s="1437">
        <v>1.2</v>
      </c>
      <c r="J1792" s="1437">
        <v>1.2</v>
      </c>
      <c r="K1792" s="1438"/>
      <c r="L1792" s="1438"/>
      <c r="M1792" s="1437">
        <f t="shared" si="248"/>
        <v>1.2</v>
      </c>
      <c r="N1792" s="1437">
        <f t="shared" si="252"/>
        <v>0</v>
      </c>
    </row>
    <row r="1793" spans="1:14" ht="31" outlineLevel="1">
      <c r="A1793" s="1533">
        <f t="shared" si="253"/>
        <v>20</v>
      </c>
      <c r="B1793" s="1534" t="str">
        <f t="shared" si="253"/>
        <v>DPR on ash handling plant improvement scheme for AHP U-8 NPTPS Parli-V.</v>
      </c>
      <c r="C1793" s="1491" t="str">
        <f t="shared" si="253"/>
        <v>Yet to be approved</v>
      </c>
      <c r="D1793" s="1531" t="str">
        <f t="shared" si="253"/>
        <v>-</v>
      </c>
      <c r="E1793" s="1318">
        <f t="shared" si="253"/>
        <v>0</v>
      </c>
      <c r="F1793" s="1437">
        <f t="shared" si="249"/>
        <v>0</v>
      </c>
      <c r="G1793" s="1437">
        <f t="shared" si="250"/>
        <v>0</v>
      </c>
      <c r="H1793" s="1437">
        <f t="shared" si="251"/>
        <v>0</v>
      </c>
      <c r="I1793" s="1437">
        <v>0</v>
      </c>
      <c r="J1793" s="1437">
        <v>0</v>
      </c>
      <c r="K1793" s="1438"/>
      <c r="L1793" s="1438"/>
      <c r="M1793" s="1437">
        <f t="shared" si="248"/>
        <v>0</v>
      </c>
      <c r="N1793" s="1437">
        <f t="shared" si="252"/>
        <v>0</v>
      </c>
    </row>
    <row r="1794" spans="1:14" ht="29" outlineLevel="1">
      <c r="A1794" s="1491">
        <f t="shared" si="253"/>
        <v>20.100000000000001</v>
      </c>
      <c r="B1794" s="1530" t="str">
        <f t="shared" si="253"/>
        <v xml:space="preserve"> Design, supply, erection, installation &amp; comissioning ESP 1st &amp; 2nd field dry fly ash evacuation &amp; conveying system at AHP U-8.</v>
      </c>
      <c r="C1794" s="1491" t="str">
        <f t="shared" si="253"/>
        <v>Yet to be approved</v>
      </c>
      <c r="D1794" s="1531" t="str">
        <f t="shared" si="253"/>
        <v>-</v>
      </c>
      <c r="E1794" s="1318">
        <f t="shared" si="253"/>
        <v>0</v>
      </c>
      <c r="F1794" s="1437">
        <f t="shared" si="249"/>
        <v>0</v>
      </c>
      <c r="G1794" s="1437">
        <f t="shared" si="250"/>
        <v>0</v>
      </c>
      <c r="H1794" s="1437">
        <f t="shared" si="251"/>
        <v>0</v>
      </c>
      <c r="I1794" s="1437">
        <v>0</v>
      </c>
      <c r="J1794" s="1437">
        <v>0</v>
      </c>
      <c r="K1794" s="1438"/>
      <c r="L1794" s="1438"/>
      <c r="M1794" s="1437">
        <f t="shared" si="248"/>
        <v>0</v>
      </c>
      <c r="N1794" s="1437">
        <f t="shared" si="252"/>
        <v>0</v>
      </c>
    </row>
    <row r="1795" spans="1:14" ht="43.5" outlineLevel="1">
      <c r="A1795" s="1491">
        <f t="shared" si="253"/>
        <v>20.2</v>
      </c>
      <c r="B1795" s="1530" t="str">
        <f t="shared" si="253"/>
        <v>Design, supply, erection, installation &amp; comissioning of dry ash evacuation &amp; conveying system for APH &amp; Economiser ash hoppers at AHP U-8.</v>
      </c>
      <c r="C1795" s="1491" t="str">
        <f t="shared" si="253"/>
        <v>Yet to be approved</v>
      </c>
      <c r="D1795" s="1531" t="str">
        <f t="shared" si="253"/>
        <v>-</v>
      </c>
      <c r="E1795" s="1318">
        <f t="shared" si="253"/>
        <v>0</v>
      </c>
      <c r="F1795" s="1437">
        <f t="shared" si="249"/>
        <v>0</v>
      </c>
      <c r="G1795" s="1437">
        <f t="shared" si="250"/>
        <v>0</v>
      </c>
      <c r="H1795" s="1437">
        <f t="shared" si="251"/>
        <v>0</v>
      </c>
      <c r="I1795" s="1437">
        <v>0</v>
      </c>
      <c r="J1795" s="1437">
        <v>0</v>
      </c>
      <c r="K1795" s="1438"/>
      <c r="L1795" s="1438"/>
      <c r="M1795" s="1437">
        <f t="shared" si="248"/>
        <v>0</v>
      </c>
      <c r="N1795" s="1437">
        <f t="shared" si="252"/>
        <v>0</v>
      </c>
    </row>
    <row r="1796" spans="1:14" ht="15.5" outlineLevel="1">
      <c r="A1796" s="1533">
        <f t="shared" si="253"/>
        <v>21</v>
      </c>
      <c r="B1796" s="1534" t="str">
        <f t="shared" si="253"/>
        <v>Verious Civil schemes in Unit 8 NPTPS  Parli V.</v>
      </c>
      <c r="C1796" s="1491" t="str">
        <f t="shared" si="253"/>
        <v>Yet to be approved</v>
      </c>
      <c r="D1796" s="1531" t="str">
        <f t="shared" si="253"/>
        <v>-</v>
      </c>
      <c r="E1796" s="1318">
        <f t="shared" si="253"/>
        <v>0</v>
      </c>
      <c r="F1796" s="1437">
        <f t="shared" si="249"/>
        <v>0</v>
      </c>
      <c r="G1796" s="1437">
        <f t="shared" si="250"/>
        <v>0</v>
      </c>
      <c r="H1796" s="1437">
        <f t="shared" si="251"/>
        <v>0</v>
      </c>
      <c r="I1796" s="1437">
        <v>0</v>
      </c>
      <c r="J1796" s="1437">
        <v>0</v>
      </c>
      <c r="K1796" s="1438"/>
      <c r="L1796" s="1438"/>
      <c r="M1796" s="1437">
        <f t="shared" si="248"/>
        <v>0</v>
      </c>
      <c r="N1796" s="1437">
        <f t="shared" si="252"/>
        <v>0</v>
      </c>
    </row>
    <row r="1797" spans="1:14" outlineLevel="1">
      <c r="A1797" s="1491">
        <f t="shared" si="253"/>
        <v>21.1</v>
      </c>
      <c r="B1797" s="1530" t="str">
        <f t="shared" si="253"/>
        <v>Construction of chemical laboratory building at Unit 8, NPTPS, Parli V.</v>
      </c>
      <c r="C1797" s="1491" t="str">
        <f t="shared" si="253"/>
        <v>Yet to be approved</v>
      </c>
      <c r="D1797" s="1531" t="str">
        <f t="shared" si="253"/>
        <v>-</v>
      </c>
      <c r="E1797" s="1318">
        <f t="shared" si="253"/>
        <v>0</v>
      </c>
      <c r="F1797" s="1437">
        <f t="shared" si="249"/>
        <v>2.5</v>
      </c>
      <c r="G1797" s="1437">
        <f t="shared" si="250"/>
        <v>0</v>
      </c>
      <c r="H1797" s="1437">
        <f t="shared" si="251"/>
        <v>2.5</v>
      </c>
      <c r="I1797" s="1437">
        <v>1.28</v>
      </c>
      <c r="J1797" s="1437">
        <v>3.7800000000000002</v>
      </c>
      <c r="K1797" s="1438"/>
      <c r="L1797" s="1438"/>
      <c r="M1797" s="1437">
        <f t="shared" si="248"/>
        <v>3.7800000000000002</v>
      </c>
      <c r="N1797" s="1437">
        <f t="shared" si="252"/>
        <v>0</v>
      </c>
    </row>
    <row r="1798" spans="1:14" ht="29" outlineLevel="1">
      <c r="A1798" s="1491">
        <f t="shared" si="253"/>
        <v>21.2</v>
      </c>
      <c r="B1798" s="1530" t="str">
        <f t="shared" si="253"/>
        <v>Construction of Alum/salt storage area at Unit No.8 (1X250MW) NPTPS Parli Vaijnath.</v>
      </c>
      <c r="C1798" s="1491" t="str">
        <f t="shared" si="253"/>
        <v>Yet to be approved</v>
      </c>
      <c r="D1798" s="1531" t="str">
        <f t="shared" si="253"/>
        <v>-</v>
      </c>
      <c r="E1798" s="1318">
        <f t="shared" si="253"/>
        <v>0</v>
      </c>
      <c r="F1798" s="1437">
        <f t="shared" si="249"/>
        <v>2.5</v>
      </c>
      <c r="G1798" s="1437">
        <f t="shared" si="250"/>
        <v>0</v>
      </c>
      <c r="H1798" s="1437">
        <f t="shared" si="251"/>
        <v>2.5</v>
      </c>
      <c r="I1798" s="1437">
        <v>0.96</v>
      </c>
      <c r="J1798" s="1437">
        <v>3.46</v>
      </c>
      <c r="K1798" s="1438"/>
      <c r="L1798" s="1438"/>
      <c r="M1798" s="1437">
        <f t="shared" si="248"/>
        <v>3.46</v>
      </c>
      <c r="N1798" s="1437">
        <f t="shared" si="252"/>
        <v>0</v>
      </c>
    </row>
    <row r="1799" spans="1:14" outlineLevel="1">
      <c r="A1799" s="1491">
        <f t="shared" si="253"/>
        <v>21.3</v>
      </c>
      <c r="B1799" s="1530" t="str">
        <f t="shared" si="253"/>
        <v>Construction of Fire Fighting station  at Unit-8,  NPTPS  Parli V.</v>
      </c>
      <c r="C1799" s="1491" t="str">
        <f t="shared" si="253"/>
        <v>Yet to be approved</v>
      </c>
      <c r="D1799" s="1531" t="str">
        <f t="shared" si="253"/>
        <v>-</v>
      </c>
      <c r="E1799" s="1318">
        <f t="shared" si="253"/>
        <v>0</v>
      </c>
      <c r="F1799" s="1437">
        <f t="shared" si="249"/>
        <v>1.5</v>
      </c>
      <c r="G1799" s="1437">
        <f t="shared" si="250"/>
        <v>0</v>
      </c>
      <c r="H1799" s="1437">
        <f t="shared" si="251"/>
        <v>1.5</v>
      </c>
      <c r="I1799" s="1437">
        <v>0.36</v>
      </c>
      <c r="J1799" s="1437">
        <v>1.8599999999999999</v>
      </c>
      <c r="K1799" s="1438"/>
      <c r="L1799" s="1438"/>
      <c r="M1799" s="1437">
        <f t="shared" si="248"/>
        <v>1.8599999999999999</v>
      </c>
      <c r="N1799" s="1437">
        <f t="shared" si="252"/>
        <v>0</v>
      </c>
    </row>
    <row r="1800" spans="1:14" outlineLevel="1">
      <c r="A1800" s="1491">
        <f t="shared" si="253"/>
        <v>21.4</v>
      </c>
      <c r="B1800" s="1530" t="str">
        <f t="shared" si="253"/>
        <v xml:space="preserve">Construction of workshop building at Unit-8,  NPTPS  Parli V. </v>
      </c>
      <c r="C1800" s="1491" t="str">
        <f t="shared" si="253"/>
        <v>Yet to be approved</v>
      </c>
      <c r="D1800" s="1531" t="str">
        <f t="shared" si="253"/>
        <v>-</v>
      </c>
      <c r="E1800" s="1318">
        <f t="shared" si="253"/>
        <v>0</v>
      </c>
      <c r="F1800" s="1437">
        <f t="shared" si="249"/>
        <v>1.5</v>
      </c>
      <c r="G1800" s="1437">
        <f t="shared" si="250"/>
        <v>0</v>
      </c>
      <c r="H1800" s="1437">
        <f t="shared" si="251"/>
        <v>1.5</v>
      </c>
      <c r="I1800" s="1437">
        <v>0.63</v>
      </c>
      <c r="J1800" s="1437">
        <v>2.13</v>
      </c>
      <c r="K1800" s="1438"/>
      <c r="L1800" s="1438"/>
      <c r="M1800" s="1437">
        <f t="shared" si="248"/>
        <v>2.13</v>
      </c>
      <c r="N1800" s="1437">
        <f t="shared" si="252"/>
        <v>0</v>
      </c>
    </row>
    <row r="1801" spans="1:14" ht="15.5" outlineLevel="1">
      <c r="A1801" s="1533">
        <f t="shared" si="253"/>
        <v>22</v>
      </c>
      <c r="B1801" s="1534" t="str">
        <f t="shared" si="253"/>
        <v>CHP improvement scheme at 250 MW</v>
      </c>
      <c r="C1801" s="1491">
        <f t="shared" si="253"/>
        <v>0</v>
      </c>
      <c r="D1801" s="1531" t="str">
        <f t="shared" si="253"/>
        <v>-</v>
      </c>
      <c r="E1801" s="1318">
        <f t="shared" si="253"/>
        <v>0</v>
      </c>
      <c r="F1801" s="1437">
        <f t="shared" si="249"/>
        <v>0</v>
      </c>
      <c r="G1801" s="1437">
        <f t="shared" si="250"/>
        <v>0</v>
      </c>
      <c r="H1801" s="1437">
        <f t="shared" si="251"/>
        <v>0</v>
      </c>
      <c r="I1801" s="1437">
        <v>0</v>
      </c>
      <c r="J1801" s="1437">
        <v>0</v>
      </c>
      <c r="K1801" s="1438"/>
      <c r="L1801" s="1438"/>
      <c r="M1801" s="1437">
        <f t="shared" si="248"/>
        <v>0</v>
      </c>
      <c r="N1801" s="1437">
        <f t="shared" si="252"/>
        <v>0</v>
      </c>
    </row>
    <row r="1802" spans="1:14" outlineLevel="1">
      <c r="A1802" s="1491">
        <f t="shared" si="253"/>
        <v>22.1</v>
      </c>
      <c r="B1802" s="1530" t="str">
        <f t="shared" si="253"/>
        <v>CHP improvement scheme at 250 MW</v>
      </c>
      <c r="C1802" s="1491">
        <f t="shared" si="253"/>
        <v>0</v>
      </c>
      <c r="D1802" s="1531" t="str">
        <f t="shared" si="253"/>
        <v>-</v>
      </c>
      <c r="E1802" s="1318">
        <f t="shared" si="253"/>
        <v>0</v>
      </c>
      <c r="F1802" s="1437">
        <f t="shared" si="249"/>
        <v>0</v>
      </c>
      <c r="G1802" s="1437">
        <f t="shared" si="250"/>
        <v>0</v>
      </c>
      <c r="H1802" s="1437">
        <f t="shared" si="251"/>
        <v>0</v>
      </c>
      <c r="I1802" s="1437">
        <v>0</v>
      </c>
      <c r="J1802" s="1437">
        <v>0</v>
      </c>
      <c r="K1802" s="1438"/>
      <c r="L1802" s="1438"/>
      <c r="M1802" s="1437">
        <f t="shared" si="248"/>
        <v>0</v>
      </c>
      <c r="N1802" s="1437">
        <f t="shared" si="252"/>
        <v>0</v>
      </c>
    </row>
    <row r="1803" spans="1:14" outlineLevel="1">
      <c r="A1803" s="1420">
        <f t="shared" si="253"/>
        <v>0</v>
      </c>
      <c r="B1803" s="1421" t="str">
        <f t="shared" si="253"/>
        <v>B) Non-DPR</v>
      </c>
      <c r="C1803" s="1491">
        <f t="shared" si="253"/>
        <v>0</v>
      </c>
      <c r="D1803" s="1531" t="str">
        <f t="shared" si="253"/>
        <v>-</v>
      </c>
      <c r="E1803" s="1318">
        <f t="shared" si="253"/>
        <v>0</v>
      </c>
      <c r="F1803" s="1437">
        <f t="shared" si="249"/>
        <v>0</v>
      </c>
      <c r="G1803" s="1437">
        <f t="shared" si="250"/>
        <v>0</v>
      </c>
      <c r="H1803" s="1437">
        <f t="shared" si="251"/>
        <v>0</v>
      </c>
      <c r="I1803" s="1437">
        <v>0</v>
      </c>
      <c r="J1803" s="1437">
        <v>0</v>
      </c>
      <c r="K1803" s="1438"/>
      <c r="L1803" s="1438"/>
      <c r="M1803" s="1437">
        <f t="shared" si="248"/>
        <v>0</v>
      </c>
      <c r="N1803" s="1437">
        <f t="shared" si="252"/>
        <v>0</v>
      </c>
    </row>
    <row r="1804" spans="1:14" ht="15.5" outlineLevel="1">
      <c r="A1804" s="1533">
        <f t="shared" ref="A1804:E1819" si="254">A1411</f>
        <v>0</v>
      </c>
      <c r="B1804" s="1534">
        <f t="shared" si="254"/>
        <v>0</v>
      </c>
      <c r="C1804" s="1491">
        <f t="shared" si="254"/>
        <v>0</v>
      </c>
      <c r="D1804" s="1531" t="str">
        <f t="shared" si="254"/>
        <v>-</v>
      </c>
      <c r="E1804" s="1318">
        <f t="shared" si="254"/>
        <v>0</v>
      </c>
      <c r="F1804" s="1437">
        <f t="shared" si="249"/>
        <v>0.56615120600000002</v>
      </c>
      <c r="G1804" s="1437">
        <f t="shared" si="250"/>
        <v>0.56615120600000002</v>
      </c>
      <c r="H1804" s="1437">
        <f t="shared" si="251"/>
        <v>0</v>
      </c>
      <c r="I1804" s="1437">
        <v>0</v>
      </c>
      <c r="J1804" s="1437">
        <v>0</v>
      </c>
      <c r="K1804" s="1438"/>
      <c r="L1804" s="1438"/>
      <c r="M1804" s="1437">
        <f t="shared" si="248"/>
        <v>0</v>
      </c>
      <c r="N1804" s="1437">
        <f t="shared" si="252"/>
        <v>0</v>
      </c>
    </row>
    <row r="1805" spans="1:14" ht="15.5" outlineLevel="1">
      <c r="A1805" s="1493">
        <f t="shared" si="254"/>
        <v>0</v>
      </c>
      <c r="B1805" s="1494" t="str">
        <f t="shared" si="254"/>
        <v>B) GA</v>
      </c>
      <c r="C1805" s="1491">
        <f t="shared" si="254"/>
        <v>0</v>
      </c>
      <c r="D1805" s="1531" t="str">
        <f t="shared" si="254"/>
        <v>-</v>
      </c>
      <c r="E1805" s="1318">
        <f t="shared" si="254"/>
        <v>0</v>
      </c>
      <c r="F1805" s="1437">
        <f t="shared" si="249"/>
        <v>0.63312365100000001</v>
      </c>
      <c r="G1805" s="1437">
        <f t="shared" si="250"/>
        <v>0.69371165099999987</v>
      </c>
      <c r="H1805" s="1437">
        <f t="shared" si="251"/>
        <v>-6.0587999999999864E-2</v>
      </c>
      <c r="I1805" s="1437">
        <v>0.28999999999999998</v>
      </c>
      <c r="J1805" s="1437">
        <v>0.28999999999999998</v>
      </c>
      <c r="K1805" s="1438"/>
      <c r="L1805" s="1438"/>
      <c r="M1805" s="1437">
        <f t="shared" si="248"/>
        <v>0.28999999999999998</v>
      </c>
      <c r="N1805" s="1437">
        <f t="shared" si="252"/>
        <v>-6.0587999999999864E-2</v>
      </c>
    </row>
    <row r="1806" spans="1:14" outlineLevel="1">
      <c r="A1806" s="1499">
        <f t="shared" si="254"/>
        <v>0</v>
      </c>
      <c r="B1806" s="1539">
        <f t="shared" si="254"/>
        <v>0</v>
      </c>
      <c r="C1806" s="1491">
        <f t="shared" si="254"/>
        <v>0</v>
      </c>
      <c r="D1806" s="1531" t="str">
        <f t="shared" si="254"/>
        <v>-</v>
      </c>
      <c r="E1806" s="1318">
        <f t="shared" si="254"/>
        <v>0</v>
      </c>
      <c r="F1806" s="1437">
        <f t="shared" si="249"/>
        <v>0.28999999999999998</v>
      </c>
      <c r="G1806" s="1437">
        <f t="shared" si="250"/>
        <v>0</v>
      </c>
      <c r="H1806" s="1437">
        <f t="shared" si="251"/>
        <v>0.28999999999999998</v>
      </c>
      <c r="I1806" s="1437">
        <v>0</v>
      </c>
      <c r="J1806" s="1437">
        <v>0</v>
      </c>
      <c r="K1806" s="1438"/>
      <c r="L1806" s="1438"/>
      <c r="M1806" s="1437">
        <f t="shared" si="248"/>
        <v>0</v>
      </c>
      <c r="N1806" s="1437">
        <f t="shared" si="252"/>
        <v>0.28999999999999998</v>
      </c>
    </row>
    <row r="1807" spans="1:14" ht="15.5" outlineLevel="1">
      <c r="A1807" s="1493">
        <f t="shared" si="254"/>
        <v>0</v>
      </c>
      <c r="B1807" s="1494" t="str">
        <f t="shared" si="254"/>
        <v>C) Asset received from Project U#8</v>
      </c>
      <c r="C1807" s="1491">
        <f t="shared" si="254"/>
        <v>0</v>
      </c>
      <c r="D1807" s="1531" t="str">
        <f t="shared" si="254"/>
        <v>-</v>
      </c>
      <c r="E1807" s="1318">
        <f t="shared" si="254"/>
        <v>0</v>
      </c>
      <c r="F1807" s="1437">
        <f t="shared" si="249"/>
        <v>0</v>
      </c>
      <c r="G1807" s="1437">
        <f t="shared" si="250"/>
        <v>0</v>
      </c>
      <c r="H1807" s="1437">
        <f t="shared" si="251"/>
        <v>0</v>
      </c>
      <c r="I1807" s="1437">
        <v>0</v>
      </c>
      <c r="J1807" s="1437">
        <v>0</v>
      </c>
      <c r="K1807" s="1438"/>
      <c r="L1807" s="1438"/>
      <c r="M1807" s="1437">
        <f t="shared" si="248"/>
        <v>0</v>
      </c>
      <c r="N1807" s="1437">
        <f t="shared" si="252"/>
        <v>0</v>
      </c>
    </row>
    <row r="1808" spans="1:14" outlineLevel="1">
      <c r="A1808" s="1499">
        <f t="shared" si="254"/>
        <v>1</v>
      </c>
      <c r="B1808" s="1539" t="str">
        <f t="shared" si="254"/>
        <v>Asset Recived From Civil-U#8-Land-10101</v>
      </c>
      <c r="C1808" s="1491" t="str">
        <f t="shared" si="254"/>
        <v>N.A.</v>
      </c>
      <c r="D1808" s="1531" t="str">
        <f t="shared" si="254"/>
        <v>-</v>
      </c>
      <c r="E1808" s="1318">
        <f t="shared" si="254"/>
        <v>0</v>
      </c>
      <c r="F1808" s="1437">
        <f t="shared" si="249"/>
        <v>3.1293089999999998E-3</v>
      </c>
      <c r="G1808" s="1437">
        <f t="shared" si="250"/>
        <v>0</v>
      </c>
      <c r="H1808" s="1437">
        <f t="shared" si="251"/>
        <v>3.1293089999999998E-3</v>
      </c>
      <c r="I1808" s="1437">
        <v>0</v>
      </c>
      <c r="J1808" s="1437">
        <v>0</v>
      </c>
      <c r="K1808" s="1438"/>
      <c r="L1808" s="1438"/>
      <c r="M1808" s="1437">
        <f t="shared" si="248"/>
        <v>0</v>
      </c>
      <c r="N1808" s="1437">
        <f t="shared" si="252"/>
        <v>3.1293089999999998E-3</v>
      </c>
    </row>
    <row r="1809" spans="1:14" outlineLevel="1">
      <c r="A1809" s="1499">
        <f t="shared" si="254"/>
        <v>2</v>
      </c>
      <c r="B1809" s="1539" t="str">
        <f t="shared" si="254"/>
        <v>Asset Recived From Civil-U#8-T.G. Building-10201</v>
      </c>
      <c r="C1809" s="1491" t="str">
        <f t="shared" si="254"/>
        <v>N.A.</v>
      </c>
      <c r="D1809" s="1531" t="str">
        <f t="shared" si="254"/>
        <v>-</v>
      </c>
      <c r="E1809" s="1318">
        <f t="shared" si="254"/>
        <v>0</v>
      </c>
      <c r="F1809" s="1437">
        <f t="shared" si="249"/>
        <v>1.0037712000000001E-2</v>
      </c>
      <c r="G1809" s="1437">
        <f t="shared" si="250"/>
        <v>0</v>
      </c>
      <c r="H1809" s="1437">
        <f t="shared" si="251"/>
        <v>1.0037712000000001E-2</v>
      </c>
      <c r="I1809" s="1437">
        <v>0</v>
      </c>
      <c r="J1809" s="1437">
        <v>0</v>
      </c>
      <c r="K1809" s="1438"/>
      <c r="L1809" s="1438"/>
      <c r="M1809" s="1437">
        <f t="shared" si="248"/>
        <v>0</v>
      </c>
      <c r="N1809" s="1437">
        <f t="shared" si="252"/>
        <v>1.0037712000000001E-2</v>
      </c>
    </row>
    <row r="1810" spans="1:14" ht="29" outlineLevel="1">
      <c r="A1810" s="1499">
        <f t="shared" si="254"/>
        <v>3</v>
      </c>
      <c r="B1810" s="1539" t="str">
        <f t="shared" si="254"/>
        <v>Asset Recived From Civil-U#8-T.G. Building(BC)bay&amp;control room-10201</v>
      </c>
      <c r="C1810" s="1491" t="str">
        <f t="shared" si="254"/>
        <v>N.A.</v>
      </c>
      <c r="D1810" s="1531" t="str">
        <f t="shared" si="254"/>
        <v>-</v>
      </c>
      <c r="E1810" s="1318">
        <f t="shared" si="254"/>
        <v>0</v>
      </c>
      <c r="F1810" s="1437">
        <f t="shared" si="249"/>
        <v>4.578426E-3</v>
      </c>
      <c r="G1810" s="1437">
        <f t="shared" si="250"/>
        <v>0</v>
      </c>
      <c r="H1810" s="1437">
        <f t="shared" si="251"/>
        <v>4.578426E-3</v>
      </c>
      <c r="I1810" s="1437">
        <v>0</v>
      </c>
      <c r="J1810" s="1437">
        <v>0</v>
      </c>
      <c r="K1810" s="1438"/>
      <c r="L1810" s="1438"/>
      <c r="M1810" s="1437">
        <f t="shared" si="248"/>
        <v>0</v>
      </c>
      <c r="N1810" s="1437">
        <f t="shared" si="252"/>
        <v>4.578426E-3</v>
      </c>
    </row>
    <row r="1811" spans="1:14" ht="29" outlineLevel="1">
      <c r="A1811" s="1499">
        <f t="shared" si="254"/>
        <v>4</v>
      </c>
      <c r="B1811" s="1539" t="str">
        <f t="shared" si="254"/>
        <v>Asset Recived From Civil-U#8-StructuralSteelWorks4TGBldgA2EBays-10201</v>
      </c>
      <c r="C1811" s="1491" t="str">
        <f t="shared" si="254"/>
        <v>N.A.</v>
      </c>
      <c r="D1811" s="1531" t="str">
        <f t="shared" si="254"/>
        <v>-</v>
      </c>
      <c r="E1811" s="1318">
        <f t="shared" si="254"/>
        <v>0</v>
      </c>
      <c r="F1811" s="1437">
        <f t="shared" si="249"/>
        <v>1.397639E-3</v>
      </c>
      <c r="G1811" s="1437">
        <f t="shared" si="250"/>
        <v>0</v>
      </c>
      <c r="H1811" s="1437">
        <f t="shared" si="251"/>
        <v>1.397639E-3</v>
      </c>
      <c r="I1811" s="1437">
        <v>0</v>
      </c>
      <c r="J1811" s="1437">
        <v>0</v>
      </c>
      <c r="K1811" s="1438"/>
      <c r="L1811" s="1438"/>
      <c r="M1811" s="1437">
        <f t="shared" si="248"/>
        <v>0</v>
      </c>
      <c r="N1811" s="1437">
        <f t="shared" si="252"/>
        <v>1.397639E-3</v>
      </c>
    </row>
    <row r="1812" spans="1:14" outlineLevel="1">
      <c r="A1812" s="1499">
        <f t="shared" si="254"/>
        <v>5</v>
      </c>
      <c r="B1812" s="1539" t="str">
        <f t="shared" si="254"/>
        <v>Asset Recived From Civil-U#8-WTP Building-10201</v>
      </c>
      <c r="C1812" s="1491" t="str">
        <f t="shared" si="254"/>
        <v>N.A.</v>
      </c>
      <c r="D1812" s="1531" t="str">
        <f t="shared" si="254"/>
        <v>-</v>
      </c>
      <c r="E1812" s="1318">
        <f t="shared" si="254"/>
        <v>0</v>
      </c>
      <c r="F1812" s="1437">
        <f t="shared" si="249"/>
        <v>1.14825E-4</v>
      </c>
      <c r="G1812" s="1437">
        <f t="shared" si="250"/>
        <v>0</v>
      </c>
      <c r="H1812" s="1437">
        <f t="shared" si="251"/>
        <v>1.14825E-4</v>
      </c>
      <c r="I1812" s="1437">
        <v>0</v>
      </c>
      <c r="J1812" s="1437">
        <v>0</v>
      </c>
      <c r="K1812" s="1438"/>
      <c r="L1812" s="1438"/>
      <c r="M1812" s="1437">
        <f t="shared" si="248"/>
        <v>0</v>
      </c>
      <c r="N1812" s="1437">
        <f t="shared" si="252"/>
        <v>1.14825E-4</v>
      </c>
    </row>
    <row r="1813" spans="1:14" ht="29" outlineLevel="1">
      <c r="A1813" s="1499">
        <f t="shared" si="254"/>
        <v>6</v>
      </c>
      <c r="B1813" s="1539" t="str">
        <f t="shared" si="254"/>
        <v>Asset Recived From Civil-U#8-DG SET ROOM CUM AIR COMP. HOUSE-10201</v>
      </c>
      <c r="C1813" s="1491" t="str">
        <f t="shared" si="254"/>
        <v>N.A.</v>
      </c>
      <c r="D1813" s="1531" t="str">
        <f t="shared" si="254"/>
        <v>-</v>
      </c>
      <c r="E1813" s="1318">
        <f t="shared" si="254"/>
        <v>0</v>
      </c>
      <c r="F1813" s="1437">
        <f t="shared" si="249"/>
        <v>1.05983E-4</v>
      </c>
      <c r="G1813" s="1437">
        <f t="shared" si="250"/>
        <v>0</v>
      </c>
      <c r="H1813" s="1437">
        <f t="shared" si="251"/>
        <v>1.05983E-4</v>
      </c>
      <c r="I1813" s="1437">
        <v>0</v>
      </c>
      <c r="J1813" s="1437">
        <v>0</v>
      </c>
      <c r="K1813" s="1438"/>
      <c r="L1813" s="1438"/>
      <c r="M1813" s="1437">
        <f t="shared" si="248"/>
        <v>0</v>
      </c>
      <c r="N1813" s="1437">
        <f t="shared" si="252"/>
        <v>1.05983E-4</v>
      </c>
    </row>
    <row r="1814" spans="1:14" ht="29" outlineLevel="1">
      <c r="A1814" s="1499">
        <f t="shared" si="254"/>
        <v>7</v>
      </c>
      <c r="B1814" s="1539" t="str">
        <f t="shared" si="254"/>
        <v>Asset Recived From Civil-U#8-WTP-Raw/Fire water pump House-10233</v>
      </c>
      <c r="C1814" s="1491" t="str">
        <f t="shared" si="254"/>
        <v>N.A.</v>
      </c>
      <c r="D1814" s="1531" t="str">
        <f t="shared" si="254"/>
        <v>-</v>
      </c>
      <c r="E1814" s="1318">
        <f t="shared" si="254"/>
        <v>0</v>
      </c>
      <c r="F1814" s="1437">
        <f t="shared" si="249"/>
        <v>6.9018599999999997E-4</v>
      </c>
      <c r="G1814" s="1437">
        <f t="shared" si="250"/>
        <v>0</v>
      </c>
      <c r="H1814" s="1437">
        <f t="shared" si="251"/>
        <v>6.9018599999999997E-4</v>
      </c>
      <c r="I1814" s="1437">
        <v>0</v>
      </c>
      <c r="J1814" s="1437">
        <v>0</v>
      </c>
      <c r="K1814" s="1438"/>
      <c r="L1814" s="1438"/>
      <c r="M1814" s="1437">
        <f t="shared" si="248"/>
        <v>0</v>
      </c>
      <c r="N1814" s="1437">
        <f t="shared" si="252"/>
        <v>6.9018599999999997E-4</v>
      </c>
    </row>
    <row r="1815" spans="1:14" outlineLevel="1">
      <c r="A1815" s="1499">
        <f t="shared" si="254"/>
        <v>8</v>
      </c>
      <c r="B1815" s="1539" t="str">
        <f t="shared" si="254"/>
        <v>Asset Recived From Civil-U#8-SERVICE BUILDING -10211</v>
      </c>
      <c r="C1815" s="1491" t="str">
        <f t="shared" si="254"/>
        <v>N.A.</v>
      </c>
      <c r="D1815" s="1531" t="str">
        <f t="shared" si="254"/>
        <v>-</v>
      </c>
      <c r="E1815" s="1318">
        <f t="shared" si="254"/>
        <v>0</v>
      </c>
      <c r="F1815" s="1437">
        <f t="shared" si="249"/>
        <v>5.51437E-4</v>
      </c>
      <c r="G1815" s="1437">
        <f t="shared" si="250"/>
        <v>0</v>
      </c>
      <c r="H1815" s="1437">
        <f t="shared" si="251"/>
        <v>5.51437E-4</v>
      </c>
      <c r="I1815" s="1437">
        <v>0</v>
      </c>
      <c r="J1815" s="1437">
        <v>0</v>
      </c>
      <c r="K1815" s="1438"/>
      <c r="L1815" s="1438"/>
      <c r="M1815" s="1437">
        <f t="shared" si="248"/>
        <v>0</v>
      </c>
      <c r="N1815" s="1437">
        <f t="shared" si="252"/>
        <v>5.51437E-4</v>
      </c>
    </row>
    <row r="1816" spans="1:14" outlineLevel="1">
      <c r="A1816" s="1499">
        <f t="shared" si="254"/>
        <v>9</v>
      </c>
      <c r="B1816" s="1539" t="str">
        <f t="shared" si="254"/>
        <v>Asset Recived From Civil-U#8-Canteen -10233</v>
      </c>
      <c r="C1816" s="1491" t="str">
        <f t="shared" si="254"/>
        <v>N.A.</v>
      </c>
      <c r="D1816" s="1531" t="str">
        <f t="shared" si="254"/>
        <v>-</v>
      </c>
      <c r="E1816" s="1318">
        <f t="shared" si="254"/>
        <v>0</v>
      </c>
      <c r="F1816" s="1437">
        <f t="shared" si="249"/>
        <v>7.2491400000000001E-4</v>
      </c>
      <c r="G1816" s="1437">
        <f t="shared" si="250"/>
        <v>0</v>
      </c>
      <c r="H1816" s="1437">
        <f t="shared" si="251"/>
        <v>7.2491400000000001E-4</v>
      </c>
      <c r="I1816" s="1437">
        <v>0</v>
      </c>
      <c r="J1816" s="1437">
        <v>0</v>
      </c>
      <c r="K1816" s="1438"/>
      <c r="L1816" s="1438"/>
      <c r="M1816" s="1437">
        <f t="shared" si="248"/>
        <v>0</v>
      </c>
      <c r="N1816" s="1437">
        <f t="shared" si="252"/>
        <v>7.2491400000000001E-4</v>
      </c>
    </row>
    <row r="1817" spans="1:14" outlineLevel="1">
      <c r="A1817" s="1499">
        <f t="shared" si="254"/>
        <v>10</v>
      </c>
      <c r="B1817" s="1539" t="str">
        <f t="shared" si="254"/>
        <v>Asset Recived From Civil-U#8-PARKING SHED -10233</v>
      </c>
      <c r="C1817" s="1491" t="str">
        <f t="shared" si="254"/>
        <v>N.A.</v>
      </c>
      <c r="D1817" s="1531" t="str">
        <f t="shared" si="254"/>
        <v>-</v>
      </c>
      <c r="E1817" s="1318">
        <f t="shared" si="254"/>
        <v>0</v>
      </c>
      <c r="F1817" s="1437">
        <f t="shared" si="249"/>
        <v>6.1109999999999996E-6</v>
      </c>
      <c r="G1817" s="1437">
        <f t="shared" si="250"/>
        <v>0</v>
      </c>
      <c r="H1817" s="1437">
        <f t="shared" si="251"/>
        <v>6.1109999999999996E-6</v>
      </c>
      <c r="I1817" s="1437">
        <v>0</v>
      </c>
      <c r="J1817" s="1437">
        <v>0</v>
      </c>
      <c r="K1817" s="1438"/>
      <c r="L1817" s="1438"/>
      <c r="M1817" s="1437">
        <f t="shared" si="248"/>
        <v>0</v>
      </c>
      <c r="N1817" s="1437">
        <f t="shared" si="252"/>
        <v>6.1109999999999996E-6</v>
      </c>
    </row>
    <row r="1818" spans="1:14" outlineLevel="1">
      <c r="A1818" s="1499">
        <f t="shared" si="254"/>
        <v>11</v>
      </c>
      <c r="B1818" s="1539" t="str">
        <f t="shared" si="254"/>
        <v>Asset Recived From Civil-U#8-Time Security Building -10233</v>
      </c>
      <c r="C1818" s="1491" t="str">
        <f t="shared" si="254"/>
        <v>N.A.</v>
      </c>
      <c r="D1818" s="1531" t="str">
        <f t="shared" si="254"/>
        <v>-</v>
      </c>
      <c r="E1818" s="1318">
        <f t="shared" si="254"/>
        <v>0</v>
      </c>
      <c r="F1818" s="1437">
        <f t="shared" si="249"/>
        <v>3.595E-5</v>
      </c>
      <c r="G1818" s="1437">
        <f t="shared" si="250"/>
        <v>0</v>
      </c>
      <c r="H1818" s="1437">
        <f t="shared" si="251"/>
        <v>3.595E-5</v>
      </c>
      <c r="I1818" s="1437">
        <v>0</v>
      </c>
      <c r="J1818" s="1437">
        <v>0</v>
      </c>
      <c r="K1818" s="1438"/>
      <c r="L1818" s="1438"/>
      <c r="M1818" s="1437">
        <f t="shared" si="248"/>
        <v>0</v>
      </c>
      <c r="N1818" s="1437">
        <f t="shared" si="252"/>
        <v>3.595E-5</v>
      </c>
    </row>
    <row r="1819" spans="1:14" ht="29" outlineLevel="1">
      <c r="A1819" s="1499">
        <f t="shared" si="254"/>
        <v>12</v>
      </c>
      <c r="B1819" s="1539" t="str">
        <f t="shared" si="254"/>
        <v>Asset Recived From Civil-U#8-Misc.Building/structure/Watchtower-10233</v>
      </c>
      <c r="C1819" s="1491" t="str">
        <f t="shared" si="254"/>
        <v>N.A.</v>
      </c>
      <c r="D1819" s="1531" t="str">
        <f t="shared" si="254"/>
        <v>-</v>
      </c>
      <c r="E1819" s="1318">
        <f t="shared" si="254"/>
        <v>0</v>
      </c>
      <c r="F1819" s="1437">
        <f t="shared" si="249"/>
        <v>1.7243E-4</v>
      </c>
      <c r="G1819" s="1437">
        <f t="shared" si="250"/>
        <v>0</v>
      </c>
      <c r="H1819" s="1437">
        <f t="shared" si="251"/>
        <v>1.7243E-4</v>
      </c>
      <c r="I1819" s="1437">
        <v>0</v>
      </c>
      <c r="J1819" s="1437">
        <v>0</v>
      </c>
      <c r="K1819" s="1438"/>
      <c r="L1819" s="1438"/>
      <c r="M1819" s="1437">
        <f t="shared" si="248"/>
        <v>0</v>
      </c>
      <c r="N1819" s="1437">
        <f t="shared" si="252"/>
        <v>1.7243E-4</v>
      </c>
    </row>
    <row r="1820" spans="1:14" outlineLevel="1">
      <c r="A1820" s="1499">
        <f t="shared" ref="A1820:E1835" si="255">A1427</f>
        <v>13</v>
      </c>
      <c r="B1820" s="1539" t="str">
        <f t="shared" si="255"/>
        <v>Asset Recived From Civil-U#8-Boundry compound wall Mall-10233</v>
      </c>
      <c r="C1820" s="1491" t="str">
        <f t="shared" si="255"/>
        <v>N.A.</v>
      </c>
      <c r="D1820" s="1531" t="str">
        <f t="shared" si="255"/>
        <v>-</v>
      </c>
      <c r="E1820" s="1318">
        <f t="shared" si="255"/>
        <v>0</v>
      </c>
      <c r="F1820" s="1437">
        <f t="shared" si="249"/>
        <v>0.15765880700000001</v>
      </c>
      <c r="G1820" s="1437">
        <f t="shared" si="250"/>
        <v>0</v>
      </c>
      <c r="H1820" s="1437">
        <f t="shared" si="251"/>
        <v>0.15765880700000001</v>
      </c>
      <c r="I1820" s="1437">
        <v>0</v>
      </c>
      <c r="J1820" s="1437">
        <v>0</v>
      </c>
      <c r="K1820" s="1438"/>
      <c r="L1820" s="1438"/>
      <c r="M1820" s="1437">
        <f t="shared" si="248"/>
        <v>0</v>
      </c>
      <c r="N1820" s="1437">
        <f t="shared" si="252"/>
        <v>0.15765880700000001</v>
      </c>
    </row>
    <row r="1821" spans="1:14" outlineLevel="1">
      <c r="A1821" s="1499">
        <f t="shared" si="255"/>
        <v>14</v>
      </c>
      <c r="B1821" s="1539" t="str">
        <f t="shared" si="255"/>
        <v>Asset Recived From Civil-U#8-Workshop civil work-10233</v>
      </c>
      <c r="C1821" s="1491" t="str">
        <f t="shared" si="255"/>
        <v>N.A.</v>
      </c>
      <c r="D1821" s="1531" t="str">
        <f t="shared" si="255"/>
        <v>-</v>
      </c>
      <c r="E1821" s="1318">
        <f t="shared" si="255"/>
        <v>0</v>
      </c>
      <c r="F1821" s="1437">
        <f t="shared" si="249"/>
        <v>4.1879999999999999E-5</v>
      </c>
      <c r="G1821" s="1437">
        <f t="shared" si="250"/>
        <v>0</v>
      </c>
      <c r="H1821" s="1437">
        <f t="shared" si="251"/>
        <v>4.1879999999999999E-5</v>
      </c>
      <c r="I1821" s="1437">
        <v>0</v>
      </c>
      <c r="J1821" s="1437">
        <v>0</v>
      </c>
      <c r="K1821" s="1438"/>
      <c r="L1821" s="1438"/>
      <c r="M1821" s="1437">
        <f t="shared" si="248"/>
        <v>0</v>
      </c>
      <c r="N1821" s="1437">
        <f t="shared" si="252"/>
        <v>4.1879999999999999E-5</v>
      </c>
    </row>
    <row r="1822" spans="1:14" outlineLevel="1">
      <c r="A1822" s="1499">
        <f t="shared" si="255"/>
        <v>15</v>
      </c>
      <c r="B1822" s="1539" t="str">
        <f t="shared" si="255"/>
        <v>Asset Recived From Civil-U#8-Interior Work for CEC-I Office-10233</v>
      </c>
      <c r="C1822" s="1491" t="str">
        <f t="shared" si="255"/>
        <v>N.A.</v>
      </c>
      <c r="D1822" s="1531" t="str">
        <f t="shared" si="255"/>
        <v>-</v>
      </c>
      <c r="E1822" s="1318">
        <f t="shared" si="255"/>
        <v>0</v>
      </c>
      <c r="F1822" s="1437">
        <f t="shared" si="249"/>
        <v>5.6437999999999997E-5</v>
      </c>
      <c r="G1822" s="1437">
        <f t="shared" si="250"/>
        <v>0</v>
      </c>
      <c r="H1822" s="1437">
        <f t="shared" si="251"/>
        <v>5.6437999999999997E-5</v>
      </c>
      <c r="I1822" s="1437">
        <v>0</v>
      </c>
      <c r="J1822" s="1437">
        <v>0</v>
      </c>
      <c r="K1822" s="1438"/>
      <c r="L1822" s="1438"/>
      <c r="M1822" s="1437">
        <f t="shared" si="248"/>
        <v>0</v>
      </c>
      <c r="N1822" s="1437">
        <f t="shared" si="252"/>
        <v>5.6437999999999997E-5</v>
      </c>
    </row>
    <row r="1823" spans="1:14" outlineLevel="1">
      <c r="A1823" s="1499">
        <f t="shared" si="255"/>
        <v>16</v>
      </c>
      <c r="B1823" s="1539" t="str">
        <f t="shared" si="255"/>
        <v>Asset Recived From Civil-U#8-WTP-Raw water reservoir -10305</v>
      </c>
      <c r="C1823" s="1491" t="str">
        <f t="shared" si="255"/>
        <v>N.A.</v>
      </c>
      <c r="D1823" s="1531" t="str">
        <f t="shared" si="255"/>
        <v>-</v>
      </c>
      <c r="E1823" s="1318">
        <f t="shared" si="255"/>
        <v>0</v>
      </c>
      <c r="F1823" s="1437">
        <f t="shared" si="249"/>
        <v>1.224798E-3</v>
      </c>
      <c r="G1823" s="1437">
        <f t="shared" si="250"/>
        <v>0</v>
      </c>
      <c r="H1823" s="1437">
        <f t="shared" si="251"/>
        <v>1.224798E-3</v>
      </c>
      <c r="I1823" s="1437">
        <v>0</v>
      </c>
      <c r="J1823" s="1437">
        <v>0</v>
      </c>
      <c r="K1823" s="1438"/>
      <c r="L1823" s="1438"/>
      <c r="M1823" s="1437">
        <f t="shared" si="248"/>
        <v>0</v>
      </c>
      <c r="N1823" s="1437">
        <f t="shared" si="252"/>
        <v>1.224798E-3</v>
      </c>
    </row>
    <row r="1824" spans="1:14" outlineLevel="1">
      <c r="A1824" s="1499">
        <f t="shared" si="255"/>
        <v>17</v>
      </c>
      <c r="B1824" s="1539" t="str">
        <f t="shared" si="255"/>
        <v>Asset Recived From Civil-U#8-WTP-Clarifier -10305</v>
      </c>
      <c r="C1824" s="1491" t="str">
        <f t="shared" si="255"/>
        <v>N.A.</v>
      </c>
      <c r="D1824" s="1531" t="str">
        <f t="shared" si="255"/>
        <v>-</v>
      </c>
      <c r="E1824" s="1318">
        <f t="shared" si="255"/>
        <v>0</v>
      </c>
      <c r="F1824" s="1437">
        <f t="shared" si="249"/>
        <v>1.1651750000000001E-3</v>
      </c>
      <c r="G1824" s="1437">
        <f t="shared" si="250"/>
        <v>0</v>
      </c>
      <c r="H1824" s="1437">
        <f t="shared" si="251"/>
        <v>1.1651750000000001E-3</v>
      </c>
      <c r="I1824" s="1437">
        <v>0</v>
      </c>
      <c r="J1824" s="1437">
        <v>0</v>
      </c>
      <c r="K1824" s="1438"/>
      <c r="L1824" s="1438"/>
      <c r="M1824" s="1437">
        <f t="shared" si="248"/>
        <v>0</v>
      </c>
      <c r="N1824" s="1437">
        <f t="shared" si="252"/>
        <v>1.1651750000000001E-3</v>
      </c>
    </row>
    <row r="1825" spans="1:14" ht="29" outlineLevel="1">
      <c r="A1825" s="1499">
        <f t="shared" si="255"/>
        <v>18</v>
      </c>
      <c r="B1825" s="1539" t="str">
        <f t="shared" si="255"/>
        <v>Asset Recived From Civil-U#8-WTP-Clarifier Water Storage Tank-10305</v>
      </c>
      <c r="C1825" s="1491" t="str">
        <f t="shared" si="255"/>
        <v>N.A.</v>
      </c>
      <c r="D1825" s="1531" t="str">
        <f t="shared" si="255"/>
        <v>-</v>
      </c>
      <c r="E1825" s="1318">
        <f t="shared" si="255"/>
        <v>0</v>
      </c>
      <c r="F1825" s="1437">
        <f t="shared" si="249"/>
        <v>1.9514200000000001E-4</v>
      </c>
      <c r="G1825" s="1437">
        <f t="shared" si="250"/>
        <v>0</v>
      </c>
      <c r="H1825" s="1437">
        <f t="shared" si="251"/>
        <v>1.9514200000000001E-4</v>
      </c>
      <c r="I1825" s="1437">
        <v>0</v>
      </c>
      <c r="J1825" s="1437">
        <v>0</v>
      </c>
      <c r="K1825" s="1438"/>
      <c r="L1825" s="1438"/>
      <c r="M1825" s="1437">
        <f t="shared" si="248"/>
        <v>0</v>
      </c>
      <c r="N1825" s="1437">
        <f t="shared" si="252"/>
        <v>1.9514200000000001E-4</v>
      </c>
    </row>
    <row r="1826" spans="1:14" outlineLevel="1">
      <c r="A1826" s="1499">
        <f t="shared" si="255"/>
        <v>19</v>
      </c>
      <c r="B1826" s="1539" t="str">
        <f t="shared" si="255"/>
        <v>Asset Recived From Civil-U#8-C.W. pump house &amp; forebay-10310</v>
      </c>
      <c r="C1826" s="1491" t="str">
        <f t="shared" si="255"/>
        <v>N.A.</v>
      </c>
      <c r="D1826" s="1531" t="str">
        <f t="shared" si="255"/>
        <v>-</v>
      </c>
      <c r="E1826" s="1318">
        <f t="shared" si="255"/>
        <v>0</v>
      </c>
      <c r="F1826" s="1437">
        <f t="shared" si="249"/>
        <v>5.2946099999999995E-4</v>
      </c>
      <c r="G1826" s="1437">
        <f t="shared" si="250"/>
        <v>0</v>
      </c>
      <c r="H1826" s="1437">
        <f t="shared" si="251"/>
        <v>5.2946099999999995E-4</v>
      </c>
      <c r="I1826" s="1437">
        <v>0</v>
      </c>
      <c r="J1826" s="1437">
        <v>0</v>
      </c>
      <c r="K1826" s="1438"/>
      <c r="L1826" s="1438"/>
      <c r="M1826" s="1437">
        <f t="shared" si="248"/>
        <v>0</v>
      </c>
      <c r="N1826" s="1437">
        <f t="shared" si="252"/>
        <v>5.2946099999999995E-4</v>
      </c>
    </row>
    <row r="1827" spans="1:14" outlineLevel="1">
      <c r="A1827" s="1499">
        <f t="shared" si="255"/>
        <v>20</v>
      </c>
      <c r="B1827" s="1539" t="str">
        <f t="shared" si="255"/>
        <v>Asset Recived From Civil-U#8-Construction of STP for Colony-10322</v>
      </c>
      <c r="C1827" s="1491" t="str">
        <f t="shared" si="255"/>
        <v>N.A.</v>
      </c>
      <c r="D1827" s="1531" t="str">
        <f t="shared" si="255"/>
        <v>-</v>
      </c>
      <c r="E1827" s="1318">
        <f t="shared" si="255"/>
        <v>0</v>
      </c>
      <c r="F1827" s="1437">
        <f t="shared" si="249"/>
        <v>1.79662E-4</v>
      </c>
      <c r="G1827" s="1437">
        <f t="shared" si="250"/>
        <v>0</v>
      </c>
      <c r="H1827" s="1437">
        <f t="shared" si="251"/>
        <v>1.79662E-4</v>
      </c>
      <c r="I1827" s="1437">
        <v>0</v>
      </c>
      <c r="J1827" s="1437">
        <v>0</v>
      </c>
      <c r="K1827" s="1438"/>
      <c r="L1827" s="1438"/>
      <c r="M1827" s="1437">
        <f t="shared" si="248"/>
        <v>0</v>
      </c>
      <c r="N1827" s="1437">
        <f t="shared" si="252"/>
        <v>1.79662E-4</v>
      </c>
    </row>
    <row r="1828" spans="1:14" outlineLevel="1">
      <c r="A1828" s="1499">
        <f t="shared" si="255"/>
        <v>21</v>
      </c>
      <c r="B1828" s="1539" t="str">
        <f t="shared" si="255"/>
        <v>Asset Recived From Civil-U#8-Cooling Towers-10311</v>
      </c>
      <c r="C1828" s="1491" t="str">
        <f t="shared" si="255"/>
        <v>N.A.</v>
      </c>
      <c r="D1828" s="1531" t="str">
        <f t="shared" si="255"/>
        <v>-</v>
      </c>
      <c r="E1828" s="1318">
        <f t="shared" si="255"/>
        <v>0</v>
      </c>
      <c r="F1828" s="1437">
        <f t="shared" si="249"/>
        <v>0.37627639299999999</v>
      </c>
      <c r="G1828" s="1437">
        <f t="shared" si="250"/>
        <v>0</v>
      </c>
      <c r="H1828" s="1437">
        <f t="shared" si="251"/>
        <v>0.37627639299999999</v>
      </c>
      <c r="I1828" s="1437">
        <v>0</v>
      </c>
      <c r="J1828" s="1437">
        <v>0</v>
      </c>
      <c r="K1828" s="1438"/>
      <c r="L1828" s="1438"/>
      <c r="M1828" s="1437">
        <f t="shared" si="248"/>
        <v>0</v>
      </c>
      <c r="N1828" s="1437">
        <f t="shared" si="252"/>
        <v>0.37627639299999999</v>
      </c>
    </row>
    <row r="1829" spans="1:14" outlineLevel="1">
      <c r="A1829" s="1499">
        <f t="shared" si="255"/>
        <v>22</v>
      </c>
      <c r="B1829" s="1539" t="str">
        <f t="shared" si="255"/>
        <v>Asset Recived From Civil-U#8-Railway sidings-10412</v>
      </c>
      <c r="C1829" s="1491" t="str">
        <f t="shared" si="255"/>
        <v>N.A.</v>
      </c>
      <c r="D1829" s="1531" t="str">
        <f t="shared" si="255"/>
        <v>-</v>
      </c>
      <c r="E1829" s="1318">
        <f t="shared" si="255"/>
        <v>0</v>
      </c>
      <c r="F1829" s="1437">
        <f t="shared" si="249"/>
        <v>0.13615478800000003</v>
      </c>
      <c r="G1829" s="1437">
        <f t="shared" si="250"/>
        <v>0</v>
      </c>
      <c r="H1829" s="1437">
        <f t="shared" si="251"/>
        <v>0.13615478800000003</v>
      </c>
      <c r="I1829" s="1437">
        <v>0</v>
      </c>
      <c r="J1829" s="1437">
        <v>0</v>
      </c>
      <c r="K1829" s="1438"/>
      <c r="L1829" s="1438"/>
      <c r="M1829" s="1437">
        <f t="shared" si="248"/>
        <v>0</v>
      </c>
      <c r="N1829" s="1437">
        <f t="shared" si="252"/>
        <v>0.13615478800000003</v>
      </c>
    </row>
    <row r="1830" spans="1:14" outlineLevel="1">
      <c r="A1830" s="1499">
        <f t="shared" si="255"/>
        <v>23</v>
      </c>
      <c r="B1830" s="1539" t="str">
        <f t="shared" si="255"/>
        <v>Asset Recived From Civil-U#8-In plant Roads -10401</v>
      </c>
      <c r="C1830" s="1491" t="str">
        <f t="shared" si="255"/>
        <v>N.A.</v>
      </c>
      <c r="D1830" s="1531" t="str">
        <f t="shared" si="255"/>
        <v>-</v>
      </c>
      <c r="E1830" s="1318">
        <f t="shared" si="255"/>
        <v>0</v>
      </c>
      <c r="F1830" s="1437">
        <f t="shared" si="249"/>
        <v>9.1029900000000005E-4</v>
      </c>
      <c r="G1830" s="1437">
        <f t="shared" si="250"/>
        <v>0</v>
      </c>
      <c r="H1830" s="1437">
        <f t="shared" si="251"/>
        <v>9.1029900000000005E-4</v>
      </c>
      <c r="I1830" s="1437">
        <v>0</v>
      </c>
      <c r="J1830" s="1437">
        <v>0</v>
      </c>
      <c r="K1830" s="1438"/>
      <c r="L1830" s="1438"/>
      <c r="M1830" s="1437">
        <f t="shared" si="248"/>
        <v>0</v>
      </c>
      <c r="N1830" s="1437">
        <f t="shared" si="252"/>
        <v>9.1029900000000005E-4</v>
      </c>
    </row>
    <row r="1831" spans="1:14" outlineLevel="1">
      <c r="A1831" s="1499">
        <f t="shared" si="255"/>
        <v>24</v>
      </c>
      <c r="B1831" s="1539" t="str">
        <f t="shared" si="255"/>
        <v>Asset Recived From Civil-U#8-Pipe Rack -10419</v>
      </c>
      <c r="C1831" s="1491" t="str">
        <f t="shared" si="255"/>
        <v>N.A.</v>
      </c>
      <c r="D1831" s="1531" t="str">
        <f t="shared" si="255"/>
        <v>-</v>
      </c>
      <c r="E1831" s="1318">
        <f t="shared" si="255"/>
        <v>0</v>
      </c>
      <c r="F1831" s="1437">
        <f t="shared" si="249"/>
        <v>4.1823400000000002E-4</v>
      </c>
      <c r="G1831" s="1437">
        <f t="shared" si="250"/>
        <v>0</v>
      </c>
      <c r="H1831" s="1437">
        <f t="shared" si="251"/>
        <v>4.1823400000000002E-4</v>
      </c>
      <c r="I1831" s="1437">
        <v>0</v>
      </c>
      <c r="J1831" s="1437">
        <v>0</v>
      </c>
      <c r="K1831" s="1438"/>
      <c r="L1831" s="1438"/>
      <c r="M1831" s="1437">
        <f t="shared" si="248"/>
        <v>0</v>
      </c>
      <c r="N1831" s="1437">
        <f t="shared" si="252"/>
        <v>4.1823400000000002E-4</v>
      </c>
    </row>
    <row r="1832" spans="1:14" outlineLevel="1">
      <c r="A1832" s="1499">
        <f t="shared" si="255"/>
        <v>25</v>
      </c>
      <c r="B1832" s="1539" t="str">
        <f t="shared" si="255"/>
        <v>Asset Recived From Civil-U#8-Transformar yard area -10541</v>
      </c>
      <c r="C1832" s="1491" t="str">
        <f t="shared" si="255"/>
        <v>N.A.</v>
      </c>
      <c r="D1832" s="1531" t="str">
        <f t="shared" si="255"/>
        <v>-</v>
      </c>
      <c r="E1832" s="1318">
        <f t="shared" si="255"/>
        <v>0</v>
      </c>
      <c r="F1832" s="1437">
        <f t="shared" si="249"/>
        <v>5.31695E-4</v>
      </c>
      <c r="G1832" s="1437">
        <f t="shared" si="250"/>
        <v>0</v>
      </c>
      <c r="H1832" s="1437">
        <f t="shared" si="251"/>
        <v>5.31695E-4</v>
      </c>
      <c r="I1832" s="1437">
        <v>0</v>
      </c>
      <c r="J1832" s="1437">
        <v>0</v>
      </c>
      <c r="K1832" s="1438"/>
      <c r="L1832" s="1438"/>
      <c r="M1832" s="1437">
        <f t="shared" si="248"/>
        <v>0</v>
      </c>
      <c r="N1832" s="1437">
        <f t="shared" si="252"/>
        <v>5.31695E-4</v>
      </c>
    </row>
    <row r="1833" spans="1:14" ht="29" outlineLevel="1">
      <c r="A1833" s="1499">
        <f t="shared" si="255"/>
        <v>26</v>
      </c>
      <c r="B1833" s="1539" t="str">
        <f t="shared" si="255"/>
        <v>Asset Recived From Civil-U#8-BA-Boiler and Auxilary foundation-10501</v>
      </c>
      <c r="C1833" s="1491" t="str">
        <f t="shared" si="255"/>
        <v>N.A.</v>
      </c>
      <c r="D1833" s="1531" t="str">
        <f t="shared" si="255"/>
        <v>-</v>
      </c>
      <c r="E1833" s="1318">
        <f t="shared" si="255"/>
        <v>0</v>
      </c>
      <c r="F1833" s="1437">
        <f t="shared" si="249"/>
        <v>6.1116199999999999E-3</v>
      </c>
      <c r="G1833" s="1437">
        <f t="shared" si="250"/>
        <v>0</v>
      </c>
      <c r="H1833" s="1437">
        <f t="shared" si="251"/>
        <v>6.1116199999999999E-3</v>
      </c>
      <c r="I1833" s="1437">
        <v>0</v>
      </c>
      <c r="J1833" s="1437">
        <v>0</v>
      </c>
      <c r="K1833" s="1438"/>
      <c r="L1833" s="1438"/>
      <c r="M1833" s="1437">
        <f t="shared" si="248"/>
        <v>0</v>
      </c>
      <c r="N1833" s="1437">
        <f t="shared" si="252"/>
        <v>6.1116199999999999E-3</v>
      </c>
    </row>
    <row r="1834" spans="1:14" outlineLevel="1">
      <c r="A1834" s="1499">
        <f t="shared" si="255"/>
        <v>27</v>
      </c>
      <c r="B1834" s="1539" t="str">
        <f t="shared" si="255"/>
        <v>Asset Recived From Civil-U#8-BA-FD FAN FOUNDATIONS -10501</v>
      </c>
      <c r="C1834" s="1491" t="str">
        <f t="shared" si="255"/>
        <v>N.A.</v>
      </c>
      <c r="D1834" s="1531" t="str">
        <f t="shared" si="255"/>
        <v>-</v>
      </c>
      <c r="E1834" s="1318">
        <f t="shared" si="255"/>
        <v>0</v>
      </c>
      <c r="F1834" s="1437">
        <f t="shared" si="249"/>
        <v>1.11659E-4</v>
      </c>
      <c r="G1834" s="1437">
        <f t="shared" si="250"/>
        <v>0</v>
      </c>
      <c r="H1834" s="1437">
        <f t="shared" si="251"/>
        <v>1.11659E-4</v>
      </c>
      <c r="I1834" s="1437">
        <v>0</v>
      </c>
      <c r="J1834" s="1437">
        <v>0</v>
      </c>
      <c r="K1834" s="1438"/>
      <c r="L1834" s="1438"/>
      <c r="M1834" s="1437">
        <f t="shared" si="248"/>
        <v>0</v>
      </c>
      <c r="N1834" s="1437">
        <f t="shared" si="252"/>
        <v>1.11659E-4</v>
      </c>
    </row>
    <row r="1835" spans="1:14" outlineLevel="1">
      <c r="A1835" s="1499">
        <f t="shared" si="255"/>
        <v>28</v>
      </c>
      <c r="B1835" s="1539" t="str">
        <f t="shared" si="255"/>
        <v>Asset Recived From Civil-U#8-BA-PA FAN FOUNDATION -10501</v>
      </c>
      <c r="C1835" s="1491" t="str">
        <f t="shared" si="255"/>
        <v>N.A.</v>
      </c>
      <c r="D1835" s="1531" t="str">
        <f t="shared" si="255"/>
        <v>-</v>
      </c>
      <c r="E1835" s="1318">
        <f t="shared" si="255"/>
        <v>0</v>
      </c>
      <c r="F1835" s="1437">
        <f t="shared" si="249"/>
        <v>1.11659E-4</v>
      </c>
      <c r="G1835" s="1437">
        <f t="shared" si="250"/>
        <v>0</v>
      </c>
      <c r="H1835" s="1437">
        <f t="shared" si="251"/>
        <v>1.11659E-4</v>
      </c>
      <c r="I1835" s="1437">
        <v>0</v>
      </c>
      <c r="J1835" s="1437">
        <v>0</v>
      </c>
      <c r="K1835" s="1438"/>
      <c r="L1835" s="1438"/>
      <c r="M1835" s="1437">
        <f t="shared" si="248"/>
        <v>0</v>
      </c>
      <c r="N1835" s="1437">
        <f t="shared" si="252"/>
        <v>1.11659E-4</v>
      </c>
    </row>
    <row r="1836" spans="1:14" outlineLevel="1">
      <c r="A1836" s="1499">
        <f t="shared" ref="A1836:E1851" si="256">A1443</f>
        <v>29</v>
      </c>
      <c r="B1836" s="1539" t="str">
        <f t="shared" si="256"/>
        <v>Asset Recived From Civil-U#8-BA-I.D. Fan foundation -10501</v>
      </c>
      <c r="C1836" s="1491" t="str">
        <f t="shared" si="256"/>
        <v>N.A.</v>
      </c>
      <c r="D1836" s="1531" t="str">
        <f t="shared" si="256"/>
        <v>-</v>
      </c>
      <c r="E1836" s="1318">
        <f t="shared" si="256"/>
        <v>0</v>
      </c>
      <c r="F1836" s="1437">
        <f t="shared" si="249"/>
        <v>2.23317E-4</v>
      </c>
      <c r="G1836" s="1437">
        <f t="shared" si="250"/>
        <v>0</v>
      </c>
      <c r="H1836" s="1437">
        <f t="shared" si="251"/>
        <v>2.23317E-4</v>
      </c>
      <c r="I1836" s="1437">
        <v>0</v>
      </c>
      <c r="J1836" s="1437">
        <v>0</v>
      </c>
      <c r="K1836" s="1438"/>
      <c r="L1836" s="1438"/>
      <c r="M1836" s="1437">
        <f t="shared" si="248"/>
        <v>0</v>
      </c>
      <c r="N1836" s="1437">
        <f t="shared" si="252"/>
        <v>2.23317E-4</v>
      </c>
    </row>
    <row r="1837" spans="1:14" outlineLevel="1">
      <c r="A1837" s="1499">
        <f t="shared" si="256"/>
        <v>30</v>
      </c>
      <c r="B1837" s="1539" t="str">
        <f t="shared" si="256"/>
        <v>Asset Recived From Civil-U#8-BA-MILL FOUNDATION-10501</v>
      </c>
      <c r="C1837" s="1491" t="str">
        <f t="shared" si="256"/>
        <v>N.A.</v>
      </c>
      <c r="D1837" s="1531" t="str">
        <f t="shared" si="256"/>
        <v>-</v>
      </c>
      <c r="E1837" s="1318">
        <f t="shared" si="256"/>
        <v>0</v>
      </c>
      <c r="F1837" s="1437">
        <f t="shared" si="249"/>
        <v>1.98259E-4</v>
      </c>
      <c r="G1837" s="1437">
        <f t="shared" si="250"/>
        <v>0</v>
      </c>
      <c r="H1837" s="1437">
        <f t="shared" si="251"/>
        <v>1.98259E-4</v>
      </c>
      <c r="I1837" s="1437">
        <v>0</v>
      </c>
      <c r="J1837" s="1437">
        <v>0</v>
      </c>
      <c r="K1837" s="1438"/>
      <c r="L1837" s="1438"/>
      <c r="M1837" s="1437">
        <f t="shared" si="248"/>
        <v>0</v>
      </c>
      <c r="N1837" s="1437">
        <f t="shared" si="252"/>
        <v>1.98259E-4</v>
      </c>
    </row>
    <row r="1838" spans="1:14" ht="29" outlineLevel="1">
      <c r="A1838" s="1499">
        <f t="shared" si="256"/>
        <v>31</v>
      </c>
      <c r="B1838" s="1539" t="str">
        <f t="shared" si="256"/>
        <v>Asset Recived From Civil-U#8-BA-BUNKER FOUNDATION &amp; STRUCTURE-10515</v>
      </c>
      <c r="C1838" s="1491" t="str">
        <f t="shared" si="256"/>
        <v>N.A.</v>
      </c>
      <c r="D1838" s="1531" t="str">
        <f t="shared" si="256"/>
        <v>-</v>
      </c>
      <c r="E1838" s="1318">
        <f t="shared" si="256"/>
        <v>0</v>
      </c>
      <c r="F1838" s="1437">
        <f t="shared" si="249"/>
        <v>1.392536E-3</v>
      </c>
      <c r="G1838" s="1437">
        <f t="shared" si="250"/>
        <v>0</v>
      </c>
      <c r="H1838" s="1437">
        <f t="shared" si="251"/>
        <v>1.392536E-3</v>
      </c>
      <c r="I1838" s="1437">
        <v>0</v>
      </c>
      <c r="J1838" s="1437">
        <v>0</v>
      </c>
      <c r="K1838" s="1438"/>
      <c r="L1838" s="1438"/>
      <c r="M1838" s="1437">
        <f t="shared" ref="M1838:M1901" si="257">SUM(J1838:L1838)</f>
        <v>0</v>
      </c>
      <c r="N1838" s="1437">
        <f t="shared" si="252"/>
        <v>1.392536E-3</v>
      </c>
    </row>
    <row r="1839" spans="1:14" outlineLevel="1">
      <c r="A1839" s="1499">
        <f t="shared" si="256"/>
        <v>32</v>
      </c>
      <c r="B1839" s="1539" t="str">
        <f t="shared" si="256"/>
        <v>Asset Recived From Civil-U#8-ESP-10501</v>
      </c>
      <c r="C1839" s="1491" t="str">
        <f t="shared" si="256"/>
        <v>N.A.</v>
      </c>
      <c r="D1839" s="1531" t="str">
        <f t="shared" si="256"/>
        <v>-</v>
      </c>
      <c r="E1839" s="1318">
        <f t="shared" si="256"/>
        <v>0</v>
      </c>
      <c r="F1839" s="1437">
        <f t="shared" ref="F1839:F1902" si="258">F1446+I1446</f>
        <v>7.0722000000000005E-4</v>
      </c>
      <c r="G1839" s="1437">
        <f t="shared" ref="G1839:G1902" si="259">G1446+M1446</f>
        <v>0</v>
      </c>
      <c r="H1839" s="1437">
        <f t="shared" si="251"/>
        <v>7.0722000000000005E-4</v>
      </c>
      <c r="I1839" s="1437">
        <v>0</v>
      </c>
      <c r="J1839" s="1437">
        <v>0</v>
      </c>
      <c r="K1839" s="1438"/>
      <c r="L1839" s="1438"/>
      <c r="M1839" s="1437">
        <f t="shared" si="257"/>
        <v>0</v>
      </c>
      <c r="N1839" s="1437">
        <f t="shared" si="252"/>
        <v>7.0722000000000005E-4</v>
      </c>
    </row>
    <row r="1840" spans="1:14" outlineLevel="1">
      <c r="A1840" s="1499">
        <f t="shared" si="256"/>
        <v>33</v>
      </c>
      <c r="B1840" s="1539" t="str">
        <f t="shared" si="256"/>
        <v>Asset Recived From Civil-U#8-ESP Control Room-10501</v>
      </c>
      <c r="C1840" s="1491" t="str">
        <f t="shared" si="256"/>
        <v>N.A.</v>
      </c>
      <c r="D1840" s="1531" t="str">
        <f t="shared" si="256"/>
        <v>-</v>
      </c>
      <c r="E1840" s="1318">
        <f t="shared" si="256"/>
        <v>0</v>
      </c>
      <c r="F1840" s="1437">
        <f t="shared" si="258"/>
        <v>4.2763499999999999E-4</v>
      </c>
      <c r="G1840" s="1437">
        <f t="shared" si="259"/>
        <v>0</v>
      </c>
      <c r="H1840" s="1437">
        <f t="shared" ref="H1840:H1903" si="260">F1840-G1840</f>
        <v>4.2763499999999999E-4</v>
      </c>
      <c r="I1840" s="1437">
        <v>0</v>
      </c>
      <c r="J1840" s="1437">
        <v>0</v>
      </c>
      <c r="K1840" s="1438"/>
      <c r="L1840" s="1438"/>
      <c r="M1840" s="1437">
        <f t="shared" si="257"/>
        <v>0</v>
      </c>
      <c r="N1840" s="1437">
        <f t="shared" ref="N1840:N1903" si="261">H1840+I1840-M1840</f>
        <v>4.2763499999999999E-4</v>
      </c>
    </row>
    <row r="1841" spans="1:14" outlineLevel="1">
      <c r="A1841" s="1499">
        <f t="shared" si="256"/>
        <v>34</v>
      </c>
      <c r="B1841" s="1539" t="str">
        <f t="shared" si="256"/>
        <v>Asset Recived From Civil-U#8-RCC Chimney -10501</v>
      </c>
      <c r="C1841" s="1491" t="str">
        <f t="shared" si="256"/>
        <v>N.A.</v>
      </c>
      <c r="D1841" s="1531" t="str">
        <f t="shared" si="256"/>
        <v>-</v>
      </c>
      <c r="E1841" s="1318">
        <f t="shared" si="256"/>
        <v>0</v>
      </c>
      <c r="F1841" s="1437">
        <f t="shared" si="258"/>
        <v>4.612672E-3</v>
      </c>
      <c r="G1841" s="1437">
        <f t="shared" si="259"/>
        <v>0</v>
      </c>
      <c r="H1841" s="1437">
        <f t="shared" si="260"/>
        <v>4.612672E-3</v>
      </c>
      <c r="I1841" s="1437">
        <v>0</v>
      </c>
      <c r="J1841" s="1437">
        <v>0</v>
      </c>
      <c r="K1841" s="1438"/>
      <c r="L1841" s="1438"/>
      <c r="M1841" s="1437">
        <f t="shared" si="257"/>
        <v>0</v>
      </c>
      <c r="N1841" s="1437">
        <f t="shared" si="261"/>
        <v>4.612672E-3</v>
      </c>
    </row>
    <row r="1842" spans="1:14" ht="29" outlineLevel="1">
      <c r="A1842" s="1499">
        <f t="shared" si="256"/>
        <v>35</v>
      </c>
      <c r="B1842" s="1539" t="str">
        <f t="shared" si="256"/>
        <v>Asset Recived From Civil-U#8-WTP-D.M.Plant equipment fdn. etc.-10509</v>
      </c>
      <c r="C1842" s="1491" t="str">
        <f t="shared" si="256"/>
        <v>N.A.</v>
      </c>
      <c r="D1842" s="1531" t="str">
        <f t="shared" si="256"/>
        <v>-</v>
      </c>
      <c r="E1842" s="1318">
        <f t="shared" si="256"/>
        <v>0</v>
      </c>
      <c r="F1842" s="1437">
        <f t="shared" si="258"/>
        <v>6.3898000000000004E-5</v>
      </c>
      <c r="G1842" s="1437">
        <f t="shared" si="259"/>
        <v>0</v>
      </c>
      <c r="H1842" s="1437">
        <f t="shared" si="260"/>
        <v>6.3898000000000004E-5</v>
      </c>
      <c r="I1842" s="1437">
        <v>0</v>
      </c>
      <c r="J1842" s="1437">
        <v>0</v>
      </c>
      <c r="K1842" s="1438"/>
      <c r="L1842" s="1438"/>
      <c r="M1842" s="1437">
        <f t="shared" si="257"/>
        <v>0</v>
      </c>
      <c r="N1842" s="1437">
        <f t="shared" si="261"/>
        <v>6.3898000000000004E-5</v>
      </c>
    </row>
    <row r="1843" spans="1:14" outlineLevel="1">
      <c r="A1843" s="1499">
        <f t="shared" si="256"/>
        <v>36</v>
      </c>
      <c r="B1843" s="1539" t="str">
        <f t="shared" si="256"/>
        <v>Asset Recived From Civil-U#8-CHP-Wagon Tippler-10515</v>
      </c>
      <c r="C1843" s="1491" t="str">
        <f t="shared" si="256"/>
        <v>N.A.</v>
      </c>
      <c r="D1843" s="1531" t="str">
        <f t="shared" si="256"/>
        <v>-</v>
      </c>
      <c r="E1843" s="1318">
        <f t="shared" si="256"/>
        <v>0</v>
      </c>
      <c r="F1843" s="1437">
        <f t="shared" si="258"/>
        <v>9.4041100000000005E-4</v>
      </c>
      <c r="G1843" s="1437">
        <f t="shared" si="259"/>
        <v>0</v>
      </c>
      <c r="H1843" s="1437">
        <f t="shared" si="260"/>
        <v>9.4041100000000005E-4</v>
      </c>
      <c r="I1843" s="1437">
        <v>0</v>
      </c>
      <c r="J1843" s="1437">
        <v>0</v>
      </c>
      <c r="K1843" s="1438"/>
      <c r="L1843" s="1438"/>
      <c r="M1843" s="1437">
        <f t="shared" si="257"/>
        <v>0</v>
      </c>
      <c r="N1843" s="1437">
        <f t="shared" si="261"/>
        <v>9.4041100000000005E-4</v>
      </c>
    </row>
    <row r="1844" spans="1:14" outlineLevel="1">
      <c r="A1844" s="1499">
        <f t="shared" si="256"/>
        <v>37</v>
      </c>
      <c r="B1844" s="1539" t="str">
        <f t="shared" si="256"/>
        <v>Asset Recived From Civil-U#8-CHP-Crusher House -10515</v>
      </c>
      <c r="C1844" s="1491" t="str">
        <f t="shared" si="256"/>
        <v>N.A.</v>
      </c>
      <c r="D1844" s="1531" t="str">
        <f t="shared" si="256"/>
        <v>-</v>
      </c>
      <c r="E1844" s="1318">
        <f t="shared" si="256"/>
        <v>0</v>
      </c>
      <c r="F1844" s="1437">
        <f t="shared" si="258"/>
        <v>7.4704199999999995E-4</v>
      </c>
      <c r="G1844" s="1437">
        <f t="shared" si="259"/>
        <v>0</v>
      </c>
      <c r="H1844" s="1437">
        <f t="shared" si="260"/>
        <v>7.4704199999999995E-4</v>
      </c>
      <c r="I1844" s="1437">
        <v>0</v>
      </c>
      <c r="J1844" s="1437">
        <v>0</v>
      </c>
      <c r="K1844" s="1438"/>
      <c r="L1844" s="1438"/>
      <c r="M1844" s="1437">
        <f t="shared" si="257"/>
        <v>0</v>
      </c>
      <c r="N1844" s="1437">
        <f t="shared" si="261"/>
        <v>7.4704199999999995E-4</v>
      </c>
    </row>
    <row r="1845" spans="1:14" outlineLevel="1">
      <c r="A1845" s="1499">
        <f t="shared" si="256"/>
        <v>38</v>
      </c>
      <c r="B1845" s="1539" t="str">
        <f t="shared" si="256"/>
        <v>Asset Recived From Civil-U#8-CHP-Stacker Reclaimer -10515</v>
      </c>
      <c r="C1845" s="1491" t="str">
        <f t="shared" si="256"/>
        <v>N.A.</v>
      </c>
      <c r="D1845" s="1531" t="str">
        <f t="shared" si="256"/>
        <v>-</v>
      </c>
      <c r="E1845" s="1318">
        <f t="shared" si="256"/>
        <v>0</v>
      </c>
      <c r="F1845" s="1437">
        <f t="shared" si="258"/>
        <v>2.8485300000000001E-4</v>
      </c>
      <c r="G1845" s="1437">
        <f t="shared" si="259"/>
        <v>0</v>
      </c>
      <c r="H1845" s="1437">
        <f t="shared" si="260"/>
        <v>2.8485300000000001E-4</v>
      </c>
      <c r="I1845" s="1437">
        <v>0</v>
      </c>
      <c r="J1845" s="1437">
        <v>0</v>
      </c>
      <c r="K1845" s="1438"/>
      <c r="L1845" s="1438"/>
      <c r="M1845" s="1437">
        <f t="shared" si="257"/>
        <v>0</v>
      </c>
      <c r="N1845" s="1437">
        <f t="shared" si="261"/>
        <v>2.8485300000000001E-4</v>
      </c>
    </row>
    <row r="1846" spans="1:14" outlineLevel="1">
      <c r="A1846" s="1499">
        <f t="shared" si="256"/>
        <v>39</v>
      </c>
      <c r="B1846" s="1539" t="str">
        <f t="shared" si="256"/>
        <v>Asset Recived From Civil-U#8-CHP-Stock Yard-10515</v>
      </c>
      <c r="C1846" s="1491" t="str">
        <f t="shared" si="256"/>
        <v>N.A.</v>
      </c>
      <c r="D1846" s="1531" t="str">
        <f t="shared" si="256"/>
        <v>-</v>
      </c>
      <c r="E1846" s="1318">
        <f t="shared" si="256"/>
        <v>0</v>
      </c>
      <c r="F1846" s="1437">
        <f t="shared" si="258"/>
        <v>1.5851400000000001E-4</v>
      </c>
      <c r="G1846" s="1437">
        <f t="shared" si="259"/>
        <v>0</v>
      </c>
      <c r="H1846" s="1437">
        <f t="shared" si="260"/>
        <v>1.5851400000000001E-4</v>
      </c>
      <c r="I1846" s="1437">
        <v>0</v>
      </c>
      <c r="J1846" s="1437">
        <v>0</v>
      </c>
      <c r="K1846" s="1438"/>
      <c r="L1846" s="1438"/>
      <c r="M1846" s="1437">
        <f t="shared" si="257"/>
        <v>0</v>
      </c>
      <c r="N1846" s="1437">
        <f t="shared" si="261"/>
        <v>1.5851400000000001E-4</v>
      </c>
    </row>
    <row r="1847" spans="1:14" ht="29" outlineLevel="1">
      <c r="A1847" s="1499">
        <f t="shared" si="256"/>
        <v>40</v>
      </c>
      <c r="B1847" s="1539" t="str">
        <f t="shared" si="256"/>
        <v>Asset Recived From Civil-U#8-CHP-ConveyorPedetals&amp;TransferPoint-10515</v>
      </c>
      <c r="C1847" s="1491" t="str">
        <f t="shared" si="256"/>
        <v>N.A.</v>
      </c>
      <c r="D1847" s="1531" t="str">
        <f t="shared" si="256"/>
        <v>-</v>
      </c>
      <c r="E1847" s="1318">
        <f t="shared" si="256"/>
        <v>0</v>
      </c>
      <c r="F1847" s="1437">
        <f t="shared" si="258"/>
        <v>5.5407899999999996E-4</v>
      </c>
      <c r="G1847" s="1437">
        <f t="shared" si="259"/>
        <v>0</v>
      </c>
      <c r="H1847" s="1437">
        <f t="shared" si="260"/>
        <v>5.5407899999999996E-4</v>
      </c>
      <c r="I1847" s="1437">
        <v>0</v>
      </c>
      <c r="J1847" s="1437">
        <v>0</v>
      </c>
      <c r="K1847" s="1438"/>
      <c r="L1847" s="1438"/>
      <c r="M1847" s="1437">
        <f t="shared" si="257"/>
        <v>0</v>
      </c>
      <c r="N1847" s="1437">
        <f t="shared" si="261"/>
        <v>5.5407899999999996E-4</v>
      </c>
    </row>
    <row r="1848" spans="1:14" outlineLevel="1">
      <c r="A1848" s="1499">
        <f t="shared" si="256"/>
        <v>41</v>
      </c>
      <c r="B1848" s="1539" t="str">
        <f t="shared" si="256"/>
        <v>Asset Recived From Civil-U#8-CHP-MCC ROOM -10515</v>
      </c>
      <c r="C1848" s="1491" t="str">
        <f t="shared" si="256"/>
        <v>N.A.</v>
      </c>
      <c r="D1848" s="1531" t="str">
        <f t="shared" si="256"/>
        <v>-</v>
      </c>
      <c r="E1848" s="1318">
        <f t="shared" si="256"/>
        <v>0</v>
      </c>
      <c r="F1848" s="1437">
        <f t="shared" si="258"/>
        <v>2.6945000000000002E-4</v>
      </c>
      <c r="G1848" s="1437">
        <f t="shared" si="259"/>
        <v>0</v>
      </c>
      <c r="H1848" s="1437">
        <f t="shared" si="260"/>
        <v>2.6945000000000002E-4</v>
      </c>
      <c r="I1848" s="1437">
        <v>0</v>
      </c>
      <c r="J1848" s="1437">
        <v>0</v>
      </c>
      <c r="K1848" s="1438"/>
      <c r="L1848" s="1438"/>
      <c r="M1848" s="1437">
        <f t="shared" si="257"/>
        <v>0</v>
      </c>
      <c r="N1848" s="1437">
        <f t="shared" si="261"/>
        <v>2.6945000000000002E-4</v>
      </c>
    </row>
    <row r="1849" spans="1:14" outlineLevel="1">
      <c r="A1849" s="1499">
        <f t="shared" si="256"/>
        <v>42</v>
      </c>
      <c r="B1849" s="1539" t="str">
        <f t="shared" si="256"/>
        <v>Asset Recived From Civil-U#8-AHP-RCC Ash Silo -10501</v>
      </c>
      <c r="C1849" s="1491" t="str">
        <f t="shared" si="256"/>
        <v>N.A.</v>
      </c>
      <c r="D1849" s="1531" t="str">
        <f t="shared" si="256"/>
        <v>-</v>
      </c>
      <c r="E1849" s="1318">
        <f t="shared" si="256"/>
        <v>0</v>
      </c>
      <c r="F1849" s="1437">
        <f t="shared" si="258"/>
        <v>1.64229E-4</v>
      </c>
      <c r="G1849" s="1437">
        <f t="shared" si="259"/>
        <v>0</v>
      </c>
      <c r="H1849" s="1437">
        <f t="shared" si="260"/>
        <v>1.64229E-4</v>
      </c>
      <c r="I1849" s="1437">
        <v>0</v>
      </c>
      <c r="J1849" s="1437">
        <v>0</v>
      </c>
      <c r="K1849" s="1438"/>
      <c r="L1849" s="1438"/>
      <c r="M1849" s="1437">
        <f t="shared" si="257"/>
        <v>0</v>
      </c>
      <c r="N1849" s="1437">
        <f t="shared" si="261"/>
        <v>1.64229E-4</v>
      </c>
    </row>
    <row r="1850" spans="1:14" outlineLevel="1">
      <c r="A1850" s="1499">
        <f t="shared" si="256"/>
        <v>43</v>
      </c>
      <c r="B1850" s="1539" t="str">
        <f t="shared" si="256"/>
        <v>Asset Recived From Civil-U#8-AHP-Staicase near Silo-10501</v>
      </c>
      <c r="C1850" s="1491" t="str">
        <f t="shared" si="256"/>
        <v>N.A.</v>
      </c>
      <c r="D1850" s="1531" t="str">
        <f t="shared" si="256"/>
        <v>-</v>
      </c>
      <c r="E1850" s="1318">
        <f t="shared" si="256"/>
        <v>0</v>
      </c>
      <c r="F1850" s="1437">
        <f t="shared" si="258"/>
        <v>1.7302000000000001E-5</v>
      </c>
      <c r="G1850" s="1437">
        <f t="shared" si="259"/>
        <v>0</v>
      </c>
      <c r="H1850" s="1437">
        <f t="shared" si="260"/>
        <v>1.7302000000000001E-5</v>
      </c>
      <c r="I1850" s="1437">
        <v>0</v>
      </c>
      <c r="J1850" s="1437">
        <v>0</v>
      </c>
      <c r="K1850" s="1438"/>
      <c r="L1850" s="1438"/>
      <c r="M1850" s="1437">
        <f t="shared" si="257"/>
        <v>0</v>
      </c>
      <c r="N1850" s="1437">
        <f t="shared" si="261"/>
        <v>1.7302000000000001E-5</v>
      </c>
    </row>
    <row r="1851" spans="1:14" outlineLevel="1">
      <c r="A1851" s="1499">
        <f t="shared" si="256"/>
        <v>44</v>
      </c>
      <c r="B1851" s="1539" t="str">
        <f t="shared" si="256"/>
        <v>Asset Recived From Civil-U#8-AHP-Drain sump in Silo Area -10501</v>
      </c>
      <c r="C1851" s="1491" t="str">
        <f t="shared" si="256"/>
        <v>N.A.</v>
      </c>
      <c r="D1851" s="1531" t="str">
        <f t="shared" si="256"/>
        <v>-</v>
      </c>
      <c r="E1851" s="1318">
        <f t="shared" si="256"/>
        <v>0</v>
      </c>
      <c r="F1851" s="1437">
        <f t="shared" si="258"/>
        <v>8.551E-6</v>
      </c>
      <c r="G1851" s="1437">
        <f t="shared" si="259"/>
        <v>0</v>
      </c>
      <c r="H1851" s="1437">
        <f t="shared" si="260"/>
        <v>8.551E-6</v>
      </c>
      <c r="I1851" s="1437">
        <v>0</v>
      </c>
      <c r="J1851" s="1437">
        <v>0</v>
      </c>
      <c r="K1851" s="1438"/>
      <c r="L1851" s="1438"/>
      <c r="M1851" s="1437">
        <f t="shared" si="257"/>
        <v>0</v>
      </c>
      <c r="N1851" s="1437">
        <f t="shared" si="261"/>
        <v>8.551E-6</v>
      </c>
    </row>
    <row r="1852" spans="1:14" outlineLevel="1">
      <c r="A1852" s="1499">
        <f t="shared" ref="A1852:E1867" si="262">A1459</f>
        <v>45</v>
      </c>
      <c r="B1852" s="1539" t="str">
        <f t="shared" si="262"/>
        <v>Asset Recived From Civil-U#8-AHP-Slurry Mixing Tank Fdn.-10501</v>
      </c>
      <c r="C1852" s="1491" t="str">
        <f t="shared" si="262"/>
        <v>N.A.</v>
      </c>
      <c r="D1852" s="1531" t="str">
        <f t="shared" si="262"/>
        <v>-</v>
      </c>
      <c r="E1852" s="1318">
        <f t="shared" si="262"/>
        <v>0</v>
      </c>
      <c r="F1852" s="1437">
        <f t="shared" si="258"/>
        <v>1.6923E-5</v>
      </c>
      <c r="G1852" s="1437">
        <f t="shared" si="259"/>
        <v>0</v>
      </c>
      <c r="H1852" s="1437">
        <f t="shared" si="260"/>
        <v>1.6923E-5</v>
      </c>
      <c r="I1852" s="1437">
        <v>0</v>
      </c>
      <c r="J1852" s="1437">
        <v>0</v>
      </c>
      <c r="K1852" s="1438"/>
      <c r="L1852" s="1438"/>
      <c r="M1852" s="1437">
        <f t="shared" si="257"/>
        <v>0</v>
      </c>
      <c r="N1852" s="1437">
        <f t="shared" si="261"/>
        <v>1.6923E-5</v>
      </c>
    </row>
    <row r="1853" spans="1:14" outlineLevel="1">
      <c r="A1853" s="1499">
        <f t="shared" si="262"/>
        <v>46</v>
      </c>
      <c r="B1853" s="1539" t="str">
        <f t="shared" si="262"/>
        <v>Asset Recived From Civil-U#8-AHP-HCSD PUMP HOUSE-10501</v>
      </c>
      <c r="C1853" s="1491" t="str">
        <f t="shared" si="262"/>
        <v>N.A.</v>
      </c>
      <c r="D1853" s="1531" t="str">
        <f t="shared" si="262"/>
        <v>-</v>
      </c>
      <c r="E1853" s="1318">
        <f t="shared" si="262"/>
        <v>0</v>
      </c>
      <c r="F1853" s="1437">
        <f t="shared" si="258"/>
        <v>5.8934000000000002E-5</v>
      </c>
      <c r="G1853" s="1437">
        <f t="shared" si="259"/>
        <v>0</v>
      </c>
      <c r="H1853" s="1437">
        <f t="shared" si="260"/>
        <v>5.8934000000000002E-5</v>
      </c>
      <c r="I1853" s="1437">
        <v>0</v>
      </c>
      <c r="J1853" s="1437">
        <v>0</v>
      </c>
      <c r="K1853" s="1438"/>
      <c r="L1853" s="1438"/>
      <c r="M1853" s="1437">
        <f t="shared" si="257"/>
        <v>0</v>
      </c>
      <c r="N1853" s="1437">
        <f t="shared" si="261"/>
        <v>5.8934000000000002E-5</v>
      </c>
    </row>
    <row r="1854" spans="1:14" outlineLevel="1">
      <c r="A1854" s="1499">
        <f t="shared" si="262"/>
        <v>47</v>
      </c>
      <c r="B1854" s="1539" t="str">
        <f t="shared" si="262"/>
        <v>Asset Recived From Civil-U#8-AHP-Ash Slurry Pump House -10501</v>
      </c>
      <c r="C1854" s="1491" t="str">
        <f t="shared" si="262"/>
        <v>N.A.</v>
      </c>
      <c r="D1854" s="1531" t="str">
        <f t="shared" si="262"/>
        <v>-</v>
      </c>
      <c r="E1854" s="1318">
        <f t="shared" si="262"/>
        <v>0</v>
      </c>
      <c r="F1854" s="1437">
        <f t="shared" si="258"/>
        <v>1.4947300000000001E-4</v>
      </c>
      <c r="G1854" s="1437">
        <f t="shared" si="259"/>
        <v>0</v>
      </c>
      <c r="H1854" s="1437">
        <f t="shared" si="260"/>
        <v>1.4947300000000001E-4</v>
      </c>
      <c r="I1854" s="1437">
        <v>0</v>
      </c>
      <c r="J1854" s="1437">
        <v>0</v>
      </c>
      <c r="K1854" s="1438"/>
      <c r="L1854" s="1438"/>
      <c r="M1854" s="1437">
        <f t="shared" si="257"/>
        <v>0</v>
      </c>
      <c r="N1854" s="1437">
        <f t="shared" si="261"/>
        <v>1.4947300000000001E-4</v>
      </c>
    </row>
    <row r="1855" spans="1:14" outlineLevel="1">
      <c r="A1855" s="1499">
        <f t="shared" si="262"/>
        <v>48</v>
      </c>
      <c r="B1855" s="1539" t="str">
        <f t="shared" si="262"/>
        <v>Asset Recived From Civil-U#8-AHP-Ash Slurry Sump-10501</v>
      </c>
      <c r="C1855" s="1491" t="str">
        <f t="shared" si="262"/>
        <v>N.A.</v>
      </c>
      <c r="D1855" s="1531" t="str">
        <f t="shared" si="262"/>
        <v>-</v>
      </c>
      <c r="E1855" s="1318">
        <f t="shared" si="262"/>
        <v>0</v>
      </c>
      <c r="F1855" s="1437">
        <f t="shared" si="258"/>
        <v>4.5158999999999999E-5</v>
      </c>
      <c r="G1855" s="1437">
        <f t="shared" si="259"/>
        <v>0</v>
      </c>
      <c r="H1855" s="1437">
        <f t="shared" si="260"/>
        <v>4.5158999999999999E-5</v>
      </c>
      <c r="I1855" s="1437">
        <v>0</v>
      </c>
      <c r="J1855" s="1437">
        <v>0</v>
      </c>
      <c r="K1855" s="1438"/>
      <c r="L1855" s="1438"/>
      <c r="M1855" s="1437">
        <f t="shared" si="257"/>
        <v>0</v>
      </c>
      <c r="N1855" s="1437">
        <f t="shared" si="261"/>
        <v>4.5158999999999999E-5</v>
      </c>
    </row>
    <row r="1856" spans="1:14" outlineLevel="1">
      <c r="A1856" s="1499">
        <f t="shared" si="262"/>
        <v>49</v>
      </c>
      <c r="B1856" s="1539" t="str">
        <f t="shared" si="262"/>
        <v>Asset Recived From Civil-U#8-AHP-Ash Water Tank-10501</v>
      </c>
      <c r="C1856" s="1491" t="str">
        <f t="shared" si="262"/>
        <v>N.A.</v>
      </c>
      <c r="D1856" s="1531" t="str">
        <f t="shared" si="262"/>
        <v>-</v>
      </c>
      <c r="E1856" s="1318">
        <f t="shared" si="262"/>
        <v>0</v>
      </c>
      <c r="F1856" s="1437">
        <f t="shared" si="258"/>
        <v>3.4220000000000001E-5</v>
      </c>
      <c r="G1856" s="1437">
        <f t="shared" si="259"/>
        <v>0</v>
      </c>
      <c r="H1856" s="1437">
        <f t="shared" si="260"/>
        <v>3.4220000000000001E-5</v>
      </c>
      <c r="I1856" s="1437">
        <v>0</v>
      </c>
      <c r="J1856" s="1437">
        <v>0</v>
      </c>
      <c r="K1856" s="1438"/>
      <c r="L1856" s="1438"/>
      <c r="M1856" s="1437">
        <f t="shared" si="257"/>
        <v>0</v>
      </c>
      <c r="N1856" s="1437">
        <f t="shared" si="261"/>
        <v>3.4220000000000001E-5</v>
      </c>
    </row>
    <row r="1857" spans="1:14" outlineLevel="1">
      <c r="A1857" s="1499">
        <f t="shared" si="262"/>
        <v>50</v>
      </c>
      <c r="B1857" s="1539" t="str">
        <f t="shared" si="262"/>
        <v>Asset Recived From Civil-U#8-AHP-Bottom Ash Hopper-10501</v>
      </c>
      <c r="C1857" s="1491" t="str">
        <f t="shared" si="262"/>
        <v>N.A.</v>
      </c>
      <c r="D1857" s="1531" t="str">
        <f t="shared" si="262"/>
        <v>-</v>
      </c>
      <c r="E1857" s="1318">
        <f t="shared" si="262"/>
        <v>0</v>
      </c>
      <c r="F1857" s="1437">
        <f t="shared" si="258"/>
        <v>4.409E-5</v>
      </c>
      <c r="G1857" s="1437">
        <f t="shared" si="259"/>
        <v>0</v>
      </c>
      <c r="H1857" s="1437">
        <f t="shared" si="260"/>
        <v>4.409E-5</v>
      </c>
      <c r="I1857" s="1437">
        <v>0</v>
      </c>
      <c r="J1857" s="1437">
        <v>0</v>
      </c>
      <c r="K1857" s="1438"/>
      <c r="L1857" s="1438"/>
      <c r="M1857" s="1437">
        <f t="shared" si="257"/>
        <v>0</v>
      </c>
      <c r="N1857" s="1437">
        <f t="shared" si="261"/>
        <v>4.409E-5</v>
      </c>
    </row>
    <row r="1858" spans="1:14" outlineLevel="1">
      <c r="A1858" s="1499">
        <f t="shared" si="262"/>
        <v>51</v>
      </c>
      <c r="B1858" s="1539" t="str">
        <f t="shared" si="262"/>
        <v>Asset Recived From Civil-U#8-AHP-Drain sump in BAH Area -10501</v>
      </c>
      <c r="C1858" s="1491" t="str">
        <f t="shared" si="262"/>
        <v>N.A.</v>
      </c>
      <c r="D1858" s="1531" t="str">
        <f t="shared" si="262"/>
        <v>-</v>
      </c>
      <c r="E1858" s="1318">
        <f t="shared" si="262"/>
        <v>0</v>
      </c>
      <c r="F1858" s="1437">
        <f t="shared" si="258"/>
        <v>8.5750000000000001E-6</v>
      </c>
      <c r="G1858" s="1437">
        <f t="shared" si="259"/>
        <v>0</v>
      </c>
      <c r="H1858" s="1437">
        <f t="shared" si="260"/>
        <v>8.5750000000000001E-6</v>
      </c>
      <c r="I1858" s="1437">
        <v>0</v>
      </c>
      <c r="J1858" s="1437">
        <v>0</v>
      </c>
      <c r="K1858" s="1438"/>
      <c r="L1858" s="1438"/>
      <c r="M1858" s="1437">
        <f t="shared" si="257"/>
        <v>0</v>
      </c>
      <c r="N1858" s="1437">
        <f t="shared" si="261"/>
        <v>8.5750000000000001E-6</v>
      </c>
    </row>
    <row r="1859" spans="1:14" ht="29" outlineLevel="1">
      <c r="A1859" s="1499">
        <f t="shared" si="262"/>
        <v>52</v>
      </c>
      <c r="B1859" s="1539" t="str">
        <f t="shared" si="262"/>
        <v>Asset Recived From Civil-U#8-Ash Slurry Pipe Line AHP-Pedestals-10501</v>
      </c>
      <c r="C1859" s="1491" t="str">
        <f t="shared" si="262"/>
        <v>N.A.</v>
      </c>
      <c r="D1859" s="1531" t="str">
        <f t="shared" si="262"/>
        <v>-</v>
      </c>
      <c r="E1859" s="1318">
        <f t="shared" si="262"/>
        <v>0</v>
      </c>
      <c r="F1859" s="1437">
        <f t="shared" si="258"/>
        <v>1.38462E-4</v>
      </c>
      <c r="G1859" s="1437">
        <f t="shared" si="259"/>
        <v>0</v>
      </c>
      <c r="H1859" s="1437">
        <f t="shared" si="260"/>
        <v>1.38462E-4</v>
      </c>
      <c r="I1859" s="1437">
        <v>0</v>
      </c>
      <c r="J1859" s="1437">
        <v>0</v>
      </c>
      <c r="K1859" s="1438"/>
      <c r="L1859" s="1438"/>
      <c r="M1859" s="1437">
        <f t="shared" si="257"/>
        <v>0</v>
      </c>
      <c r="N1859" s="1437">
        <f t="shared" si="261"/>
        <v>1.38462E-4</v>
      </c>
    </row>
    <row r="1860" spans="1:14" outlineLevel="1">
      <c r="A1860" s="1499">
        <f t="shared" si="262"/>
        <v>53</v>
      </c>
      <c r="B1860" s="1539" t="str">
        <f t="shared" si="262"/>
        <v>Asset Recived From Civil-U#8-AHP-Buffer Hopper Foundation-10501</v>
      </c>
      <c r="C1860" s="1491" t="str">
        <f t="shared" si="262"/>
        <v>N.A.</v>
      </c>
      <c r="D1860" s="1531" t="str">
        <f t="shared" si="262"/>
        <v>-</v>
      </c>
      <c r="E1860" s="1318">
        <f t="shared" si="262"/>
        <v>0</v>
      </c>
      <c r="F1860" s="1437">
        <f t="shared" si="258"/>
        <v>3.5627999999999998E-5</v>
      </c>
      <c r="G1860" s="1437">
        <f t="shared" si="259"/>
        <v>0</v>
      </c>
      <c r="H1860" s="1437">
        <f t="shared" si="260"/>
        <v>3.5627999999999998E-5</v>
      </c>
      <c r="I1860" s="1437">
        <v>0</v>
      </c>
      <c r="J1860" s="1437">
        <v>0</v>
      </c>
      <c r="K1860" s="1438"/>
      <c r="L1860" s="1438"/>
      <c r="M1860" s="1437">
        <f t="shared" si="257"/>
        <v>0</v>
      </c>
      <c r="N1860" s="1437">
        <f t="shared" si="261"/>
        <v>3.5627999999999998E-5</v>
      </c>
    </row>
    <row r="1861" spans="1:14" ht="29" outlineLevel="1">
      <c r="A1861" s="1499">
        <f t="shared" si="262"/>
        <v>54</v>
      </c>
      <c r="B1861" s="1539" t="str">
        <f t="shared" si="262"/>
        <v>Asset Recived From Civil-U#8-AHP-Mill reject hopper foundation-10501</v>
      </c>
      <c r="C1861" s="1491" t="str">
        <f t="shared" si="262"/>
        <v>N.A.</v>
      </c>
      <c r="D1861" s="1531" t="str">
        <f t="shared" si="262"/>
        <v>-</v>
      </c>
      <c r="E1861" s="1318">
        <f t="shared" si="262"/>
        <v>0</v>
      </c>
      <c r="F1861" s="1437">
        <f t="shared" si="258"/>
        <v>1.7813999999999999E-5</v>
      </c>
      <c r="G1861" s="1437">
        <f t="shared" si="259"/>
        <v>0</v>
      </c>
      <c r="H1861" s="1437">
        <f t="shared" si="260"/>
        <v>1.7813999999999999E-5</v>
      </c>
      <c r="I1861" s="1437">
        <v>0</v>
      </c>
      <c r="J1861" s="1437">
        <v>0</v>
      </c>
      <c r="K1861" s="1438"/>
      <c r="L1861" s="1438"/>
      <c r="M1861" s="1437">
        <f t="shared" si="257"/>
        <v>0</v>
      </c>
      <c r="N1861" s="1437">
        <f t="shared" si="261"/>
        <v>1.7813999999999999E-5</v>
      </c>
    </row>
    <row r="1862" spans="1:14" outlineLevel="1">
      <c r="A1862" s="1499">
        <f t="shared" si="262"/>
        <v>55</v>
      </c>
      <c r="B1862" s="1539" t="str">
        <f t="shared" si="262"/>
        <v>Asset Recived From Civil-U#8-FHP-Fuel Oil pump house-10516</v>
      </c>
      <c r="C1862" s="1491" t="str">
        <f t="shared" si="262"/>
        <v>N.A.</v>
      </c>
      <c r="D1862" s="1531" t="str">
        <f t="shared" si="262"/>
        <v>-</v>
      </c>
      <c r="E1862" s="1318">
        <f t="shared" si="262"/>
        <v>0</v>
      </c>
      <c r="F1862" s="1437">
        <f t="shared" si="258"/>
        <v>6.5769099999999996E-4</v>
      </c>
      <c r="G1862" s="1437">
        <f t="shared" si="259"/>
        <v>0</v>
      </c>
      <c r="H1862" s="1437">
        <f t="shared" si="260"/>
        <v>6.5769099999999996E-4</v>
      </c>
      <c r="I1862" s="1437">
        <v>0</v>
      </c>
      <c r="J1862" s="1437">
        <v>0</v>
      </c>
      <c r="K1862" s="1438"/>
      <c r="L1862" s="1438"/>
      <c r="M1862" s="1437">
        <f t="shared" si="257"/>
        <v>0</v>
      </c>
      <c r="N1862" s="1437">
        <f t="shared" si="261"/>
        <v>6.5769099999999996E-4</v>
      </c>
    </row>
    <row r="1863" spans="1:14" outlineLevel="1">
      <c r="A1863" s="1499">
        <f t="shared" si="262"/>
        <v>56</v>
      </c>
      <c r="B1863" s="1539" t="str">
        <f t="shared" si="262"/>
        <v>Asset Recived From Civil-U#8-FHP-DYKE AREA -10516</v>
      </c>
      <c r="C1863" s="1491" t="str">
        <f t="shared" si="262"/>
        <v>N.A.</v>
      </c>
      <c r="D1863" s="1531" t="str">
        <f t="shared" si="262"/>
        <v>-</v>
      </c>
      <c r="E1863" s="1318">
        <f t="shared" si="262"/>
        <v>0</v>
      </c>
      <c r="F1863" s="1437">
        <f t="shared" si="258"/>
        <v>1.9338999999999999E-5</v>
      </c>
      <c r="G1863" s="1437">
        <f t="shared" si="259"/>
        <v>0</v>
      </c>
      <c r="H1863" s="1437">
        <f t="shared" si="260"/>
        <v>1.9338999999999999E-5</v>
      </c>
      <c r="I1863" s="1437">
        <v>0</v>
      </c>
      <c r="J1863" s="1437">
        <v>0</v>
      </c>
      <c r="K1863" s="1438"/>
      <c r="L1863" s="1438"/>
      <c r="M1863" s="1437">
        <f t="shared" si="257"/>
        <v>0</v>
      </c>
      <c r="N1863" s="1437">
        <f t="shared" si="261"/>
        <v>1.9338999999999999E-5</v>
      </c>
    </row>
    <row r="1864" spans="1:14" outlineLevel="1">
      <c r="A1864" s="1499">
        <f t="shared" si="262"/>
        <v>57</v>
      </c>
      <c r="B1864" s="1539" t="str">
        <f t="shared" si="262"/>
        <v>Asset Recived From Civil-U#8-Effulent Treatment Plant -10509</v>
      </c>
      <c r="C1864" s="1491" t="str">
        <f t="shared" si="262"/>
        <v>N.A.</v>
      </c>
      <c r="D1864" s="1531" t="str">
        <f t="shared" si="262"/>
        <v>-</v>
      </c>
      <c r="E1864" s="1318">
        <f t="shared" si="262"/>
        <v>0</v>
      </c>
      <c r="F1864" s="1437">
        <f t="shared" si="258"/>
        <v>1.4134799999999999E-4</v>
      </c>
      <c r="G1864" s="1437">
        <f t="shared" si="259"/>
        <v>0</v>
      </c>
      <c r="H1864" s="1437">
        <f t="shared" si="260"/>
        <v>1.4134799999999999E-4</v>
      </c>
      <c r="I1864" s="1437">
        <v>0</v>
      </c>
      <c r="J1864" s="1437">
        <v>0</v>
      </c>
      <c r="K1864" s="1438"/>
      <c r="L1864" s="1438"/>
      <c r="M1864" s="1437">
        <f t="shared" si="257"/>
        <v>0</v>
      </c>
      <c r="N1864" s="1437">
        <f t="shared" si="261"/>
        <v>1.4134799999999999E-4</v>
      </c>
    </row>
    <row r="1865" spans="1:14" outlineLevel="1">
      <c r="A1865" s="1499">
        <f t="shared" si="262"/>
        <v>58</v>
      </c>
      <c r="B1865" s="1539" t="str">
        <f t="shared" si="262"/>
        <v>Asset Recived From Project-U#8-Boiler Pressure parts-10501</v>
      </c>
      <c r="C1865" s="1491" t="str">
        <f t="shared" si="262"/>
        <v>N.A.</v>
      </c>
      <c r="D1865" s="1531" t="str">
        <f t="shared" si="262"/>
        <v>-</v>
      </c>
      <c r="E1865" s="1318">
        <f t="shared" si="262"/>
        <v>0</v>
      </c>
      <c r="F1865" s="1437">
        <f t="shared" si="258"/>
        <v>6.5490000000000007E-2</v>
      </c>
      <c r="G1865" s="1437">
        <f t="shared" si="259"/>
        <v>0</v>
      </c>
      <c r="H1865" s="1437">
        <f t="shared" si="260"/>
        <v>6.5490000000000007E-2</v>
      </c>
      <c r="I1865" s="1437">
        <v>0</v>
      </c>
      <c r="J1865" s="1437">
        <v>0</v>
      </c>
      <c r="K1865" s="1438"/>
      <c r="L1865" s="1438"/>
      <c r="M1865" s="1437">
        <f t="shared" si="257"/>
        <v>0</v>
      </c>
      <c r="N1865" s="1437">
        <f t="shared" si="261"/>
        <v>6.5490000000000007E-2</v>
      </c>
    </row>
    <row r="1866" spans="1:14" outlineLevel="1">
      <c r="A1866" s="1499">
        <f t="shared" si="262"/>
        <v>59</v>
      </c>
      <c r="B1866" s="1539" t="str">
        <f t="shared" si="262"/>
        <v>Asset Recived From Project-U#8-Mandatory Spares from BHEL–Trichy</v>
      </c>
      <c r="C1866" s="1491" t="str">
        <f t="shared" si="262"/>
        <v>N.A.</v>
      </c>
      <c r="D1866" s="1531" t="str">
        <f t="shared" si="262"/>
        <v>-</v>
      </c>
      <c r="E1866" s="1318">
        <f t="shared" si="262"/>
        <v>0</v>
      </c>
      <c r="F1866" s="1437">
        <f t="shared" si="258"/>
        <v>7.4618999999999996E-3</v>
      </c>
      <c r="G1866" s="1437">
        <f t="shared" si="259"/>
        <v>0</v>
      </c>
      <c r="H1866" s="1437">
        <f t="shared" si="260"/>
        <v>7.4618999999999996E-3</v>
      </c>
      <c r="I1866" s="1437">
        <v>0</v>
      </c>
      <c r="J1866" s="1437">
        <v>0</v>
      </c>
      <c r="K1866" s="1438"/>
      <c r="L1866" s="1438"/>
      <c r="M1866" s="1437">
        <f t="shared" si="257"/>
        <v>0</v>
      </c>
      <c r="N1866" s="1437">
        <f t="shared" si="261"/>
        <v>7.4618999999999996E-3</v>
      </c>
    </row>
    <row r="1867" spans="1:14" outlineLevel="1">
      <c r="A1867" s="1499">
        <f t="shared" si="262"/>
        <v>60</v>
      </c>
      <c r="B1867" s="1539" t="str">
        <f t="shared" si="262"/>
        <v>Asset Recived From Civil-U#8-Coal mill reject trench at coal mill D&amp;E</v>
      </c>
      <c r="C1867" s="1491" t="str">
        <f t="shared" si="262"/>
        <v>N.A.</v>
      </c>
      <c r="D1867" s="1531" t="str">
        <f t="shared" si="262"/>
        <v>-</v>
      </c>
      <c r="E1867" s="1318">
        <f t="shared" si="262"/>
        <v>0</v>
      </c>
      <c r="F1867" s="1437">
        <f t="shared" si="258"/>
        <v>4.6610299000000001E-2</v>
      </c>
      <c r="G1867" s="1437">
        <f t="shared" si="259"/>
        <v>0</v>
      </c>
      <c r="H1867" s="1437">
        <f t="shared" si="260"/>
        <v>4.6610299000000001E-2</v>
      </c>
      <c r="I1867" s="1437">
        <v>0</v>
      </c>
      <c r="J1867" s="1437">
        <v>0</v>
      </c>
      <c r="K1867" s="1438"/>
      <c r="L1867" s="1438"/>
      <c r="M1867" s="1437">
        <f t="shared" si="257"/>
        <v>0</v>
      </c>
      <c r="N1867" s="1437">
        <f t="shared" si="261"/>
        <v>4.6610299000000001E-2</v>
      </c>
    </row>
    <row r="1868" spans="1:14" ht="29" outlineLevel="1">
      <c r="A1868" s="1499">
        <f t="shared" ref="A1868:E1883" si="263">A1475</f>
        <v>61</v>
      </c>
      <c r="B1868" s="1539" t="str">
        <f t="shared" si="263"/>
        <v>Asset Recived From Project-U#8-Canteen Equipments &amp; kitchen Utensils</v>
      </c>
      <c r="C1868" s="1491" t="str">
        <f t="shared" si="263"/>
        <v>N.A.</v>
      </c>
      <c r="D1868" s="1531" t="str">
        <f t="shared" si="263"/>
        <v>-</v>
      </c>
      <c r="E1868" s="1318">
        <f t="shared" si="263"/>
        <v>0</v>
      </c>
      <c r="F1868" s="1437">
        <f t="shared" si="258"/>
        <v>0.21887515400000002</v>
      </c>
      <c r="G1868" s="1437">
        <f t="shared" si="259"/>
        <v>0</v>
      </c>
      <c r="H1868" s="1437">
        <f t="shared" si="260"/>
        <v>0.21887515400000002</v>
      </c>
      <c r="I1868" s="1437">
        <v>0</v>
      </c>
      <c r="J1868" s="1437">
        <v>0</v>
      </c>
      <c r="K1868" s="1438"/>
      <c r="L1868" s="1438"/>
      <c r="M1868" s="1437">
        <f t="shared" si="257"/>
        <v>0</v>
      </c>
      <c r="N1868" s="1437">
        <f t="shared" si="261"/>
        <v>0.21887515400000002</v>
      </c>
    </row>
    <row r="1869" spans="1:14" ht="29" outlineLevel="1">
      <c r="A1869" s="1499">
        <f t="shared" si="263"/>
        <v>62</v>
      </c>
      <c r="B1869" s="1539" t="str">
        <f t="shared" si="263"/>
        <v>Asset Recived From Project-U#8-Supply &amp; Erection of ACW system-10310</v>
      </c>
      <c r="C1869" s="1491" t="str">
        <f t="shared" si="263"/>
        <v>N.A.</v>
      </c>
      <c r="D1869" s="1531" t="str">
        <f t="shared" si="263"/>
        <v>-</v>
      </c>
      <c r="E1869" s="1318">
        <f t="shared" si="263"/>
        <v>0</v>
      </c>
      <c r="F1869" s="1437">
        <f t="shared" si="258"/>
        <v>8.3684199999999997E-4</v>
      </c>
      <c r="G1869" s="1437">
        <f t="shared" si="259"/>
        <v>0</v>
      </c>
      <c r="H1869" s="1437">
        <f t="shared" si="260"/>
        <v>8.3684199999999997E-4</v>
      </c>
      <c r="I1869" s="1437">
        <v>0</v>
      </c>
      <c r="J1869" s="1437">
        <v>0</v>
      </c>
      <c r="K1869" s="1438"/>
      <c r="L1869" s="1438"/>
      <c r="M1869" s="1437">
        <f t="shared" si="257"/>
        <v>0</v>
      </c>
      <c r="N1869" s="1437">
        <f t="shared" si="261"/>
        <v>8.3684199999999997E-4</v>
      </c>
    </row>
    <row r="1870" spans="1:14" ht="29" outlineLevel="1">
      <c r="A1870" s="1499">
        <f t="shared" si="263"/>
        <v>63</v>
      </c>
      <c r="B1870" s="1539" t="str">
        <f t="shared" si="263"/>
        <v>Asset Recived From Project-U#8-SUPPLY &amp; ERECTION OF CCW SYSTEM-10310</v>
      </c>
      <c r="C1870" s="1491" t="str">
        <f t="shared" si="263"/>
        <v>N.A.</v>
      </c>
      <c r="D1870" s="1531" t="str">
        <f t="shared" si="263"/>
        <v>-</v>
      </c>
      <c r="E1870" s="1318">
        <f t="shared" si="263"/>
        <v>0</v>
      </c>
      <c r="F1870" s="1437">
        <f t="shared" si="258"/>
        <v>4.8560299999999999E-3</v>
      </c>
      <c r="G1870" s="1437">
        <f t="shared" si="259"/>
        <v>0</v>
      </c>
      <c r="H1870" s="1437">
        <f t="shared" si="260"/>
        <v>4.8560299999999999E-3</v>
      </c>
      <c r="I1870" s="1437">
        <v>0</v>
      </c>
      <c r="J1870" s="1437">
        <v>0</v>
      </c>
      <c r="K1870" s="1438"/>
      <c r="L1870" s="1438"/>
      <c r="M1870" s="1437">
        <f t="shared" si="257"/>
        <v>0</v>
      </c>
      <c r="N1870" s="1437">
        <f t="shared" si="261"/>
        <v>4.8560299999999999E-3</v>
      </c>
    </row>
    <row r="1871" spans="1:14" ht="29" outlineLevel="1">
      <c r="A1871" s="1499">
        <f t="shared" si="263"/>
        <v>64</v>
      </c>
      <c r="B1871" s="1539" t="str">
        <f t="shared" si="263"/>
        <v>Asset Recived From Project-U#8-TG set &amp; its auxilleries-HP/LPFeedWate</v>
      </c>
      <c r="C1871" s="1491" t="str">
        <f t="shared" si="263"/>
        <v>N.A.</v>
      </c>
      <c r="D1871" s="1531" t="str">
        <f t="shared" si="263"/>
        <v>-</v>
      </c>
      <c r="E1871" s="1318">
        <f t="shared" si="263"/>
        <v>0</v>
      </c>
      <c r="F1871" s="1437">
        <f t="shared" si="258"/>
        <v>1.6841648000000001E-2</v>
      </c>
      <c r="G1871" s="1437">
        <f t="shared" si="259"/>
        <v>0</v>
      </c>
      <c r="H1871" s="1437">
        <f t="shared" si="260"/>
        <v>1.6841648000000001E-2</v>
      </c>
      <c r="I1871" s="1437">
        <v>0</v>
      </c>
      <c r="J1871" s="1437">
        <v>0</v>
      </c>
      <c r="K1871" s="1438"/>
      <c r="L1871" s="1438"/>
      <c r="M1871" s="1437">
        <f t="shared" si="257"/>
        <v>0</v>
      </c>
      <c r="N1871" s="1437">
        <f t="shared" si="261"/>
        <v>1.6841648000000001E-2</v>
      </c>
    </row>
    <row r="1872" spans="1:14" outlineLevel="1">
      <c r="A1872" s="1499">
        <f t="shared" si="263"/>
        <v>65</v>
      </c>
      <c r="B1872" s="1539" t="str">
        <f t="shared" si="263"/>
        <v>Asset Recived From Project-U#8-TG set and its auxilleries- Boilerfeed</v>
      </c>
      <c r="C1872" s="1491" t="str">
        <f t="shared" si="263"/>
        <v>N.A.</v>
      </c>
      <c r="D1872" s="1531" t="str">
        <f t="shared" si="263"/>
        <v>-</v>
      </c>
      <c r="E1872" s="1318">
        <f t="shared" si="263"/>
        <v>0</v>
      </c>
      <c r="F1872" s="1437">
        <f t="shared" si="258"/>
        <v>1.8479445000000001E-2</v>
      </c>
      <c r="G1872" s="1437">
        <f t="shared" si="259"/>
        <v>0</v>
      </c>
      <c r="H1872" s="1437">
        <f t="shared" si="260"/>
        <v>1.8479445000000001E-2</v>
      </c>
      <c r="I1872" s="1437">
        <v>0</v>
      </c>
      <c r="J1872" s="1437">
        <v>0</v>
      </c>
      <c r="K1872" s="1438"/>
      <c r="L1872" s="1438"/>
      <c r="M1872" s="1437">
        <f t="shared" si="257"/>
        <v>0</v>
      </c>
      <c r="N1872" s="1437">
        <f t="shared" si="261"/>
        <v>1.8479445000000001E-2</v>
      </c>
    </row>
    <row r="1873" spans="1:14" ht="29" outlineLevel="1">
      <c r="A1873" s="1499">
        <f t="shared" si="263"/>
        <v>66</v>
      </c>
      <c r="B1873" s="1539" t="str">
        <f t="shared" si="263"/>
        <v>Asset Recived From Project-U#8-Air Conditioning-MandatorySpares-10576</v>
      </c>
      <c r="C1873" s="1491" t="str">
        <f t="shared" si="263"/>
        <v>N.A.</v>
      </c>
      <c r="D1873" s="1531" t="str">
        <f t="shared" si="263"/>
        <v>-</v>
      </c>
      <c r="E1873" s="1318">
        <f t="shared" si="263"/>
        <v>0</v>
      </c>
      <c r="F1873" s="1437">
        <f t="shared" si="258"/>
        <v>1.7255999999999999E-5</v>
      </c>
      <c r="G1873" s="1437">
        <f t="shared" si="259"/>
        <v>0</v>
      </c>
      <c r="H1873" s="1437">
        <f t="shared" si="260"/>
        <v>1.7255999999999999E-5</v>
      </c>
      <c r="I1873" s="1437">
        <v>0</v>
      </c>
      <c r="J1873" s="1437">
        <v>0</v>
      </c>
      <c r="K1873" s="1438"/>
      <c r="L1873" s="1438"/>
      <c r="M1873" s="1437">
        <f t="shared" si="257"/>
        <v>0</v>
      </c>
      <c r="N1873" s="1437">
        <f t="shared" si="261"/>
        <v>1.7255999999999999E-5</v>
      </c>
    </row>
    <row r="1874" spans="1:14" outlineLevel="1">
      <c r="A1874" s="1499">
        <f t="shared" si="263"/>
        <v>67</v>
      </c>
      <c r="B1874" s="1539" t="str">
        <f t="shared" si="263"/>
        <v>Asset Recived From Project-U#8-Air Conditioning system-10576</v>
      </c>
      <c r="C1874" s="1491" t="str">
        <f t="shared" si="263"/>
        <v>N.A.</v>
      </c>
      <c r="D1874" s="1531" t="str">
        <f t="shared" si="263"/>
        <v>-</v>
      </c>
      <c r="E1874" s="1318">
        <f t="shared" si="263"/>
        <v>0</v>
      </c>
      <c r="F1874" s="1437">
        <f t="shared" si="258"/>
        <v>1.344619E-3</v>
      </c>
      <c r="G1874" s="1437">
        <f t="shared" si="259"/>
        <v>0</v>
      </c>
      <c r="H1874" s="1437">
        <f t="shared" si="260"/>
        <v>1.344619E-3</v>
      </c>
      <c r="I1874" s="1437">
        <v>0</v>
      </c>
      <c r="J1874" s="1437">
        <v>0</v>
      </c>
      <c r="K1874" s="1438"/>
      <c r="L1874" s="1438"/>
      <c r="M1874" s="1437">
        <f t="shared" si="257"/>
        <v>0</v>
      </c>
      <c r="N1874" s="1437">
        <f t="shared" si="261"/>
        <v>1.344619E-3</v>
      </c>
    </row>
    <row r="1875" spans="1:14" outlineLevel="1">
      <c r="A1875" s="1499">
        <f t="shared" si="263"/>
        <v>68</v>
      </c>
      <c r="B1875" s="1539" t="str">
        <f t="shared" si="263"/>
        <v>Asset Recived From Project-U#8-AHP-FLY ASH &amp; HCSD-SYSTEM-10501</v>
      </c>
      <c r="C1875" s="1491" t="str">
        <f t="shared" si="263"/>
        <v>N.A.</v>
      </c>
      <c r="D1875" s="1531" t="str">
        <f t="shared" si="263"/>
        <v>-</v>
      </c>
      <c r="E1875" s="1318">
        <f t="shared" si="263"/>
        <v>0</v>
      </c>
      <c r="F1875" s="1437">
        <f t="shared" si="258"/>
        <v>2.1652109999999998E-3</v>
      </c>
      <c r="G1875" s="1437">
        <f t="shared" si="259"/>
        <v>0</v>
      </c>
      <c r="H1875" s="1437">
        <f t="shared" si="260"/>
        <v>2.1652109999999998E-3</v>
      </c>
      <c r="I1875" s="1437">
        <v>0</v>
      </c>
      <c r="J1875" s="1437">
        <v>0</v>
      </c>
      <c r="K1875" s="1438"/>
      <c r="L1875" s="1438"/>
      <c r="M1875" s="1437">
        <f t="shared" si="257"/>
        <v>0</v>
      </c>
      <c r="N1875" s="1437">
        <f t="shared" si="261"/>
        <v>2.1652109999999998E-3</v>
      </c>
    </row>
    <row r="1876" spans="1:14" ht="29" outlineLevel="1">
      <c r="A1876" s="1499">
        <f t="shared" si="263"/>
        <v>69</v>
      </c>
      <c r="B1876" s="1539" t="str">
        <f t="shared" si="263"/>
        <v>Asset Recived From Project-U#8-AHP-FLYASH&amp;HCSD-SYSTEMBOUGHT OUT-10501</v>
      </c>
      <c r="C1876" s="1491" t="str">
        <f t="shared" si="263"/>
        <v>N.A.</v>
      </c>
      <c r="D1876" s="1531" t="str">
        <f t="shared" si="263"/>
        <v>-</v>
      </c>
      <c r="E1876" s="1318">
        <f t="shared" si="263"/>
        <v>0</v>
      </c>
      <c r="F1876" s="1437">
        <f t="shared" si="258"/>
        <v>7.0969070000000004E-3</v>
      </c>
      <c r="G1876" s="1437">
        <f t="shared" si="259"/>
        <v>0</v>
      </c>
      <c r="H1876" s="1437">
        <f t="shared" si="260"/>
        <v>7.0969070000000004E-3</v>
      </c>
      <c r="I1876" s="1437">
        <v>0</v>
      </c>
      <c r="J1876" s="1437">
        <v>0</v>
      </c>
      <c r="K1876" s="1438"/>
      <c r="L1876" s="1438"/>
      <c r="M1876" s="1437">
        <f t="shared" si="257"/>
        <v>0</v>
      </c>
      <c r="N1876" s="1437">
        <f t="shared" si="261"/>
        <v>7.0969070000000004E-3</v>
      </c>
    </row>
    <row r="1877" spans="1:14" outlineLevel="1">
      <c r="A1877" s="1499">
        <f t="shared" si="263"/>
        <v>70</v>
      </c>
      <c r="B1877" s="1539" t="str">
        <f t="shared" si="263"/>
        <v>Asset Recived From Project-U#8-AHP-BOTTOM ASH SYSTEM-10501</v>
      </c>
      <c r="C1877" s="1491" t="str">
        <f t="shared" si="263"/>
        <v>N.A.</v>
      </c>
      <c r="D1877" s="1531" t="str">
        <f t="shared" si="263"/>
        <v>-</v>
      </c>
      <c r="E1877" s="1318">
        <f t="shared" si="263"/>
        <v>0</v>
      </c>
      <c r="F1877" s="1437">
        <f t="shared" si="258"/>
        <v>1.2125858999999999E-2</v>
      </c>
      <c r="G1877" s="1437">
        <f t="shared" si="259"/>
        <v>0</v>
      </c>
      <c r="H1877" s="1437">
        <f t="shared" si="260"/>
        <v>1.2125858999999999E-2</v>
      </c>
      <c r="I1877" s="1437">
        <v>0</v>
      </c>
      <c r="J1877" s="1437">
        <v>0</v>
      </c>
      <c r="K1877" s="1438"/>
      <c r="L1877" s="1438"/>
      <c r="M1877" s="1437">
        <f t="shared" si="257"/>
        <v>0</v>
      </c>
      <c r="N1877" s="1437">
        <f t="shared" si="261"/>
        <v>1.2125858999999999E-2</v>
      </c>
    </row>
    <row r="1878" spans="1:14" outlineLevel="1">
      <c r="A1878" s="1499">
        <f t="shared" si="263"/>
        <v>71</v>
      </c>
      <c r="B1878" s="1539" t="str">
        <f t="shared" si="263"/>
        <v>Asset Recived From Project-U#8-AHP-ELECTRICAL C &amp; I-10501</v>
      </c>
      <c r="C1878" s="1491" t="str">
        <f t="shared" si="263"/>
        <v>N.A.</v>
      </c>
      <c r="D1878" s="1531" t="str">
        <f t="shared" si="263"/>
        <v>-</v>
      </c>
      <c r="E1878" s="1318">
        <f t="shared" si="263"/>
        <v>0</v>
      </c>
      <c r="F1878" s="1437">
        <f t="shared" si="258"/>
        <v>4.0530039999999998E-3</v>
      </c>
      <c r="G1878" s="1437">
        <f t="shared" si="259"/>
        <v>0</v>
      </c>
      <c r="H1878" s="1437">
        <f t="shared" si="260"/>
        <v>4.0530039999999998E-3</v>
      </c>
      <c r="I1878" s="1437">
        <v>0</v>
      </c>
      <c r="J1878" s="1437">
        <v>0</v>
      </c>
      <c r="K1878" s="1438"/>
      <c r="L1878" s="1438"/>
      <c r="M1878" s="1437">
        <f t="shared" si="257"/>
        <v>0</v>
      </c>
      <c r="N1878" s="1437">
        <f t="shared" si="261"/>
        <v>4.0530039999999998E-3</v>
      </c>
    </row>
    <row r="1879" spans="1:14" outlineLevel="1">
      <c r="A1879" s="1499">
        <f t="shared" si="263"/>
        <v>72</v>
      </c>
      <c r="B1879" s="1539" t="str">
        <f t="shared" si="263"/>
        <v>Asset Recived From Project-U#8-AHP-GEHO PUMP-10501</v>
      </c>
      <c r="C1879" s="1491" t="str">
        <f t="shared" si="263"/>
        <v>N.A.</v>
      </c>
      <c r="D1879" s="1531" t="str">
        <f t="shared" si="263"/>
        <v>-</v>
      </c>
      <c r="E1879" s="1318">
        <f t="shared" si="263"/>
        <v>0</v>
      </c>
      <c r="F1879" s="1437">
        <f t="shared" si="258"/>
        <v>9.5127619999999993E-3</v>
      </c>
      <c r="G1879" s="1437">
        <f t="shared" si="259"/>
        <v>0</v>
      </c>
      <c r="H1879" s="1437">
        <f t="shared" si="260"/>
        <v>9.5127619999999993E-3</v>
      </c>
      <c r="I1879" s="1437">
        <v>0</v>
      </c>
      <c r="J1879" s="1437">
        <v>0</v>
      </c>
      <c r="K1879" s="1438"/>
      <c r="L1879" s="1438"/>
      <c r="M1879" s="1437">
        <f t="shared" si="257"/>
        <v>0</v>
      </c>
      <c r="N1879" s="1437">
        <f t="shared" si="261"/>
        <v>9.5127619999999993E-3</v>
      </c>
    </row>
    <row r="1880" spans="1:14" ht="29" outlineLevel="1">
      <c r="A1880" s="1499">
        <f t="shared" si="263"/>
        <v>73</v>
      </c>
      <c r="B1880" s="1539" t="str">
        <f t="shared" si="263"/>
        <v>Asset Recived FromProject-U#8-Boiler&amp;Aux -Power Cycle Piping-10501</v>
      </c>
      <c r="C1880" s="1491" t="str">
        <f t="shared" si="263"/>
        <v>N.A.</v>
      </c>
      <c r="D1880" s="1531" t="str">
        <f t="shared" si="263"/>
        <v>-</v>
      </c>
      <c r="E1880" s="1318">
        <f t="shared" si="263"/>
        <v>0</v>
      </c>
      <c r="F1880" s="1437">
        <f t="shared" si="258"/>
        <v>4.1004594999999998E-2</v>
      </c>
      <c r="G1880" s="1437">
        <f t="shared" si="259"/>
        <v>0</v>
      </c>
      <c r="H1880" s="1437">
        <f t="shared" si="260"/>
        <v>4.1004594999999998E-2</v>
      </c>
      <c r="I1880" s="1437">
        <v>0</v>
      </c>
      <c r="J1880" s="1437">
        <v>0</v>
      </c>
      <c r="K1880" s="1438"/>
      <c r="L1880" s="1438"/>
      <c r="M1880" s="1437">
        <f t="shared" si="257"/>
        <v>0</v>
      </c>
      <c r="N1880" s="1437">
        <f t="shared" si="261"/>
        <v>4.1004594999999998E-2</v>
      </c>
    </row>
    <row r="1881" spans="1:14" ht="29" outlineLevel="1">
      <c r="A1881" s="1499">
        <f t="shared" si="263"/>
        <v>74</v>
      </c>
      <c r="B1881" s="1539" t="str">
        <f t="shared" si="263"/>
        <v>Asset Recived From Project-U#8-Boiler&amp;Aux-SUIT BLOWER &amp; PIPING-10501</v>
      </c>
      <c r="C1881" s="1491" t="str">
        <f t="shared" si="263"/>
        <v>N.A.</v>
      </c>
      <c r="D1881" s="1531" t="str">
        <f t="shared" si="263"/>
        <v>-</v>
      </c>
      <c r="E1881" s="1318">
        <f t="shared" si="263"/>
        <v>0</v>
      </c>
      <c r="F1881" s="1437">
        <f t="shared" si="258"/>
        <v>8.3837327000000003E-2</v>
      </c>
      <c r="G1881" s="1437">
        <f t="shared" si="259"/>
        <v>0</v>
      </c>
      <c r="H1881" s="1437">
        <f t="shared" si="260"/>
        <v>8.3837327000000003E-2</v>
      </c>
      <c r="I1881" s="1437">
        <v>0</v>
      </c>
      <c r="J1881" s="1437">
        <v>0</v>
      </c>
      <c r="K1881" s="1438"/>
      <c r="L1881" s="1438"/>
      <c r="M1881" s="1437">
        <f t="shared" si="257"/>
        <v>0</v>
      </c>
      <c r="N1881" s="1437">
        <f t="shared" si="261"/>
        <v>8.3837327000000003E-2</v>
      </c>
    </row>
    <row r="1882" spans="1:14" outlineLevel="1">
      <c r="A1882" s="1499">
        <f t="shared" si="263"/>
        <v>75</v>
      </c>
      <c r="B1882" s="1539" t="str">
        <f t="shared" si="263"/>
        <v>Asset Recived From Project-U#8-Boiler &amp; Auxillaries - PA FAN-10501</v>
      </c>
      <c r="C1882" s="1491" t="str">
        <f t="shared" si="263"/>
        <v>N.A.</v>
      </c>
      <c r="D1882" s="1531" t="str">
        <f t="shared" si="263"/>
        <v>-</v>
      </c>
      <c r="E1882" s="1318">
        <f t="shared" si="263"/>
        <v>0</v>
      </c>
      <c r="F1882" s="1437">
        <f t="shared" si="258"/>
        <v>1.022551E-3</v>
      </c>
      <c r="G1882" s="1437">
        <f t="shared" si="259"/>
        <v>0</v>
      </c>
      <c r="H1882" s="1437">
        <f t="shared" si="260"/>
        <v>1.022551E-3</v>
      </c>
      <c r="I1882" s="1437">
        <v>0</v>
      </c>
      <c r="J1882" s="1437">
        <v>0</v>
      </c>
      <c r="K1882" s="1438"/>
      <c r="L1882" s="1438"/>
      <c r="M1882" s="1437">
        <f t="shared" si="257"/>
        <v>0</v>
      </c>
      <c r="N1882" s="1437">
        <f t="shared" si="261"/>
        <v>1.022551E-3</v>
      </c>
    </row>
    <row r="1883" spans="1:14" outlineLevel="1">
      <c r="A1883" s="1499">
        <f t="shared" si="263"/>
        <v>76</v>
      </c>
      <c r="B1883" s="1539" t="str">
        <f t="shared" si="263"/>
        <v>Asset Recived From Project-U#8-Boiler&amp;Aux-Air Preheaters-10501</v>
      </c>
      <c r="C1883" s="1491" t="str">
        <f t="shared" si="263"/>
        <v>N.A.</v>
      </c>
      <c r="D1883" s="1531" t="str">
        <f t="shared" si="263"/>
        <v>-</v>
      </c>
      <c r="E1883" s="1318">
        <f t="shared" si="263"/>
        <v>0</v>
      </c>
      <c r="F1883" s="1437">
        <f t="shared" si="258"/>
        <v>1.3280755999999999E-2</v>
      </c>
      <c r="G1883" s="1437">
        <f t="shared" si="259"/>
        <v>0</v>
      </c>
      <c r="H1883" s="1437">
        <f t="shared" si="260"/>
        <v>1.3280755999999999E-2</v>
      </c>
      <c r="I1883" s="1437">
        <v>0</v>
      </c>
      <c r="J1883" s="1437">
        <v>0</v>
      </c>
      <c r="K1883" s="1438"/>
      <c r="L1883" s="1438"/>
      <c r="M1883" s="1437">
        <f t="shared" si="257"/>
        <v>0</v>
      </c>
      <c r="N1883" s="1437">
        <f t="shared" si="261"/>
        <v>1.3280755999999999E-2</v>
      </c>
    </row>
    <row r="1884" spans="1:14" ht="29" outlineLevel="1">
      <c r="A1884" s="1499">
        <f t="shared" ref="A1884:E1899" si="264">A1491</f>
        <v>77</v>
      </c>
      <c r="B1884" s="1539" t="str">
        <f t="shared" si="264"/>
        <v>Asset Recived From Project-U#8-Boiler &amp; Auxillaries -COAL MILL-10501</v>
      </c>
      <c r="C1884" s="1491" t="str">
        <f t="shared" si="264"/>
        <v>N.A.</v>
      </c>
      <c r="D1884" s="1531" t="str">
        <f t="shared" si="264"/>
        <v>-</v>
      </c>
      <c r="E1884" s="1318">
        <f t="shared" si="264"/>
        <v>0</v>
      </c>
      <c r="F1884" s="1437">
        <f t="shared" si="258"/>
        <v>5.1243500999999997E-2</v>
      </c>
      <c r="G1884" s="1437">
        <f t="shared" si="259"/>
        <v>0</v>
      </c>
      <c r="H1884" s="1437">
        <f t="shared" si="260"/>
        <v>5.1243500999999997E-2</v>
      </c>
      <c r="I1884" s="1437">
        <v>0</v>
      </c>
      <c r="J1884" s="1437">
        <v>0</v>
      </c>
      <c r="K1884" s="1438"/>
      <c r="L1884" s="1438"/>
      <c r="M1884" s="1437">
        <f t="shared" si="257"/>
        <v>0</v>
      </c>
      <c r="N1884" s="1437">
        <f t="shared" si="261"/>
        <v>5.1243500999999997E-2</v>
      </c>
    </row>
    <row r="1885" spans="1:14" outlineLevel="1">
      <c r="A1885" s="1499">
        <f t="shared" si="264"/>
        <v>78</v>
      </c>
      <c r="B1885" s="1539" t="str">
        <f t="shared" si="264"/>
        <v>Asset Recived From Project-U#8-Boiler &amp; Auxillaries -FD FAN-10501</v>
      </c>
      <c r="C1885" s="1491" t="str">
        <f t="shared" si="264"/>
        <v>N.A.</v>
      </c>
      <c r="D1885" s="1531" t="str">
        <f t="shared" si="264"/>
        <v>-</v>
      </c>
      <c r="E1885" s="1318">
        <f t="shared" si="264"/>
        <v>0</v>
      </c>
      <c r="F1885" s="1437">
        <f t="shared" si="258"/>
        <v>6.8170000000000004E-4</v>
      </c>
      <c r="G1885" s="1437">
        <f t="shared" si="259"/>
        <v>0</v>
      </c>
      <c r="H1885" s="1437">
        <f t="shared" si="260"/>
        <v>6.8170000000000004E-4</v>
      </c>
      <c r="I1885" s="1437">
        <v>0</v>
      </c>
      <c r="J1885" s="1437">
        <v>0</v>
      </c>
      <c r="K1885" s="1438"/>
      <c r="L1885" s="1438"/>
      <c r="M1885" s="1437">
        <f t="shared" si="257"/>
        <v>0</v>
      </c>
      <c r="N1885" s="1437">
        <f t="shared" si="261"/>
        <v>6.8170000000000004E-4</v>
      </c>
    </row>
    <row r="1886" spans="1:14" outlineLevel="1">
      <c r="A1886" s="1499">
        <f t="shared" si="264"/>
        <v>79</v>
      </c>
      <c r="B1886" s="1539" t="str">
        <f t="shared" si="264"/>
        <v>Asset Recived From Project-U#8-Boiler &amp; Auxillaries- ID FAN-10501</v>
      </c>
      <c r="C1886" s="1491" t="str">
        <f t="shared" si="264"/>
        <v>N.A.</v>
      </c>
      <c r="D1886" s="1531" t="str">
        <f t="shared" si="264"/>
        <v>-</v>
      </c>
      <c r="E1886" s="1318">
        <f t="shared" si="264"/>
        <v>0</v>
      </c>
      <c r="F1886" s="1437">
        <f t="shared" si="258"/>
        <v>1.7042509999999999E-3</v>
      </c>
      <c r="G1886" s="1437">
        <f t="shared" si="259"/>
        <v>0</v>
      </c>
      <c r="H1886" s="1437">
        <f t="shared" si="260"/>
        <v>1.7042509999999999E-3</v>
      </c>
      <c r="I1886" s="1437">
        <v>0</v>
      </c>
      <c r="J1886" s="1437">
        <v>0</v>
      </c>
      <c r="K1886" s="1438"/>
      <c r="L1886" s="1438"/>
      <c r="M1886" s="1437">
        <f t="shared" si="257"/>
        <v>0</v>
      </c>
      <c r="N1886" s="1437">
        <f t="shared" si="261"/>
        <v>1.7042509999999999E-3</v>
      </c>
    </row>
    <row r="1887" spans="1:14" ht="29" outlineLevel="1">
      <c r="A1887" s="1499">
        <f t="shared" si="264"/>
        <v>80</v>
      </c>
      <c r="B1887" s="1539" t="str">
        <f t="shared" si="264"/>
        <v>Asset Recived From Project-U#8-Boiler&amp;Aux-Mandatory Spares-10501</v>
      </c>
      <c r="C1887" s="1491" t="str">
        <f t="shared" si="264"/>
        <v>N.A.</v>
      </c>
      <c r="D1887" s="1531" t="str">
        <f t="shared" si="264"/>
        <v>-</v>
      </c>
      <c r="E1887" s="1318">
        <f t="shared" si="264"/>
        <v>0</v>
      </c>
      <c r="F1887" s="1437">
        <f t="shared" si="258"/>
        <v>9.7934579999999997E-3</v>
      </c>
      <c r="G1887" s="1437">
        <f t="shared" si="259"/>
        <v>0</v>
      </c>
      <c r="H1887" s="1437">
        <f t="shared" si="260"/>
        <v>9.7934579999999997E-3</v>
      </c>
      <c r="I1887" s="1437">
        <v>0</v>
      </c>
      <c r="J1887" s="1437">
        <v>0</v>
      </c>
      <c r="K1887" s="1438"/>
      <c r="L1887" s="1438"/>
      <c r="M1887" s="1437">
        <f t="shared" si="257"/>
        <v>0</v>
      </c>
      <c r="N1887" s="1437">
        <f t="shared" si="261"/>
        <v>9.7934579999999997E-3</v>
      </c>
    </row>
    <row r="1888" spans="1:14" ht="29" outlineLevel="1">
      <c r="A1888" s="1499">
        <f t="shared" si="264"/>
        <v>81</v>
      </c>
      <c r="B1888" s="1539" t="str">
        <f t="shared" si="264"/>
        <v>Asset Recived From Project-U#8-Boiler&amp;Aux-PLATFORM,STAIRS,GRATINGS,</v>
      </c>
      <c r="C1888" s="1491" t="str">
        <f t="shared" si="264"/>
        <v>N.A.</v>
      </c>
      <c r="D1888" s="1531" t="str">
        <f t="shared" si="264"/>
        <v>-</v>
      </c>
      <c r="E1888" s="1318">
        <f t="shared" si="264"/>
        <v>0</v>
      </c>
      <c r="F1888" s="1437">
        <f t="shared" si="258"/>
        <v>3.0595908000000002E-2</v>
      </c>
      <c r="G1888" s="1437">
        <f t="shared" si="259"/>
        <v>0</v>
      </c>
      <c r="H1888" s="1437">
        <f t="shared" si="260"/>
        <v>3.0595908000000002E-2</v>
      </c>
      <c r="I1888" s="1437">
        <v>0</v>
      </c>
      <c r="J1888" s="1437">
        <v>0</v>
      </c>
      <c r="K1888" s="1438"/>
      <c r="L1888" s="1438"/>
      <c r="M1888" s="1437">
        <f t="shared" si="257"/>
        <v>0</v>
      </c>
      <c r="N1888" s="1437">
        <f t="shared" si="261"/>
        <v>3.0595908000000002E-2</v>
      </c>
    </row>
    <row r="1889" spans="1:14" outlineLevel="1">
      <c r="A1889" s="1499">
        <f t="shared" si="264"/>
        <v>82</v>
      </c>
      <c r="B1889" s="1539" t="str">
        <f t="shared" si="264"/>
        <v>Asset Recived From Project-U#8-Boiler Pressure parts-10501</v>
      </c>
      <c r="C1889" s="1491" t="str">
        <f t="shared" si="264"/>
        <v>N.A.</v>
      </c>
      <c r="D1889" s="1531" t="str">
        <f t="shared" si="264"/>
        <v>-</v>
      </c>
      <c r="E1889" s="1318">
        <f t="shared" si="264"/>
        <v>0</v>
      </c>
      <c r="F1889" s="1437">
        <f t="shared" si="258"/>
        <v>0.17807421000000001</v>
      </c>
      <c r="G1889" s="1437">
        <f t="shared" si="259"/>
        <v>0</v>
      </c>
      <c r="H1889" s="1437">
        <f t="shared" si="260"/>
        <v>0.17807421000000001</v>
      </c>
      <c r="I1889" s="1437">
        <v>0</v>
      </c>
      <c r="J1889" s="1437">
        <v>0</v>
      </c>
      <c r="K1889" s="1438"/>
      <c r="L1889" s="1438"/>
      <c r="M1889" s="1437">
        <f t="shared" si="257"/>
        <v>0</v>
      </c>
      <c r="N1889" s="1437">
        <f t="shared" si="261"/>
        <v>0.17807421000000001</v>
      </c>
    </row>
    <row r="1890" spans="1:14" ht="29" outlineLevel="1">
      <c r="A1890" s="1499">
        <f t="shared" si="264"/>
        <v>83</v>
      </c>
      <c r="B1890" s="1539" t="str">
        <f t="shared" si="264"/>
        <v>Asset Recived From Project-U#8-220V-BATTERY+CHARGERS-MAIN PLANT-10563</v>
      </c>
      <c r="C1890" s="1491" t="str">
        <f t="shared" si="264"/>
        <v>N.A.</v>
      </c>
      <c r="D1890" s="1531" t="str">
        <f t="shared" si="264"/>
        <v>-</v>
      </c>
      <c r="E1890" s="1318">
        <f t="shared" si="264"/>
        <v>0</v>
      </c>
      <c r="F1890" s="1437">
        <f t="shared" si="258"/>
        <v>2.0848189999999999E-3</v>
      </c>
      <c r="G1890" s="1437">
        <f t="shared" si="259"/>
        <v>0</v>
      </c>
      <c r="H1890" s="1437">
        <f t="shared" si="260"/>
        <v>2.0848189999999999E-3</v>
      </c>
      <c r="I1890" s="1437">
        <v>0</v>
      </c>
      <c r="J1890" s="1437">
        <v>0</v>
      </c>
      <c r="K1890" s="1438"/>
      <c r="L1890" s="1438"/>
      <c r="M1890" s="1437">
        <f t="shared" si="257"/>
        <v>0</v>
      </c>
      <c r="N1890" s="1437">
        <f t="shared" si="261"/>
        <v>2.0848189999999999E-3</v>
      </c>
    </row>
    <row r="1891" spans="1:14" ht="29" outlineLevel="1">
      <c r="A1891" s="1499">
        <f t="shared" si="264"/>
        <v>84</v>
      </c>
      <c r="B1891" s="1539" t="str">
        <f t="shared" si="264"/>
        <v>Asset Recived From Project-U#8-220V -BATTERY WITH CHARGERS(CHP)-10563</v>
      </c>
      <c r="C1891" s="1491" t="str">
        <f t="shared" si="264"/>
        <v>N.A.</v>
      </c>
      <c r="D1891" s="1531" t="str">
        <f t="shared" si="264"/>
        <v>-</v>
      </c>
      <c r="E1891" s="1318">
        <f t="shared" si="264"/>
        <v>0</v>
      </c>
      <c r="F1891" s="1437">
        <f t="shared" si="258"/>
        <v>2.0745099999999999E-4</v>
      </c>
      <c r="G1891" s="1437">
        <f t="shared" si="259"/>
        <v>0</v>
      </c>
      <c r="H1891" s="1437">
        <f t="shared" si="260"/>
        <v>2.0745099999999999E-4</v>
      </c>
      <c r="I1891" s="1437">
        <v>0</v>
      </c>
      <c r="J1891" s="1437">
        <v>0</v>
      </c>
      <c r="K1891" s="1438"/>
      <c r="L1891" s="1438"/>
      <c r="M1891" s="1437">
        <f t="shared" si="257"/>
        <v>0</v>
      </c>
      <c r="N1891" s="1437">
        <f t="shared" si="261"/>
        <v>2.0745099999999999E-4</v>
      </c>
    </row>
    <row r="1892" spans="1:14" ht="29" outlineLevel="1">
      <c r="A1892" s="1499">
        <f t="shared" si="264"/>
        <v>85</v>
      </c>
      <c r="B1892" s="1539" t="str">
        <f t="shared" si="264"/>
        <v>Asset Recived From Project-U#8-220V-BATTERY+CHARG-WAGON TRIP-2N-10563</v>
      </c>
      <c r="C1892" s="1491" t="str">
        <f t="shared" si="264"/>
        <v>N.A.</v>
      </c>
      <c r="D1892" s="1531" t="str">
        <f t="shared" si="264"/>
        <v>-</v>
      </c>
      <c r="E1892" s="1318">
        <f t="shared" si="264"/>
        <v>0</v>
      </c>
      <c r="F1892" s="1437">
        <f t="shared" si="258"/>
        <v>8.4673999999999996E-5</v>
      </c>
      <c r="G1892" s="1437">
        <f t="shared" si="259"/>
        <v>0</v>
      </c>
      <c r="H1892" s="1437">
        <f t="shared" si="260"/>
        <v>8.4673999999999996E-5</v>
      </c>
      <c r="I1892" s="1437">
        <v>0</v>
      </c>
      <c r="J1892" s="1437">
        <v>0</v>
      </c>
      <c r="K1892" s="1438"/>
      <c r="L1892" s="1438"/>
      <c r="M1892" s="1437">
        <f t="shared" si="257"/>
        <v>0</v>
      </c>
      <c r="N1892" s="1437">
        <f t="shared" si="261"/>
        <v>8.4673999999999996E-5</v>
      </c>
    </row>
    <row r="1893" spans="1:14" ht="29" outlineLevel="1">
      <c r="A1893" s="1499">
        <f t="shared" si="264"/>
        <v>86</v>
      </c>
      <c r="B1893" s="1539" t="str">
        <f t="shared" si="264"/>
        <v>Asset Recived From Project-U#8-BOP-OTHER C&amp; i INSTRUMENTS-10509</v>
      </c>
      <c r="C1893" s="1491" t="str">
        <f t="shared" si="264"/>
        <v>N.A.</v>
      </c>
      <c r="D1893" s="1531" t="str">
        <f t="shared" si="264"/>
        <v>-</v>
      </c>
      <c r="E1893" s="1318">
        <f t="shared" si="264"/>
        <v>0</v>
      </c>
      <c r="F1893" s="1437">
        <f t="shared" si="258"/>
        <v>1.3440609999999999E-3</v>
      </c>
      <c r="G1893" s="1437">
        <f t="shared" si="259"/>
        <v>0</v>
      </c>
      <c r="H1893" s="1437">
        <f t="shared" si="260"/>
        <v>1.3440609999999999E-3</v>
      </c>
      <c r="I1893" s="1437">
        <v>0</v>
      </c>
      <c r="J1893" s="1437">
        <v>0</v>
      </c>
      <c r="K1893" s="1438"/>
      <c r="L1893" s="1438"/>
      <c r="M1893" s="1437">
        <f t="shared" si="257"/>
        <v>0</v>
      </c>
      <c r="N1893" s="1437">
        <f t="shared" si="261"/>
        <v>1.3440609999999999E-3</v>
      </c>
    </row>
    <row r="1894" spans="1:14" outlineLevel="1">
      <c r="A1894" s="1499">
        <f t="shared" si="264"/>
        <v>87</v>
      </c>
      <c r="B1894" s="1539" t="str">
        <f t="shared" si="264"/>
        <v>Asset Recived From Project-U#8-CHP-CONVEYOR SYSTEM-10515</v>
      </c>
      <c r="C1894" s="1491" t="str">
        <f t="shared" si="264"/>
        <v>N.A.</v>
      </c>
      <c r="D1894" s="1531" t="str">
        <f t="shared" si="264"/>
        <v>-</v>
      </c>
      <c r="E1894" s="1318">
        <f t="shared" si="264"/>
        <v>0</v>
      </c>
      <c r="F1894" s="1437">
        <f t="shared" si="258"/>
        <v>1.540935E-2</v>
      </c>
      <c r="G1894" s="1437">
        <f t="shared" si="259"/>
        <v>0</v>
      </c>
      <c r="H1894" s="1437">
        <f t="shared" si="260"/>
        <v>1.540935E-2</v>
      </c>
      <c r="I1894" s="1437">
        <v>0</v>
      </c>
      <c r="J1894" s="1437">
        <v>0</v>
      </c>
      <c r="K1894" s="1438"/>
      <c r="L1894" s="1438"/>
      <c r="M1894" s="1437">
        <f t="shared" si="257"/>
        <v>0</v>
      </c>
      <c r="N1894" s="1437">
        <f t="shared" si="261"/>
        <v>1.540935E-2</v>
      </c>
    </row>
    <row r="1895" spans="1:14" outlineLevel="1">
      <c r="A1895" s="1499">
        <f t="shared" si="264"/>
        <v>88</v>
      </c>
      <c r="B1895" s="1539" t="str">
        <f t="shared" si="264"/>
        <v>Asset Recived From Project-U#8-CHP-WOBLER FEEDER-10515</v>
      </c>
      <c r="C1895" s="1491" t="str">
        <f t="shared" si="264"/>
        <v>N.A.</v>
      </c>
      <c r="D1895" s="1531" t="str">
        <f t="shared" si="264"/>
        <v>-</v>
      </c>
      <c r="E1895" s="1318">
        <f t="shared" si="264"/>
        <v>0</v>
      </c>
      <c r="F1895" s="1437">
        <f t="shared" si="258"/>
        <v>5.4613100000000005E-4</v>
      </c>
      <c r="G1895" s="1437">
        <f t="shared" si="259"/>
        <v>0</v>
      </c>
      <c r="H1895" s="1437">
        <f t="shared" si="260"/>
        <v>5.4613100000000005E-4</v>
      </c>
      <c r="I1895" s="1437">
        <v>0</v>
      </c>
      <c r="J1895" s="1437">
        <v>0</v>
      </c>
      <c r="K1895" s="1438"/>
      <c r="L1895" s="1438"/>
      <c r="M1895" s="1437">
        <f t="shared" si="257"/>
        <v>0</v>
      </c>
      <c r="N1895" s="1437">
        <f t="shared" si="261"/>
        <v>5.4613100000000005E-4</v>
      </c>
    </row>
    <row r="1896" spans="1:14" outlineLevel="1">
      <c r="A1896" s="1499">
        <f t="shared" si="264"/>
        <v>89</v>
      </c>
      <c r="B1896" s="1539" t="str">
        <f t="shared" si="264"/>
        <v>Asset Recived From Project-U#8-CHP-APRON FEEDER-10515</v>
      </c>
      <c r="C1896" s="1491" t="str">
        <f t="shared" si="264"/>
        <v>N.A.</v>
      </c>
      <c r="D1896" s="1531" t="str">
        <f t="shared" si="264"/>
        <v>-</v>
      </c>
      <c r="E1896" s="1318">
        <f t="shared" si="264"/>
        <v>0</v>
      </c>
      <c r="F1896" s="1437">
        <f t="shared" si="258"/>
        <v>2.8149E-3</v>
      </c>
      <c r="G1896" s="1437">
        <f t="shared" si="259"/>
        <v>0</v>
      </c>
      <c r="H1896" s="1437">
        <f t="shared" si="260"/>
        <v>2.8149E-3</v>
      </c>
      <c r="I1896" s="1437">
        <v>0</v>
      </c>
      <c r="J1896" s="1437">
        <v>0</v>
      </c>
      <c r="K1896" s="1438"/>
      <c r="L1896" s="1438"/>
      <c r="M1896" s="1437">
        <f t="shared" si="257"/>
        <v>0</v>
      </c>
      <c r="N1896" s="1437">
        <f t="shared" si="261"/>
        <v>2.8149E-3</v>
      </c>
    </row>
    <row r="1897" spans="1:14" ht="29" outlineLevel="1">
      <c r="A1897" s="1499">
        <f t="shared" si="264"/>
        <v>90</v>
      </c>
      <c r="B1897" s="1539" t="str">
        <f t="shared" si="264"/>
        <v>Asset Recived From Project-U#8-CHP-ILMS,METAL DETECTOR,BELT WEIGHER</v>
      </c>
      <c r="C1897" s="1491" t="str">
        <f t="shared" si="264"/>
        <v>N.A.</v>
      </c>
      <c r="D1897" s="1531" t="str">
        <f t="shared" si="264"/>
        <v>-</v>
      </c>
      <c r="E1897" s="1318">
        <f t="shared" si="264"/>
        <v>0</v>
      </c>
      <c r="F1897" s="1437">
        <f t="shared" si="258"/>
        <v>1.170412E-3</v>
      </c>
      <c r="G1897" s="1437">
        <f t="shared" si="259"/>
        <v>0</v>
      </c>
      <c r="H1897" s="1437">
        <f t="shared" si="260"/>
        <v>1.170412E-3</v>
      </c>
      <c r="I1897" s="1437">
        <v>0</v>
      </c>
      <c r="J1897" s="1437">
        <v>0</v>
      </c>
      <c r="K1897" s="1438"/>
      <c r="L1897" s="1438"/>
      <c r="M1897" s="1437">
        <f t="shared" si="257"/>
        <v>0</v>
      </c>
      <c r="N1897" s="1437">
        <f t="shared" si="261"/>
        <v>1.170412E-3</v>
      </c>
    </row>
    <row r="1898" spans="1:14" outlineLevel="1">
      <c r="A1898" s="1499">
        <f t="shared" si="264"/>
        <v>91</v>
      </c>
      <c r="B1898" s="1539" t="str">
        <f t="shared" si="264"/>
        <v>Asset Recived From Project-U#8-CHP-IMPACT CRUSHER-10515</v>
      </c>
      <c r="C1898" s="1491" t="str">
        <f t="shared" si="264"/>
        <v>N.A.</v>
      </c>
      <c r="D1898" s="1531" t="str">
        <f t="shared" si="264"/>
        <v>-</v>
      </c>
      <c r="E1898" s="1318">
        <f t="shared" si="264"/>
        <v>0</v>
      </c>
      <c r="F1898" s="1437">
        <f t="shared" si="258"/>
        <v>2.0637770000000001E-3</v>
      </c>
      <c r="G1898" s="1437">
        <f t="shared" si="259"/>
        <v>0</v>
      </c>
      <c r="H1898" s="1437">
        <f t="shared" si="260"/>
        <v>2.0637770000000001E-3</v>
      </c>
      <c r="I1898" s="1437">
        <v>0</v>
      </c>
      <c r="J1898" s="1437">
        <v>0</v>
      </c>
      <c r="K1898" s="1438"/>
      <c r="L1898" s="1438"/>
      <c r="M1898" s="1437">
        <f t="shared" si="257"/>
        <v>0</v>
      </c>
      <c r="N1898" s="1437">
        <f t="shared" si="261"/>
        <v>2.0637770000000001E-3</v>
      </c>
    </row>
    <row r="1899" spans="1:14" outlineLevel="1">
      <c r="A1899" s="1499">
        <f t="shared" si="264"/>
        <v>92</v>
      </c>
      <c r="B1899" s="1539" t="str">
        <f t="shared" si="264"/>
        <v>Project-U#8-CHP-STRACKER CUM RECLAIMER-10515</v>
      </c>
      <c r="C1899" s="1491" t="str">
        <f t="shared" si="264"/>
        <v>N.A.</v>
      </c>
      <c r="D1899" s="1531" t="str">
        <f t="shared" si="264"/>
        <v>-</v>
      </c>
      <c r="E1899" s="1318">
        <f t="shared" si="264"/>
        <v>0</v>
      </c>
      <c r="F1899" s="1437">
        <f t="shared" si="258"/>
        <v>8.2014210000000004E-3</v>
      </c>
      <c r="G1899" s="1437">
        <f t="shared" si="259"/>
        <v>0</v>
      </c>
      <c r="H1899" s="1437">
        <f t="shared" si="260"/>
        <v>8.2014210000000004E-3</v>
      </c>
      <c r="I1899" s="1437">
        <v>0</v>
      </c>
      <c r="J1899" s="1437">
        <v>0</v>
      </c>
      <c r="K1899" s="1438"/>
      <c r="L1899" s="1438"/>
      <c r="M1899" s="1437">
        <f t="shared" si="257"/>
        <v>0</v>
      </c>
      <c r="N1899" s="1437">
        <f t="shared" si="261"/>
        <v>8.2014210000000004E-3</v>
      </c>
    </row>
    <row r="1900" spans="1:14" outlineLevel="1">
      <c r="A1900" s="1499">
        <f t="shared" ref="A1900:E1915" si="265">A1507</f>
        <v>93</v>
      </c>
      <c r="B1900" s="1539" t="str">
        <f t="shared" si="265"/>
        <v>Project-U#8-CHP-SIDE DISCHARGE TYPE WAGON TRIPPLER</v>
      </c>
      <c r="C1900" s="1491" t="str">
        <f t="shared" si="265"/>
        <v>N.A.</v>
      </c>
      <c r="D1900" s="1531" t="str">
        <f t="shared" si="265"/>
        <v>-</v>
      </c>
      <c r="E1900" s="1318">
        <f t="shared" si="265"/>
        <v>0</v>
      </c>
      <c r="F1900" s="1437">
        <f t="shared" si="258"/>
        <v>7.783575E-3</v>
      </c>
      <c r="G1900" s="1437">
        <f t="shared" si="259"/>
        <v>0</v>
      </c>
      <c r="H1900" s="1437">
        <f t="shared" si="260"/>
        <v>7.783575E-3</v>
      </c>
      <c r="I1900" s="1437">
        <v>0</v>
      </c>
      <c r="J1900" s="1437">
        <v>0</v>
      </c>
      <c r="K1900" s="1438"/>
      <c r="L1900" s="1438"/>
      <c r="M1900" s="1437">
        <f t="shared" si="257"/>
        <v>0</v>
      </c>
      <c r="N1900" s="1437">
        <f t="shared" si="261"/>
        <v>7.783575E-3</v>
      </c>
    </row>
    <row r="1901" spans="1:14" outlineLevel="1">
      <c r="A1901" s="1499">
        <f t="shared" si="265"/>
        <v>94</v>
      </c>
      <c r="B1901" s="1539" t="str">
        <f t="shared" si="265"/>
        <v>Project-U#8-Coal Handling Plant-M.S.-10515</v>
      </c>
      <c r="C1901" s="1491" t="str">
        <f t="shared" si="265"/>
        <v>N.A.</v>
      </c>
      <c r="D1901" s="1531" t="str">
        <f t="shared" si="265"/>
        <v>-</v>
      </c>
      <c r="E1901" s="1318">
        <f t="shared" si="265"/>
        <v>0</v>
      </c>
      <c r="F1901" s="1437">
        <f t="shared" si="258"/>
        <v>3.4267400000000001E-4</v>
      </c>
      <c r="G1901" s="1437">
        <f t="shared" si="259"/>
        <v>0</v>
      </c>
      <c r="H1901" s="1437">
        <f t="shared" si="260"/>
        <v>3.4267400000000001E-4</v>
      </c>
      <c r="I1901" s="1437">
        <v>0</v>
      </c>
      <c r="J1901" s="1437">
        <v>0</v>
      </c>
      <c r="K1901" s="1438"/>
      <c r="L1901" s="1438"/>
      <c r="M1901" s="1437">
        <f t="shared" si="257"/>
        <v>0</v>
      </c>
      <c r="N1901" s="1437">
        <f t="shared" si="261"/>
        <v>3.4267400000000001E-4</v>
      </c>
    </row>
    <row r="1902" spans="1:14" outlineLevel="1">
      <c r="A1902" s="1499">
        <f t="shared" si="265"/>
        <v>95</v>
      </c>
      <c r="B1902" s="1539" t="str">
        <f t="shared" si="265"/>
        <v>Project-U#8-communication system-10572</v>
      </c>
      <c r="C1902" s="1491" t="str">
        <f t="shared" si="265"/>
        <v>N.A.</v>
      </c>
      <c r="D1902" s="1531" t="str">
        <f t="shared" si="265"/>
        <v>-</v>
      </c>
      <c r="E1902" s="1318">
        <f t="shared" si="265"/>
        <v>0</v>
      </c>
      <c r="F1902" s="1437">
        <f t="shared" si="258"/>
        <v>1.92531E-3</v>
      </c>
      <c r="G1902" s="1437">
        <f t="shared" si="259"/>
        <v>0</v>
      </c>
      <c r="H1902" s="1437">
        <f t="shared" si="260"/>
        <v>1.92531E-3</v>
      </c>
      <c r="I1902" s="1437">
        <v>0</v>
      </c>
      <c r="J1902" s="1437">
        <v>0</v>
      </c>
      <c r="K1902" s="1438"/>
      <c r="L1902" s="1438"/>
      <c r="M1902" s="1437">
        <f t="shared" ref="M1902:M1965" si="266">SUM(J1902:L1902)</f>
        <v>0</v>
      </c>
      <c r="N1902" s="1437">
        <f t="shared" si="261"/>
        <v>1.92531E-3</v>
      </c>
    </row>
    <row r="1903" spans="1:14" outlineLevel="1">
      <c r="A1903" s="1499">
        <f t="shared" si="265"/>
        <v>96</v>
      </c>
      <c r="B1903" s="1539" t="str">
        <f t="shared" si="265"/>
        <v>Project-U#8-UPS INVERTORS-10563</v>
      </c>
      <c r="C1903" s="1491" t="str">
        <f t="shared" si="265"/>
        <v>N.A.</v>
      </c>
      <c r="D1903" s="1531" t="str">
        <f t="shared" si="265"/>
        <v>-</v>
      </c>
      <c r="E1903" s="1318">
        <f t="shared" si="265"/>
        <v>0</v>
      </c>
      <c r="F1903" s="1437">
        <f t="shared" ref="F1903:F1966" si="267">F1510+I1510</f>
        <v>5.1465199999999999E-4</v>
      </c>
      <c r="G1903" s="1437">
        <f t="shared" ref="G1903:G1966" si="268">G1510+M1510</f>
        <v>0</v>
      </c>
      <c r="H1903" s="1437">
        <f t="shared" si="260"/>
        <v>5.1465199999999999E-4</v>
      </c>
      <c r="I1903" s="1437">
        <v>0</v>
      </c>
      <c r="J1903" s="1437">
        <v>0</v>
      </c>
      <c r="K1903" s="1438"/>
      <c r="L1903" s="1438"/>
      <c r="M1903" s="1437">
        <f t="shared" si="266"/>
        <v>0</v>
      </c>
      <c r="N1903" s="1437">
        <f t="shared" si="261"/>
        <v>5.1465199999999999E-4</v>
      </c>
    </row>
    <row r="1904" spans="1:14" outlineLevel="1">
      <c r="A1904" s="1499">
        <f t="shared" si="265"/>
        <v>97</v>
      </c>
      <c r="B1904" s="1539" t="str">
        <f t="shared" si="265"/>
        <v>Project-U#8-UPS ACDS-10563</v>
      </c>
      <c r="C1904" s="1491" t="str">
        <f t="shared" si="265"/>
        <v>N.A.</v>
      </c>
      <c r="D1904" s="1531" t="str">
        <f t="shared" si="265"/>
        <v>-</v>
      </c>
      <c r="E1904" s="1318">
        <f t="shared" si="265"/>
        <v>0</v>
      </c>
      <c r="F1904" s="1437">
        <f t="shared" si="267"/>
        <v>8.9956000000000004E-5</v>
      </c>
      <c r="G1904" s="1437">
        <f t="shared" si="268"/>
        <v>0</v>
      </c>
      <c r="H1904" s="1437">
        <f t="shared" ref="H1904:H1967" si="269">F1904-G1904</f>
        <v>8.9956000000000004E-5</v>
      </c>
      <c r="I1904" s="1437">
        <v>0</v>
      </c>
      <c r="J1904" s="1437">
        <v>0</v>
      </c>
      <c r="K1904" s="1438"/>
      <c r="L1904" s="1438"/>
      <c r="M1904" s="1437">
        <f t="shared" si="266"/>
        <v>0</v>
      </c>
      <c r="N1904" s="1437">
        <f t="shared" ref="N1904:N1967" si="270">H1904+I1904-M1904</f>
        <v>8.9956000000000004E-5</v>
      </c>
    </row>
    <row r="1905" spans="1:14" outlineLevel="1">
      <c r="A1905" s="1499">
        <f t="shared" si="265"/>
        <v>98</v>
      </c>
      <c r="B1905" s="1539" t="str">
        <f t="shared" si="265"/>
        <v>Project-U#8-UPS BATTERIRERS-10563</v>
      </c>
      <c r="C1905" s="1491" t="str">
        <f t="shared" si="265"/>
        <v>N.A.</v>
      </c>
      <c r="D1905" s="1531" t="str">
        <f t="shared" si="265"/>
        <v>-</v>
      </c>
      <c r="E1905" s="1318">
        <f t="shared" si="265"/>
        <v>0</v>
      </c>
      <c r="F1905" s="1437">
        <f t="shared" si="267"/>
        <v>5.1465199999999999E-4</v>
      </c>
      <c r="G1905" s="1437">
        <f t="shared" si="268"/>
        <v>0</v>
      </c>
      <c r="H1905" s="1437">
        <f t="shared" si="269"/>
        <v>5.1465199999999999E-4</v>
      </c>
      <c r="I1905" s="1437">
        <v>0</v>
      </c>
      <c r="J1905" s="1437">
        <v>0</v>
      </c>
      <c r="K1905" s="1438"/>
      <c r="L1905" s="1438"/>
      <c r="M1905" s="1437">
        <f t="shared" si="266"/>
        <v>0</v>
      </c>
      <c r="N1905" s="1437">
        <f t="shared" si="270"/>
        <v>5.1465199999999999E-4</v>
      </c>
    </row>
    <row r="1906" spans="1:14" outlineLevel="1">
      <c r="A1906" s="1499">
        <f t="shared" si="265"/>
        <v>99</v>
      </c>
      <c r="B1906" s="1539" t="str">
        <f t="shared" si="265"/>
        <v>Project-U#8-24V BATTERY CHARGERS (SGTG)-10563</v>
      </c>
      <c r="C1906" s="1491" t="str">
        <f t="shared" si="265"/>
        <v>N.A.</v>
      </c>
      <c r="D1906" s="1531" t="str">
        <f t="shared" si="265"/>
        <v>-</v>
      </c>
      <c r="E1906" s="1318">
        <f t="shared" si="265"/>
        <v>0</v>
      </c>
      <c r="F1906" s="1437">
        <f t="shared" si="267"/>
        <v>2.28734E-4</v>
      </c>
      <c r="G1906" s="1437">
        <f t="shared" si="268"/>
        <v>0</v>
      </c>
      <c r="H1906" s="1437">
        <f t="shared" si="269"/>
        <v>2.28734E-4</v>
      </c>
      <c r="I1906" s="1437">
        <v>0</v>
      </c>
      <c r="J1906" s="1437">
        <v>0</v>
      </c>
      <c r="K1906" s="1438"/>
      <c r="L1906" s="1438"/>
      <c r="M1906" s="1437">
        <f t="shared" si="266"/>
        <v>0</v>
      </c>
      <c r="N1906" s="1437">
        <f t="shared" si="270"/>
        <v>2.28734E-4</v>
      </c>
    </row>
    <row r="1907" spans="1:14" outlineLevel="1">
      <c r="A1907" s="1499">
        <f t="shared" si="265"/>
        <v>100</v>
      </c>
      <c r="B1907" s="1539" t="str">
        <f t="shared" si="265"/>
        <v>Project-U#8-24V BATTERY CHARGERS (BOP)-10563</v>
      </c>
      <c r="C1907" s="1491" t="str">
        <f t="shared" si="265"/>
        <v>N.A.</v>
      </c>
      <c r="D1907" s="1531" t="str">
        <f t="shared" si="265"/>
        <v>-</v>
      </c>
      <c r="E1907" s="1318">
        <f t="shared" si="265"/>
        <v>0</v>
      </c>
      <c r="F1907" s="1437">
        <f t="shared" si="267"/>
        <v>2.28734E-4</v>
      </c>
      <c r="G1907" s="1437">
        <f t="shared" si="268"/>
        <v>0</v>
      </c>
      <c r="H1907" s="1437">
        <f t="shared" si="269"/>
        <v>2.28734E-4</v>
      </c>
      <c r="I1907" s="1437">
        <v>0</v>
      </c>
      <c r="J1907" s="1437">
        <v>0</v>
      </c>
      <c r="K1907" s="1438"/>
      <c r="L1907" s="1438"/>
      <c r="M1907" s="1437">
        <f t="shared" si="266"/>
        <v>0</v>
      </c>
      <c r="N1907" s="1437">
        <f t="shared" si="270"/>
        <v>2.28734E-4</v>
      </c>
    </row>
    <row r="1908" spans="1:14" outlineLevel="1">
      <c r="A1908" s="1499">
        <f t="shared" si="265"/>
        <v>101</v>
      </c>
      <c r="B1908" s="1539" t="str">
        <f t="shared" si="265"/>
        <v>Project-U#8-BATTERIS FOR (SGTG)-10563</v>
      </c>
      <c r="C1908" s="1491" t="str">
        <f t="shared" si="265"/>
        <v>N.A.</v>
      </c>
      <c r="D1908" s="1531" t="str">
        <f t="shared" si="265"/>
        <v>-</v>
      </c>
      <c r="E1908" s="1318">
        <f t="shared" si="265"/>
        <v>0</v>
      </c>
      <c r="F1908" s="1437">
        <f t="shared" si="267"/>
        <v>2.28734E-4</v>
      </c>
      <c r="G1908" s="1437">
        <f t="shared" si="268"/>
        <v>0</v>
      </c>
      <c r="H1908" s="1437">
        <f t="shared" si="269"/>
        <v>2.28734E-4</v>
      </c>
      <c r="I1908" s="1437">
        <v>0</v>
      </c>
      <c r="J1908" s="1437">
        <v>0</v>
      </c>
      <c r="K1908" s="1438"/>
      <c r="L1908" s="1438"/>
      <c r="M1908" s="1437">
        <f t="shared" si="266"/>
        <v>0</v>
      </c>
      <c r="N1908" s="1437">
        <f t="shared" si="270"/>
        <v>2.28734E-4</v>
      </c>
    </row>
    <row r="1909" spans="1:14" outlineLevel="1">
      <c r="A1909" s="1499">
        <f t="shared" si="265"/>
        <v>102</v>
      </c>
      <c r="B1909" s="1539" t="str">
        <f t="shared" si="265"/>
        <v>Project-U#8-BATTERIS FOR (BOP)-10563</v>
      </c>
      <c r="C1909" s="1491" t="str">
        <f t="shared" si="265"/>
        <v>N.A.</v>
      </c>
      <c r="D1909" s="1531" t="str">
        <f t="shared" si="265"/>
        <v>-</v>
      </c>
      <c r="E1909" s="1318">
        <f t="shared" si="265"/>
        <v>0</v>
      </c>
      <c r="F1909" s="1437">
        <f t="shared" si="267"/>
        <v>2.28734E-4</v>
      </c>
      <c r="G1909" s="1437">
        <f t="shared" si="268"/>
        <v>0</v>
      </c>
      <c r="H1909" s="1437">
        <f t="shared" si="269"/>
        <v>2.28734E-4</v>
      </c>
      <c r="I1909" s="1437">
        <v>0</v>
      </c>
      <c r="J1909" s="1437">
        <v>0</v>
      </c>
      <c r="K1909" s="1438"/>
      <c r="L1909" s="1438"/>
      <c r="M1909" s="1437">
        <f t="shared" si="266"/>
        <v>0</v>
      </c>
      <c r="N1909" s="1437">
        <f t="shared" si="270"/>
        <v>2.28734E-4</v>
      </c>
    </row>
    <row r="1910" spans="1:14" outlineLevel="1">
      <c r="A1910" s="1499">
        <f t="shared" si="265"/>
        <v>103</v>
      </c>
      <c r="B1910" s="1539" t="str">
        <f t="shared" si="265"/>
        <v>Project-U#8-DCDB(SGTG)-10563</v>
      </c>
      <c r="C1910" s="1491" t="str">
        <f t="shared" si="265"/>
        <v>N.A.</v>
      </c>
      <c r="D1910" s="1531" t="str">
        <f t="shared" si="265"/>
        <v>-</v>
      </c>
      <c r="E1910" s="1318">
        <f t="shared" si="265"/>
        <v>0</v>
      </c>
      <c r="F1910" s="1437">
        <f t="shared" si="267"/>
        <v>5.7182999999999998E-5</v>
      </c>
      <c r="G1910" s="1437">
        <f t="shared" si="268"/>
        <v>0</v>
      </c>
      <c r="H1910" s="1437">
        <f t="shared" si="269"/>
        <v>5.7182999999999998E-5</v>
      </c>
      <c r="I1910" s="1437">
        <v>0</v>
      </c>
      <c r="J1910" s="1437">
        <v>0</v>
      </c>
      <c r="K1910" s="1438"/>
      <c r="L1910" s="1438"/>
      <c r="M1910" s="1437">
        <f t="shared" si="266"/>
        <v>0</v>
      </c>
      <c r="N1910" s="1437">
        <f t="shared" si="270"/>
        <v>5.7182999999999998E-5</v>
      </c>
    </row>
    <row r="1911" spans="1:14" outlineLevel="1">
      <c r="A1911" s="1499">
        <f t="shared" si="265"/>
        <v>104</v>
      </c>
      <c r="B1911" s="1539" t="str">
        <f t="shared" si="265"/>
        <v>Project-U#8-DCDB(BOP)-10563</v>
      </c>
      <c r="C1911" s="1491" t="str">
        <f t="shared" si="265"/>
        <v>N.A.</v>
      </c>
      <c r="D1911" s="1531" t="str">
        <f t="shared" si="265"/>
        <v>-</v>
      </c>
      <c r="E1911" s="1318">
        <f t="shared" si="265"/>
        <v>0</v>
      </c>
      <c r="F1911" s="1437">
        <f t="shared" si="267"/>
        <v>5.7182999999999998E-5</v>
      </c>
      <c r="G1911" s="1437">
        <f t="shared" si="268"/>
        <v>0</v>
      </c>
      <c r="H1911" s="1437">
        <f t="shared" si="269"/>
        <v>5.7182999999999998E-5</v>
      </c>
      <c r="I1911" s="1437">
        <v>0</v>
      </c>
      <c r="J1911" s="1437">
        <v>0</v>
      </c>
      <c r="K1911" s="1438"/>
      <c r="L1911" s="1438"/>
      <c r="M1911" s="1437">
        <f t="shared" si="266"/>
        <v>0</v>
      </c>
      <c r="N1911" s="1437">
        <f t="shared" si="270"/>
        <v>5.7182999999999998E-5</v>
      </c>
    </row>
    <row r="1912" spans="1:14" outlineLevel="1">
      <c r="A1912" s="1499">
        <f t="shared" si="265"/>
        <v>105</v>
      </c>
      <c r="B1912" s="1539" t="str">
        <f t="shared" si="265"/>
        <v>Project-U#8-Controls &amp; Instru. for Main Plant(BTG)</v>
      </c>
      <c r="C1912" s="1491" t="str">
        <f t="shared" si="265"/>
        <v>N.A.</v>
      </c>
      <c r="D1912" s="1531" t="str">
        <f t="shared" si="265"/>
        <v>-</v>
      </c>
      <c r="E1912" s="1318">
        <f t="shared" si="265"/>
        <v>0</v>
      </c>
      <c r="F1912" s="1437">
        <f t="shared" si="267"/>
        <v>4.4292073000000001E-2</v>
      </c>
      <c r="G1912" s="1437">
        <f t="shared" si="268"/>
        <v>0</v>
      </c>
      <c r="H1912" s="1437">
        <f t="shared" si="269"/>
        <v>4.4292073000000001E-2</v>
      </c>
      <c r="I1912" s="1437">
        <v>0</v>
      </c>
      <c r="J1912" s="1437">
        <v>0</v>
      </c>
      <c r="K1912" s="1438"/>
      <c r="L1912" s="1438"/>
      <c r="M1912" s="1437">
        <f t="shared" si="266"/>
        <v>0</v>
      </c>
      <c r="N1912" s="1437">
        <f t="shared" si="270"/>
        <v>4.4292073000000001E-2</v>
      </c>
    </row>
    <row r="1913" spans="1:14" outlineLevel="1">
      <c r="A1913" s="1499">
        <f t="shared" si="265"/>
        <v>106</v>
      </c>
      <c r="B1913" s="1539" t="str">
        <f t="shared" si="265"/>
        <v>Project-U#8-CW Chlorination system-10509</v>
      </c>
      <c r="C1913" s="1491" t="str">
        <f t="shared" si="265"/>
        <v>N.A.</v>
      </c>
      <c r="D1913" s="1531" t="str">
        <f t="shared" si="265"/>
        <v>-</v>
      </c>
      <c r="E1913" s="1318">
        <f t="shared" si="265"/>
        <v>0</v>
      </c>
      <c r="F1913" s="1437">
        <f t="shared" si="267"/>
        <v>1.1973800000000001E-3</v>
      </c>
      <c r="G1913" s="1437">
        <f t="shared" si="268"/>
        <v>0</v>
      </c>
      <c r="H1913" s="1437">
        <f t="shared" si="269"/>
        <v>1.1973800000000001E-3</v>
      </c>
      <c r="I1913" s="1437">
        <v>0</v>
      </c>
      <c r="J1913" s="1437">
        <v>0</v>
      </c>
      <c r="K1913" s="1438"/>
      <c r="L1913" s="1438"/>
      <c r="M1913" s="1437">
        <f t="shared" si="266"/>
        <v>0</v>
      </c>
      <c r="N1913" s="1437">
        <f t="shared" si="270"/>
        <v>1.1973800000000001E-3</v>
      </c>
    </row>
    <row r="1914" spans="1:14" outlineLevel="1">
      <c r="A1914" s="1499">
        <f t="shared" si="265"/>
        <v>107</v>
      </c>
      <c r="B1914" s="1539" t="str">
        <f t="shared" si="265"/>
        <v>Project-U#8-D.G.SET-10509</v>
      </c>
      <c r="C1914" s="1491" t="str">
        <f t="shared" si="265"/>
        <v>N.A.</v>
      </c>
      <c r="D1914" s="1531" t="str">
        <f t="shared" si="265"/>
        <v>-</v>
      </c>
      <c r="E1914" s="1318">
        <f t="shared" si="265"/>
        <v>0</v>
      </c>
      <c r="F1914" s="1437">
        <f t="shared" si="267"/>
        <v>3.7894E-5</v>
      </c>
      <c r="G1914" s="1437">
        <f t="shared" si="268"/>
        <v>0</v>
      </c>
      <c r="H1914" s="1437">
        <f t="shared" si="269"/>
        <v>3.7894E-5</v>
      </c>
      <c r="I1914" s="1437">
        <v>0</v>
      </c>
      <c r="J1914" s="1437">
        <v>0</v>
      </c>
      <c r="K1914" s="1438"/>
      <c r="L1914" s="1438"/>
      <c r="M1914" s="1437">
        <f t="shared" si="266"/>
        <v>0</v>
      </c>
      <c r="N1914" s="1437">
        <f t="shared" si="270"/>
        <v>3.7894E-5</v>
      </c>
    </row>
    <row r="1915" spans="1:14" outlineLevel="1">
      <c r="A1915" s="1499">
        <f t="shared" si="265"/>
        <v>108</v>
      </c>
      <c r="B1915" s="1539" t="str">
        <f t="shared" si="265"/>
        <v>Project-U#8-D.M.Water System-10509</v>
      </c>
      <c r="C1915" s="1491" t="str">
        <f t="shared" si="265"/>
        <v>N.A.</v>
      </c>
      <c r="D1915" s="1531" t="str">
        <f t="shared" si="265"/>
        <v>-</v>
      </c>
      <c r="E1915" s="1318">
        <f t="shared" si="265"/>
        <v>0</v>
      </c>
      <c r="F1915" s="1437">
        <f t="shared" si="267"/>
        <v>5.7850250000000001E-3</v>
      </c>
      <c r="G1915" s="1437">
        <f t="shared" si="268"/>
        <v>0</v>
      </c>
      <c r="H1915" s="1437">
        <f t="shared" si="269"/>
        <v>5.7850250000000001E-3</v>
      </c>
      <c r="I1915" s="1437">
        <v>0</v>
      </c>
      <c r="J1915" s="1437">
        <v>0</v>
      </c>
      <c r="K1915" s="1438"/>
      <c r="L1915" s="1438"/>
      <c r="M1915" s="1437">
        <f t="shared" si="266"/>
        <v>0</v>
      </c>
      <c r="N1915" s="1437">
        <f t="shared" si="270"/>
        <v>5.7850250000000001E-3</v>
      </c>
    </row>
    <row r="1916" spans="1:14" outlineLevel="1">
      <c r="A1916" s="1499">
        <f t="shared" ref="A1916:E1931" si="271">A1523</f>
        <v>109</v>
      </c>
      <c r="B1916" s="1539" t="str">
        <f t="shared" si="271"/>
        <v>Project-U#8-DG set- Manadatory Spares-10509</v>
      </c>
      <c r="C1916" s="1491" t="str">
        <f t="shared" si="271"/>
        <v>N.A.</v>
      </c>
      <c r="D1916" s="1531" t="str">
        <f t="shared" si="271"/>
        <v>-</v>
      </c>
      <c r="E1916" s="1318">
        <f t="shared" si="271"/>
        <v>0</v>
      </c>
      <c r="F1916" s="1437">
        <f t="shared" si="267"/>
        <v>2.5003999999999998E-4</v>
      </c>
      <c r="G1916" s="1437">
        <f t="shared" si="268"/>
        <v>0</v>
      </c>
      <c r="H1916" s="1437">
        <f t="shared" si="269"/>
        <v>2.5003999999999998E-4</v>
      </c>
      <c r="I1916" s="1437">
        <v>0</v>
      </c>
      <c r="J1916" s="1437">
        <v>0</v>
      </c>
      <c r="K1916" s="1438"/>
      <c r="L1916" s="1438"/>
      <c r="M1916" s="1437">
        <f t="shared" si="266"/>
        <v>0</v>
      </c>
      <c r="N1916" s="1437">
        <f t="shared" si="270"/>
        <v>2.5003999999999998E-4</v>
      </c>
    </row>
    <row r="1917" spans="1:14" outlineLevel="1">
      <c r="A1917" s="1499">
        <f t="shared" si="271"/>
        <v>110</v>
      </c>
      <c r="B1917" s="1539" t="str">
        <f t="shared" si="271"/>
        <v>Project-U#8-DG Set Room cum Air Compressor House</v>
      </c>
      <c r="C1917" s="1491" t="str">
        <f t="shared" si="271"/>
        <v>N.A.</v>
      </c>
      <c r="D1917" s="1531" t="str">
        <f t="shared" si="271"/>
        <v>-</v>
      </c>
      <c r="E1917" s="1318">
        <f t="shared" si="271"/>
        <v>0</v>
      </c>
      <c r="F1917" s="1437">
        <f t="shared" si="267"/>
        <v>5.5794089999999996E-3</v>
      </c>
      <c r="G1917" s="1437">
        <f t="shared" si="268"/>
        <v>0</v>
      </c>
      <c r="H1917" s="1437">
        <f t="shared" si="269"/>
        <v>5.5794089999999996E-3</v>
      </c>
      <c r="I1917" s="1437">
        <v>0</v>
      </c>
      <c r="J1917" s="1437">
        <v>0</v>
      </c>
      <c r="K1917" s="1438"/>
      <c r="L1917" s="1438"/>
      <c r="M1917" s="1437">
        <f t="shared" si="266"/>
        <v>0</v>
      </c>
      <c r="N1917" s="1437">
        <f t="shared" si="270"/>
        <v>5.5794089999999996E-3</v>
      </c>
    </row>
    <row r="1918" spans="1:14" outlineLevel="1">
      <c r="A1918" s="1499">
        <f t="shared" si="271"/>
        <v>111</v>
      </c>
      <c r="B1918" s="1539" t="str">
        <f t="shared" si="271"/>
        <v>Project-U#8-Steel for TechnologicalStructure-10501</v>
      </c>
      <c r="C1918" s="1491" t="str">
        <f t="shared" si="271"/>
        <v>N.A.</v>
      </c>
      <c r="D1918" s="1531" t="str">
        <f t="shared" si="271"/>
        <v>-</v>
      </c>
      <c r="E1918" s="1318">
        <f t="shared" si="271"/>
        <v>0</v>
      </c>
      <c r="F1918" s="1437">
        <f t="shared" si="267"/>
        <v>0.14835727600000001</v>
      </c>
      <c r="G1918" s="1437">
        <f t="shared" si="268"/>
        <v>0</v>
      </c>
      <c r="H1918" s="1437">
        <f t="shared" si="269"/>
        <v>0.14835727600000001</v>
      </c>
      <c r="I1918" s="1437">
        <v>0</v>
      </c>
      <c r="J1918" s="1437">
        <v>0</v>
      </c>
      <c r="K1918" s="1438"/>
      <c r="L1918" s="1438"/>
      <c r="M1918" s="1437">
        <f t="shared" si="266"/>
        <v>0</v>
      </c>
      <c r="N1918" s="1437">
        <f t="shared" si="270"/>
        <v>0.14835727600000001</v>
      </c>
    </row>
    <row r="1919" spans="1:14" outlineLevel="1">
      <c r="A1919" s="1499">
        <f t="shared" si="271"/>
        <v>112</v>
      </c>
      <c r="B1919" s="1539" t="str">
        <f t="shared" si="271"/>
        <v>Project-U#8-Electrical Package for BOP-10509</v>
      </c>
      <c r="C1919" s="1491" t="str">
        <f t="shared" si="271"/>
        <v>N.A.</v>
      </c>
      <c r="D1919" s="1531" t="str">
        <f t="shared" si="271"/>
        <v>-</v>
      </c>
      <c r="E1919" s="1318">
        <f t="shared" si="271"/>
        <v>0</v>
      </c>
      <c r="F1919" s="1437">
        <f t="shared" si="267"/>
        <v>2.4904469999999998E-3</v>
      </c>
      <c r="G1919" s="1437">
        <f t="shared" si="268"/>
        <v>0</v>
      </c>
      <c r="H1919" s="1437">
        <f t="shared" si="269"/>
        <v>2.4904469999999998E-3</v>
      </c>
      <c r="I1919" s="1437">
        <v>0</v>
      </c>
      <c r="J1919" s="1437">
        <v>0</v>
      </c>
      <c r="K1919" s="1438"/>
      <c r="L1919" s="1438"/>
      <c r="M1919" s="1437">
        <f t="shared" si="266"/>
        <v>0</v>
      </c>
      <c r="N1919" s="1437">
        <f t="shared" si="270"/>
        <v>2.4904469999999998E-3</v>
      </c>
    </row>
    <row r="1920" spans="1:14" outlineLevel="1">
      <c r="A1920" s="1499">
        <f t="shared" si="271"/>
        <v>113</v>
      </c>
      <c r="B1920" s="1539" t="str">
        <f t="shared" si="271"/>
        <v>Project-U#8-Electrical CHARGES-10509</v>
      </c>
      <c r="C1920" s="1491" t="str">
        <f t="shared" si="271"/>
        <v>N.A.</v>
      </c>
      <c r="D1920" s="1531" t="str">
        <f t="shared" si="271"/>
        <v>-</v>
      </c>
      <c r="E1920" s="1318">
        <f t="shared" si="271"/>
        <v>0</v>
      </c>
      <c r="F1920" s="1437">
        <f t="shared" si="267"/>
        <v>4.1155000000000002E-5</v>
      </c>
      <c r="G1920" s="1437">
        <f t="shared" si="268"/>
        <v>0</v>
      </c>
      <c r="H1920" s="1437">
        <f t="shared" si="269"/>
        <v>4.1155000000000002E-5</v>
      </c>
      <c r="I1920" s="1437">
        <v>0</v>
      </c>
      <c r="J1920" s="1437">
        <v>0</v>
      </c>
      <c r="K1920" s="1438"/>
      <c r="L1920" s="1438"/>
      <c r="M1920" s="1437">
        <f t="shared" si="266"/>
        <v>0</v>
      </c>
      <c r="N1920" s="1437">
        <f t="shared" si="270"/>
        <v>4.1155000000000002E-5</v>
      </c>
    </row>
    <row r="1921" spans="1:14" outlineLevel="1">
      <c r="A1921" s="1499">
        <f t="shared" si="271"/>
        <v>114</v>
      </c>
      <c r="B1921" s="1539" t="str">
        <f t="shared" si="271"/>
        <v>Project-U#8-Electrical Package for BOP-Mandatory</v>
      </c>
      <c r="C1921" s="1491" t="str">
        <f t="shared" si="271"/>
        <v>N.A.</v>
      </c>
      <c r="D1921" s="1531" t="str">
        <f t="shared" si="271"/>
        <v>-</v>
      </c>
      <c r="E1921" s="1318">
        <f t="shared" si="271"/>
        <v>0</v>
      </c>
      <c r="F1921" s="1437">
        <f t="shared" si="267"/>
        <v>2.7569600000000002E-4</v>
      </c>
      <c r="G1921" s="1437">
        <f t="shared" si="268"/>
        <v>0</v>
      </c>
      <c r="H1921" s="1437">
        <f t="shared" si="269"/>
        <v>2.7569600000000002E-4</v>
      </c>
      <c r="I1921" s="1437">
        <v>0</v>
      </c>
      <c r="J1921" s="1437">
        <v>0</v>
      </c>
      <c r="K1921" s="1438"/>
      <c r="L1921" s="1438"/>
      <c r="M1921" s="1437">
        <f t="shared" si="266"/>
        <v>0</v>
      </c>
      <c r="N1921" s="1437">
        <f t="shared" si="270"/>
        <v>2.7569600000000002E-4</v>
      </c>
    </row>
    <row r="1922" spans="1:14" outlineLevel="1">
      <c r="A1922" s="1499">
        <f t="shared" si="271"/>
        <v>115</v>
      </c>
      <c r="B1922" s="1539" t="str">
        <f t="shared" si="271"/>
        <v>Project-U#8-Fire Protection, Alarm &amp; Detection</v>
      </c>
      <c r="C1922" s="1491" t="str">
        <f t="shared" si="271"/>
        <v>N.A.</v>
      </c>
      <c r="D1922" s="1531" t="str">
        <f t="shared" si="271"/>
        <v>-</v>
      </c>
      <c r="E1922" s="1318">
        <f t="shared" si="271"/>
        <v>0</v>
      </c>
      <c r="F1922" s="1437">
        <f t="shared" si="267"/>
        <v>7.1787910000000003E-3</v>
      </c>
      <c r="G1922" s="1437">
        <f t="shared" si="268"/>
        <v>0</v>
      </c>
      <c r="H1922" s="1437">
        <f t="shared" si="269"/>
        <v>7.1787910000000003E-3</v>
      </c>
      <c r="I1922" s="1437">
        <v>0</v>
      </c>
      <c r="J1922" s="1437">
        <v>0</v>
      </c>
      <c r="K1922" s="1438"/>
      <c r="L1922" s="1438"/>
      <c r="M1922" s="1437">
        <f t="shared" si="266"/>
        <v>0</v>
      </c>
      <c r="N1922" s="1437">
        <f t="shared" si="270"/>
        <v>7.1787910000000003E-3</v>
      </c>
    </row>
    <row r="1923" spans="1:14" outlineLevel="1">
      <c r="A1923" s="1499">
        <f t="shared" si="271"/>
        <v>116</v>
      </c>
      <c r="B1923" s="1539" t="str">
        <f t="shared" si="271"/>
        <v>Project-U#8-Fuel Oil Pump House-10516</v>
      </c>
      <c r="C1923" s="1491" t="str">
        <f t="shared" si="271"/>
        <v>N.A.</v>
      </c>
      <c r="D1923" s="1531" t="str">
        <f t="shared" si="271"/>
        <v>-</v>
      </c>
      <c r="E1923" s="1318">
        <f t="shared" si="271"/>
        <v>0</v>
      </c>
      <c r="F1923" s="1437">
        <f t="shared" si="267"/>
        <v>4.0925400000000004E-3</v>
      </c>
      <c r="G1923" s="1437">
        <f t="shared" si="268"/>
        <v>0</v>
      </c>
      <c r="H1923" s="1437">
        <f t="shared" si="269"/>
        <v>4.0925400000000004E-3</v>
      </c>
      <c r="I1923" s="1437">
        <v>0</v>
      </c>
      <c r="J1923" s="1437">
        <v>0</v>
      </c>
      <c r="K1923" s="1438"/>
      <c r="L1923" s="1438"/>
      <c r="M1923" s="1437">
        <f t="shared" si="266"/>
        <v>0</v>
      </c>
      <c r="N1923" s="1437">
        <f t="shared" si="270"/>
        <v>4.0925400000000004E-3</v>
      </c>
    </row>
    <row r="1924" spans="1:14" outlineLevel="1">
      <c r="A1924" s="1499">
        <f t="shared" si="271"/>
        <v>117</v>
      </c>
      <c r="B1924" s="1539" t="str">
        <f t="shared" si="271"/>
        <v>Project-U#8-Generator Transformer-10541</v>
      </c>
      <c r="C1924" s="1491" t="str">
        <f t="shared" si="271"/>
        <v>N.A.</v>
      </c>
      <c r="D1924" s="1531" t="str">
        <f t="shared" si="271"/>
        <v>-</v>
      </c>
      <c r="E1924" s="1318">
        <f t="shared" si="271"/>
        <v>0</v>
      </c>
      <c r="F1924" s="1437">
        <f t="shared" si="267"/>
        <v>1.2655415999999999E-2</v>
      </c>
      <c r="G1924" s="1437">
        <f t="shared" si="268"/>
        <v>0</v>
      </c>
      <c r="H1924" s="1437">
        <f t="shared" si="269"/>
        <v>1.2655415999999999E-2</v>
      </c>
      <c r="I1924" s="1437">
        <v>0</v>
      </c>
      <c r="J1924" s="1437">
        <v>0</v>
      </c>
      <c r="K1924" s="1438"/>
      <c r="L1924" s="1438"/>
      <c r="M1924" s="1437">
        <f t="shared" si="266"/>
        <v>0</v>
      </c>
      <c r="N1924" s="1437">
        <f t="shared" si="270"/>
        <v>1.2655415999999999E-2</v>
      </c>
    </row>
    <row r="1925" spans="1:14" outlineLevel="1">
      <c r="A1925" s="1499">
        <f t="shared" si="271"/>
        <v>118</v>
      </c>
      <c r="B1925" s="1539" t="str">
        <f t="shared" si="271"/>
        <v>Project-U#8-Generator/Transformer protection</v>
      </c>
      <c r="C1925" s="1491" t="str">
        <f t="shared" si="271"/>
        <v>N.A.</v>
      </c>
      <c r="D1925" s="1531" t="str">
        <f t="shared" si="271"/>
        <v>-</v>
      </c>
      <c r="E1925" s="1318">
        <f t="shared" si="271"/>
        <v>0</v>
      </c>
      <c r="F1925" s="1437">
        <f t="shared" si="267"/>
        <v>2.45393E-4</v>
      </c>
      <c r="G1925" s="1437">
        <f t="shared" si="268"/>
        <v>0</v>
      </c>
      <c r="H1925" s="1437">
        <f t="shared" si="269"/>
        <v>2.45393E-4</v>
      </c>
      <c r="I1925" s="1437">
        <v>0</v>
      </c>
      <c r="J1925" s="1437">
        <v>0</v>
      </c>
      <c r="K1925" s="1438"/>
      <c r="L1925" s="1438"/>
      <c r="M1925" s="1437">
        <f t="shared" si="266"/>
        <v>0</v>
      </c>
      <c r="N1925" s="1437">
        <f t="shared" si="270"/>
        <v>2.45393E-4</v>
      </c>
    </row>
    <row r="1926" spans="1:14" outlineLevel="1">
      <c r="A1926" s="1499">
        <f t="shared" si="271"/>
        <v>119</v>
      </c>
      <c r="B1926" s="1539" t="str">
        <f t="shared" si="271"/>
        <v>Project-U#8-H.T.Switchgear for main plant-10561</v>
      </c>
      <c r="C1926" s="1491" t="str">
        <f t="shared" si="271"/>
        <v>N.A.</v>
      </c>
      <c r="D1926" s="1531" t="str">
        <f t="shared" si="271"/>
        <v>-</v>
      </c>
      <c r="E1926" s="1318">
        <f t="shared" si="271"/>
        <v>0</v>
      </c>
      <c r="F1926" s="1437">
        <f t="shared" si="267"/>
        <v>2.5188164999999998E-2</v>
      </c>
      <c r="G1926" s="1437">
        <f t="shared" si="268"/>
        <v>0</v>
      </c>
      <c r="H1926" s="1437">
        <f t="shared" si="269"/>
        <v>2.5188164999999998E-2</v>
      </c>
      <c r="I1926" s="1437">
        <v>0</v>
      </c>
      <c r="J1926" s="1437">
        <v>0</v>
      </c>
      <c r="K1926" s="1438"/>
      <c r="L1926" s="1438"/>
      <c r="M1926" s="1437">
        <f t="shared" si="266"/>
        <v>0</v>
      </c>
      <c r="N1926" s="1437">
        <f t="shared" si="270"/>
        <v>2.5188164999999998E-2</v>
      </c>
    </row>
    <row r="1927" spans="1:14" outlineLevel="1">
      <c r="A1927" s="1499">
        <f t="shared" si="271"/>
        <v>120</v>
      </c>
      <c r="B1927" s="1539" t="str">
        <f t="shared" si="271"/>
        <v>Project-U#8-Indoor &amp; Outdoor plant lighting-10599</v>
      </c>
      <c r="C1927" s="1491" t="str">
        <f t="shared" si="271"/>
        <v>N.A.</v>
      </c>
      <c r="D1927" s="1531" t="str">
        <f t="shared" si="271"/>
        <v>-</v>
      </c>
      <c r="E1927" s="1318">
        <f t="shared" si="271"/>
        <v>0</v>
      </c>
      <c r="F1927" s="1437">
        <f t="shared" si="267"/>
        <v>4.0770299999999998E-4</v>
      </c>
      <c r="G1927" s="1437">
        <f t="shared" si="268"/>
        <v>0</v>
      </c>
      <c r="H1927" s="1437">
        <f t="shared" si="269"/>
        <v>4.0770299999999998E-4</v>
      </c>
      <c r="I1927" s="1437">
        <v>0</v>
      </c>
      <c r="J1927" s="1437">
        <v>0</v>
      </c>
      <c r="K1927" s="1438"/>
      <c r="L1927" s="1438"/>
      <c r="M1927" s="1437">
        <f t="shared" si="266"/>
        <v>0</v>
      </c>
      <c r="N1927" s="1437">
        <f t="shared" si="270"/>
        <v>4.0770299999999998E-4</v>
      </c>
    </row>
    <row r="1928" spans="1:14" outlineLevel="1">
      <c r="A1928" s="1499">
        <f t="shared" si="271"/>
        <v>121</v>
      </c>
      <c r="B1928" s="1539" t="str">
        <f t="shared" si="271"/>
        <v>Project-U#8-L.P.Piping including valves-10509</v>
      </c>
      <c r="C1928" s="1491" t="str">
        <f t="shared" si="271"/>
        <v>N.A.</v>
      </c>
      <c r="D1928" s="1531" t="str">
        <f t="shared" si="271"/>
        <v>-</v>
      </c>
      <c r="E1928" s="1318">
        <f t="shared" si="271"/>
        <v>0</v>
      </c>
      <c r="F1928" s="1437">
        <f t="shared" si="267"/>
        <v>3.8246069999999998E-3</v>
      </c>
      <c r="G1928" s="1437">
        <f t="shared" si="268"/>
        <v>0</v>
      </c>
      <c r="H1928" s="1437">
        <f t="shared" si="269"/>
        <v>3.8246069999999998E-3</v>
      </c>
      <c r="I1928" s="1437">
        <v>0</v>
      </c>
      <c r="J1928" s="1437">
        <v>0</v>
      </c>
      <c r="K1928" s="1438"/>
      <c r="L1928" s="1438"/>
      <c r="M1928" s="1437">
        <f t="shared" si="266"/>
        <v>0</v>
      </c>
      <c r="N1928" s="1437">
        <f t="shared" si="270"/>
        <v>3.8246069999999998E-3</v>
      </c>
    </row>
    <row r="1929" spans="1:14" outlineLevel="1">
      <c r="A1929" s="1499">
        <f t="shared" si="271"/>
        <v>122</v>
      </c>
      <c r="B1929" s="1539" t="str">
        <f t="shared" si="271"/>
        <v>Project-U#8-L.T. Electrical for main plant.-10561</v>
      </c>
      <c r="C1929" s="1491" t="str">
        <f t="shared" si="271"/>
        <v>N.A.</v>
      </c>
      <c r="D1929" s="1531" t="str">
        <f t="shared" si="271"/>
        <v>-</v>
      </c>
      <c r="E1929" s="1318">
        <f t="shared" si="271"/>
        <v>0</v>
      </c>
      <c r="F1929" s="1437">
        <f t="shared" si="267"/>
        <v>8.7066999999999998E-5</v>
      </c>
      <c r="G1929" s="1437">
        <f t="shared" si="268"/>
        <v>0</v>
      </c>
      <c r="H1929" s="1437">
        <f t="shared" si="269"/>
        <v>8.7066999999999998E-5</v>
      </c>
      <c r="I1929" s="1437">
        <v>0</v>
      </c>
      <c r="J1929" s="1437">
        <v>0</v>
      </c>
      <c r="K1929" s="1438"/>
      <c r="L1929" s="1438"/>
      <c r="M1929" s="1437">
        <f t="shared" si="266"/>
        <v>0</v>
      </c>
      <c r="N1929" s="1437">
        <f t="shared" si="270"/>
        <v>8.7066999999999998E-5</v>
      </c>
    </row>
    <row r="1930" spans="1:14" outlineLevel="1">
      <c r="A1930" s="1499">
        <f t="shared" si="271"/>
        <v>123</v>
      </c>
      <c r="B1930" s="1539" t="str">
        <f t="shared" si="271"/>
        <v>Project-U#8-Laying&amp;Termination of HT cables-10561</v>
      </c>
      <c r="C1930" s="1491" t="str">
        <f t="shared" si="271"/>
        <v>N.A.</v>
      </c>
      <c r="D1930" s="1531" t="str">
        <f t="shared" si="271"/>
        <v>-</v>
      </c>
      <c r="E1930" s="1318">
        <f t="shared" si="271"/>
        <v>0</v>
      </c>
      <c r="F1930" s="1437">
        <f t="shared" si="267"/>
        <v>8.2310499999999997E-4</v>
      </c>
      <c r="G1930" s="1437">
        <f t="shared" si="268"/>
        <v>0</v>
      </c>
      <c r="H1930" s="1437">
        <f t="shared" si="269"/>
        <v>8.2310499999999997E-4</v>
      </c>
      <c r="I1930" s="1437">
        <v>0</v>
      </c>
      <c r="J1930" s="1437">
        <v>0</v>
      </c>
      <c r="K1930" s="1438"/>
      <c r="L1930" s="1438"/>
      <c r="M1930" s="1437">
        <f t="shared" si="266"/>
        <v>0</v>
      </c>
      <c r="N1930" s="1437">
        <f t="shared" si="270"/>
        <v>8.2310499999999997E-4</v>
      </c>
    </row>
    <row r="1931" spans="1:14" outlineLevel="1">
      <c r="A1931" s="1499">
        <f t="shared" si="271"/>
        <v>124</v>
      </c>
      <c r="B1931" s="1539" t="str">
        <f t="shared" si="271"/>
        <v>Project-U#8-MainBoiler Structure&amp;foundations-10501</v>
      </c>
      <c r="C1931" s="1491" t="str">
        <f t="shared" si="271"/>
        <v>N.A.</v>
      </c>
      <c r="D1931" s="1531" t="str">
        <f t="shared" si="271"/>
        <v>-</v>
      </c>
      <c r="E1931" s="1318">
        <f t="shared" si="271"/>
        <v>0</v>
      </c>
      <c r="F1931" s="1437">
        <f t="shared" si="267"/>
        <v>9.9409977999999996E-2</v>
      </c>
      <c r="G1931" s="1437">
        <f t="shared" si="268"/>
        <v>0</v>
      </c>
      <c r="H1931" s="1437">
        <f t="shared" si="269"/>
        <v>9.9409977999999996E-2</v>
      </c>
      <c r="I1931" s="1437">
        <v>0</v>
      </c>
      <c r="J1931" s="1437">
        <v>0</v>
      </c>
      <c r="K1931" s="1438"/>
      <c r="L1931" s="1438"/>
      <c r="M1931" s="1437">
        <f t="shared" si="266"/>
        <v>0</v>
      </c>
      <c r="N1931" s="1437">
        <f t="shared" si="270"/>
        <v>9.9409977999999996E-2</v>
      </c>
    </row>
    <row r="1932" spans="1:14" outlineLevel="1">
      <c r="A1932" s="1499">
        <f t="shared" ref="A1932:E1947" si="272">A1539</f>
        <v>125</v>
      </c>
      <c r="B1932" s="1539" t="str">
        <f t="shared" si="272"/>
        <v>Project-U#8-Mandatory Spares for Ash HandlingPlant</v>
      </c>
      <c r="C1932" s="1491" t="str">
        <f t="shared" si="272"/>
        <v>N.A.</v>
      </c>
      <c r="D1932" s="1531" t="str">
        <f t="shared" si="272"/>
        <v>-</v>
      </c>
      <c r="E1932" s="1318">
        <f t="shared" si="272"/>
        <v>0</v>
      </c>
      <c r="F1932" s="1437">
        <f t="shared" si="267"/>
        <v>1.561633E-3</v>
      </c>
      <c r="G1932" s="1437">
        <f t="shared" si="268"/>
        <v>0</v>
      </c>
      <c r="H1932" s="1437">
        <f t="shared" si="269"/>
        <v>1.561633E-3</v>
      </c>
      <c r="I1932" s="1437">
        <v>0</v>
      </c>
      <c r="J1932" s="1437">
        <v>0</v>
      </c>
      <c r="K1932" s="1438"/>
      <c r="L1932" s="1438"/>
      <c r="M1932" s="1437">
        <f t="shared" si="266"/>
        <v>0</v>
      </c>
      <c r="N1932" s="1437">
        <f t="shared" si="270"/>
        <v>1.561633E-3</v>
      </c>
    </row>
    <row r="1933" spans="1:14" outlineLevel="1">
      <c r="A1933" s="1499">
        <f t="shared" si="272"/>
        <v>126</v>
      </c>
      <c r="B1933" s="1539" t="str">
        <f t="shared" si="272"/>
        <v>Project-U#8-Mandatory spares for C&amp;I of Main Plant</v>
      </c>
      <c r="C1933" s="1491" t="str">
        <f t="shared" si="272"/>
        <v>N.A.</v>
      </c>
      <c r="D1933" s="1531" t="str">
        <f t="shared" si="272"/>
        <v>-</v>
      </c>
      <c r="E1933" s="1318">
        <f t="shared" si="272"/>
        <v>0</v>
      </c>
      <c r="F1933" s="1437">
        <f t="shared" si="267"/>
        <v>5.0294800000000002E-3</v>
      </c>
      <c r="G1933" s="1437">
        <f t="shared" si="268"/>
        <v>0</v>
      </c>
      <c r="H1933" s="1437">
        <f t="shared" si="269"/>
        <v>5.0294800000000002E-3</v>
      </c>
      <c r="I1933" s="1437">
        <v>0</v>
      </c>
      <c r="J1933" s="1437">
        <v>0</v>
      </c>
      <c r="K1933" s="1438"/>
      <c r="L1933" s="1438"/>
      <c r="M1933" s="1437">
        <f t="shared" si="266"/>
        <v>0</v>
      </c>
      <c r="N1933" s="1437">
        <f t="shared" si="270"/>
        <v>5.0294800000000002E-3</v>
      </c>
    </row>
    <row r="1934" spans="1:14" outlineLevel="1">
      <c r="A1934" s="1499">
        <f t="shared" si="272"/>
        <v>127</v>
      </c>
      <c r="B1934" s="1539" t="str">
        <f t="shared" si="272"/>
        <v>Project-U#8-Mandatory Spares for Electrical MainPa</v>
      </c>
      <c r="C1934" s="1491" t="str">
        <f t="shared" si="272"/>
        <v>N.A.</v>
      </c>
      <c r="D1934" s="1531" t="str">
        <f t="shared" si="272"/>
        <v>-</v>
      </c>
      <c r="E1934" s="1318">
        <f t="shared" si="272"/>
        <v>0</v>
      </c>
      <c r="F1934" s="1437">
        <f t="shared" si="267"/>
        <v>1.5600531000000001E-2</v>
      </c>
      <c r="G1934" s="1437">
        <f t="shared" si="268"/>
        <v>0</v>
      </c>
      <c r="H1934" s="1437">
        <f t="shared" si="269"/>
        <v>1.5600531000000001E-2</v>
      </c>
      <c r="I1934" s="1437">
        <v>0</v>
      </c>
      <c r="J1934" s="1437">
        <v>0</v>
      </c>
      <c r="K1934" s="1438"/>
      <c r="L1934" s="1438"/>
      <c r="M1934" s="1437">
        <f t="shared" si="266"/>
        <v>0</v>
      </c>
      <c r="N1934" s="1437">
        <f t="shared" si="270"/>
        <v>1.5600531000000001E-2</v>
      </c>
    </row>
    <row r="1935" spans="1:14" outlineLevel="1">
      <c r="A1935" s="1499">
        <f t="shared" si="272"/>
        <v>128</v>
      </c>
      <c r="B1935" s="1539" t="str">
        <f t="shared" si="272"/>
        <v>Project-U#8-Mandatory Spares For TG &amp; Auxilliaries</v>
      </c>
      <c r="C1935" s="1491" t="str">
        <f t="shared" si="272"/>
        <v>N.A.</v>
      </c>
      <c r="D1935" s="1531" t="str">
        <f t="shared" si="272"/>
        <v>-</v>
      </c>
      <c r="E1935" s="1318">
        <f t="shared" si="272"/>
        <v>0</v>
      </c>
      <c r="F1935" s="1437">
        <f t="shared" si="267"/>
        <v>6.2588310000000003E-3</v>
      </c>
      <c r="G1935" s="1437">
        <f t="shared" si="268"/>
        <v>0</v>
      </c>
      <c r="H1935" s="1437">
        <f t="shared" si="269"/>
        <v>6.2588310000000003E-3</v>
      </c>
      <c r="I1935" s="1437">
        <v>0</v>
      </c>
      <c r="J1935" s="1437">
        <v>0</v>
      </c>
      <c r="K1935" s="1438"/>
      <c r="L1935" s="1438"/>
      <c r="M1935" s="1437">
        <f t="shared" si="266"/>
        <v>0</v>
      </c>
      <c r="N1935" s="1437">
        <f t="shared" si="270"/>
        <v>6.2588310000000003E-3</v>
      </c>
    </row>
    <row r="1936" spans="1:14" outlineLevel="1">
      <c r="A1936" s="1499">
        <f t="shared" si="272"/>
        <v>129</v>
      </c>
      <c r="B1936" s="1539" t="str">
        <f t="shared" si="272"/>
        <v>Project-U#8-Misc. Cranes &amp; hoists-10553</v>
      </c>
      <c r="C1936" s="1491" t="str">
        <f t="shared" si="272"/>
        <v>N.A.</v>
      </c>
      <c r="D1936" s="1531" t="str">
        <f t="shared" si="272"/>
        <v>-</v>
      </c>
      <c r="E1936" s="1318">
        <f t="shared" si="272"/>
        <v>0</v>
      </c>
      <c r="F1936" s="1437">
        <f t="shared" si="267"/>
        <v>2.353651E-3</v>
      </c>
      <c r="G1936" s="1437">
        <f t="shared" si="268"/>
        <v>0</v>
      </c>
      <c r="H1936" s="1437">
        <f t="shared" si="269"/>
        <v>2.353651E-3</v>
      </c>
      <c r="I1936" s="1437">
        <v>0</v>
      </c>
      <c r="J1936" s="1437">
        <v>0</v>
      </c>
      <c r="K1936" s="1438"/>
      <c r="L1936" s="1438"/>
      <c r="M1936" s="1437">
        <f t="shared" si="266"/>
        <v>0</v>
      </c>
      <c r="N1936" s="1437">
        <f t="shared" si="270"/>
        <v>2.353651E-3</v>
      </c>
    </row>
    <row r="1937" spans="1:14" outlineLevel="1">
      <c r="A1937" s="1499">
        <f t="shared" si="272"/>
        <v>130</v>
      </c>
      <c r="B1937" s="1539" t="str">
        <f t="shared" si="272"/>
        <v>Project-U#8-Miscellaneous Pumps -10599</v>
      </c>
      <c r="C1937" s="1491" t="str">
        <f t="shared" si="272"/>
        <v>N.A.</v>
      </c>
      <c r="D1937" s="1531" t="str">
        <f t="shared" si="272"/>
        <v>-</v>
      </c>
      <c r="E1937" s="1318">
        <f t="shared" si="272"/>
        <v>0</v>
      </c>
      <c r="F1937" s="1437">
        <f t="shared" si="267"/>
        <v>1.5672209999999999E-3</v>
      </c>
      <c r="G1937" s="1437">
        <f t="shared" si="268"/>
        <v>0</v>
      </c>
      <c r="H1937" s="1437">
        <f t="shared" si="269"/>
        <v>1.5672209999999999E-3</v>
      </c>
      <c r="I1937" s="1437">
        <v>0</v>
      </c>
      <c r="J1937" s="1437">
        <v>0</v>
      </c>
      <c r="K1937" s="1438"/>
      <c r="L1937" s="1438"/>
      <c r="M1937" s="1437">
        <f t="shared" si="266"/>
        <v>0</v>
      </c>
      <c r="N1937" s="1437">
        <f t="shared" si="270"/>
        <v>1.5672209999999999E-3</v>
      </c>
    </row>
    <row r="1938" spans="1:14" outlineLevel="1">
      <c r="A1938" s="1499">
        <f t="shared" si="272"/>
        <v>131</v>
      </c>
      <c r="B1938" s="1539" t="str">
        <f t="shared" si="272"/>
        <v>Project-U#8-Passanger lift for TG Building-10599</v>
      </c>
      <c r="C1938" s="1491" t="str">
        <f t="shared" si="272"/>
        <v>N.A.</v>
      </c>
      <c r="D1938" s="1531" t="str">
        <f t="shared" si="272"/>
        <v>-</v>
      </c>
      <c r="E1938" s="1318">
        <f t="shared" si="272"/>
        <v>0</v>
      </c>
      <c r="F1938" s="1437">
        <f t="shared" si="267"/>
        <v>1.635811E-3</v>
      </c>
      <c r="G1938" s="1437">
        <f t="shared" si="268"/>
        <v>0</v>
      </c>
      <c r="H1938" s="1437">
        <f t="shared" si="269"/>
        <v>1.635811E-3</v>
      </c>
      <c r="I1938" s="1437">
        <v>0</v>
      </c>
      <c r="J1938" s="1437">
        <v>0</v>
      </c>
      <c r="K1938" s="1438"/>
      <c r="L1938" s="1438"/>
      <c r="M1938" s="1437">
        <f t="shared" si="266"/>
        <v>0</v>
      </c>
      <c r="N1938" s="1437">
        <f t="shared" si="270"/>
        <v>1.635811E-3</v>
      </c>
    </row>
    <row r="1939" spans="1:14" outlineLevel="1">
      <c r="A1939" s="1499">
        <f t="shared" si="272"/>
        <v>132</v>
      </c>
      <c r="B1939" s="1539" t="str">
        <f t="shared" si="272"/>
        <v>Project-U#8-Passanger/Material Lift at boiler side</v>
      </c>
      <c r="C1939" s="1491" t="str">
        <f t="shared" si="272"/>
        <v>N.A.</v>
      </c>
      <c r="D1939" s="1531" t="str">
        <f t="shared" si="272"/>
        <v>-</v>
      </c>
      <c r="E1939" s="1318">
        <f t="shared" si="272"/>
        <v>0</v>
      </c>
      <c r="F1939" s="1437">
        <f t="shared" si="267"/>
        <v>8.4731499999999996E-4</v>
      </c>
      <c r="G1939" s="1437">
        <f t="shared" si="268"/>
        <v>0</v>
      </c>
      <c r="H1939" s="1437">
        <f t="shared" si="269"/>
        <v>8.4731499999999996E-4</v>
      </c>
      <c r="I1939" s="1437">
        <v>0</v>
      </c>
      <c r="J1939" s="1437">
        <v>0</v>
      </c>
      <c r="K1939" s="1438"/>
      <c r="L1939" s="1438"/>
      <c r="M1939" s="1437">
        <f t="shared" si="266"/>
        <v>0</v>
      </c>
      <c r="N1939" s="1437">
        <f t="shared" si="270"/>
        <v>8.4731499999999996E-4</v>
      </c>
    </row>
    <row r="1940" spans="1:14" outlineLevel="1">
      <c r="A1940" s="1499">
        <f t="shared" si="272"/>
        <v>133</v>
      </c>
      <c r="B1940" s="1539" t="str">
        <f t="shared" si="272"/>
        <v>Project-U#8-Chemical Laboratory -10509</v>
      </c>
      <c r="C1940" s="1491" t="str">
        <f t="shared" si="272"/>
        <v>N.A.</v>
      </c>
      <c r="D1940" s="1531" t="str">
        <f t="shared" si="272"/>
        <v>-</v>
      </c>
      <c r="E1940" s="1318">
        <f t="shared" si="272"/>
        <v>0</v>
      </c>
      <c r="F1940" s="1437">
        <f t="shared" si="267"/>
        <v>1.1647579999999999E-3</v>
      </c>
      <c r="G1940" s="1437">
        <f t="shared" si="268"/>
        <v>0</v>
      </c>
      <c r="H1940" s="1437">
        <f t="shared" si="269"/>
        <v>1.1647579999999999E-3</v>
      </c>
      <c r="I1940" s="1437">
        <v>0</v>
      </c>
      <c r="J1940" s="1437">
        <v>0</v>
      </c>
      <c r="K1940" s="1438"/>
      <c r="L1940" s="1438"/>
      <c r="M1940" s="1437">
        <f t="shared" si="266"/>
        <v>0</v>
      </c>
      <c r="N1940" s="1437">
        <f t="shared" si="270"/>
        <v>1.1647579999999999E-3</v>
      </c>
    </row>
    <row r="1941" spans="1:14" outlineLevel="1">
      <c r="A1941" s="1499">
        <f t="shared" si="272"/>
        <v>134</v>
      </c>
      <c r="B1941" s="1539" t="str">
        <f t="shared" si="272"/>
        <v>Project-U#8-Sewage Treatment Plant-10509</v>
      </c>
      <c r="C1941" s="1491" t="str">
        <f t="shared" si="272"/>
        <v>N.A.</v>
      </c>
      <c r="D1941" s="1531" t="str">
        <f t="shared" si="272"/>
        <v>-</v>
      </c>
      <c r="E1941" s="1318">
        <f t="shared" si="272"/>
        <v>0</v>
      </c>
      <c r="F1941" s="1437">
        <f t="shared" si="267"/>
        <v>1.90058E-3</v>
      </c>
      <c r="G1941" s="1437">
        <f t="shared" si="268"/>
        <v>0</v>
      </c>
      <c r="H1941" s="1437">
        <f t="shared" si="269"/>
        <v>1.90058E-3</v>
      </c>
      <c r="I1941" s="1437">
        <v>0</v>
      </c>
      <c r="J1941" s="1437">
        <v>0</v>
      </c>
      <c r="K1941" s="1438"/>
      <c r="L1941" s="1438"/>
      <c r="M1941" s="1437">
        <f t="shared" si="266"/>
        <v>0</v>
      </c>
      <c r="N1941" s="1437">
        <f t="shared" si="270"/>
        <v>1.90058E-3</v>
      </c>
    </row>
    <row r="1942" spans="1:14" outlineLevel="1">
      <c r="A1942" s="1499">
        <f t="shared" si="272"/>
        <v>135</v>
      </c>
      <c r="B1942" s="1539" t="str">
        <f t="shared" si="272"/>
        <v>Project-U#8-Station Transformer-10541</v>
      </c>
      <c r="C1942" s="1491" t="str">
        <f t="shared" si="272"/>
        <v>N.A.</v>
      </c>
      <c r="D1942" s="1531" t="str">
        <f t="shared" si="272"/>
        <v>-</v>
      </c>
      <c r="E1942" s="1318">
        <f t="shared" si="272"/>
        <v>0</v>
      </c>
      <c r="F1942" s="1437">
        <f t="shared" si="267"/>
        <v>2.6575694E-2</v>
      </c>
      <c r="G1942" s="1437">
        <f t="shared" si="268"/>
        <v>0</v>
      </c>
      <c r="H1942" s="1437">
        <f t="shared" si="269"/>
        <v>2.6575694E-2</v>
      </c>
      <c r="I1942" s="1437">
        <v>0</v>
      </c>
      <c r="J1942" s="1437">
        <v>0</v>
      </c>
      <c r="K1942" s="1438"/>
      <c r="L1942" s="1438"/>
      <c r="M1942" s="1437">
        <f t="shared" si="266"/>
        <v>0</v>
      </c>
      <c r="N1942" s="1437">
        <f t="shared" si="270"/>
        <v>2.6575694E-2</v>
      </c>
    </row>
    <row r="1943" spans="1:14" outlineLevel="1">
      <c r="A1943" s="1499">
        <f t="shared" si="272"/>
        <v>136</v>
      </c>
      <c r="B1943" s="1539" t="str">
        <f t="shared" si="272"/>
        <v>Project-U#8-Steam Turbine set-10503</v>
      </c>
      <c r="C1943" s="1491" t="str">
        <f t="shared" si="272"/>
        <v>N.A.</v>
      </c>
      <c r="D1943" s="1531" t="str">
        <f t="shared" si="272"/>
        <v>-</v>
      </c>
      <c r="E1943" s="1318">
        <f t="shared" si="272"/>
        <v>0</v>
      </c>
      <c r="F1943" s="1437">
        <f t="shared" si="267"/>
        <v>0.138637134</v>
      </c>
      <c r="G1943" s="1437">
        <f t="shared" si="268"/>
        <v>0</v>
      </c>
      <c r="H1943" s="1437">
        <f t="shared" si="269"/>
        <v>0.138637134</v>
      </c>
      <c r="I1943" s="1437">
        <v>0</v>
      </c>
      <c r="J1943" s="1437">
        <v>0</v>
      </c>
      <c r="K1943" s="1438"/>
      <c r="L1943" s="1438"/>
      <c r="M1943" s="1437">
        <f t="shared" si="266"/>
        <v>0</v>
      </c>
      <c r="N1943" s="1437">
        <f t="shared" si="270"/>
        <v>0.138637134</v>
      </c>
    </row>
    <row r="1944" spans="1:14" outlineLevel="1">
      <c r="A1944" s="1499">
        <f t="shared" si="272"/>
        <v>137</v>
      </c>
      <c r="B1944" s="1539" t="str">
        <f t="shared" si="272"/>
        <v>Project-U#8-TG set and its auxilleries- Condensor</v>
      </c>
      <c r="C1944" s="1491" t="str">
        <f t="shared" si="272"/>
        <v>N.A.</v>
      </c>
      <c r="D1944" s="1531" t="str">
        <f t="shared" si="272"/>
        <v>-</v>
      </c>
      <c r="E1944" s="1318">
        <f t="shared" si="272"/>
        <v>0</v>
      </c>
      <c r="F1944" s="1437">
        <f t="shared" si="267"/>
        <v>1.2702985999999999E-2</v>
      </c>
      <c r="G1944" s="1437">
        <f t="shared" si="268"/>
        <v>0</v>
      </c>
      <c r="H1944" s="1437">
        <f t="shared" si="269"/>
        <v>1.2702985999999999E-2</v>
      </c>
      <c r="I1944" s="1437">
        <v>0</v>
      </c>
      <c r="J1944" s="1437">
        <v>0</v>
      </c>
      <c r="K1944" s="1438"/>
      <c r="L1944" s="1438"/>
      <c r="M1944" s="1437">
        <f t="shared" si="266"/>
        <v>0</v>
      </c>
      <c r="N1944" s="1437">
        <f t="shared" si="270"/>
        <v>1.2702985999999999E-2</v>
      </c>
    </row>
    <row r="1945" spans="1:14" outlineLevel="1">
      <c r="A1945" s="1499">
        <f t="shared" si="272"/>
        <v>138</v>
      </c>
      <c r="B1945" s="1539" t="str">
        <f t="shared" si="272"/>
        <v>Project-U#8-TG set and its auxilleries -Generator</v>
      </c>
      <c r="C1945" s="1491" t="str">
        <f t="shared" si="272"/>
        <v>N.A.</v>
      </c>
      <c r="D1945" s="1531" t="str">
        <f t="shared" si="272"/>
        <v>-</v>
      </c>
      <c r="E1945" s="1318">
        <f t="shared" si="272"/>
        <v>0</v>
      </c>
      <c r="F1945" s="1437">
        <f t="shared" si="267"/>
        <v>3.2544958999999998E-2</v>
      </c>
      <c r="G1945" s="1437">
        <f t="shared" si="268"/>
        <v>0</v>
      </c>
      <c r="H1945" s="1437">
        <f t="shared" si="269"/>
        <v>3.2544958999999998E-2</v>
      </c>
      <c r="I1945" s="1437">
        <v>0</v>
      </c>
      <c r="J1945" s="1437">
        <v>0</v>
      </c>
      <c r="K1945" s="1438"/>
      <c r="L1945" s="1438"/>
      <c r="M1945" s="1437">
        <f t="shared" si="266"/>
        <v>0</v>
      </c>
      <c r="N1945" s="1437">
        <f t="shared" si="270"/>
        <v>3.2544958999999998E-2</v>
      </c>
    </row>
    <row r="1946" spans="1:14" outlineLevel="1">
      <c r="A1946" s="1499">
        <f t="shared" si="272"/>
        <v>139</v>
      </c>
      <c r="B1946" s="1539" t="str">
        <f t="shared" si="272"/>
        <v>Project-U#8-TG set and its auxilleries-Condensor</v>
      </c>
      <c r="C1946" s="1491" t="str">
        <f t="shared" si="272"/>
        <v>N.A.</v>
      </c>
      <c r="D1946" s="1531" t="str">
        <f t="shared" si="272"/>
        <v>-</v>
      </c>
      <c r="E1946" s="1318">
        <f t="shared" si="272"/>
        <v>0</v>
      </c>
      <c r="F1946" s="1437">
        <f t="shared" si="267"/>
        <v>2.9272968E-2</v>
      </c>
      <c r="G1946" s="1437">
        <f t="shared" si="268"/>
        <v>0</v>
      </c>
      <c r="H1946" s="1437">
        <f t="shared" si="269"/>
        <v>2.9272968E-2</v>
      </c>
      <c r="I1946" s="1437">
        <v>0</v>
      </c>
      <c r="J1946" s="1437">
        <v>0</v>
      </c>
      <c r="K1946" s="1438"/>
      <c r="L1946" s="1438"/>
      <c r="M1946" s="1437">
        <f t="shared" si="266"/>
        <v>0</v>
      </c>
      <c r="N1946" s="1437">
        <f t="shared" si="270"/>
        <v>2.9272968E-2</v>
      </c>
    </row>
    <row r="1947" spans="1:14" outlineLevel="1">
      <c r="A1947" s="1499">
        <f t="shared" si="272"/>
        <v>140</v>
      </c>
      <c r="B1947" s="1539" t="str">
        <f t="shared" si="272"/>
        <v>Project-U#8-TG set &amp; its auxilleries-Derator-10503</v>
      </c>
      <c r="C1947" s="1491" t="str">
        <f t="shared" si="272"/>
        <v>N.A.</v>
      </c>
      <c r="D1947" s="1531" t="str">
        <f t="shared" si="272"/>
        <v>-</v>
      </c>
      <c r="E1947" s="1318">
        <f t="shared" si="272"/>
        <v>0</v>
      </c>
      <c r="F1947" s="1437">
        <f t="shared" si="267"/>
        <v>2.7579689999999999E-3</v>
      </c>
      <c r="G1947" s="1437">
        <f t="shared" si="268"/>
        <v>0</v>
      </c>
      <c r="H1947" s="1437">
        <f t="shared" si="269"/>
        <v>2.7579689999999999E-3</v>
      </c>
      <c r="I1947" s="1437">
        <v>0</v>
      </c>
      <c r="J1947" s="1437">
        <v>0</v>
      </c>
      <c r="K1947" s="1438"/>
      <c r="L1947" s="1438"/>
      <c r="M1947" s="1437">
        <f t="shared" si="266"/>
        <v>0</v>
      </c>
      <c r="N1947" s="1437">
        <f t="shared" si="270"/>
        <v>2.7579689999999999E-3</v>
      </c>
    </row>
    <row r="1948" spans="1:14" outlineLevel="1">
      <c r="A1948" s="1499">
        <f t="shared" ref="A1948:E1963" si="273">A1555</f>
        <v>141</v>
      </c>
      <c r="B1948" s="1539" t="str">
        <f t="shared" si="273"/>
        <v>Project-U#8-TG set and its auxilleries-DMMakeUpSys</v>
      </c>
      <c r="C1948" s="1491" t="str">
        <f t="shared" si="273"/>
        <v>N.A.</v>
      </c>
      <c r="D1948" s="1531" t="str">
        <f t="shared" si="273"/>
        <v>-</v>
      </c>
      <c r="E1948" s="1318">
        <f t="shared" si="273"/>
        <v>0</v>
      </c>
      <c r="F1948" s="1437">
        <f t="shared" si="267"/>
        <v>1.049073E-3</v>
      </c>
      <c r="G1948" s="1437">
        <f t="shared" si="268"/>
        <v>0</v>
      </c>
      <c r="H1948" s="1437">
        <f t="shared" si="269"/>
        <v>1.049073E-3</v>
      </c>
      <c r="I1948" s="1437">
        <v>0</v>
      </c>
      <c r="J1948" s="1437">
        <v>0</v>
      </c>
      <c r="K1948" s="1438"/>
      <c r="L1948" s="1438"/>
      <c r="M1948" s="1437">
        <f t="shared" si="266"/>
        <v>0</v>
      </c>
      <c r="N1948" s="1437">
        <f t="shared" si="270"/>
        <v>1.049073E-3</v>
      </c>
    </row>
    <row r="1949" spans="1:14" outlineLevel="1">
      <c r="A1949" s="1499">
        <f t="shared" si="273"/>
        <v>142</v>
      </c>
      <c r="B1949" s="1539" t="str">
        <f t="shared" si="273"/>
        <v>Project-U#8-TG set and its auxilleries-Gas System</v>
      </c>
      <c r="C1949" s="1491" t="str">
        <f t="shared" si="273"/>
        <v>N.A.</v>
      </c>
      <c r="D1949" s="1531" t="str">
        <f t="shared" si="273"/>
        <v>-</v>
      </c>
      <c r="E1949" s="1318">
        <f t="shared" si="273"/>
        <v>0</v>
      </c>
      <c r="F1949" s="1437">
        <f t="shared" si="267"/>
        <v>5.6178390000000003E-3</v>
      </c>
      <c r="G1949" s="1437">
        <f t="shared" si="268"/>
        <v>0</v>
      </c>
      <c r="H1949" s="1437">
        <f t="shared" si="269"/>
        <v>5.6178390000000003E-3</v>
      </c>
      <c r="I1949" s="1437">
        <v>0</v>
      </c>
      <c r="J1949" s="1437">
        <v>0</v>
      </c>
      <c r="K1949" s="1438"/>
      <c r="L1949" s="1438"/>
      <c r="M1949" s="1437">
        <f t="shared" si="266"/>
        <v>0</v>
      </c>
      <c r="N1949" s="1437">
        <f t="shared" si="270"/>
        <v>5.6178390000000003E-3</v>
      </c>
    </row>
    <row r="1950" spans="1:14" outlineLevel="1">
      <c r="A1950" s="1499">
        <f t="shared" si="273"/>
        <v>143</v>
      </c>
      <c r="B1950" s="1539" t="str">
        <f t="shared" si="273"/>
        <v>Project-U#8-TG set and its auxilleries-GoveringSys</v>
      </c>
      <c r="C1950" s="1491" t="str">
        <f t="shared" si="273"/>
        <v>N.A.</v>
      </c>
      <c r="D1950" s="1531" t="str">
        <f t="shared" si="273"/>
        <v>-</v>
      </c>
      <c r="E1950" s="1318">
        <f t="shared" si="273"/>
        <v>0</v>
      </c>
      <c r="F1950" s="1437">
        <f t="shared" si="267"/>
        <v>4.9465999999999997E-5</v>
      </c>
      <c r="G1950" s="1437">
        <f t="shared" si="268"/>
        <v>0</v>
      </c>
      <c r="H1950" s="1437">
        <f t="shared" si="269"/>
        <v>4.9465999999999997E-5</v>
      </c>
      <c r="I1950" s="1437">
        <v>0</v>
      </c>
      <c r="J1950" s="1437">
        <v>0</v>
      </c>
      <c r="K1950" s="1438"/>
      <c r="L1950" s="1438"/>
      <c r="M1950" s="1437">
        <f t="shared" si="266"/>
        <v>0</v>
      </c>
      <c r="N1950" s="1437">
        <f t="shared" si="270"/>
        <v>4.9465999999999997E-5</v>
      </c>
    </row>
    <row r="1951" spans="1:14" outlineLevel="1">
      <c r="A1951" s="1499">
        <f t="shared" si="273"/>
        <v>144</v>
      </c>
      <c r="B1951" s="1539" t="str">
        <f t="shared" si="273"/>
        <v>Project-U#8-TG set and its auxilleries-HP/LP By-pa</v>
      </c>
      <c r="C1951" s="1491" t="str">
        <f t="shared" si="273"/>
        <v>N.A.</v>
      </c>
      <c r="D1951" s="1531" t="str">
        <f t="shared" si="273"/>
        <v>-</v>
      </c>
      <c r="E1951" s="1318">
        <f t="shared" si="273"/>
        <v>0</v>
      </c>
      <c r="F1951" s="1437">
        <f t="shared" si="267"/>
        <v>1.0752108999999999E-2</v>
      </c>
      <c r="G1951" s="1437">
        <f t="shared" si="268"/>
        <v>0</v>
      </c>
      <c r="H1951" s="1437">
        <f t="shared" si="269"/>
        <v>1.0752108999999999E-2</v>
      </c>
      <c r="I1951" s="1437">
        <v>0</v>
      </c>
      <c r="J1951" s="1437">
        <v>0</v>
      </c>
      <c r="K1951" s="1438"/>
      <c r="L1951" s="1438"/>
      <c r="M1951" s="1437">
        <f t="shared" si="266"/>
        <v>0</v>
      </c>
      <c r="N1951" s="1437">
        <f t="shared" si="270"/>
        <v>1.0752108999999999E-2</v>
      </c>
    </row>
    <row r="1952" spans="1:14" outlineLevel="1">
      <c r="A1952" s="1499">
        <f t="shared" si="273"/>
        <v>145</v>
      </c>
      <c r="B1952" s="1539" t="str">
        <f t="shared" si="273"/>
        <v>Project-U#8-TG set and its auxilleries-HP/LP Dozin</v>
      </c>
      <c r="C1952" s="1491" t="str">
        <f t="shared" si="273"/>
        <v>N.A.</v>
      </c>
      <c r="D1952" s="1531" t="str">
        <f t="shared" si="273"/>
        <v>-</v>
      </c>
      <c r="E1952" s="1318">
        <f t="shared" si="273"/>
        <v>0</v>
      </c>
      <c r="F1952" s="1437">
        <f t="shared" si="267"/>
        <v>3.9941100000000002E-4</v>
      </c>
      <c r="G1952" s="1437">
        <f t="shared" si="268"/>
        <v>0</v>
      </c>
      <c r="H1952" s="1437">
        <f t="shared" si="269"/>
        <v>3.9941100000000002E-4</v>
      </c>
      <c r="I1952" s="1437">
        <v>0</v>
      </c>
      <c r="J1952" s="1437">
        <v>0</v>
      </c>
      <c r="K1952" s="1438"/>
      <c r="L1952" s="1438"/>
      <c r="M1952" s="1437">
        <f t="shared" si="266"/>
        <v>0</v>
      </c>
      <c r="N1952" s="1437">
        <f t="shared" si="270"/>
        <v>3.9941100000000002E-4</v>
      </c>
    </row>
    <row r="1953" spans="1:14" outlineLevel="1">
      <c r="A1953" s="1499">
        <f t="shared" si="273"/>
        <v>146</v>
      </c>
      <c r="B1953" s="1539" t="str">
        <f t="shared" si="273"/>
        <v>Project-U#8-TG set and its auxilleries-SealOilPump</v>
      </c>
      <c r="C1953" s="1491" t="str">
        <f t="shared" si="273"/>
        <v>N.A.</v>
      </c>
      <c r="D1953" s="1531" t="str">
        <f t="shared" si="273"/>
        <v>-</v>
      </c>
      <c r="E1953" s="1318">
        <f t="shared" si="273"/>
        <v>0</v>
      </c>
      <c r="F1953" s="1437">
        <f t="shared" si="267"/>
        <v>9.8566000000000005E-5</v>
      </c>
      <c r="G1953" s="1437">
        <f t="shared" si="268"/>
        <v>0</v>
      </c>
      <c r="H1953" s="1437">
        <f t="shared" si="269"/>
        <v>9.8566000000000005E-5</v>
      </c>
      <c r="I1953" s="1437">
        <v>0</v>
      </c>
      <c r="J1953" s="1437">
        <v>0</v>
      </c>
      <c r="K1953" s="1438"/>
      <c r="L1953" s="1438"/>
      <c r="M1953" s="1437">
        <f t="shared" si="266"/>
        <v>0</v>
      </c>
      <c r="N1953" s="1437">
        <f t="shared" si="270"/>
        <v>9.8566000000000005E-5</v>
      </c>
    </row>
    <row r="1954" spans="1:14" outlineLevel="1">
      <c r="A1954" s="1499">
        <f t="shared" si="273"/>
        <v>147</v>
      </c>
      <c r="B1954" s="1539" t="str">
        <f t="shared" si="273"/>
        <v>Project-U#8-TG set and its auxilleries-Vaccum Syst</v>
      </c>
      <c r="C1954" s="1491" t="str">
        <f t="shared" si="273"/>
        <v>N.A.</v>
      </c>
      <c r="D1954" s="1531" t="str">
        <f t="shared" si="273"/>
        <v>-</v>
      </c>
      <c r="E1954" s="1318">
        <f t="shared" si="273"/>
        <v>0</v>
      </c>
      <c r="F1954" s="1437">
        <f t="shared" si="267"/>
        <v>1.0304429E-2</v>
      </c>
      <c r="G1954" s="1437">
        <f t="shared" si="268"/>
        <v>0</v>
      </c>
      <c r="H1954" s="1437">
        <f t="shared" si="269"/>
        <v>1.0304429E-2</v>
      </c>
      <c r="I1954" s="1437">
        <v>0</v>
      </c>
      <c r="J1954" s="1437">
        <v>0</v>
      </c>
      <c r="K1954" s="1438"/>
      <c r="L1954" s="1438"/>
      <c r="M1954" s="1437">
        <f t="shared" si="266"/>
        <v>0</v>
      </c>
      <c r="N1954" s="1437">
        <f t="shared" si="270"/>
        <v>1.0304429E-2</v>
      </c>
    </row>
    <row r="1955" spans="1:14" outlineLevel="1">
      <c r="A1955" s="1499">
        <f t="shared" si="273"/>
        <v>148</v>
      </c>
      <c r="B1955" s="1539" t="str">
        <f t="shared" si="273"/>
        <v>Project-U#8-Turbine Lub. Oil System With Purifier</v>
      </c>
      <c r="C1955" s="1491" t="str">
        <f t="shared" si="273"/>
        <v>N.A.</v>
      </c>
      <c r="D1955" s="1531" t="str">
        <f t="shared" si="273"/>
        <v>-</v>
      </c>
      <c r="E1955" s="1318">
        <f t="shared" si="273"/>
        <v>0</v>
      </c>
      <c r="F1955" s="1437">
        <f t="shared" si="267"/>
        <v>2.2363740000000002E-3</v>
      </c>
      <c r="G1955" s="1437">
        <f t="shared" si="268"/>
        <v>0</v>
      </c>
      <c r="H1955" s="1437">
        <f t="shared" si="269"/>
        <v>2.2363740000000002E-3</v>
      </c>
      <c r="I1955" s="1437">
        <v>0</v>
      </c>
      <c r="J1955" s="1437">
        <v>0</v>
      </c>
      <c r="K1955" s="1438"/>
      <c r="L1955" s="1438"/>
      <c r="M1955" s="1437">
        <f t="shared" si="266"/>
        <v>0</v>
      </c>
      <c r="N1955" s="1437">
        <f t="shared" si="270"/>
        <v>2.2363740000000002E-3</v>
      </c>
    </row>
    <row r="1956" spans="1:14" outlineLevel="1">
      <c r="A1956" s="1499">
        <f t="shared" si="273"/>
        <v>149</v>
      </c>
      <c r="B1956" s="1539" t="str">
        <f t="shared" si="273"/>
        <v>Project-U#8-Ventillation system-10599</v>
      </c>
      <c r="C1956" s="1491" t="str">
        <f t="shared" si="273"/>
        <v>N.A.</v>
      </c>
      <c r="D1956" s="1531" t="str">
        <f t="shared" si="273"/>
        <v>-</v>
      </c>
      <c r="E1956" s="1318">
        <f t="shared" si="273"/>
        <v>0</v>
      </c>
      <c r="F1956" s="1437">
        <f t="shared" si="267"/>
        <v>1.438855E-3</v>
      </c>
      <c r="G1956" s="1437">
        <f t="shared" si="268"/>
        <v>0</v>
      </c>
      <c r="H1956" s="1437">
        <f t="shared" si="269"/>
        <v>1.438855E-3</v>
      </c>
      <c r="I1956" s="1437">
        <v>0</v>
      </c>
      <c r="J1956" s="1437">
        <v>0</v>
      </c>
      <c r="K1956" s="1438"/>
      <c r="L1956" s="1438"/>
      <c r="M1956" s="1437">
        <f t="shared" si="266"/>
        <v>0</v>
      </c>
      <c r="N1956" s="1437">
        <f t="shared" si="270"/>
        <v>1.438855E-3</v>
      </c>
    </row>
    <row r="1957" spans="1:14" outlineLevel="1">
      <c r="A1957" s="1499">
        <f t="shared" si="273"/>
        <v>150</v>
      </c>
      <c r="B1957" s="1539" t="str">
        <f t="shared" si="273"/>
        <v>Asset Recived From Project-U#8-M.SPARE_Ventillation system-10599</v>
      </c>
      <c r="C1957" s="1491" t="str">
        <f t="shared" si="273"/>
        <v>N.A.</v>
      </c>
      <c r="D1957" s="1531" t="str">
        <f t="shared" si="273"/>
        <v>-</v>
      </c>
      <c r="E1957" s="1318">
        <f t="shared" si="273"/>
        <v>0</v>
      </c>
      <c r="F1957" s="1437">
        <f t="shared" si="267"/>
        <v>8.5482000000000006E-5</v>
      </c>
      <c r="G1957" s="1437">
        <f t="shared" si="268"/>
        <v>0</v>
      </c>
      <c r="H1957" s="1437">
        <f t="shared" si="269"/>
        <v>8.5482000000000006E-5</v>
      </c>
      <c r="I1957" s="1437">
        <v>0</v>
      </c>
      <c r="J1957" s="1437">
        <v>0</v>
      </c>
      <c r="K1957" s="1438"/>
      <c r="L1957" s="1438"/>
      <c r="M1957" s="1437">
        <f t="shared" si="266"/>
        <v>0</v>
      </c>
      <c r="N1957" s="1437">
        <f t="shared" si="270"/>
        <v>8.5482000000000006E-5</v>
      </c>
    </row>
    <row r="1958" spans="1:14" outlineLevel="1">
      <c r="A1958" s="1499">
        <f t="shared" si="273"/>
        <v>151</v>
      </c>
      <c r="B1958" s="1539" t="str">
        <f t="shared" si="273"/>
        <v>Asset Recived From Project-U#8-Water Treatment Plant-10509</v>
      </c>
      <c r="C1958" s="1491" t="str">
        <f t="shared" si="273"/>
        <v>N.A.</v>
      </c>
      <c r="D1958" s="1531" t="str">
        <f t="shared" si="273"/>
        <v>-</v>
      </c>
      <c r="E1958" s="1318">
        <f t="shared" si="273"/>
        <v>0</v>
      </c>
      <c r="F1958" s="1437">
        <f t="shared" si="267"/>
        <v>4.2384409999999999E-3</v>
      </c>
      <c r="G1958" s="1437">
        <f t="shared" si="268"/>
        <v>0</v>
      </c>
      <c r="H1958" s="1437">
        <f t="shared" si="269"/>
        <v>4.2384409999999999E-3</v>
      </c>
      <c r="I1958" s="1437">
        <v>0</v>
      </c>
      <c r="J1958" s="1437">
        <v>0</v>
      </c>
      <c r="K1958" s="1438"/>
      <c r="L1958" s="1438"/>
      <c r="M1958" s="1437">
        <f t="shared" si="266"/>
        <v>0</v>
      </c>
      <c r="N1958" s="1437">
        <f t="shared" si="270"/>
        <v>4.2384409999999999E-3</v>
      </c>
    </row>
    <row r="1959" spans="1:14" outlineLevel="1">
      <c r="A1959" s="1499">
        <f t="shared" si="273"/>
        <v>152</v>
      </c>
      <c r="B1959" s="1539" t="str">
        <f t="shared" si="273"/>
        <v>Asset Recived From Project-U#8-WORK SHOP MAD_SPARE-10565</v>
      </c>
      <c r="C1959" s="1491" t="str">
        <f t="shared" si="273"/>
        <v>N.A.</v>
      </c>
      <c r="D1959" s="1531" t="str">
        <f t="shared" si="273"/>
        <v>-</v>
      </c>
      <c r="E1959" s="1318">
        <f t="shared" si="273"/>
        <v>0</v>
      </c>
      <c r="F1959" s="1437">
        <f t="shared" si="267"/>
        <v>3.0444899999999998E-4</v>
      </c>
      <c r="G1959" s="1437">
        <f t="shared" si="268"/>
        <v>0</v>
      </c>
      <c r="H1959" s="1437">
        <f t="shared" si="269"/>
        <v>3.0444899999999998E-4</v>
      </c>
      <c r="I1959" s="1437">
        <v>0</v>
      </c>
      <c r="J1959" s="1437">
        <v>0</v>
      </c>
      <c r="K1959" s="1438"/>
      <c r="L1959" s="1438"/>
      <c r="M1959" s="1437">
        <f t="shared" si="266"/>
        <v>0</v>
      </c>
      <c r="N1959" s="1437">
        <f t="shared" si="270"/>
        <v>3.0444899999999998E-4</v>
      </c>
    </row>
    <row r="1960" spans="1:14" outlineLevel="1">
      <c r="A1960" s="1499">
        <f t="shared" si="273"/>
        <v>153</v>
      </c>
      <c r="B1960" s="1539" t="str">
        <f t="shared" si="273"/>
        <v>Asset Recived From Project-U#8-Workshop-10565</v>
      </c>
      <c r="C1960" s="1491" t="str">
        <f t="shared" si="273"/>
        <v>N.A.</v>
      </c>
      <c r="D1960" s="1531" t="str">
        <f t="shared" si="273"/>
        <v>-</v>
      </c>
      <c r="E1960" s="1318">
        <f t="shared" si="273"/>
        <v>0</v>
      </c>
      <c r="F1960" s="1437">
        <f t="shared" si="267"/>
        <v>1.3285770000000001E-3</v>
      </c>
      <c r="G1960" s="1437">
        <f t="shared" si="268"/>
        <v>0</v>
      </c>
      <c r="H1960" s="1437">
        <f t="shared" si="269"/>
        <v>1.3285770000000001E-3</v>
      </c>
      <c r="I1960" s="1437">
        <v>0</v>
      </c>
      <c r="J1960" s="1437">
        <v>0</v>
      </c>
      <c r="K1960" s="1438"/>
      <c r="L1960" s="1438"/>
      <c r="M1960" s="1437">
        <f t="shared" si="266"/>
        <v>0</v>
      </c>
      <c r="N1960" s="1437">
        <f t="shared" si="270"/>
        <v>1.3285770000000001E-3</v>
      </c>
    </row>
    <row r="1961" spans="1:14" outlineLevel="1">
      <c r="A1961" s="1499">
        <f t="shared" si="273"/>
        <v>154</v>
      </c>
      <c r="B1961" s="1539" t="str">
        <f t="shared" si="273"/>
        <v>Asset Recived From Project-U#8-CMR SYSTEM-10501</v>
      </c>
      <c r="C1961" s="1491" t="str">
        <f t="shared" si="273"/>
        <v>N.A.</v>
      </c>
      <c r="D1961" s="1531" t="str">
        <f t="shared" si="273"/>
        <v>-</v>
      </c>
      <c r="E1961" s="1318">
        <f t="shared" si="273"/>
        <v>0</v>
      </c>
      <c r="F1961" s="1437">
        <f t="shared" si="267"/>
        <v>2.0736180000000002E-3</v>
      </c>
      <c r="G1961" s="1437">
        <f t="shared" si="268"/>
        <v>0</v>
      </c>
      <c r="H1961" s="1437">
        <f t="shared" si="269"/>
        <v>2.0736180000000002E-3</v>
      </c>
      <c r="I1961" s="1437">
        <v>0</v>
      </c>
      <c r="J1961" s="1437">
        <v>0</v>
      </c>
      <c r="K1961" s="1438"/>
      <c r="L1961" s="1438"/>
      <c r="M1961" s="1437">
        <f t="shared" si="266"/>
        <v>0</v>
      </c>
      <c r="N1961" s="1437">
        <f t="shared" si="270"/>
        <v>2.0736180000000002E-3</v>
      </c>
    </row>
    <row r="1962" spans="1:14" outlineLevel="1">
      <c r="A1962" s="1499">
        <f t="shared" si="273"/>
        <v>155</v>
      </c>
      <c r="B1962" s="1539" t="str">
        <f t="shared" si="273"/>
        <v>Asset Recived From Project-U#8-MandatorySpares-WTP-10.509</v>
      </c>
      <c r="C1962" s="1491" t="str">
        <f t="shared" si="273"/>
        <v>N.A.</v>
      </c>
      <c r="D1962" s="1531" t="str">
        <f t="shared" si="273"/>
        <v>-</v>
      </c>
      <c r="E1962" s="1318">
        <f t="shared" si="273"/>
        <v>0</v>
      </c>
      <c r="F1962" s="1437">
        <f t="shared" si="267"/>
        <v>8.1516999999999999E-5</v>
      </c>
      <c r="G1962" s="1437">
        <f t="shared" si="268"/>
        <v>0</v>
      </c>
      <c r="H1962" s="1437">
        <f t="shared" si="269"/>
        <v>8.1516999999999999E-5</v>
      </c>
      <c r="I1962" s="1437">
        <v>0</v>
      </c>
      <c r="J1962" s="1437">
        <v>0</v>
      </c>
      <c r="K1962" s="1438"/>
      <c r="L1962" s="1438"/>
      <c r="M1962" s="1437">
        <f t="shared" si="266"/>
        <v>0</v>
      </c>
      <c r="N1962" s="1437">
        <f t="shared" si="270"/>
        <v>8.1516999999999999E-5</v>
      </c>
    </row>
    <row r="1963" spans="1:14" ht="29" outlineLevel="1">
      <c r="A1963" s="1499">
        <f t="shared" si="273"/>
        <v>156</v>
      </c>
      <c r="B1963" s="1539" t="str">
        <f t="shared" si="273"/>
        <v>Asset Recived From Project-U#8-E.1.07_MandSpar 4 C&amp;I MS 4MeasuringIns E.1.07_M S for C&amp;I_ MS For Measuring Ins</v>
      </c>
      <c r="C1963" s="1491" t="str">
        <f t="shared" si="273"/>
        <v>N.A.</v>
      </c>
      <c r="D1963" s="1531" t="str">
        <f t="shared" si="273"/>
        <v>-</v>
      </c>
      <c r="E1963" s="1318">
        <f t="shared" si="273"/>
        <v>0</v>
      </c>
      <c r="F1963" s="1437">
        <f t="shared" si="267"/>
        <v>7.8696799999999997E-2</v>
      </c>
      <c r="G1963" s="1437">
        <f t="shared" si="268"/>
        <v>0</v>
      </c>
      <c r="H1963" s="1437">
        <f t="shared" si="269"/>
        <v>7.8696799999999997E-2</v>
      </c>
      <c r="I1963" s="1437">
        <v>0</v>
      </c>
      <c r="J1963" s="1437">
        <v>0</v>
      </c>
      <c r="K1963" s="1438"/>
      <c r="L1963" s="1438"/>
      <c r="M1963" s="1437">
        <f t="shared" si="266"/>
        <v>0</v>
      </c>
      <c r="N1963" s="1437">
        <f t="shared" si="270"/>
        <v>7.8696799999999997E-2</v>
      </c>
    </row>
    <row r="1964" spans="1:14" outlineLevel="1">
      <c r="A1964" s="1499">
        <f t="shared" ref="A1964:E1969" si="274">A1571</f>
        <v>157</v>
      </c>
      <c r="B1964" s="1539" t="str">
        <f t="shared" si="274"/>
        <v>Asset Recived From Project-U#8-BOP_ELECTRICAL-10612</v>
      </c>
      <c r="C1964" s="1491" t="str">
        <f t="shared" si="274"/>
        <v>N.A.</v>
      </c>
      <c r="D1964" s="1531" t="str">
        <f t="shared" si="274"/>
        <v>-</v>
      </c>
      <c r="E1964" s="1318">
        <f t="shared" si="274"/>
        <v>0</v>
      </c>
      <c r="F1964" s="1437">
        <f t="shared" si="267"/>
        <v>1.6370498000000001E-2</v>
      </c>
      <c r="G1964" s="1437">
        <f t="shared" si="268"/>
        <v>0</v>
      </c>
      <c r="H1964" s="1437">
        <f t="shared" si="269"/>
        <v>1.6370498000000001E-2</v>
      </c>
      <c r="I1964" s="1437">
        <v>0</v>
      </c>
      <c r="J1964" s="1437">
        <v>0</v>
      </c>
      <c r="K1964" s="1438"/>
      <c r="L1964" s="1438"/>
      <c r="M1964" s="1437">
        <f t="shared" si="266"/>
        <v>0</v>
      </c>
      <c r="N1964" s="1437">
        <f t="shared" si="270"/>
        <v>1.6370498000000001E-2</v>
      </c>
    </row>
    <row r="1965" spans="1:14" outlineLevel="1">
      <c r="A1965" s="1499">
        <f t="shared" si="274"/>
        <v>158</v>
      </c>
      <c r="B1965" s="1539" t="str">
        <f t="shared" si="274"/>
        <v>Asset Recived From Project-U#8-Bus Ducts-10612</v>
      </c>
      <c r="C1965" s="1491" t="str">
        <f t="shared" si="274"/>
        <v>N.A.</v>
      </c>
      <c r="D1965" s="1531" t="str">
        <f t="shared" si="274"/>
        <v>-</v>
      </c>
      <c r="E1965" s="1318">
        <f t="shared" si="274"/>
        <v>0</v>
      </c>
      <c r="F1965" s="1437">
        <f t="shared" si="267"/>
        <v>1.2547599E-2</v>
      </c>
      <c r="G1965" s="1437">
        <f t="shared" si="268"/>
        <v>0</v>
      </c>
      <c r="H1965" s="1437">
        <f t="shared" si="269"/>
        <v>1.2547599E-2</v>
      </c>
      <c r="I1965" s="1437">
        <v>0</v>
      </c>
      <c r="J1965" s="1437">
        <v>0</v>
      </c>
      <c r="K1965" s="1438"/>
      <c r="L1965" s="1438"/>
      <c r="M1965" s="1437">
        <f t="shared" si="266"/>
        <v>0</v>
      </c>
      <c r="N1965" s="1437">
        <f t="shared" si="270"/>
        <v>1.2547599E-2</v>
      </c>
    </row>
    <row r="1966" spans="1:14" outlineLevel="1">
      <c r="A1966" s="1499">
        <f t="shared" si="274"/>
        <v>159</v>
      </c>
      <c r="B1966" s="1539" t="str">
        <f t="shared" si="274"/>
        <v>Asset Recived From Project-U#8-Cable trays &amp; supports-10612</v>
      </c>
      <c r="C1966" s="1491" t="str">
        <f t="shared" si="274"/>
        <v>N.A.</v>
      </c>
      <c r="D1966" s="1531" t="str">
        <f t="shared" si="274"/>
        <v>-</v>
      </c>
      <c r="E1966" s="1318">
        <f t="shared" si="274"/>
        <v>0</v>
      </c>
      <c r="F1966" s="1437">
        <f t="shared" si="267"/>
        <v>3.6008699999999998E-4</v>
      </c>
      <c r="G1966" s="1437">
        <f t="shared" si="268"/>
        <v>0</v>
      </c>
      <c r="H1966" s="1437">
        <f t="shared" si="269"/>
        <v>3.6008699999999998E-4</v>
      </c>
      <c r="I1966" s="1437">
        <v>0</v>
      </c>
      <c r="J1966" s="1437">
        <v>0</v>
      </c>
      <c r="K1966" s="1438"/>
      <c r="L1966" s="1438"/>
      <c r="M1966" s="1437">
        <f t="shared" ref="M1966:M1969" si="275">SUM(J1966:L1966)</f>
        <v>0</v>
      </c>
      <c r="N1966" s="1437">
        <f t="shared" si="270"/>
        <v>3.6008699999999998E-4</v>
      </c>
    </row>
    <row r="1967" spans="1:14" outlineLevel="1">
      <c r="A1967" s="1499">
        <f t="shared" si="274"/>
        <v>160</v>
      </c>
      <c r="B1967" s="1539" t="str">
        <f t="shared" si="274"/>
        <v>Project-U#8-PCR FURNITURE-10810</v>
      </c>
      <c r="C1967" s="1491" t="str">
        <f t="shared" si="274"/>
        <v>N.A.</v>
      </c>
      <c r="D1967" s="1531" t="str">
        <f t="shared" si="274"/>
        <v>-</v>
      </c>
      <c r="E1967" s="1318">
        <f t="shared" si="274"/>
        <v>0</v>
      </c>
      <c r="F1967" s="1437">
        <f t="shared" ref="F1967:F1969" si="276">F1574+I1574</f>
        <v>3.0684199999999999E-4</v>
      </c>
      <c r="G1967" s="1437">
        <f t="shared" ref="G1967:G1969" si="277">G1574+M1574</f>
        <v>0</v>
      </c>
      <c r="H1967" s="1437">
        <f t="shared" si="269"/>
        <v>3.0684199999999999E-4</v>
      </c>
      <c r="I1967" s="1437">
        <v>0</v>
      </c>
      <c r="J1967" s="1437">
        <v>0</v>
      </c>
      <c r="K1967" s="1438"/>
      <c r="L1967" s="1438"/>
      <c r="M1967" s="1437">
        <f t="shared" si="275"/>
        <v>0</v>
      </c>
      <c r="N1967" s="1437">
        <f t="shared" si="270"/>
        <v>3.0684199999999999E-4</v>
      </c>
    </row>
    <row r="1968" spans="1:14" outlineLevel="1">
      <c r="A1968" s="1499">
        <f t="shared" si="274"/>
        <v>161</v>
      </c>
      <c r="B1968" s="1539" t="str">
        <f t="shared" si="274"/>
        <v>Project-U#8 Server Intel QUAD CORE 02No. HP Office Server</v>
      </c>
      <c r="C1968" s="1491" t="str">
        <f t="shared" si="274"/>
        <v>N.A.</v>
      </c>
      <c r="D1968" s="1531" t="str">
        <f t="shared" si="274"/>
        <v>-</v>
      </c>
      <c r="E1968" s="1318">
        <f t="shared" si="274"/>
        <v>0</v>
      </c>
      <c r="F1968" s="1437">
        <f t="shared" si="276"/>
        <v>0.11917999999999999</v>
      </c>
      <c r="G1968" s="1437">
        <f t="shared" si="277"/>
        <v>0.11917999999999999</v>
      </c>
      <c r="H1968" s="1437">
        <f t="shared" ref="H1968:H1969" si="278">F1968-G1968</f>
        <v>0</v>
      </c>
      <c r="I1968" s="1437">
        <v>0</v>
      </c>
      <c r="J1968" s="1437">
        <v>0</v>
      </c>
      <c r="K1968" s="1438"/>
      <c r="L1968" s="1438"/>
      <c r="M1968" s="1437">
        <f t="shared" si="275"/>
        <v>0</v>
      </c>
      <c r="N1968" s="1437">
        <f t="shared" ref="N1968:N1969" si="279">H1968+I1968-M1968</f>
        <v>0</v>
      </c>
    </row>
    <row r="1969" spans="1:14" ht="15" outlineLevel="1" thickBot="1">
      <c r="A1969" s="1499">
        <f t="shared" si="274"/>
        <v>162</v>
      </c>
      <c r="B1969" s="1539" t="str">
        <f t="shared" si="274"/>
        <v>Supply Erection testing and commissining of 1000 m3 ETP Civil works</v>
      </c>
      <c r="C1969" s="1491" t="str">
        <f t="shared" si="274"/>
        <v>N.A.</v>
      </c>
      <c r="D1969" s="1531" t="str">
        <f t="shared" si="274"/>
        <v>-</v>
      </c>
      <c r="E1969" s="1318">
        <f t="shared" si="274"/>
        <v>0</v>
      </c>
      <c r="F1969" s="1437">
        <f t="shared" si="276"/>
        <v>0.68323680199999992</v>
      </c>
      <c r="G1969" s="1437">
        <f t="shared" si="277"/>
        <v>0.68323680199999992</v>
      </c>
      <c r="H1969" s="1437">
        <f t="shared" si="278"/>
        <v>0</v>
      </c>
      <c r="I1969" s="1437">
        <v>0</v>
      </c>
      <c r="J1969" s="1437">
        <v>0</v>
      </c>
      <c r="K1969" s="1438"/>
      <c r="L1969" s="1438"/>
      <c r="M1969" s="1437">
        <f t="shared" si="275"/>
        <v>0</v>
      </c>
      <c r="N1969" s="1437">
        <f t="shared" si="279"/>
        <v>0</v>
      </c>
    </row>
    <row r="1970" spans="1:14" ht="15" thickBot="1">
      <c r="A1970" s="1311"/>
      <c r="B1970" s="1431" t="s">
        <v>271</v>
      </c>
      <c r="C1970" s="1311"/>
      <c r="D1970" s="1432"/>
      <c r="E1970" s="1431"/>
      <c r="F1970" s="1543">
        <f>SUM(F1583:F1969)</f>
        <v>469.4535451510003</v>
      </c>
      <c r="G1970" s="1543">
        <f t="shared" ref="G1970:N1970" si="280">SUM(G1583:G1969)</f>
        <v>467.73262843099997</v>
      </c>
      <c r="H1970" s="1543">
        <f t="shared" si="280"/>
        <v>1.720916719999988</v>
      </c>
      <c r="I1970" s="1543">
        <f t="shared" si="280"/>
        <v>195.37</v>
      </c>
      <c r="J1970" s="1543">
        <f t="shared" si="280"/>
        <v>203.37</v>
      </c>
      <c r="K1970" s="1543">
        <f t="shared" si="280"/>
        <v>0</v>
      </c>
      <c r="L1970" s="1543">
        <f t="shared" si="280"/>
        <v>0</v>
      </c>
      <c r="M1970" s="1543">
        <f t="shared" si="280"/>
        <v>203.37</v>
      </c>
      <c r="N1970" s="1543">
        <f t="shared" si="280"/>
        <v>-6.279083280000016</v>
      </c>
    </row>
    <row r="1971" spans="1:14">
      <c r="F1971" s="1545"/>
      <c r="G1971" s="1545"/>
      <c r="H1971" s="1545"/>
      <c r="I1971" s="1545"/>
      <c r="J1971" s="1545"/>
      <c r="K1971" s="1545"/>
      <c r="L1971" s="1545"/>
      <c r="M1971" s="1545"/>
      <c r="N1971" s="1545"/>
    </row>
    <row r="1972" spans="1:14">
      <c r="A1972" s="1486"/>
      <c r="B1972" s="1433" t="s">
        <v>960</v>
      </c>
      <c r="C1972" s="1309"/>
      <c r="D1972" s="1432"/>
      <c r="E1972" s="1309"/>
      <c r="F1972" s="1433"/>
      <c r="G1972" s="1433"/>
      <c r="H1972" s="1433"/>
      <c r="I1972" s="1433"/>
      <c r="J1972" s="1433"/>
      <c r="K1972" s="1433"/>
      <c r="L1972" s="1433"/>
      <c r="M1972" s="1433"/>
      <c r="N1972" s="1433"/>
    </row>
    <row r="1973" spans="1:14" outlineLevel="1">
      <c r="A1973" s="1487">
        <f t="shared" ref="A1973:E1988" si="281">A1580</f>
        <v>0</v>
      </c>
      <c r="B1973" s="1332" t="str">
        <f t="shared" si="281"/>
        <v>Add Cap (As per 296 of 2019)</v>
      </c>
      <c r="C1973" s="1488"/>
      <c r="D1973" s="1489"/>
      <c r="E1973" s="1490"/>
      <c r="F1973" s="1437"/>
      <c r="G1973" s="1437"/>
      <c r="H1973" s="1437"/>
      <c r="I1973" s="1437"/>
      <c r="J1973" s="1437"/>
      <c r="K1973" s="1438"/>
      <c r="L1973" s="1438"/>
      <c r="M1973" s="1437"/>
      <c r="N1973" s="1437"/>
    </row>
    <row r="1974" spans="1:14" ht="17.5" outlineLevel="1">
      <c r="A1974" s="1491" t="str">
        <f t="shared" si="281"/>
        <v>A</v>
      </c>
      <c r="B1974" s="1333" t="str">
        <f t="shared" si="281"/>
        <v xml:space="preserve">Initial spares </v>
      </c>
      <c r="C1974" s="1492" t="str">
        <f t="shared" si="281"/>
        <v>Add Cap (As per 296 of 2019)</v>
      </c>
      <c r="D1974" s="1334" t="str">
        <f t="shared" si="281"/>
        <v>-</v>
      </c>
      <c r="E1974" s="1335">
        <f t="shared" si="281"/>
        <v>0</v>
      </c>
      <c r="F1974" s="1437"/>
      <c r="G1974" s="1437"/>
      <c r="H1974" s="1437"/>
      <c r="I1974" s="1437"/>
      <c r="J1974" s="1437"/>
      <c r="K1974" s="1438"/>
      <c r="L1974" s="1438"/>
      <c r="M1974" s="1437"/>
      <c r="N1974" s="1437"/>
    </row>
    <row r="1975" spans="1:14" ht="15.5" outlineLevel="1">
      <c r="A1975" s="1493">
        <f t="shared" si="281"/>
        <v>1</v>
      </c>
      <c r="B1975" s="1494" t="str">
        <f t="shared" si="281"/>
        <v>Boiler and Auxiliaries</v>
      </c>
      <c r="C1975" s="1495" t="str">
        <f t="shared" si="281"/>
        <v>Add Cap (As per 296 of 2019)</v>
      </c>
      <c r="D1975" s="1341" t="str">
        <f t="shared" si="281"/>
        <v>-</v>
      </c>
      <c r="E1975" s="1496">
        <f t="shared" si="281"/>
        <v>7.2</v>
      </c>
      <c r="F1975" s="1437"/>
      <c r="G1975" s="1437"/>
      <c r="H1975" s="1437"/>
      <c r="I1975" s="1437"/>
      <c r="J1975" s="1437"/>
      <c r="K1975" s="1438"/>
      <c r="L1975" s="1438"/>
      <c r="M1975" s="1437"/>
      <c r="N1975" s="1437"/>
    </row>
    <row r="1976" spans="1:14" ht="31" outlineLevel="1">
      <c r="A1976" s="1491">
        <f t="shared" si="281"/>
        <v>1</v>
      </c>
      <c r="B1976" s="1497" t="str">
        <f t="shared" si="281"/>
        <v>Procurement of Coal Mill XRP-903 Gear Box Type KMP-280 Spares of Unit # 8 at BM-NPTPS Parli-Vaijnath</v>
      </c>
      <c r="C1976" s="1492" t="str">
        <f t="shared" si="281"/>
        <v>Add Cap (As per 296 of 2019)</v>
      </c>
      <c r="D1976" s="1334" t="str">
        <f t="shared" si="281"/>
        <v>-</v>
      </c>
      <c r="E1976" s="1498">
        <f t="shared" si="281"/>
        <v>0</v>
      </c>
      <c r="F1976" s="1437">
        <f t="shared" ref="F1976:F2039" si="282">F1583+I1583</f>
        <v>1.35</v>
      </c>
      <c r="G1976" s="1437">
        <f t="shared" ref="G1976:G2039" si="283">G1583+M1583</f>
        <v>1.35</v>
      </c>
      <c r="H1976" s="1437">
        <f t="shared" ref="H1976:H2039" si="284">F1976-G1976</f>
        <v>0</v>
      </c>
      <c r="I1976" s="1437">
        <v>0</v>
      </c>
      <c r="J1976" s="1437">
        <v>0</v>
      </c>
      <c r="K1976" s="1438"/>
      <c r="L1976" s="1438"/>
      <c r="M1976" s="1437">
        <f t="shared" ref="M1976:M2039" si="285">SUM(J1976:L1976)</f>
        <v>0</v>
      </c>
      <c r="N1976" s="1437">
        <f t="shared" ref="N1976:N2039" si="286">H1976+I1976-M1976</f>
        <v>0</v>
      </c>
    </row>
    <row r="1977" spans="1:14" ht="31" outlineLevel="1">
      <c r="A1977" s="1491">
        <f t="shared" si="281"/>
        <v>2</v>
      </c>
      <c r="B1977" s="1497" t="str">
        <f t="shared" si="281"/>
        <v>Supply of Labyrinth Seal Rings with replaceable Inner liners for Coal Mill XRP-903 required for BM Unit-8, NPTPS, Parli-V.</v>
      </c>
      <c r="C1977" s="1492" t="str">
        <f t="shared" si="281"/>
        <v>Add Cap (As per 296 of 2019)</v>
      </c>
      <c r="D1977" s="1334" t="str">
        <f t="shared" si="281"/>
        <v>-</v>
      </c>
      <c r="E1977" s="1498">
        <f t="shared" si="281"/>
        <v>0</v>
      </c>
      <c r="F1977" s="1437">
        <f t="shared" si="282"/>
        <v>0.33134400000000003</v>
      </c>
      <c r="G1977" s="1437">
        <f t="shared" si="283"/>
        <v>0.33134400000000003</v>
      </c>
      <c r="H1977" s="1437">
        <f t="shared" si="284"/>
        <v>0</v>
      </c>
      <c r="I1977" s="1437">
        <v>0</v>
      </c>
      <c r="J1977" s="1437">
        <v>0</v>
      </c>
      <c r="K1977" s="1438"/>
      <c r="L1977" s="1438"/>
      <c r="M1977" s="1437">
        <f t="shared" si="285"/>
        <v>0</v>
      </c>
      <c r="N1977" s="1437">
        <f t="shared" si="286"/>
        <v>0</v>
      </c>
    </row>
    <row r="1978" spans="1:14" ht="31" outlineLevel="1">
      <c r="A1978" s="1491">
        <f t="shared" si="281"/>
        <v>3</v>
      </c>
      <c r="B1978" s="1497" t="str">
        <f t="shared" si="281"/>
        <v>Supply and Installation of coal mill  liners(weld overlay) of XRP-903 Coal Mill in BM U-8, NPTPS,Parli-V.</v>
      </c>
      <c r="C1978" s="1492" t="str">
        <f t="shared" si="281"/>
        <v>Add Cap (As per 296 of 2019)</v>
      </c>
      <c r="D1978" s="1334" t="str">
        <f t="shared" si="281"/>
        <v>-</v>
      </c>
      <c r="E1978" s="1498">
        <f t="shared" si="281"/>
        <v>0</v>
      </c>
      <c r="F1978" s="1437">
        <f t="shared" si="282"/>
        <v>0.33134400000000003</v>
      </c>
      <c r="G1978" s="1437">
        <f t="shared" si="283"/>
        <v>0.33134400000000003</v>
      </c>
      <c r="H1978" s="1437">
        <f t="shared" si="284"/>
        <v>0</v>
      </c>
      <c r="I1978" s="1437">
        <v>0</v>
      </c>
      <c r="J1978" s="1437">
        <v>0</v>
      </c>
      <c r="K1978" s="1438"/>
      <c r="L1978" s="1438"/>
      <c r="M1978" s="1437">
        <f t="shared" si="285"/>
        <v>0</v>
      </c>
      <c r="N1978" s="1437">
        <f t="shared" si="286"/>
        <v>0</v>
      </c>
    </row>
    <row r="1979" spans="1:14" ht="31" outlineLevel="1">
      <c r="A1979" s="1491">
        <f t="shared" si="281"/>
        <v>4</v>
      </c>
      <c r="B1979" s="1497" t="str">
        <f t="shared" si="281"/>
        <v>Procurement of Coal Mill XRP-903 Bowl &amp; Bowl Hub of Unit # 8 at BM-NPTPS Parli-Vaijnath</v>
      </c>
      <c r="C1979" s="1492" t="str">
        <f t="shared" si="281"/>
        <v>Add Cap (As per 296 of 2019)</v>
      </c>
      <c r="D1979" s="1334" t="str">
        <f t="shared" si="281"/>
        <v>-</v>
      </c>
      <c r="E1979" s="1498">
        <f t="shared" si="281"/>
        <v>0</v>
      </c>
      <c r="F1979" s="1437">
        <f t="shared" si="282"/>
        <v>0.73326380000000002</v>
      </c>
      <c r="G1979" s="1437">
        <f t="shared" si="283"/>
        <v>0.73326380000000002</v>
      </c>
      <c r="H1979" s="1437">
        <f t="shared" si="284"/>
        <v>0</v>
      </c>
      <c r="I1979" s="1437">
        <v>0</v>
      </c>
      <c r="J1979" s="1437">
        <v>0</v>
      </c>
      <c r="K1979" s="1438"/>
      <c r="L1979" s="1438"/>
      <c r="M1979" s="1437">
        <f t="shared" si="285"/>
        <v>0</v>
      </c>
      <c r="N1979" s="1437">
        <f t="shared" si="286"/>
        <v>0</v>
      </c>
    </row>
    <row r="1980" spans="1:14" ht="15.5" outlineLevel="1">
      <c r="A1980" s="1491">
        <f t="shared" si="281"/>
        <v>5</v>
      </c>
      <c r="B1980" s="1497" t="str">
        <f t="shared" si="281"/>
        <v>Supply of impeller assembly for ID fan</v>
      </c>
      <c r="C1980" s="1492" t="str">
        <f t="shared" si="281"/>
        <v>Add Cap (As per 296 of 2019)</v>
      </c>
      <c r="D1980" s="1334" t="str">
        <f t="shared" si="281"/>
        <v>-</v>
      </c>
      <c r="E1980" s="1358">
        <f t="shared" si="281"/>
        <v>0</v>
      </c>
      <c r="F1980" s="1437">
        <f t="shared" si="282"/>
        <v>0.52329999999999999</v>
      </c>
      <c r="G1980" s="1437">
        <f t="shared" si="283"/>
        <v>0.52329999999999999</v>
      </c>
      <c r="H1980" s="1437">
        <f t="shared" si="284"/>
        <v>0</v>
      </c>
      <c r="I1980" s="1437">
        <v>0</v>
      </c>
      <c r="J1980" s="1437">
        <v>0</v>
      </c>
      <c r="K1980" s="1438"/>
      <c r="L1980" s="1438"/>
      <c r="M1980" s="1437">
        <f t="shared" si="285"/>
        <v>0</v>
      </c>
      <c r="N1980" s="1437">
        <f t="shared" si="286"/>
        <v>0</v>
      </c>
    </row>
    <row r="1981" spans="1:14" ht="31" outlineLevel="1">
      <c r="A1981" s="1491">
        <f t="shared" si="281"/>
        <v>6</v>
      </c>
      <c r="B1981" s="1497" t="str">
        <f t="shared" si="281"/>
        <v>Procurement of Primary Air Fan &amp; Forced Draught Fan Drive Coupling on OEM basis required at BM U-8, NPTPS, Parli-V</v>
      </c>
      <c r="C1981" s="1492" t="str">
        <f t="shared" si="281"/>
        <v>Add Cap (As per 296 of 2019)</v>
      </c>
      <c r="D1981" s="1334" t="str">
        <f t="shared" si="281"/>
        <v>-</v>
      </c>
      <c r="E1981" s="1358">
        <f t="shared" si="281"/>
        <v>0</v>
      </c>
      <c r="F1981" s="1437">
        <f t="shared" si="282"/>
        <v>0.19409999999999999</v>
      </c>
      <c r="G1981" s="1437">
        <f t="shared" si="283"/>
        <v>0.19409999999999999</v>
      </c>
      <c r="H1981" s="1437">
        <f t="shared" si="284"/>
        <v>0</v>
      </c>
      <c r="I1981" s="1437">
        <v>0</v>
      </c>
      <c r="J1981" s="1437">
        <v>0</v>
      </c>
      <c r="K1981" s="1438"/>
      <c r="L1981" s="1438"/>
      <c r="M1981" s="1437">
        <f t="shared" si="285"/>
        <v>0</v>
      </c>
      <c r="N1981" s="1437">
        <f t="shared" si="286"/>
        <v>0</v>
      </c>
    </row>
    <row r="1982" spans="1:14" ht="46.5" outlineLevel="1">
      <c r="A1982" s="1491">
        <f t="shared" si="281"/>
        <v>7</v>
      </c>
      <c r="B1982" s="1497" t="str">
        <f t="shared" si="281"/>
        <v>Procurement of  Primary Air Fan PAF 17/11.8-2 Hydraulic Adjustment Device on OEM basis required at BM U-8 NPTPS Parli-V</v>
      </c>
      <c r="C1982" s="1492" t="str">
        <f t="shared" si="281"/>
        <v>Add Cap (As per 296 of 2019)</v>
      </c>
      <c r="D1982" s="1334" t="str">
        <f t="shared" si="281"/>
        <v>-</v>
      </c>
      <c r="E1982" s="1359">
        <f t="shared" si="281"/>
        <v>0</v>
      </c>
      <c r="F1982" s="1437">
        <f t="shared" si="282"/>
        <v>0.53521083000000003</v>
      </c>
      <c r="G1982" s="1437">
        <f t="shared" si="283"/>
        <v>0.53521083000000003</v>
      </c>
      <c r="H1982" s="1437">
        <f t="shared" si="284"/>
        <v>0</v>
      </c>
      <c r="I1982" s="1437">
        <v>0</v>
      </c>
      <c r="J1982" s="1437">
        <v>0</v>
      </c>
      <c r="K1982" s="1438"/>
      <c r="L1982" s="1438"/>
      <c r="M1982" s="1437">
        <f t="shared" si="285"/>
        <v>0</v>
      </c>
      <c r="N1982" s="1437">
        <f t="shared" si="286"/>
        <v>0</v>
      </c>
    </row>
    <row r="1983" spans="1:14" ht="31" outlineLevel="1">
      <c r="A1983" s="1491">
        <f t="shared" si="281"/>
        <v>8</v>
      </c>
      <c r="B1983" s="1497" t="str">
        <f t="shared" si="281"/>
        <v>Proc of spares for fabric expansion joints required at BM U-8, NPTPS, Parli-V.</v>
      </c>
      <c r="C1983" s="1492" t="str">
        <f t="shared" si="281"/>
        <v>Add Cap (As per 296 of 2019)</v>
      </c>
      <c r="D1983" s="1334" t="str">
        <f t="shared" si="281"/>
        <v>-</v>
      </c>
      <c r="E1983" s="1358">
        <f t="shared" si="281"/>
        <v>0</v>
      </c>
      <c r="F1983" s="1437">
        <f t="shared" si="282"/>
        <v>0.56971689999999997</v>
      </c>
      <c r="G1983" s="1437">
        <f t="shared" si="283"/>
        <v>0.56971689999999997</v>
      </c>
      <c r="H1983" s="1437">
        <f t="shared" si="284"/>
        <v>0</v>
      </c>
      <c r="I1983" s="1437">
        <v>0</v>
      </c>
      <c r="J1983" s="1437">
        <v>0</v>
      </c>
      <c r="K1983" s="1438"/>
      <c r="L1983" s="1438"/>
      <c r="M1983" s="1437">
        <f t="shared" si="285"/>
        <v>0</v>
      </c>
      <c r="N1983" s="1437">
        <f t="shared" si="286"/>
        <v>0</v>
      </c>
    </row>
    <row r="1984" spans="1:14" ht="31" outlineLevel="1">
      <c r="A1984" s="1491">
        <f t="shared" si="281"/>
        <v>9</v>
      </c>
      <c r="B1984" s="1497" t="str">
        <f t="shared" si="281"/>
        <v>Proc of separator body and seperator top spares for coal mill XRP-903 at BM U-8, NPTPS Parli-V.</v>
      </c>
      <c r="C1984" s="1492" t="str">
        <f t="shared" si="281"/>
        <v>Add Cap (As per 296 of 2019)</v>
      </c>
      <c r="D1984" s="1334" t="str">
        <f t="shared" si="281"/>
        <v>-</v>
      </c>
      <c r="E1984" s="1358">
        <f t="shared" si="281"/>
        <v>0</v>
      </c>
      <c r="F1984" s="1437">
        <f t="shared" si="282"/>
        <v>0.42568995599999998</v>
      </c>
      <c r="G1984" s="1437">
        <f t="shared" si="283"/>
        <v>0.42568995599999998</v>
      </c>
      <c r="H1984" s="1437">
        <f t="shared" si="284"/>
        <v>0</v>
      </c>
      <c r="I1984" s="1437">
        <v>0</v>
      </c>
      <c r="J1984" s="1437">
        <v>0</v>
      </c>
      <c r="K1984" s="1438"/>
      <c r="L1984" s="1438"/>
      <c r="M1984" s="1437">
        <f t="shared" si="285"/>
        <v>0</v>
      </c>
      <c r="N1984" s="1437">
        <f t="shared" si="286"/>
        <v>0</v>
      </c>
    </row>
    <row r="1985" spans="1:14" ht="31" outlineLevel="1">
      <c r="A1985" s="1491">
        <f t="shared" si="281"/>
        <v>10</v>
      </c>
      <c r="B1985" s="1497" t="str">
        <f t="shared" si="281"/>
        <v>Proc of scrapper area &amp; reject system spares for coal mill XRP-903 at BM U-8, NPTPS Parli-V.</v>
      </c>
      <c r="C1985" s="1492" t="str">
        <f t="shared" si="281"/>
        <v>Add Cap (As per 296 of 2019)</v>
      </c>
      <c r="D1985" s="1334" t="str">
        <f t="shared" si="281"/>
        <v>-</v>
      </c>
      <c r="E1985" s="1358">
        <f t="shared" si="281"/>
        <v>0</v>
      </c>
      <c r="F1985" s="1437">
        <f t="shared" si="282"/>
        <v>0.27832896000000001</v>
      </c>
      <c r="G1985" s="1437">
        <f t="shared" si="283"/>
        <v>0.27832896000000001</v>
      </c>
      <c r="H1985" s="1437">
        <f t="shared" si="284"/>
        <v>0</v>
      </c>
      <c r="I1985" s="1437">
        <v>0</v>
      </c>
      <c r="J1985" s="1437">
        <v>0</v>
      </c>
      <c r="K1985" s="1438"/>
      <c r="L1985" s="1438"/>
      <c r="M1985" s="1437">
        <f t="shared" si="285"/>
        <v>0</v>
      </c>
      <c r="N1985" s="1437">
        <f t="shared" si="286"/>
        <v>0</v>
      </c>
    </row>
    <row r="1986" spans="1:14" ht="15.5" outlineLevel="1">
      <c r="A1986" s="1491">
        <f t="shared" si="281"/>
        <v>11</v>
      </c>
      <c r="B1986" s="1497" t="str">
        <f t="shared" si="281"/>
        <v>Proc of seal air fan spares at BM-8 NPTPS, Parli-V.</v>
      </c>
      <c r="C1986" s="1492" t="str">
        <f t="shared" si="281"/>
        <v>Add Cap (As per 296 of 2019)</v>
      </c>
      <c r="D1986" s="1334" t="str">
        <f t="shared" si="281"/>
        <v>-</v>
      </c>
      <c r="E1986" s="1359">
        <f t="shared" si="281"/>
        <v>0</v>
      </c>
      <c r="F1986" s="1437">
        <f t="shared" si="282"/>
        <v>0.26431690000000002</v>
      </c>
      <c r="G1986" s="1437">
        <f t="shared" si="283"/>
        <v>0.26431690000000002</v>
      </c>
      <c r="H1986" s="1437">
        <f t="shared" si="284"/>
        <v>0</v>
      </c>
      <c r="I1986" s="1437">
        <v>0</v>
      </c>
      <c r="J1986" s="1437">
        <v>0</v>
      </c>
      <c r="K1986" s="1438"/>
      <c r="L1986" s="1438"/>
      <c r="M1986" s="1437">
        <f t="shared" si="285"/>
        <v>0</v>
      </c>
      <c r="N1986" s="1437">
        <f t="shared" si="286"/>
        <v>0</v>
      </c>
    </row>
    <row r="1987" spans="1:14" ht="31" outlineLevel="1">
      <c r="A1987" s="1491">
        <f t="shared" si="281"/>
        <v>12</v>
      </c>
      <c r="B1987" s="1497" t="str">
        <f t="shared" si="281"/>
        <v>Procurement of  FD Fan Type FAF 17/9.5-1 Drive Coupling required at BM U-8 NPTPS Parli-V</v>
      </c>
      <c r="C1987" s="1492" t="str">
        <f t="shared" si="281"/>
        <v>Add Cap (As per 296 of 2019)</v>
      </c>
      <c r="D1987" s="1334" t="str">
        <f t="shared" si="281"/>
        <v>-</v>
      </c>
      <c r="E1987" s="1358">
        <f t="shared" si="281"/>
        <v>0</v>
      </c>
      <c r="F1987" s="1437">
        <f t="shared" si="282"/>
        <v>0</v>
      </c>
      <c r="G1987" s="1437">
        <f t="shared" si="283"/>
        <v>0</v>
      </c>
      <c r="H1987" s="1437">
        <f t="shared" si="284"/>
        <v>0</v>
      </c>
      <c r="I1987" s="1437">
        <v>0</v>
      </c>
      <c r="J1987" s="1437">
        <v>0</v>
      </c>
      <c r="K1987" s="1438"/>
      <c r="L1987" s="1438"/>
      <c r="M1987" s="1437">
        <f t="shared" si="285"/>
        <v>0</v>
      </c>
      <c r="N1987" s="1437">
        <f t="shared" si="286"/>
        <v>0</v>
      </c>
    </row>
    <row r="1988" spans="1:14" ht="31" outlineLevel="1">
      <c r="A1988" s="1491">
        <f t="shared" si="281"/>
        <v>13</v>
      </c>
      <c r="B1988" s="1497" t="str">
        <f t="shared" si="281"/>
        <v>Procurement of complete planatary gear box-KMP -280/300 for coal mill XRP-903 at BM U-8 NPTPS Parli-V</v>
      </c>
      <c r="C1988" s="1492" t="str">
        <f t="shared" si="281"/>
        <v>Add Cap (As per 296 of 2019)</v>
      </c>
      <c r="D1988" s="1334" t="str">
        <f t="shared" si="281"/>
        <v>-</v>
      </c>
      <c r="E1988" s="1358">
        <f t="shared" si="281"/>
        <v>0</v>
      </c>
      <c r="F1988" s="1437">
        <f t="shared" si="282"/>
        <v>0</v>
      </c>
      <c r="G1988" s="1437">
        <f t="shared" si="283"/>
        <v>0</v>
      </c>
      <c r="H1988" s="1437">
        <f t="shared" si="284"/>
        <v>0</v>
      </c>
      <c r="I1988" s="1437">
        <v>0</v>
      </c>
      <c r="J1988" s="1437">
        <v>0</v>
      </c>
      <c r="K1988" s="1438"/>
      <c r="L1988" s="1438"/>
      <c r="M1988" s="1437">
        <f t="shared" si="285"/>
        <v>0</v>
      </c>
      <c r="N1988" s="1437">
        <f t="shared" si="286"/>
        <v>0</v>
      </c>
    </row>
    <row r="1989" spans="1:14" ht="15.5" outlineLevel="1">
      <c r="A1989" s="1493">
        <f t="shared" ref="A1989:E2004" si="287">A1596</f>
        <v>2</v>
      </c>
      <c r="B1989" s="1494" t="str">
        <f t="shared" si="287"/>
        <v>Turbine and Auxiliaries</v>
      </c>
      <c r="C1989" s="1495" t="str">
        <f t="shared" si="287"/>
        <v>Add Cap (As per 296 of 2019)</v>
      </c>
      <c r="D1989" s="1341" t="str">
        <f t="shared" si="287"/>
        <v>-</v>
      </c>
      <c r="E1989" s="1496">
        <f t="shared" si="287"/>
        <v>4.3</v>
      </c>
      <c r="F1989" s="1437">
        <f t="shared" si="282"/>
        <v>0</v>
      </c>
      <c r="G1989" s="1437">
        <f t="shared" si="283"/>
        <v>0</v>
      </c>
      <c r="H1989" s="1437">
        <f t="shared" si="284"/>
        <v>0</v>
      </c>
      <c r="I1989" s="1437">
        <v>0</v>
      </c>
      <c r="J1989" s="1437">
        <v>0</v>
      </c>
      <c r="K1989" s="1438"/>
      <c r="L1989" s="1438"/>
      <c r="M1989" s="1437">
        <f t="shared" si="285"/>
        <v>0</v>
      </c>
      <c r="N1989" s="1437">
        <f t="shared" si="286"/>
        <v>0</v>
      </c>
    </row>
    <row r="1990" spans="1:14" ht="46.5" outlineLevel="1">
      <c r="A1990" s="1499">
        <f t="shared" si="287"/>
        <v>1</v>
      </c>
      <c r="B1990" s="1497" t="str">
        <f t="shared" si="287"/>
        <v>Procurement of spares for Equipment Cooling Water Pumps (Make-FLOWMORE) of model FIG-5824 (SG Side) and FIG-5822 (TG side) at Unit-8 NPTPS Parli-V</v>
      </c>
      <c r="C1990" s="1492" t="str">
        <f t="shared" si="287"/>
        <v>Add Cap (As per 296 of 2019)</v>
      </c>
      <c r="D1990" s="1334" t="str">
        <f t="shared" si="287"/>
        <v>-</v>
      </c>
      <c r="E1990" s="1358">
        <f t="shared" si="287"/>
        <v>0</v>
      </c>
      <c r="F1990" s="1437">
        <f t="shared" si="282"/>
        <v>0.51811829399999998</v>
      </c>
      <c r="G1990" s="1437">
        <f t="shared" si="283"/>
        <v>0.51811829399999998</v>
      </c>
      <c r="H1990" s="1437">
        <f t="shared" si="284"/>
        <v>0</v>
      </c>
      <c r="I1990" s="1437">
        <v>0</v>
      </c>
      <c r="J1990" s="1437">
        <v>0</v>
      </c>
      <c r="K1990" s="1438"/>
      <c r="L1990" s="1438"/>
      <c r="M1990" s="1437">
        <f t="shared" si="285"/>
        <v>0</v>
      </c>
      <c r="N1990" s="1437">
        <f t="shared" si="286"/>
        <v>0</v>
      </c>
    </row>
    <row r="1991" spans="1:14" ht="15.5" outlineLevel="1">
      <c r="A1991" s="1499">
        <f t="shared" si="287"/>
        <v>2</v>
      </c>
      <c r="B1991" s="1497" t="str">
        <f t="shared" si="287"/>
        <v>Supply of spars for recovery &amp; FF Pumps along with work  at U#8</v>
      </c>
      <c r="C1991" s="1492" t="str">
        <f t="shared" si="287"/>
        <v>Add Cap (As per 296 of 2019)</v>
      </c>
      <c r="D1991" s="1334" t="str">
        <f t="shared" si="287"/>
        <v>-</v>
      </c>
      <c r="E1991" s="1359">
        <f t="shared" si="287"/>
        <v>0</v>
      </c>
      <c r="F1991" s="1437">
        <f t="shared" si="282"/>
        <v>0.37712800000000002</v>
      </c>
      <c r="G1991" s="1437">
        <f t="shared" si="283"/>
        <v>0.37712800000000002</v>
      </c>
      <c r="H1991" s="1437">
        <f t="shared" si="284"/>
        <v>0</v>
      </c>
      <c r="I1991" s="1437">
        <v>0</v>
      </c>
      <c r="J1991" s="1437">
        <v>0</v>
      </c>
      <c r="K1991" s="1438"/>
      <c r="L1991" s="1438"/>
      <c r="M1991" s="1437">
        <f t="shared" si="285"/>
        <v>0</v>
      </c>
      <c r="N1991" s="1437">
        <f t="shared" si="286"/>
        <v>0</v>
      </c>
    </row>
    <row r="1992" spans="1:14" ht="15.5" outlineLevel="1">
      <c r="A1992" s="1499">
        <f t="shared" si="287"/>
        <v>3</v>
      </c>
      <c r="B1992" s="1497" t="str">
        <f t="shared" si="287"/>
        <v>Supply of seal oil vacuum pump  in unit 08</v>
      </c>
      <c r="C1992" s="1492" t="str">
        <f t="shared" si="287"/>
        <v>Add Cap (As per 296 of 2019)</v>
      </c>
      <c r="D1992" s="1334" t="str">
        <f t="shared" si="287"/>
        <v>-</v>
      </c>
      <c r="E1992" s="1358">
        <f t="shared" si="287"/>
        <v>0</v>
      </c>
      <c r="F1992" s="1437">
        <f t="shared" si="282"/>
        <v>0.27501740000000002</v>
      </c>
      <c r="G1992" s="1437">
        <f t="shared" si="283"/>
        <v>0.27501740000000002</v>
      </c>
      <c r="H1992" s="1437">
        <f t="shared" si="284"/>
        <v>0</v>
      </c>
      <c r="I1992" s="1437">
        <v>0</v>
      </c>
      <c r="J1992" s="1437">
        <v>0</v>
      </c>
      <c r="K1992" s="1438"/>
      <c r="L1992" s="1438"/>
      <c r="M1992" s="1437">
        <f t="shared" si="285"/>
        <v>0</v>
      </c>
      <c r="N1992" s="1437">
        <f t="shared" si="286"/>
        <v>0</v>
      </c>
    </row>
    <row r="1993" spans="1:14" ht="46.5" outlineLevel="1">
      <c r="A1993" s="1499">
        <f t="shared" si="287"/>
        <v>4</v>
      </c>
      <c r="B1993" s="1497" t="str">
        <f t="shared" si="287"/>
        <v>Procurement of AC pressure pipes (235MM OD, 200MM ID, 4.5M Length) for NDCT hot spray water distribution system in Unit-8 NPTPS Parli-Vaijnath</v>
      </c>
      <c r="C1993" s="1492" t="str">
        <f t="shared" si="287"/>
        <v>Add Cap (As per 296 of 2019)</v>
      </c>
      <c r="D1993" s="1334" t="str">
        <f t="shared" si="287"/>
        <v>-</v>
      </c>
      <c r="E1993" s="1358">
        <f t="shared" si="287"/>
        <v>0</v>
      </c>
      <c r="F1993" s="1437">
        <f t="shared" si="282"/>
        <v>0.42522480000000001</v>
      </c>
      <c r="G1993" s="1437">
        <f t="shared" si="283"/>
        <v>0.42522480000000001</v>
      </c>
      <c r="H1993" s="1437">
        <f t="shared" si="284"/>
        <v>0</v>
      </c>
      <c r="I1993" s="1437">
        <v>0</v>
      </c>
      <c r="J1993" s="1437">
        <v>0</v>
      </c>
      <c r="K1993" s="1438"/>
      <c r="L1993" s="1438"/>
      <c r="M1993" s="1437">
        <f t="shared" si="285"/>
        <v>0</v>
      </c>
      <c r="N1993" s="1437">
        <f t="shared" si="286"/>
        <v>0</v>
      </c>
    </row>
    <row r="1994" spans="1:14" ht="31" outlineLevel="1">
      <c r="A1994" s="1499">
        <f t="shared" si="287"/>
        <v>5</v>
      </c>
      <c r="B1994" s="1497" t="str">
        <f t="shared" si="287"/>
        <v>Supply of M/s Summits make Instrument Air Dryer &amp; spares at U # 8 TM, Parli-V</v>
      </c>
      <c r="C1994" s="1492" t="str">
        <f t="shared" si="287"/>
        <v>Add Cap (As per 296 of 2019)</v>
      </c>
      <c r="D1994" s="1334" t="str">
        <f t="shared" si="287"/>
        <v>-</v>
      </c>
      <c r="E1994" s="1358">
        <f t="shared" si="287"/>
        <v>0</v>
      </c>
      <c r="F1994" s="1437">
        <f t="shared" si="282"/>
        <v>0.54787163999999999</v>
      </c>
      <c r="G1994" s="1437">
        <f t="shared" si="283"/>
        <v>0.54787163999999999</v>
      </c>
      <c r="H1994" s="1437">
        <f t="shared" si="284"/>
        <v>0</v>
      </c>
      <c r="I1994" s="1437">
        <v>0</v>
      </c>
      <c r="J1994" s="1437">
        <v>0</v>
      </c>
      <c r="K1994" s="1438"/>
      <c r="L1994" s="1438"/>
      <c r="M1994" s="1437">
        <f t="shared" si="285"/>
        <v>0</v>
      </c>
      <c r="N1994" s="1437">
        <f t="shared" si="286"/>
        <v>0</v>
      </c>
    </row>
    <row r="1995" spans="1:14" ht="15.5" outlineLevel="1">
      <c r="A1995" s="1499">
        <f t="shared" si="287"/>
        <v>6</v>
      </c>
      <c r="B1995" s="1497" t="str">
        <f t="shared" si="287"/>
        <v>Supply of PVC fills for NDCTs at U # 8 TM, Parli-V</v>
      </c>
      <c r="C1995" s="1492" t="str">
        <f t="shared" si="287"/>
        <v>Add Cap (As per 296 of 2019)</v>
      </c>
      <c r="D1995" s="1334" t="str">
        <f t="shared" si="287"/>
        <v>-</v>
      </c>
      <c r="E1995" s="1358">
        <f t="shared" si="287"/>
        <v>0</v>
      </c>
      <c r="F1995" s="1437">
        <f t="shared" si="282"/>
        <v>0.58244799999999997</v>
      </c>
      <c r="G1995" s="1437">
        <f t="shared" si="283"/>
        <v>0.58244799999999997</v>
      </c>
      <c r="H1995" s="1437">
        <f t="shared" si="284"/>
        <v>0</v>
      </c>
      <c r="I1995" s="1437">
        <v>0</v>
      </c>
      <c r="J1995" s="1437">
        <v>0</v>
      </c>
      <c r="K1995" s="1438"/>
      <c r="L1995" s="1438"/>
      <c r="M1995" s="1437">
        <f t="shared" si="285"/>
        <v>0</v>
      </c>
      <c r="N1995" s="1437">
        <f t="shared" si="286"/>
        <v>0</v>
      </c>
    </row>
    <row r="1996" spans="1:14" ht="31" outlineLevel="1">
      <c r="A1996" s="1499">
        <f t="shared" si="287"/>
        <v>7</v>
      </c>
      <c r="B1996" s="1497" t="str">
        <f t="shared" si="287"/>
        <v>Procurement of NB 600MM Gate valves for ACW self cleaning strainers in U#8 TM NPTPS Parli-V</v>
      </c>
      <c r="C1996" s="1492" t="str">
        <f t="shared" si="287"/>
        <v>Add Cap (As per 296 of 2019)</v>
      </c>
      <c r="D1996" s="1334" t="str">
        <f t="shared" si="287"/>
        <v>-</v>
      </c>
      <c r="E1996" s="1358">
        <f t="shared" si="287"/>
        <v>0</v>
      </c>
      <c r="F1996" s="1437">
        <f t="shared" si="282"/>
        <v>0.42338399999999998</v>
      </c>
      <c r="G1996" s="1437">
        <f t="shared" si="283"/>
        <v>0.42338399999999998</v>
      </c>
      <c r="H1996" s="1437">
        <f t="shared" si="284"/>
        <v>0</v>
      </c>
      <c r="I1996" s="1437">
        <v>0</v>
      </c>
      <c r="J1996" s="1437">
        <v>0</v>
      </c>
      <c r="K1996" s="1438"/>
      <c r="L1996" s="1438"/>
      <c r="M1996" s="1437">
        <f t="shared" si="285"/>
        <v>0</v>
      </c>
      <c r="N1996" s="1437">
        <f t="shared" si="286"/>
        <v>0</v>
      </c>
    </row>
    <row r="1997" spans="1:14" ht="31" outlineLevel="1">
      <c r="A1997" s="1499">
        <f t="shared" si="287"/>
        <v>8</v>
      </c>
      <c r="B1997" s="1497" t="str">
        <f t="shared" si="287"/>
        <v>Procurement of Mechanical seals ( Make Leak-Proof) for various pumps in TM Unit-8 NPTPS Parli.</v>
      </c>
      <c r="C1997" s="1492" t="str">
        <f t="shared" si="287"/>
        <v>Add Cap (As per 296 of 2019)</v>
      </c>
      <c r="D1997" s="1334" t="str">
        <f t="shared" si="287"/>
        <v>-</v>
      </c>
      <c r="E1997" s="1359">
        <f t="shared" si="287"/>
        <v>0</v>
      </c>
      <c r="F1997" s="1437">
        <f t="shared" si="282"/>
        <v>0.49233139999999997</v>
      </c>
      <c r="G1997" s="1437">
        <f t="shared" si="283"/>
        <v>0.49233139999999997</v>
      </c>
      <c r="H1997" s="1437">
        <f t="shared" si="284"/>
        <v>0</v>
      </c>
      <c r="I1997" s="1437">
        <v>0</v>
      </c>
      <c r="J1997" s="1437">
        <v>0</v>
      </c>
      <c r="K1997" s="1438"/>
      <c r="L1997" s="1438"/>
      <c r="M1997" s="1437">
        <f t="shared" si="285"/>
        <v>0</v>
      </c>
      <c r="N1997" s="1437">
        <f t="shared" si="286"/>
        <v>0</v>
      </c>
    </row>
    <row r="1998" spans="1:14" ht="15.5" outlineLevel="1">
      <c r="A1998" s="1499">
        <f t="shared" si="287"/>
        <v>9</v>
      </c>
      <c r="B1998" s="1497" t="str">
        <f t="shared" si="287"/>
        <v>Supply of SS 304 pipes &amp; others at U # 8 TM, Parli-V.</v>
      </c>
      <c r="C1998" s="1492" t="str">
        <f t="shared" si="287"/>
        <v>Add Cap (As per 296 of 2019)</v>
      </c>
      <c r="D1998" s="1334" t="str">
        <f t="shared" si="287"/>
        <v>-</v>
      </c>
      <c r="E1998" s="1366">
        <f t="shared" si="287"/>
        <v>0</v>
      </c>
      <c r="F1998" s="1437">
        <f t="shared" si="282"/>
        <v>0.52905441600000003</v>
      </c>
      <c r="G1998" s="1437">
        <f t="shared" si="283"/>
        <v>0.52905441600000003</v>
      </c>
      <c r="H1998" s="1437">
        <f t="shared" si="284"/>
        <v>0</v>
      </c>
      <c r="I1998" s="1437">
        <v>0</v>
      </c>
      <c r="J1998" s="1437">
        <v>0</v>
      </c>
      <c r="K1998" s="1438"/>
      <c r="L1998" s="1438"/>
      <c r="M1998" s="1437">
        <f t="shared" si="285"/>
        <v>0</v>
      </c>
      <c r="N1998" s="1437">
        <f t="shared" si="286"/>
        <v>0</v>
      </c>
    </row>
    <row r="1999" spans="1:14" ht="15.5" outlineLevel="1">
      <c r="A1999" s="1493">
        <f t="shared" si="287"/>
        <v>3</v>
      </c>
      <c r="B1999" s="1494" t="str">
        <f t="shared" si="287"/>
        <v xml:space="preserve">Electrical and Instrumentation </v>
      </c>
      <c r="C1999" s="1495" t="str">
        <f t="shared" si="287"/>
        <v>Add Cap (As per 296 of 2019)</v>
      </c>
      <c r="D1999" s="1341" t="str">
        <f t="shared" si="287"/>
        <v>-</v>
      </c>
      <c r="E1999" s="1496">
        <f t="shared" si="287"/>
        <v>6.1</v>
      </c>
      <c r="F1999" s="1437">
        <f t="shared" si="282"/>
        <v>0</v>
      </c>
      <c r="G1999" s="1437">
        <f t="shared" si="283"/>
        <v>0</v>
      </c>
      <c r="H1999" s="1437">
        <f t="shared" si="284"/>
        <v>0</v>
      </c>
      <c r="I1999" s="1437">
        <v>0</v>
      </c>
      <c r="J1999" s="1437">
        <v>0</v>
      </c>
      <c r="K1999" s="1438"/>
      <c r="L1999" s="1438"/>
      <c r="M1999" s="1437">
        <f t="shared" si="285"/>
        <v>0</v>
      </c>
      <c r="N1999" s="1437">
        <f t="shared" si="286"/>
        <v>0</v>
      </c>
    </row>
    <row r="2000" spans="1:14" ht="31" outlineLevel="1">
      <c r="A2000" s="1499">
        <f t="shared" si="287"/>
        <v>1</v>
      </c>
      <c r="B2000" s="1500" t="str">
        <f t="shared" si="287"/>
        <v>Supply of Instrumentation Spares of LP Bypass System at Unit-8.</v>
      </c>
      <c r="C2000" s="1492" t="str">
        <f t="shared" si="287"/>
        <v>Add Cap (As per 296 of 2019)</v>
      </c>
      <c r="D2000" s="1334" t="str">
        <f t="shared" si="287"/>
        <v>-</v>
      </c>
      <c r="E2000" s="1366">
        <f t="shared" si="287"/>
        <v>0</v>
      </c>
      <c r="F2000" s="1437">
        <f t="shared" si="282"/>
        <v>1.9614571240000001</v>
      </c>
      <c r="G2000" s="1437">
        <f t="shared" si="283"/>
        <v>1.9614571240000001</v>
      </c>
      <c r="H2000" s="1437">
        <f t="shared" si="284"/>
        <v>0</v>
      </c>
      <c r="I2000" s="1437">
        <v>0</v>
      </c>
      <c r="J2000" s="1437">
        <v>0</v>
      </c>
      <c r="K2000" s="1438"/>
      <c r="L2000" s="1438"/>
      <c r="M2000" s="1437">
        <f t="shared" si="285"/>
        <v>0</v>
      </c>
      <c r="N2000" s="1437">
        <f t="shared" si="286"/>
        <v>0</v>
      </c>
    </row>
    <row r="2001" spans="1:14" ht="31" outlineLevel="1">
      <c r="A2001" s="1499">
        <f t="shared" si="287"/>
        <v>2</v>
      </c>
      <c r="B2001" s="1501" t="str">
        <f t="shared" si="287"/>
        <v>Procurement of Schneider MICOM Numerical Relays for GRP and STPR swithcgear at NPTPS Unit-8 Testing</v>
      </c>
      <c r="C2001" s="1492" t="str">
        <f t="shared" si="287"/>
        <v>Add Cap (As per 296 of 2019)</v>
      </c>
      <c r="D2001" s="1334" t="str">
        <f t="shared" si="287"/>
        <v>-</v>
      </c>
      <c r="E2001" s="1366">
        <f t="shared" si="287"/>
        <v>0</v>
      </c>
      <c r="F2001" s="1437">
        <f t="shared" si="282"/>
        <v>0.47613</v>
      </c>
      <c r="G2001" s="1437">
        <f t="shared" si="283"/>
        <v>0.47613</v>
      </c>
      <c r="H2001" s="1437">
        <f t="shared" si="284"/>
        <v>0</v>
      </c>
      <c r="I2001" s="1437">
        <v>0</v>
      </c>
      <c r="J2001" s="1437">
        <v>0</v>
      </c>
      <c r="K2001" s="1438"/>
      <c r="L2001" s="1438"/>
      <c r="M2001" s="1437">
        <f t="shared" si="285"/>
        <v>0</v>
      </c>
      <c r="N2001" s="1437">
        <f t="shared" si="286"/>
        <v>0</v>
      </c>
    </row>
    <row r="2002" spans="1:14" ht="31" outlineLevel="1">
      <c r="A2002" s="1502">
        <f t="shared" si="287"/>
        <v>3</v>
      </c>
      <c r="B2002" s="1501" t="str">
        <f t="shared" si="287"/>
        <v xml:space="preserve">Procurement of 220V DC Chloride make (formally caldyne) make battery chargers Spre of Unit 8 NPTPS Parli-V                           </v>
      </c>
      <c r="C2002" s="1492" t="str">
        <f t="shared" si="287"/>
        <v>Add Cap (As per 296 of 2019)</v>
      </c>
      <c r="D2002" s="1334" t="str">
        <f t="shared" si="287"/>
        <v>-</v>
      </c>
      <c r="E2002" s="1359">
        <f t="shared" si="287"/>
        <v>0</v>
      </c>
      <c r="F2002" s="1437">
        <f t="shared" si="282"/>
        <v>0.23365298000000001</v>
      </c>
      <c r="G2002" s="1437">
        <f t="shared" si="283"/>
        <v>0.23365298000000001</v>
      </c>
      <c r="H2002" s="1437">
        <f t="shared" si="284"/>
        <v>0</v>
      </c>
      <c r="I2002" s="1437">
        <v>0</v>
      </c>
      <c r="J2002" s="1437">
        <v>0</v>
      </c>
      <c r="K2002" s="1438"/>
      <c r="L2002" s="1438"/>
      <c r="M2002" s="1437">
        <f t="shared" si="285"/>
        <v>0</v>
      </c>
      <c r="N2002" s="1437">
        <f t="shared" si="286"/>
        <v>0</v>
      </c>
    </row>
    <row r="2003" spans="1:14" ht="31" outlineLevel="1">
      <c r="A2003" s="1502">
        <f t="shared" si="287"/>
        <v>4</v>
      </c>
      <c r="B2003" s="1501" t="str">
        <f t="shared" si="287"/>
        <v>Procurement of 24V DC Chhabi make make battery chargers Spare of Unit 8 NPTPS Parli-V</v>
      </c>
      <c r="C2003" s="1492" t="str">
        <f t="shared" si="287"/>
        <v>Add Cap (As per 296 of 2019)</v>
      </c>
      <c r="D2003" s="1334" t="str">
        <f t="shared" si="287"/>
        <v>-</v>
      </c>
      <c r="E2003" s="1358">
        <f t="shared" si="287"/>
        <v>0</v>
      </c>
      <c r="F2003" s="1437">
        <f t="shared" si="282"/>
        <v>0.22464893999999999</v>
      </c>
      <c r="G2003" s="1437">
        <f t="shared" si="283"/>
        <v>0.22464893999999999</v>
      </c>
      <c r="H2003" s="1437">
        <f t="shared" si="284"/>
        <v>0</v>
      </c>
      <c r="I2003" s="1437">
        <v>0</v>
      </c>
      <c r="J2003" s="1437">
        <v>0</v>
      </c>
      <c r="K2003" s="1438"/>
      <c r="L2003" s="1438"/>
      <c r="M2003" s="1437">
        <f t="shared" si="285"/>
        <v>0</v>
      </c>
      <c r="N2003" s="1437">
        <f t="shared" si="286"/>
        <v>0</v>
      </c>
    </row>
    <row r="2004" spans="1:14" ht="31" outlineLevel="1">
      <c r="A2004" s="1499">
        <f t="shared" si="287"/>
        <v>5</v>
      </c>
      <c r="B2004" s="1501" t="str">
        <f t="shared" si="287"/>
        <v xml:space="preserve"> Procurement of Spare for Hitachi Hi-Rel make UPS systems installed at Unit-8 NPTPS Parli Vaijnath.</v>
      </c>
      <c r="C2004" s="1492" t="str">
        <f t="shared" si="287"/>
        <v>Add Cap (As per 296 of 2019)</v>
      </c>
      <c r="D2004" s="1334" t="str">
        <f t="shared" si="287"/>
        <v>-</v>
      </c>
      <c r="E2004" s="1358">
        <f t="shared" si="287"/>
        <v>0</v>
      </c>
      <c r="F2004" s="1437">
        <f t="shared" si="282"/>
        <v>0.19186271399999999</v>
      </c>
      <c r="G2004" s="1437">
        <f t="shared" si="283"/>
        <v>0.19186271399999999</v>
      </c>
      <c r="H2004" s="1437">
        <f t="shared" si="284"/>
        <v>0</v>
      </c>
      <c r="I2004" s="1437">
        <v>0</v>
      </c>
      <c r="J2004" s="1437">
        <v>0</v>
      </c>
      <c r="K2004" s="1438"/>
      <c r="L2004" s="1438"/>
      <c r="M2004" s="1437">
        <f t="shared" si="285"/>
        <v>0</v>
      </c>
      <c r="N2004" s="1437">
        <f t="shared" si="286"/>
        <v>0</v>
      </c>
    </row>
    <row r="2005" spans="1:14" ht="62" outlineLevel="1">
      <c r="A2005" s="1502">
        <f t="shared" ref="A2005:E2020" si="288">A1612</f>
        <v>6</v>
      </c>
      <c r="B2005" s="1501" t="str">
        <f t="shared" si="288"/>
        <v>Procurement of various test kit for testing U#8 such as energy meter calibration kit, DC earth faulth locator kit, promary current injection kit, breaker time measurement kit, numeric relay test kit and other testing instruments.</v>
      </c>
      <c r="C2005" s="1492" t="str">
        <f t="shared" si="288"/>
        <v>Add Cap (As per 296 of 2019)</v>
      </c>
      <c r="D2005" s="1334" t="str">
        <f t="shared" si="288"/>
        <v>-</v>
      </c>
      <c r="E2005" s="1359">
        <f t="shared" si="288"/>
        <v>0</v>
      </c>
      <c r="F2005" s="1437">
        <f t="shared" si="282"/>
        <v>0.6734502</v>
      </c>
      <c r="G2005" s="1437">
        <f t="shared" si="283"/>
        <v>0.6734502</v>
      </c>
      <c r="H2005" s="1437">
        <f t="shared" si="284"/>
        <v>0</v>
      </c>
      <c r="I2005" s="1437">
        <v>0</v>
      </c>
      <c r="J2005" s="1437">
        <v>0</v>
      </c>
      <c r="K2005" s="1438"/>
      <c r="L2005" s="1438"/>
      <c r="M2005" s="1437">
        <f t="shared" si="285"/>
        <v>0</v>
      </c>
      <c r="N2005" s="1437">
        <f t="shared" si="286"/>
        <v>0</v>
      </c>
    </row>
    <row r="2006" spans="1:14" ht="46.5" outlineLevel="1">
      <c r="A2006" s="1499">
        <f t="shared" si="288"/>
        <v>7</v>
      </c>
      <c r="B2006" s="1501" t="str">
        <f t="shared" si="288"/>
        <v>Procurement of   Energymeter Caliberation Software Module and hardware for upgrading Numeric Relay Test kit at Unit -8 Testing.</v>
      </c>
      <c r="C2006" s="1492" t="str">
        <f t="shared" si="288"/>
        <v>Add Cap (As per 296 of 2019)</v>
      </c>
      <c r="D2006" s="1334" t="str">
        <f t="shared" si="288"/>
        <v>-</v>
      </c>
      <c r="E2006" s="1367">
        <f t="shared" si="288"/>
        <v>0</v>
      </c>
      <c r="F2006" s="1437">
        <f t="shared" si="282"/>
        <v>0.118629766</v>
      </c>
      <c r="G2006" s="1437">
        <f t="shared" si="283"/>
        <v>0.118629766</v>
      </c>
      <c r="H2006" s="1437">
        <f t="shared" si="284"/>
        <v>0</v>
      </c>
      <c r="I2006" s="1437">
        <v>0</v>
      </c>
      <c r="J2006" s="1437">
        <v>0</v>
      </c>
      <c r="K2006" s="1438"/>
      <c r="L2006" s="1438"/>
      <c r="M2006" s="1437">
        <f t="shared" si="285"/>
        <v>0</v>
      </c>
      <c r="N2006" s="1437">
        <f t="shared" si="286"/>
        <v>0</v>
      </c>
    </row>
    <row r="2007" spans="1:14" ht="15.5" outlineLevel="1">
      <c r="A2007" s="1502">
        <f t="shared" si="288"/>
        <v>8</v>
      </c>
      <c r="B2007" s="1503" t="str">
        <f t="shared" si="288"/>
        <v>Procurement of H T Motors.</v>
      </c>
      <c r="C2007" s="1492" t="str">
        <f t="shared" si="288"/>
        <v>Add Cap (As per 296 of 2019)</v>
      </c>
      <c r="D2007" s="1334" t="str">
        <f t="shared" si="288"/>
        <v>-</v>
      </c>
      <c r="E2007" s="1359">
        <f t="shared" si="288"/>
        <v>0</v>
      </c>
      <c r="F2007" s="1437">
        <f t="shared" si="282"/>
        <v>0</v>
      </c>
      <c r="G2007" s="1437">
        <f t="shared" si="283"/>
        <v>0</v>
      </c>
      <c r="H2007" s="1437">
        <f t="shared" si="284"/>
        <v>0</v>
      </c>
      <c r="I2007" s="1437">
        <v>0</v>
      </c>
      <c r="J2007" s="1437">
        <v>0</v>
      </c>
      <c r="K2007" s="1438"/>
      <c r="L2007" s="1438"/>
      <c r="M2007" s="1437">
        <f t="shared" si="285"/>
        <v>0</v>
      </c>
      <c r="N2007" s="1437">
        <f t="shared" si="286"/>
        <v>0</v>
      </c>
    </row>
    <row r="2008" spans="1:14" ht="15.5" outlineLevel="1">
      <c r="A2008" s="1499">
        <f t="shared" si="288"/>
        <v>9</v>
      </c>
      <c r="B2008" s="1503" t="str">
        <f t="shared" si="288"/>
        <v>Procurement of critical L T Motors</v>
      </c>
      <c r="C2008" s="1492" t="str">
        <f t="shared" si="288"/>
        <v>Add Cap (As per 296 of 2019)</v>
      </c>
      <c r="D2008" s="1334" t="str">
        <f t="shared" si="288"/>
        <v>-</v>
      </c>
      <c r="E2008" s="1368">
        <f t="shared" si="288"/>
        <v>0</v>
      </c>
      <c r="F2008" s="1437">
        <f t="shared" si="282"/>
        <v>0</v>
      </c>
      <c r="G2008" s="1437">
        <f t="shared" si="283"/>
        <v>0</v>
      </c>
      <c r="H2008" s="1437">
        <f t="shared" si="284"/>
        <v>0</v>
      </c>
      <c r="I2008" s="1437">
        <v>0</v>
      </c>
      <c r="J2008" s="1437">
        <v>0</v>
      </c>
      <c r="K2008" s="1438"/>
      <c r="L2008" s="1438"/>
      <c r="M2008" s="1437">
        <f t="shared" si="285"/>
        <v>0</v>
      </c>
      <c r="N2008" s="1437">
        <f t="shared" si="286"/>
        <v>0</v>
      </c>
    </row>
    <row r="2009" spans="1:14" ht="62" outlineLevel="1">
      <c r="A2009" s="1502">
        <f t="shared" si="288"/>
        <v>10</v>
      </c>
      <c r="B2009" s="1501" t="str">
        <f t="shared" si="288"/>
        <v xml:space="preserve">Procurement  of ESP Hopper heaters (As a initial spares) Installed at EM U-8, NPTPS, Parli-Vaijnath under add cap scheme.
</v>
      </c>
      <c r="C2009" s="1492" t="str">
        <f t="shared" si="288"/>
        <v>Add Cap (As per 296 of 2019)</v>
      </c>
      <c r="D2009" s="1334" t="str">
        <f t="shared" si="288"/>
        <v>-</v>
      </c>
      <c r="E2009" s="1359">
        <f t="shared" si="288"/>
        <v>0</v>
      </c>
      <c r="F2009" s="1437">
        <f t="shared" si="282"/>
        <v>0.38585999999999998</v>
      </c>
      <c r="G2009" s="1437">
        <f t="shared" si="283"/>
        <v>0.38585999999999998</v>
      </c>
      <c r="H2009" s="1437">
        <f t="shared" si="284"/>
        <v>0</v>
      </c>
      <c r="I2009" s="1437">
        <v>0</v>
      </c>
      <c r="J2009" s="1437">
        <v>0</v>
      </c>
      <c r="K2009" s="1438"/>
      <c r="L2009" s="1438"/>
      <c r="M2009" s="1437">
        <f t="shared" si="285"/>
        <v>0</v>
      </c>
      <c r="N2009" s="1437">
        <f t="shared" si="286"/>
        <v>0</v>
      </c>
    </row>
    <row r="2010" spans="1:14" ht="15.5" outlineLevel="1">
      <c r="A2010" s="1493">
        <f t="shared" si="288"/>
        <v>4</v>
      </c>
      <c r="B2010" s="1494" t="str">
        <f t="shared" si="288"/>
        <v>Outdoor Plant(CHP/AHP/WTP)</v>
      </c>
      <c r="C2010" s="1495" t="str">
        <f t="shared" si="288"/>
        <v>Add Cap (As per 296 of 2019)</v>
      </c>
      <c r="D2010" s="1341" t="str">
        <f t="shared" si="288"/>
        <v>-</v>
      </c>
      <c r="E2010" s="1496">
        <f t="shared" si="288"/>
        <v>6.64</v>
      </c>
      <c r="F2010" s="1437">
        <f t="shared" si="282"/>
        <v>0</v>
      </c>
      <c r="G2010" s="1437">
        <f t="shared" si="283"/>
        <v>0</v>
      </c>
      <c r="H2010" s="1437">
        <f t="shared" si="284"/>
        <v>0</v>
      </c>
      <c r="I2010" s="1437">
        <v>0</v>
      </c>
      <c r="J2010" s="1437">
        <v>0</v>
      </c>
      <c r="K2010" s="1438"/>
      <c r="L2010" s="1438"/>
      <c r="M2010" s="1437">
        <f t="shared" si="285"/>
        <v>0</v>
      </c>
      <c r="N2010" s="1437">
        <f t="shared" si="286"/>
        <v>0</v>
      </c>
    </row>
    <row r="2011" spans="1:14" ht="15.5" outlineLevel="1">
      <c r="A2011" s="1504">
        <f t="shared" si="288"/>
        <v>1</v>
      </c>
      <c r="B2011" s="1497" t="str">
        <f t="shared" si="288"/>
        <v>Supply of Apron Feeder spares installed at CHP NPTPS Parli-V</v>
      </c>
      <c r="C2011" s="1492" t="str">
        <f t="shared" si="288"/>
        <v>Add Cap (As per 296 of 2019)</v>
      </c>
      <c r="D2011" s="1334" t="str">
        <f t="shared" si="288"/>
        <v>-</v>
      </c>
      <c r="E2011" s="1359">
        <f t="shared" si="288"/>
        <v>0</v>
      </c>
      <c r="F2011" s="1437">
        <f t="shared" si="282"/>
        <v>1.6232788</v>
      </c>
      <c r="G2011" s="1437">
        <f t="shared" si="283"/>
        <v>1.6232788</v>
      </c>
      <c r="H2011" s="1437">
        <f t="shared" si="284"/>
        <v>0</v>
      </c>
      <c r="I2011" s="1437">
        <v>0</v>
      </c>
      <c r="J2011" s="1437">
        <v>0</v>
      </c>
      <c r="K2011" s="1438"/>
      <c r="L2011" s="1438"/>
      <c r="M2011" s="1437">
        <f t="shared" si="285"/>
        <v>0</v>
      </c>
      <c r="N2011" s="1437">
        <f t="shared" si="286"/>
        <v>0</v>
      </c>
    </row>
    <row r="2012" spans="1:14" ht="15.5" outlineLevel="1">
      <c r="A2012" s="1504">
        <f t="shared" si="288"/>
        <v>2</v>
      </c>
      <c r="B2012" s="1497" t="str">
        <f t="shared" si="288"/>
        <v>Supply of various drive and non drive pulleys for CHP U-8.</v>
      </c>
      <c r="C2012" s="1492" t="str">
        <f t="shared" si="288"/>
        <v>Add Cap (As per 296 of 2019)</v>
      </c>
      <c r="D2012" s="1334" t="str">
        <f t="shared" si="288"/>
        <v>-</v>
      </c>
      <c r="E2012" s="1368">
        <f t="shared" si="288"/>
        <v>0</v>
      </c>
      <c r="F2012" s="1437">
        <f t="shared" si="282"/>
        <v>0.54529209999999995</v>
      </c>
      <c r="G2012" s="1437">
        <f t="shared" si="283"/>
        <v>0.54529209999999995</v>
      </c>
      <c r="H2012" s="1437">
        <f t="shared" si="284"/>
        <v>0</v>
      </c>
      <c r="I2012" s="1437">
        <v>0</v>
      </c>
      <c r="J2012" s="1437">
        <v>0</v>
      </c>
      <c r="K2012" s="1438"/>
      <c r="L2012" s="1438"/>
      <c r="M2012" s="1437">
        <f t="shared" si="285"/>
        <v>0</v>
      </c>
      <c r="N2012" s="1437">
        <f t="shared" si="286"/>
        <v>0</v>
      </c>
    </row>
    <row r="2013" spans="1:14" ht="31" outlineLevel="1">
      <c r="A2013" s="1504">
        <f t="shared" si="288"/>
        <v>3</v>
      </c>
      <c r="B2013" s="1497" t="str">
        <f t="shared" si="288"/>
        <v>Supply and installation of clamp pads &amp; resting pads for Side Beam of Wagon Tippler for CHP U-8</v>
      </c>
      <c r="C2013" s="1492" t="str">
        <f t="shared" si="288"/>
        <v>Add Cap (As per 296 of 2019)</v>
      </c>
      <c r="D2013" s="1334" t="str">
        <f t="shared" si="288"/>
        <v>-</v>
      </c>
      <c r="E2013" s="1368">
        <f t="shared" si="288"/>
        <v>0</v>
      </c>
      <c r="F2013" s="1437">
        <f t="shared" si="282"/>
        <v>0.54801796000000003</v>
      </c>
      <c r="G2013" s="1437">
        <f t="shared" si="283"/>
        <v>0.54801796000000003</v>
      </c>
      <c r="H2013" s="1437">
        <f t="shared" si="284"/>
        <v>0</v>
      </c>
      <c r="I2013" s="1437">
        <v>0</v>
      </c>
      <c r="J2013" s="1437">
        <v>0</v>
      </c>
      <c r="K2013" s="1438"/>
      <c r="L2013" s="1438"/>
      <c r="M2013" s="1437">
        <f t="shared" si="285"/>
        <v>0</v>
      </c>
      <c r="N2013" s="1437">
        <f t="shared" si="286"/>
        <v>0</v>
      </c>
    </row>
    <row r="2014" spans="1:14" ht="31" outlineLevel="1">
      <c r="A2014" s="1504">
        <f t="shared" si="288"/>
        <v>4</v>
      </c>
      <c r="B2014" s="1497" t="str">
        <f t="shared" si="288"/>
        <v>Supply of unbalance motorozied vibrating feeder for S/R of U-7/8 CHP NPTPS Parli-V.</v>
      </c>
      <c r="C2014" s="1492" t="str">
        <f t="shared" si="288"/>
        <v>Add Cap (As per 296 of 2019)</v>
      </c>
      <c r="D2014" s="1334" t="str">
        <f t="shared" si="288"/>
        <v>-</v>
      </c>
      <c r="E2014" s="1318">
        <f t="shared" si="288"/>
        <v>0</v>
      </c>
      <c r="F2014" s="1437">
        <f t="shared" si="282"/>
        <v>0.39579560000000003</v>
      </c>
      <c r="G2014" s="1437">
        <f t="shared" si="283"/>
        <v>0.39579560000000003</v>
      </c>
      <c r="H2014" s="1437">
        <f t="shared" si="284"/>
        <v>0</v>
      </c>
      <c r="I2014" s="1437">
        <v>0</v>
      </c>
      <c r="J2014" s="1437">
        <v>0</v>
      </c>
      <c r="K2014" s="1438"/>
      <c r="L2014" s="1438"/>
      <c r="M2014" s="1437">
        <f t="shared" si="285"/>
        <v>0</v>
      </c>
      <c r="N2014" s="1437">
        <f t="shared" si="286"/>
        <v>0</v>
      </c>
    </row>
    <row r="2015" spans="1:14" ht="31" outlineLevel="1">
      <c r="A2015" s="1504">
        <f t="shared" si="288"/>
        <v>5</v>
      </c>
      <c r="B2015" s="1501" t="str">
        <f t="shared" si="288"/>
        <v>Procurement of conveying and Instrument air compressor spares at AHP U#8</v>
      </c>
      <c r="C2015" s="1492" t="str">
        <f t="shared" si="288"/>
        <v>Add Cap (As per 296 of 2019)</v>
      </c>
      <c r="D2015" s="1334" t="str">
        <f t="shared" si="288"/>
        <v>-</v>
      </c>
      <c r="E2015" s="1359">
        <f t="shared" si="288"/>
        <v>0</v>
      </c>
      <c r="F2015" s="1437">
        <f t="shared" si="282"/>
        <v>1.769983804</v>
      </c>
      <c r="G2015" s="1437">
        <f t="shared" si="283"/>
        <v>1.769983804</v>
      </c>
      <c r="H2015" s="1437">
        <f t="shared" si="284"/>
        <v>0</v>
      </c>
      <c r="I2015" s="1437">
        <v>0</v>
      </c>
      <c r="J2015" s="1437">
        <v>0</v>
      </c>
      <c r="K2015" s="1438"/>
      <c r="L2015" s="1438"/>
      <c r="M2015" s="1437">
        <f t="shared" si="285"/>
        <v>0</v>
      </c>
      <c r="N2015" s="1437">
        <f t="shared" si="286"/>
        <v>0</v>
      </c>
    </row>
    <row r="2016" spans="1:14" ht="15.5" outlineLevel="1">
      <c r="A2016" s="1504">
        <f t="shared" si="288"/>
        <v>6</v>
      </c>
      <c r="B2016" s="1501" t="str">
        <f t="shared" si="288"/>
        <v>Procurement of vacuum pump spares at AHP U#8</v>
      </c>
      <c r="C2016" s="1492" t="str">
        <f t="shared" si="288"/>
        <v>Add Cap (As per 296 of 2019)</v>
      </c>
      <c r="D2016" s="1334" t="str">
        <f t="shared" si="288"/>
        <v>-</v>
      </c>
      <c r="E2016" s="1368">
        <f t="shared" si="288"/>
        <v>0</v>
      </c>
      <c r="F2016" s="1437">
        <f t="shared" si="282"/>
        <v>0.229104904</v>
      </c>
      <c r="G2016" s="1437">
        <f t="shared" si="283"/>
        <v>0.229104904</v>
      </c>
      <c r="H2016" s="1437">
        <f t="shared" si="284"/>
        <v>0</v>
      </c>
      <c r="I2016" s="1437">
        <v>0</v>
      </c>
      <c r="J2016" s="1437">
        <v>0</v>
      </c>
      <c r="K2016" s="1438"/>
      <c r="L2016" s="1438"/>
      <c r="M2016" s="1437">
        <f t="shared" si="285"/>
        <v>0</v>
      </c>
      <c r="N2016" s="1437">
        <f t="shared" si="286"/>
        <v>0</v>
      </c>
    </row>
    <row r="2017" spans="1:14" ht="15.5" outlineLevel="1">
      <c r="A2017" s="1504">
        <f t="shared" si="288"/>
        <v>7</v>
      </c>
      <c r="B2017" s="1501" t="str">
        <f t="shared" si="288"/>
        <v>Procurement of fluidizing blower spares at AHP U#8</v>
      </c>
      <c r="C2017" s="1492" t="str">
        <f t="shared" si="288"/>
        <v>Add Cap (As per 296 of 2019)</v>
      </c>
      <c r="D2017" s="1334" t="str">
        <f t="shared" si="288"/>
        <v>-</v>
      </c>
      <c r="E2017" s="1359">
        <f t="shared" si="288"/>
        <v>0</v>
      </c>
      <c r="F2017" s="1437">
        <f t="shared" si="282"/>
        <v>0.11795988</v>
      </c>
      <c r="G2017" s="1437">
        <f t="shared" si="283"/>
        <v>0.11795988</v>
      </c>
      <c r="H2017" s="1437">
        <f t="shared" si="284"/>
        <v>0</v>
      </c>
      <c r="I2017" s="1437">
        <v>0</v>
      </c>
      <c r="J2017" s="1437">
        <v>0</v>
      </c>
      <c r="K2017" s="1438"/>
      <c r="L2017" s="1438"/>
      <c r="M2017" s="1437">
        <f t="shared" si="285"/>
        <v>0</v>
      </c>
      <c r="N2017" s="1437">
        <f t="shared" si="286"/>
        <v>0</v>
      </c>
    </row>
    <row r="2018" spans="1:14" ht="15.5" outlineLevel="1">
      <c r="A2018" s="1504">
        <f t="shared" si="288"/>
        <v>8</v>
      </c>
      <c r="B2018" s="1501" t="str">
        <f t="shared" si="288"/>
        <v>Procurement of slurry pump spares at AHP U#8</v>
      </c>
      <c r="C2018" s="1492" t="str">
        <f t="shared" si="288"/>
        <v>Add Cap (As per 296 of 2019)</v>
      </c>
      <c r="D2018" s="1334" t="str">
        <f t="shared" si="288"/>
        <v>-</v>
      </c>
      <c r="E2018" s="1368">
        <f t="shared" si="288"/>
        <v>0</v>
      </c>
      <c r="F2018" s="1437">
        <f t="shared" si="282"/>
        <v>0</v>
      </c>
      <c r="G2018" s="1437">
        <f t="shared" si="283"/>
        <v>0</v>
      </c>
      <c r="H2018" s="1437">
        <f t="shared" si="284"/>
        <v>0</v>
      </c>
      <c r="I2018" s="1437">
        <v>0</v>
      </c>
      <c r="J2018" s="1437">
        <v>0</v>
      </c>
      <c r="K2018" s="1438"/>
      <c r="L2018" s="1438"/>
      <c r="M2018" s="1437">
        <f t="shared" si="285"/>
        <v>0</v>
      </c>
      <c r="N2018" s="1437">
        <f t="shared" si="286"/>
        <v>0</v>
      </c>
    </row>
    <row r="2019" spans="1:14" ht="15.5" outlineLevel="1">
      <c r="A2019" s="1504">
        <f t="shared" si="288"/>
        <v>9</v>
      </c>
      <c r="B2019" s="1501" t="str">
        <f t="shared" si="288"/>
        <v>Procurement of Clinker grinder spares at AHP U#8</v>
      </c>
      <c r="C2019" s="1492" t="str">
        <f t="shared" si="288"/>
        <v>Add Cap (As per 296 of 2019)</v>
      </c>
      <c r="D2019" s="1334" t="str">
        <f t="shared" si="288"/>
        <v>-</v>
      </c>
      <c r="E2019" s="1368">
        <f t="shared" si="288"/>
        <v>0</v>
      </c>
      <c r="F2019" s="1437">
        <f t="shared" si="282"/>
        <v>0.1233369</v>
      </c>
      <c r="G2019" s="1437">
        <f t="shared" si="283"/>
        <v>0.1233369</v>
      </c>
      <c r="H2019" s="1437">
        <f t="shared" si="284"/>
        <v>0</v>
      </c>
      <c r="I2019" s="1437">
        <v>0</v>
      </c>
      <c r="J2019" s="1437">
        <v>0</v>
      </c>
      <c r="K2019" s="1438"/>
      <c r="L2019" s="1438"/>
      <c r="M2019" s="1437">
        <f t="shared" si="285"/>
        <v>0</v>
      </c>
      <c r="N2019" s="1437">
        <f t="shared" si="286"/>
        <v>0</v>
      </c>
    </row>
    <row r="2020" spans="1:14" outlineLevel="1">
      <c r="A2020" s="1505">
        <f t="shared" si="288"/>
        <v>0</v>
      </c>
      <c r="B2020" s="1506">
        <f t="shared" si="288"/>
        <v>0</v>
      </c>
      <c r="C2020" s="1507">
        <f t="shared" si="288"/>
        <v>0</v>
      </c>
      <c r="D2020" s="1508" t="str">
        <f t="shared" si="288"/>
        <v>-</v>
      </c>
      <c r="E2020" s="1359">
        <f t="shared" si="288"/>
        <v>0</v>
      </c>
      <c r="F2020" s="1437">
        <f t="shared" si="282"/>
        <v>0</v>
      </c>
      <c r="G2020" s="1437">
        <f t="shared" si="283"/>
        <v>0</v>
      </c>
      <c r="H2020" s="1437">
        <f t="shared" si="284"/>
        <v>0</v>
      </c>
      <c r="I2020" s="1437">
        <v>0</v>
      </c>
      <c r="J2020" s="1437">
        <v>0</v>
      </c>
      <c r="K2020" s="1438"/>
      <c r="L2020" s="1438"/>
      <c r="M2020" s="1437">
        <f t="shared" si="285"/>
        <v>0</v>
      </c>
      <c r="N2020" s="1437">
        <f t="shared" si="286"/>
        <v>0</v>
      </c>
    </row>
    <row r="2021" spans="1:14" ht="31" outlineLevel="1">
      <c r="A2021" s="1493" t="str">
        <f t="shared" ref="A2021:E2036" si="289">A1628</f>
        <v>B</v>
      </c>
      <c r="B2021" s="1494" t="str">
        <f t="shared" si="289"/>
        <v>Reassessment of remaining BOP work after insolvency of M/s Sunil Hi-Tech</v>
      </c>
      <c r="C2021" s="1495">
        <f t="shared" si="289"/>
        <v>0</v>
      </c>
      <c r="D2021" s="1341" t="str">
        <f t="shared" si="289"/>
        <v>-</v>
      </c>
      <c r="E2021" s="1496">
        <f t="shared" si="289"/>
        <v>0</v>
      </c>
      <c r="F2021" s="1437">
        <f t="shared" si="282"/>
        <v>0</v>
      </c>
      <c r="G2021" s="1437">
        <f t="shared" si="283"/>
        <v>0</v>
      </c>
      <c r="H2021" s="1437">
        <f t="shared" si="284"/>
        <v>0</v>
      </c>
      <c r="I2021" s="1437">
        <v>0</v>
      </c>
      <c r="J2021" s="1437">
        <v>0</v>
      </c>
      <c r="K2021" s="1438"/>
      <c r="L2021" s="1438"/>
      <c r="M2021" s="1437">
        <f t="shared" si="285"/>
        <v>0</v>
      </c>
      <c r="N2021" s="1437">
        <f t="shared" si="286"/>
        <v>0</v>
      </c>
    </row>
    <row r="2022" spans="1:14" ht="31" outlineLevel="1">
      <c r="A2022" s="1493">
        <f t="shared" si="289"/>
        <v>0</v>
      </c>
      <c r="B2022" s="1494" t="str">
        <f t="shared" si="289"/>
        <v>Project balance E&amp;M  and procurement of mandetory spares</v>
      </c>
      <c r="C2022" s="1495" t="str">
        <f t="shared" si="289"/>
        <v>MERC CAPEX Approval in MTR Order 296 of 2019</v>
      </c>
      <c r="D2022" s="1341" t="str">
        <f t="shared" si="289"/>
        <v>Order 296 of 2019</v>
      </c>
      <c r="E2022" s="1509">
        <f t="shared" si="289"/>
        <v>41.453400000000002</v>
      </c>
      <c r="F2022" s="1437">
        <f t="shared" si="282"/>
        <v>0</v>
      </c>
      <c r="G2022" s="1437">
        <f t="shared" si="283"/>
        <v>0</v>
      </c>
      <c r="H2022" s="1437">
        <f t="shared" si="284"/>
        <v>0</v>
      </c>
      <c r="I2022" s="1437">
        <v>0</v>
      </c>
      <c r="J2022" s="1437">
        <v>0</v>
      </c>
      <c r="K2022" s="1438"/>
      <c r="L2022" s="1438"/>
      <c r="M2022" s="1437">
        <f t="shared" si="285"/>
        <v>0</v>
      </c>
      <c r="N2022" s="1437">
        <f t="shared" si="286"/>
        <v>0</v>
      </c>
    </row>
    <row r="2023" spans="1:14" ht="43.5" outlineLevel="1">
      <c r="A2023" s="1499">
        <f t="shared" si="289"/>
        <v>1</v>
      </c>
      <c r="B2023" s="1510" t="str">
        <f t="shared" si="289"/>
        <v>Work order for Contract of Supply and application of Fire Stop Mortar Seal and Fire Retardant Cable Coating Compound at NPTP U-8 Parli Project</v>
      </c>
      <c r="C2023" s="1511" t="str">
        <f t="shared" si="289"/>
        <v>MERC CAPEX Approval in MTR Order 296 of 2019</v>
      </c>
      <c r="D2023" s="1334" t="str">
        <f t="shared" si="289"/>
        <v>-</v>
      </c>
      <c r="E2023" s="1430">
        <f t="shared" si="289"/>
        <v>0</v>
      </c>
      <c r="F2023" s="1437">
        <f t="shared" si="282"/>
        <v>3.4589155919999999</v>
      </c>
      <c r="G2023" s="1437">
        <f t="shared" si="283"/>
        <v>3.4589155919999999</v>
      </c>
      <c r="H2023" s="1437">
        <f t="shared" si="284"/>
        <v>0</v>
      </c>
      <c r="I2023" s="1437">
        <v>0</v>
      </c>
      <c r="J2023" s="1437">
        <v>0</v>
      </c>
      <c r="K2023" s="1438"/>
      <c r="L2023" s="1438"/>
      <c r="M2023" s="1437">
        <f t="shared" si="285"/>
        <v>0</v>
      </c>
      <c r="N2023" s="1437">
        <f t="shared" si="286"/>
        <v>0</v>
      </c>
    </row>
    <row r="2024" spans="1:14" ht="29" outlineLevel="1">
      <c r="A2024" s="1499">
        <f t="shared" si="289"/>
        <v>2</v>
      </c>
      <c r="B2024" s="1510" t="str">
        <f t="shared" si="289"/>
        <v>Work order for contract for Supply Installaion Testing &amp; Commissioning Smoke Detection &amp; alaram system</v>
      </c>
      <c r="C2024" s="1511" t="str">
        <f t="shared" si="289"/>
        <v>MERC CAPEX Approval in MTR Order 296 of 2019</v>
      </c>
      <c r="D2024" s="1334" t="str">
        <f t="shared" si="289"/>
        <v>-</v>
      </c>
      <c r="E2024" s="1430">
        <f t="shared" si="289"/>
        <v>0</v>
      </c>
      <c r="F2024" s="1437">
        <f t="shared" si="282"/>
        <v>2.5606</v>
      </c>
      <c r="G2024" s="1437">
        <f t="shared" si="283"/>
        <v>2.5606</v>
      </c>
      <c r="H2024" s="1437">
        <f t="shared" si="284"/>
        <v>0</v>
      </c>
      <c r="I2024" s="1437">
        <v>0</v>
      </c>
      <c r="J2024" s="1437">
        <v>0</v>
      </c>
      <c r="K2024" s="1438"/>
      <c r="L2024" s="1438"/>
      <c r="M2024" s="1437">
        <f t="shared" si="285"/>
        <v>0</v>
      </c>
      <c r="N2024" s="1437">
        <f t="shared" si="286"/>
        <v>0</v>
      </c>
    </row>
    <row r="2025" spans="1:14" ht="43.5" outlineLevel="1">
      <c r="A2025" s="1499">
        <f t="shared" si="289"/>
        <v>3</v>
      </c>
      <c r="B2025" s="1510" t="str">
        <f t="shared" si="289"/>
        <v>Work order for contract for Supply Installaion Testing &amp; Commissioning of Balance Fire Fighting System at NPTP U-8 Parli Project</v>
      </c>
      <c r="C2025" s="1511" t="str">
        <f t="shared" si="289"/>
        <v>MERC CAPEX Approval in MTR Order 296 of 2019</v>
      </c>
      <c r="D2025" s="1334" t="str">
        <f t="shared" si="289"/>
        <v>-</v>
      </c>
      <c r="E2025" s="1430">
        <f t="shared" si="289"/>
        <v>0</v>
      </c>
      <c r="F2025" s="1437">
        <f t="shared" si="282"/>
        <v>1.0502</v>
      </c>
      <c r="G2025" s="1437">
        <f t="shared" si="283"/>
        <v>1.0502</v>
      </c>
      <c r="H2025" s="1437">
        <f t="shared" si="284"/>
        <v>0</v>
      </c>
      <c r="I2025" s="1437">
        <v>0</v>
      </c>
      <c r="J2025" s="1437">
        <v>0</v>
      </c>
      <c r="K2025" s="1438"/>
      <c r="L2025" s="1438"/>
      <c r="M2025" s="1437">
        <f t="shared" si="285"/>
        <v>0</v>
      </c>
      <c r="N2025" s="1437">
        <f t="shared" si="286"/>
        <v>0</v>
      </c>
    </row>
    <row r="2026" spans="1:14" ht="58" outlineLevel="1">
      <c r="A2026" s="1499">
        <f t="shared" si="289"/>
        <v>4</v>
      </c>
      <c r="B2026" s="1510" t="str">
        <f t="shared" si="289"/>
        <v>Supply, Errection, testing &amp; commissioning works of RWP, PT potable chlorination system, ETP system control panel, automation of LDO, HFO tank foam system Hose boxes with RRL hoses and branch pipe and allied system at NPTP</v>
      </c>
      <c r="C2026" s="1511" t="str">
        <f t="shared" si="289"/>
        <v>MERC CAPEX Approval in MTR Order 296 of 2019</v>
      </c>
      <c r="D2026" s="1334" t="str">
        <f t="shared" si="289"/>
        <v>-</v>
      </c>
      <c r="E2026" s="1430">
        <f t="shared" si="289"/>
        <v>0</v>
      </c>
      <c r="F2026" s="1437">
        <f t="shared" si="282"/>
        <v>0.84960000000000002</v>
      </c>
      <c r="G2026" s="1437">
        <f t="shared" si="283"/>
        <v>0.84960000000000002</v>
      </c>
      <c r="H2026" s="1437">
        <f t="shared" si="284"/>
        <v>0</v>
      </c>
      <c r="I2026" s="1437">
        <v>0</v>
      </c>
      <c r="J2026" s="1437">
        <v>0</v>
      </c>
      <c r="K2026" s="1438"/>
      <c r="L2026" s="1438"/>
      <c r="M2026" s="1437">
        <f t="shared" si="285"/>
        <v>0</v>
      </c>
      <c r="N2026" s="1437">
        <f t="shared" si="286"/>
        <v>0</v>
      </c>
    </row>
    <row r="2027" spans="1:14" ht="43.5" outlineLevel="1">
      <c r="A2027" s="1499">
        <f t="shared" si="289"/>
        <v>5</v>
      </c>
      <c r="B2027" s="1510" t="str">
        <f t="shared" si="289"/>
        <v xml:space="preserve">Work Order contract for supply, installation Testing &amp; Commissioning of telephone exchange (EPBAX) &amp; Telephone System at NPTP U-8 Parli project  </v>
      </c>
      <c r="C2027" s="1511" t="str">
        <f t="shared" si="289"/>
        <v>MERC CAPEX Approval in MTR Order 296 of 2019</v>
      </c>
      <c r="D2027" s="1334" t="str">
        <f t="shared" si="289"/>
        <v>-</v>
      </c>
      <c r="E2027" s="1430">
        <f t="shared" si="289"/>
        <v>0</v>
      </c>
      <c r="F2027" s="1437">
        <f t="shared" si="282"/>
        <v>0.91256150000000003</v>
      </c>
      <c r="G2027" s="1437">
        <f t="shared" si="283"/>
        <v>0.91256150000000003</v>
      </c>
      <c r="H2027" s="1437">
        <f t="shared" si="284"/>
        <v>0</v>
      </c>
      <c r="I2027" s="1437">
        <v>0</v>
      </c>
      <c r="J2027" s="1437">
        <v>0</v>
      </c>
      <c r="K2027" s="1438"/>
      <c r="L2027" s="1438"/>
      <c r="M2027" s="1437">
        <f t="shared" si="285"/>
        <v>0</v>
      </c>
      <c r="N2027" s="1437">
        <f t="shared" si="286"/>
        <v>0</v>
      </c>
    </row>
    <row r="2028" spans="1:14" ht="29" outlineLevel="1">
      <c r="A2028" s="1499">
        <f t="shared" si="289"/>
        <v>6</v>
      </c>
      <c r="B2028" s="1510" t="str">
        <f t="shared" si="289"/>
        <v>Balance Supply of Electrical Lab Equipment  at NPTP parli-V</v>
      </c>
      <c r="C2028" s="1511" t="str">
        <f t="shared" si="289"/>
        <v>MERC CAPEX Approval in MTR Order 296 of 2019</v>
      </c>
      <c r="D2028" s="1334" t="str">
        <f t="shared" si="289"/>
        <v>-</v>
      </c>
      <c r="E2028" s="1430">
        <f t="shared" si="289"/>
        <v>0</v>
      </c>
      <c r="F2028" s="1437">
        <f t="shared" si="282"/>
        <v>0.60826469999999999</v>
      </c>
      <c r="G2028" s="1437">
        <f t="shared" si="283"/>
        <v>0.60826469999999999</v>
      </c>
      <c r="H2028" s="1437">
        <f t="shared" si="284"/>
        <v>0</v>
      </c>
      <c r="I2028" s="1437">
        <v>0</v>
      </c>
      <c r="J2028" s="1437">
        <v>0</v>
      </c>
      <c r="K2028" s="1438"/>
      <c r="L2028" s="1438"/>
      <c r="M2028" s="1437">
        <f t="shared" si="285"/>
        <v>0</v>
      </c>
      <c r="N2028" s="1437">
        <f t="shared" si="286"/>
        <v>0</v>
      </c>
    </row>
    <row r="2029" spans="1:14" ht="43.5" outlineLevel="1">
      <c r="A2029" s="1499">
        <f t="shared" si="289"/>
        <v>7</v>
      </c>
      <c r="B2029" s="1510" t="str">
        <f t="shared" si="289"/>
        <v>Work order for contract for Supply Installaion Testing &amp; Commissioning with required material to complete  Balance CHP work at NPTP U-8 Parli Project</v>
      </c>
      <c r="C2029" s="1511" t="str">
        <f t="shared" si="289"/>
        <v>MERC CAPEX Approval in MTR Order 296 of 2019</v>
      </c>
      <c r="D2029" s="1334" t="str">
        <f t="shared" si="289"/>
        <v>-</v>
      </c>
      <c r="E2029" s="1430">
        <f t="shared" si="289"/>
        <v>0</v>
      </c>
      <c r="F2029" s="1437">
        <f t="shared" si="282"/>
        <v>0.41</v>
      </c>
      <c r="G2029" s="1437">
        <f t="shared" si="283"/>
        <v>0.41</v>
      </c>
      <c r="H2029" s="1437">
        <f t="shared" si="284"/>
        <v>0</v>
      </c>
      <c r="I2029" s="1437">
        <v>0</v>
      </c>
      <c r="J2029" s="1437">
        <v>0</v>
      </c>
      <c r="K2029" s="1438"/>
      <c r="L2029" s="1438"/>
      <c r="M2029" s="1437">
        <f t="shared" si="285"/>
        <v>0</v>
      </c>
      <c r="N2029" s="1437">
        <f t="shared" si="286"/>
        <v>0</v>
      </c>
    </row>
    <row r="2030" spans="1:14" ht="43.5" outlineLevel="1">
      <c r="A2030" s="1499">
        <f t="shared" si="289"/>
        <v>8</v>
      </c>
      <c r="B2030" s="1510" t="str">
        <f t="shared" si="289"/>
        <v>Supply, Errection, testing &amp; commissioning of Interconnecting Conveyor no.9 &amp; 10 from U-8 to U-6&amp;7 of CHP at NPTP U-8, Parli-V</v>
      </c>
      <c r="C2030" s="1511" t="str">
        <f t="shared" si="289"/>
        <v>MERC CAPEX Approval in MTR Order 296 of 2019</v>
      </c>
      <c r="D2030" s="1334" t="str">
        <f t="shared" si="289"/>
        <v>-</v>
      </c>
      <c r="E2030" s="1430">
        <f t="shared" si="289"/>
        <v>0</v>
      </c>
      <c r="F2030" s="1437">
        <f t="shared" si="282"/>
        <v>5.3318899999999996</v>
      </c>
      <c r="G2030" s="1437">
        <f t="shared" si="283"/>
        <v>5.3262307</v>
      </c>
      <c r="H2030" s="1437">
        <f t="shared" si="284"/>
        <v>5.6592999999995897E-3</v>
      </c>
      <c r="I2030" s="1437">
        <v>0</v>
      </c>
      <c r="J2030" s="1437">
        <v>0</v>
      </c>
      <c r="K2030" s="1438"/>
      <c r="L2030" s="1438"/>
      <c r="M2030" s="1437">
        <f t="shared" si="285"/>
        <v>0</v>
      </c>
      <c r="N2030" s="1437">
        <f t="shared" si="286"/>
        <v>5.6592999999995897E-3</v>
      </c>
    </row>
    <row r="2031" spans="1:14" ht="29" outlineLevel="1">
      <c r="A2031" s="1499">
        <f t="shared" si="289"/>
        <v>9</v>
      </c>
      <c r="B2031" s="1510" t="str">
        <f t="shared" si="289"/>
        <v>SUPPLY ,INSTA,TEST ,COMM ELECTRICAL SYS</v>
      </c>
      <c r="C2031" s="1511" t="str">
        <f t="shared" si="289"/>
        <v>MERC CAPEX Approval in MTR Order 296 of 2019</v>
      </c>
      <c r="D2031" s="1334" t="str">
        <f t="shared" si="289"/>
        <v>-</v>
      </c>
      <c r="E2031" s="1430">
        <f t="shared" si="289"/>
        <v>0</v>
      </c>
      <c r="F2031" s="1437">
        <f t="shared" si="282"/>
        <v>0</v>
      </c>
      <c r="G2031" s="1437">
        <f t="shared" si="283"/>
        <v>0</v>
      </c>
      <c r="H2031" s="1437">
        <f t="shared" si="284"/>
        <v>0</v>
      </c>
      <c r="I2031" s="1437">
        <v>0</v>
      </c>
      <c r="J2031" s="1437">
        <v>0</v>
      </c>
      <c r="K2031" s="1438"/>
      <c r="L2031" s="1438"/>
      <c r="M2031" s="1437">
        <f t="shared" si="285"/>
        <v>0</v>
      </c>
      <c r="N2031" s="1437">
        <f t="shared" si="286"/>
        <v>0</v>
      </c>
    </row>
    <row r="2032" spans="1:14" ht="29" outlineLevel="1">
      <c r="A2032" s="1499">
        <f t="shared" si="289"/>
        <v>10</v>
      </c>
      <c r="B2032" s="1510" t="str">
        <f t="shared" si="289"/>
        <v>SUPPLY,INSTAL,TEST,COMM OF  CRANS&amp;HOIST</v>
      </c>
      <c r="C2032" s="1511" t="str">
        <f t="shared" si="289"/>
        <v>MERC CAPEX Approval in MTR Order 296 of 2019</v>
      </c>
      <c r="D2032" s="1334" t="str">
        <f t="shared" si="289"/>
        <v>-</v>
      </c>
      <c r="E2032" s="1430">
        <f t="shared" si="289"/>
        <v>0</v>
      </c>
      <c r="F2032" s="1437">
        <f t="shared" si="282"/>
        <v>1.8104819999999999</v>
      </c>
      <c r="G2032" s="1437">
        <f t="shared" si="283"/>
        <v>3.6223049999999999</v>
      </c>
      <c r="H2032" s="1437">
        <f t="shared" si="284"/>
        <v>-1.811823</v>
      </c>
      <c r="I2032" s="1437">
        <v>0</v>
      </c>
      <c r="J2032" s="1437">
        <v>0</v>
      </c>
      <c r="K2032" s="1438"/>
      <c r="L2032" s="1438"/>
      <c r="M2032" s="1437">
        <f t="shared" si="285"/>
        <v>0</v>
      </c>
      <c r="N2032" s="1437">
        <f t="shared" si="286"/>
        <v>-1.811823</v>
      </c>
    </row>
    <row r="2033" spans="1:14" ht="29" outlineLevel="1">
      <c r="A2033" s="1499">
        <f t="shared" si="289"/>
        <v>11</v>
      </c>
      <c r="B2033" s="1510" t="str">
        <f t="shared" si="289"/>
        <v>Supply, Errection, testing &amp; commissioning of Dust Extraction system at NPTP U-8, Parli-V</v>
      </c>
      <c r="C2033" s="1511" t="str">
        <f t="shared" si="289"/>
        <v>MERC CAPEX Approval in MTR Order 296 of 2019</v>
      </c>
      <c r="D2033" s="1334" t="str">
        <f t="shared" si="289"/>
        <v>-</v>
      </c>
      <c r="E2033" s="1430">
        <f t="shared" si="289"/>
        <v>0</v>
      </c>
      <c r="F2033" s="1437">
        <f t="shared" si="282"/>
        <v>1.8060844</v>
      </c>
      <c r="G2033" s="1437">
        <f t="shared" si="283"/>
        <v>0</v>
      </c>
      <c r="H2033" s="1437">
        <f t="shared" si="284"/>
        <v>1.8060844</v>
      </c>
      <c r="I2033" s="1437">
        <v>0</v>
      </c>
      <c r="J2033" s="1437">
        <v>0</v>
      </c>
      <c r="K2033" s="1438"/>
      <c r="L2033" s="1438"/>
      <c r="M2033" s="1437">
        <f t="shared" si="285"/>
        <v>0</v>
      </c>
      <c r="N2033" s="1437">
        <f t="shared" si="286"/>
        <v>1.8060844</v>
      </c>
    </row>
    <row r="2034" spans="1:14" ht="29" outlineLevel="1">
      <c r="A2034" s="1499">
        <f t="shared" si="289"/>
        <v>12</v>
      </c>
      <c r="B2034" s="1510" t="str">
        <f t="shared" si="289"/>
        <v>Supply, Errection, testing &amp; commissioning of DSS &amp; DFDS at NPTP U-8, Parli-V</v>
      </c>
      <c r="C2034" s="1511" t="str">
        <f t="shared" si="289"/>
        <v>MERC CAPEX Approval in MTR Order 296 of 2019</v>
      </c>
      <c r="D2034" s="1334" t="str">
        <f t="shared" si="289"/>
        <v>-</v>
      </c>
      <c r="E2034" s="1430">
        <f t="shared" si="289"/>
        <v>0</v>
      </c>
      <c r="F2034" s="1437">
        <f t="shared" si="282"/>
        <v>4.3391143999999997</v>
      </c>
      <c r="G2034" s="1437">
        <f t="shared" si="283"/>
        <v>4.34</v>
      </c>
      <c r="H2034" s="1437">
        <f t="shared" si="284"/>
        <v>-8.8560000000015293E-4</v>
      </c>
      <c r="I2034" s="1437">
        <v>0</v>
      </c>
      <c r="J2034" s="1437">
        <v>0</v>
      </c>
      <c r="K2034" s="1438"/>
      <c r="L2034" s="1438"/>
      <c r="M2034" s="1437">
        <f t="shared" si="285"/>
        <v>0</v>
      </c>
      <c r="N2034" s="1437">
        <f t="shared" si="286"/>
        <v>-8.8560000000015293E-4</v>
      </c>
    </row>
    <row r="2035" spans="1:14" ht="29" outlineLevel="1">
      <c r="A2035" s="1499">
        <f t="shared" si="289"/>
        <v>13</v>
      </c>
      <c r="B2035" s="1510" t="str">
        <f t="shared" si="289"/>
        <v>Supply, Errection, testing &amp; commissioning of Monorail at NPTP U-8, Parli-V</v>
      </c>
      <c r="C2035" s="1511" t="str">
        <f t="shared" si="289"/>
        <v>MERC CAPEX Approval in MTR Order 296 of 2019</v>
      </c>
      <c r="D2035" s="1334" t="str">
        <f t="shared" si="289"/>
        <v>-</v>
      </c>
      <c r="E2035" s="1430">
        <f t="shared" si="289"/>
        <v>0</v>
      </c>
      <c r="F2035" s="1437">
        <f t="shared" si="282"/>
        <v>1.1891777000000001</v>
      </c>
      <c r="G2035" s="1437">
        <f t="shared" si="283"/>
        <v>1.1891</v>
      </c>
      <c r="H2035" s="1437">
        <f t="shared" si="284"/>
        <v>7.770000000006938E-5</v>
      </c>
      <c r="I2035" s="1437">
        <v>0</v>
      </c>
      <c r="J2035" s="1437">
        <v>0</v>
      </c>
      <c r="K2035" s="1438"/>
      <c r="L2035" s="1438"/>
      <c r="M2035" s="1437">
        <f t="shared" si="285"/>
        <v>0</v>
      </c>
      <c r="N2035" s="1437">
        <f t="shared" si="286"/>
        <v>7.770000000006938E-5</v>
      </c>
    </row>
    <row r="2036" spans="1:14" ht="29" outlineLevel="1">
      <c r="A2036" s="1499">
        <f t="shared" si="289"/>
        <v>14</v>
      </c>
      <c r="B2036" s="1510" t="str">
        <f t="shared" si="289"/>
        <v>Supply, Errection, testing &amp; commissioning of various Control &amp; Instrumentation equipments at NPTP U-8, Parli-V</v>
      </c>
      <c r="C2036" s="1511" t="str">
        <f t="shared" si="289"/>
        <v>MERC CAPEX Approval in MTR Order 296 of 2019</v>
      </c>
      <c r="D2036" s="1334" t="str">
        <f t="shared" si="289"/>
        <v>-</v>
      </c>
      <c r="E2036" s="1430">
        <f t="shared" si="289"/>
        <v>0</v>
      </c>
      <c r="F2036" s="1437">
        <f t="shared" si="282"/>
        <v>0.72225269999999997</v>
      </c>
      <c r="G2036" s="1437">
        <f t="shared" si="283"/>
        <v>0.72225269999999997</v>
      </c>
      <c r="H2036" s="1437">
        <f t="shared" si="284"/>
        <v>0</v>
      </c>
      <c r="I2036" s="1437">
        <v>0</v>
      </c>
      <c r="J2036" s="1437">
        <v>0</v>
      </c>
      <c r="K2036" s="1438"/>
      <c r="L2036" s="1438"/>
      <c r="M2036" s="1437">
        <f t="shared" si="285"/>
        <v>0</v>
      </c>
      <c r="N2036" s="1437">
        <f t="shared" si="286"/>
        <v>0</v>
      </c>
    </row>
    <row r="2037" spans="1:14" ht="29" outlineLevel="1">
      <c r="A2037" s="1499">
        <f t="shared" ref="A2037:E2052" si="290">A1644</f>
        <v>15</v>
      </c>
      <c r="B2037" s="1510" t="str">
        <f t="shared" si="290"/>
        <v>Supply, Errection, testing &amp; commissioning of Air Conditioning System at NPTP U-8, Parli-V</v>
      </c>
      <c r="C2037" s="1511" t="str">
        <f t="shared" si="290"/>
        <v>MERC CAPEX Approval in MTR Order 296 of 2019</v>
      </c>
      <c r="D2037" s="1334" t="str">
        <f t="shared" si="290"/>
        <v>-</v>
      </c>
      <c r="E2037" s="1430">
        <f t="shared" si="290"/>
        <v>0</v>
      </c>
      <c r="F2037" s="1437">
        <f t="shared" si="282"/>
        <v>0.15304309999999999</v>
      </c>
      <c r="G2037" s="1437">
        <f t="shared" si="283"/>
        <v>0.44729429999999998</v>
      </c>
      <c r="H2037" s="1437">
        <f t="shared" si="284"/>
        <v>-0.29425119999999999</v>
      </c>
      <c r="I2037" s="1437">
        <v>0</v>
      </c>
      <c r="J2037" s="1437">
        <v>0</v>
      </c>
      <c r="K2037" s="1438"/>
      <c r="L2037" s="1438"/>
      <c r="M2037" s="1437">
        <f t="shared" si="285"/>
        <v>0</v>
      </c>
      <c r="N2037" s="1437">
        <f t="shared" si="286"/>
        <v>-0.29425119999999999</v>
      </c>
    </row>
    <row r="2038" spans="1:14" ht="29" outlineLevel="1">
      <c r="A2038" s="1499">
        <f t="shared" si="290"/>
        <v>16</v>
      </c>
      <c r="B2038" s="1510" t="str">
        <f t="shared" si="290"/>
        <v>Supply, Errection, testing &amp; commissioning of Ventilation  System at NPTP U-8, Parli-V</v>
      </c>
      <c r="C2038" s="1511" t="str">
        <f t="shared" si="290"/>
        <v>MERC CAPEX Approval in MTR Order 296 of 2019</v>
      </c>
      <c r="D2038" s="1334" t="str">
        <f t="shared" si="290"/>
        <v>-</v>
      </c>
      <c r="E2038" s="1430">
        <f t="shared" si="290"/>
        <v>0</v>
      </c>
      <c r="F2038" s="1437">
        <f t="shared" si="282"/>
        <v>2.1135999999999999</v>
      </c>
      <c r="G2038" s="1437">
        <f t="shared" si="283"/>
        <v>1.2036</v>
      </c>
      <c r="H2038" s="1437">
        <f t="shared" si="284"/>
        <v>0.90999999999999992</v>
      </c>
      <c r="I2038" s="1437">
        <v>0</v>
      </c>
      <c r="J2038" s="1437">
        <v>0</v>
      </c>
      <c r="K2038" s="1438"/>
      <c r="L2038" s="1438"/>
      <c r="M2038" s="1437">
        <f t="shared" si="285"/>
        <v>0</v>
      </c>
      <c r="N2038" s="1437">
        <f t="shared" si="286"/>
        <v>0.90999999999999992</v>
      </c>
    </row>
    <row r="2039" spans="1:14" ht="29" outlineLevel="1">
      <c r="A2039" s="1499">
        <f t="shared" si="290"/>
        <v>17</v>
      </c>
      <c r="B2039" s="1510" t="str">
        <f t="shared" si="290"/>
        <v>Supply, Errection, testing &amp; commissioning of Elevator works.</v>
      </c>
      <c r="C2039" s="1511" t="str">
        <f t="shared" si="290"/>
        <v>MERC CAPEX Approval in MTR Order 296 of 2019</v>
      </c>
      <c r="D2039" s="1334" t="str">
        <f t="shared" si="290"/>
        <v>-</v>
      </c>
      <c r="E2039" s="1430">
        <f t="shared" si="290"/>
        <v>0</v>
      </c>
      <c r="F2039" s="1437">
        <f t="shared" si="282"/>
        <v>3.5173187000000001</v>
      </c>
      <c r="G2039" s="1437">
        <f t="shared" si="283"/>
        <v>4.4273186999999998</v>
      </c>
      <c r="H2039" s="1437">
        <f t="shared" si="284"/>
        <v>-0.9099999999999997</v>
      </c>
      <c r="I2039" s="1437">
        <v>0</v>
      </c>
      <c r="J2039" s="1437">
        <v>0</v>
      </c>
      <c r="K2039" s="1438"/>
      <c r="L2039" s="1438"/>
      <c r="M2039" s="1437">
        <f t="shared" si="285"/>
        <v>0</v>
      </c>
      <c r="N2039" s="1437">
        <f t="shared" si="286"/>
        <v>-0.9099999999999997</v>
      </c>
    </row>
    <row r="2040" spans="1:14" ht="29" outlineLevel="1">
      <c r="A2040" s="1499">
        <f t="shared" si="290"/>
        <v>18</v>
      </c>
      <c r="B2040" s="1510" t="str">
        <f t="shared" si="290"/>
        <v>Work contract for dismentaling, supply, erection &amp; commissioning of MRHS</v>
      </c>
      <c r="C2040" s="1511" t="str">
        <f t="shared" si="290"/>
        <v>MERC CAPEX Approval in MTR Order 296 of 2019</v>
      </c>
      <c r="D2040" s="1334" t="str">
        <f t="shared" si="290"/>
        <v>-</v>
      </c>
      <c r="E2040" s="1430">
        <f t="shared" si="290"/>
        <v>0</v>
      </c>
      <c r="F2040" s="1437">
        <f t="shared" ref="F2040:F2103" si="291">F1647+I1647</f>
        <v>2.2335039999999999</v>
      </c>
      <c r="G2040" s="1437">
        <f t="shared" ref="G2040:G2103" si="292">G1647+M1647</f>
        <v>2.2335039999999999</v>
      </c>
      <c r="H2040" s="1437">
        <f t="shared" ref="H2040:H2103" si="293">F2040-G2040</f>
        <v>0</v>
      </c>
      <c r="I2040" s="1437">
        <v>0</v>
      </c>
      <c r="J2040" s="1437">
        <v>0</v>
      </c>
      <c r="K2040" s="1438"/>
      <c r="L2040" s="1438"/>
      <c r="M2040" s="1437">
        <f t="shared" ref="M2040:M2100" si="294">SUM(J2040:L2040)</f>
        <v>0</v>
      </c>
      <c r="N2040" s="1437">
        <f t="shared" ref="N2040:N2103" si="295">H2040+I2040-M2040</f>
        <v>0</v>
      </c>
    </row>
    <row r="2041" spans="1:14" ht="43.5" outlineLevel="1">
      <c r="A2041" s="1499">
        <f t="shared" si="290"/>
        <v>19</v>
      </c>
      <c r="B2041" s="1510" t="str">
        <f t="shared" si="290"/>
        <v>Supply, Errection, testing &amp; commissioning of FF System, Smoke detection &amp; Fire stop mortar &amp; Fire retradant cable coating for conveyor 09 &amp; 10</v>
      </c>
      <c r="C2041" s="1511" t="str">
        <f t="shared" si="290"/>
        <v>MERC CAPEX Approval in MTR Order 296 of 2019</v>
      </c>
      <c r="D2041" s="1334" t="str">
        <f t="shared" si="290"/>
        <v>-</v>
      </c>
      <c r="E2041" s="1430">
        <f t="shared" si="290"/>
        <v>0</v>
      </c>
      <c r="F2041" s="1437">
        <f t="shared" si="291"/>
        <v>0.22170519999999999</v>
      </c>
      <c r="G2041" s="1437">
        <f t="shared" si="292"/>
        <v>0.51866310000000004</v>
      </c>
      <c r="H2041" s="1437">
        <f t="shared" si="293"/>
        <v>-0.29695790000000005</v>
      </c>
      <c r="I2041" s="1437">
        <v>0</v>
      </c>
      <c r="J2041" s="1437">
        <v>0</v>
      </c>
      <c r="K2041" s="1438"/>
      <c r="L2041" s="1438"/>
      <c r="M2041" s="1437">
        <f t="shared" si="294"/>
        <v>0</v>
      </c>
      <c r="N2041" s="1437">
        <f t="shared" si="295"/>
        <v>-0.29695790000000005</v>
      </c>
    </row>
    <row r="2042" spans="1:14" ht="29" outlineLevel="1">
      <c r="A2042" s="1499">
        <f t="shared" si="290"/>
        <v>20</v>
      </c>
      <c r="B2042" s="1510" t="str">
        <f t="shared" si="290"/>
        <v>Supply, Errection, testing &amp; commissioning of Chimney Elevator</v>
      </c>
      <c r="C2042" s="1511" t="str">
        <f t="shared" si="290"/>
        <v>MERC CAPEX Approval in MTR Order 296 of 2019</v>
      </c>
      <c r="D2042" s="1334" t="str">
        <f t="shared" si="290"/>
        <v>-</v>
      </c>
      <c r="E2042" s="1430">
        <f t="shared" si="290"/>
        <v>0</v>
      </c>
      <c r="F2042" s="1437">
        <f t="shared" si="291"/>
        <v>1.060802</v>
      </c>
      <c r="G2042" s="1437">
        <f t="shared" si="292"/>
        <v>0</v>
      </c>
      <c r="H2042" s="1437">
        <f t="shared" si="293"/>
        <v>1.060802</v>
      </c>
      <c r="I2042" s="1437">
        <v>0</v>
      </c>
      <c r="J2042" s="1437">
        <v>0</v>
      </c>
      <c r="K2042" s="1438"/>
      <c r="L2042" s="1438"/>
      <c r="M2042" s="1437">
        <f t="shared" si="294"/>
        <v>0</v>
      </c>
      <c r="N2042" s="1437">
        <f t="shared" si="295"/>
        <v>1.060802</v>
      </c>
    </row>
    <row r="2043" spans="1:14" ht="29" outlineLevel="1">
      <c r="A2043" s="1499">
        <f t="shared" si="290"/>
        <v>21</v>
      </c>
      <c r="B2043" s="1510" t="str">
        <f t="shared" si="290"/>
        <v>Supply, Errection, testing &amp; commissioning work of GEHO Pumps.</v>
      </c>
      <c r="C2043" s="1511" t="str">
        <f t="shared" si="290"/>
        <v>MERC CAPEX Approval in MTR Order 296 of 2019</v>
      </c>
      <c r="D2043" s="1334" t="str">
        <f t="shared" si="290"/>
        <v>-</v>
      </c>
      <c r="E2043" s="1430">
        <f t="shared" si="290"/>
        <v>0</v>
      </c>
      <c r="F2043" s="1437">
        <f t="shared" si="291"/>
        <v>0</v>
      </c>
      <c r="G2043" s="1437">
        <f t="shared" si="292"/>
        <v>1.06</v>
      </c>
      <c r="H2043" s="1437">
        <f t="shared" si="293"/>
        <v>-1.06</v>
      </c>
      <c r="I2043" s="1437">
        <v>0</v>
      </c>
      <c r="J2043" s="1437">
        <v>0</v>
      </c>
      <c r="K2043" s="1438"/>
      <c r="L2043" s="1438"/>
      <c r="M2043" s="1437">
        <f t="shared" si="294"/>
        <v>0</v>
      </c>
      <c r="N2043" s="1437">
        <f t="shared" si="295"/>
        <v>-1.06</v>
      </c>
    </row>
    <row r="2044" spans="1:14" ht="29" outlineLevel="1">
      <c r="A2044" s="1499">
        <f t="shared" si="290"/>
        <v>22</v>
      </c>
      <c r="B2044" s="1510" t="str">
        <f t="shared" si="290"/>
        <v>Procurement of various Mandetory spares of BOP packages</v>
      </c>
      <c r="C2044" s="1511" t="str">
        <f t="shared" si="290"/>
        <v>MERC CAPEX Approval in MTR Order 296 of 2019</v>
      </c>
      <c r="D2044" s="1334" t="str">
        <f t="shared" si="290"/>
        <v>-</v>
      </c>
      <c r="E2044" s="1430">
        <f t="shared" si="290"/>
        <v>0</v>
      </c>
      <c r="F2044" s="1437">
        <f t="shared" si="291"/>
        <v>5.47</v>
      </c>
      <c r="G2044" s="1437">
        <f t="shared" si="292"/>
        <v>6.54</v>
      </c>
      <c r="H2044" s="1437">
        <f t="shared" si="293"/>
        <v>-1.0700000000000003</v>
      </c>
      <c r="I2044" s="1437">
        <v>0</v>
      </c>
      <c r="J2044" s="1437">
        <v>0</v>
      </c>
      <c r="K2044" s="1438"/>
      <c r="L2044" s="1438"/>
      <c r="M2044" s="1437">
        <f t="shared" si="294"/>
        <v>0</v>
      </c>
      <c r="N2044" s="1437">
        <f t="shared" si="295"/>
        <v>-1.0700000000000003</v>
      </c>
    </row>
    <row r="2045" spans="1:14" ht="31" outlineLevel="1">
      <c r="A2045" s="1493">
        <f t="shared" si="290"/>
        <v>0</v>
      </c>
      <c r="B2045" s="1494" t="str">
        <f t="shared" si="290"/>
        <v>Balance civil work of BOP scope at 250 MW Parli-V</v>
      </c>
      <c r="C2045" s="1495" t="str">
        <f t="shared" si="290"/>
        <v>MERC CAPEX Approval in MTR Order 296 of 2019</v>
      </c>
      <c r="D2045" s="1341" t="str">
        <f t="shared" si="290"/>
        <v>-</v>
      </c>
      <c r="E2045" s="1509">
        <f t="shared" si="290"/>
        <v>45.323799999999991</v>
      </c>
      <c r="F2045" s="1437">
        <f t="shared" si="291"/>
        <v>0.55711806000000097</v>
      </c>
      <c r="G2045" s="1437">
        <f t="shared" si="292"/>
        <v>16.720000000000002</v>
      </c>
      <c r="H2045" s="1437">
        <f t="shared" si="293"/>
        <v>-16.162881940000002</v>
      </c>
      <c r="I2045" s="1437">
        <v>0</v>
      </c>
      <c r="J2045" s="1437">
        <v>0</v>
      </c>
      <c r="K2045" s="1438"/>
      <c r="L2045" s="1438"/>
      <c r="M2045" s="1437">
        <f t="shared" si="294"/>
        <v>0</v>
      </c>
      <c r="N2045" s="1437">
        <f t="shared" si="295"/>
        <v>-16.162881940000002</v>
      </c>
    </row>
    <row r="2046" spans="1:14" ht="29" outlineLevel="1">
      <c r="A2046" s="1499">
        <f t="shared" si="290"/>
        <v>1</v>
      </c>
      <c r="B2046" s="1512" t="str">
        <f t="shared" si="290"/>
        <v>Area grading</v>
      </c>
      <c r="C2046" s="1511" t="str">
        <f t="shared" si="290"/>
        <v>MERC CAPEX Approval in MTR Order 296 of 2019</v>
      </c>
      <c r="D2046" s="1334" t="str">
        <f t="shared" si="290"/>
        <v>-</v>
      </c>
      <c r="E2046" s="1430">
        <f t="shared" si="290"/>
        <v>0</v>
      </c>
      <c r="F2046" s="1437">
        <f t="shared" si="291"/>
        <v>6.9866406799999998</v>
      </c>
      <c r="G2046" s="1437">
        <f t="shared" si="292"/>
        <v>0.89</v>
      </c>
      <c r="H2046" s="1437">
        <f t="shared" si="293"/>
        <v>6.0966406800000001</v>
      </c>
      <c r="I2046" s="1437">
        <v>0</v>
      </c>
      <c r="J2046" s="1437">
        <v>0</v>
      </c>
      <c r="K2046" s="1438"/>
      <c r="L2046" s="1438"/>
      <c r="M2046" s="1437">
        <f t="shared" si="294"/>
        <v>0</v>
      </c>
      <c r="N2046" s="1437">
        <f t="shared" si="295"/>
        <v>6.0966406800000001</v>
      </c>
    </row>
    <row r="2047" spans="1:14" ht="29" outlineLevel="1">
      <c r="A2047" s="1499">
        <f t="shared" si="290"/>
        <v>2</v>
      </c>
      <c r="B2047" s="1512" t="str">
        <f t="shared" si="290"/>
        <v>CMD</v>
      </c>
      <c r="C2047" s="1511" t="str">
        <f t="shared" si="290"/>
        <v>MERC CAPEX Approval in MTR Order 296 of 2019</v>
      </c>
      <c r="D2047" s="1334" t="str">
        <f t="shared" si="290"/>
        <v>-</v>
      </c>
      <c r="E2047" s="1430">
        <f t="shared" si="290"/>
        <v>0</v>
      </c>
      <c r="F2047" s="1437">
        <f t="shared" si="291"/>
        <v>1.2410745000000012</v>
      </c>
      <c r="G2047" s="1437">
        <f t="shared" si="292"/>
        <v>1.3549000000000009</v>
      </c>
      <c r="H2047" s="1437">
        <f t="shared" si="293"/>
        <v>-0.11382549999999969</v>
      </c>
      <c r="I2047" s="1437">
        <v>0</v>
      </c>
      <c r="J2047" s="1437">
        <v>0</v>
      </c>
      <c r="K2047" s="1438"/>
      <c r="L2047" s="1438"/>
      <c r="M2047" s="1437">
        <f t="shared" si="294"/>
        <v>0</v>
      </c>
      <c r="N2047" s="1437">
        <f t="shared" si="295"/>
        <v>-0.11382549999999969</v>
      </c>
    </row>
    <row r="2048" spans="1:14" ht="29" outlineLevel="1">
      <c r="A2048" s="1499">
        <f t="shared" si="290"/>
        <v>3</v>
      </c>
      <c r="B2048" s="1512" t="str">
        <f t="shared" si="290"/>
        <v>Conveyor 09, 10 &amp; TP 06</v>
      </c>
      <c r="C2048" s="1511" t="str">
        <f t="shared" si="290"/>
        <v>MERC CAPEX Approval in MTR Order 296 of 2019</v>
      </c>
      <c r="D2048" s="1334" t="str">
        <f t="shared" si="290"/>
        <v>-</v>
      </c>
      <c r="E2048" s="1430">
        <f t="shared" si="290"/>
        <v>0</v>
      </c>
      <c r="F2048" s="1437">
        <f t="shared" si="291"/>
        <v>14.560539259999999</v>
      </c>
      <c r="G2048" s="1437">
        <f t="shared" si="292"/>
        <v>12.129999999999999</v>
      </c>
      <c r="H2048" s="1437">
        <f t="shared" si="293"/>
        <v>2.4305392599999998</v>
      </c>
      <c r="I2048" s="1437">
        <v>0</v>
      </c>
      <c r="J2048" s="1437">
        <v>0</v>
      </c>
      <c r="K2048" s="1438"/>
      <c r="L2048" s="1438"/>
      <c r="M2048" s="1437">
        <f t="shared" si="294"/>
        <v>0</v>
      </c>
      <c r="N2048" s="1437">
        <f t="shared" si="295"/>
        <v>2.4305392599999998</v>
      </c>
    </row>
    <row r="2049" spans="1:16" ht="29" outlineLevel="1">
      <c r="A2049" s="1499">
        <f t="shared" si="290"/>
        <v>4</v>
      </c>
      <c r="B2049" s="1512" t="str">
        <f t="shared" si="290"/>
        <v>Finishing item</v>
      </c>
      <c r="C2049" s="1511" t="str">
        <f t="shared" si="290"/>
        <v>MERC CAPEX Approval in MTR Order 296 of 2019</v>
      </c>
      <c r="D2049" s="1334" t="str">
        <f t="shared" si="290"/>
        <v>-</v>
      </c>
      <c r="E2049" s="1430">
        <f t="shared" si="290"/>
        <v>0</v>
      </c>
      <c r="F2049" s="1437">
        <f t="shared" si="291"/>
        <v>8.0849650400000002</v>
      </c>
      <c r="G2049" s="1437">
        <f t="shared" si="292"/>
        <v>4.6505999999999998</v>
      </c>
      <c r="H2049" s="1437">
        <f t="shared" si="293"/>
        <v>3.4343650400000003</v>
      </c>
      <c r="I2049" s="1437">
        <v>0</v>
      </c>
      <c r="J2049" s="1437">
        <v>0</v>
      </c>
      <c r="K2049" s="1438"/>
      <c r="L2049" s="1438"/>
      <c r="M2049" s="1437">
        <f t="shared" si="294"/>
        <v>0</v>
      </c>
      <c r="N2049" s="1437">
        <f t="shared" si="295"/>
        <v>3.4343650400000003</v>
      </c>
    </row>
    <row r="2050" spans="1:16" ht="29" outlineLevel="1">
      <c r="A2050" s="1499">
        <f t="shared" si="290"/>
        <v>5</v>
      </c>
      <c r="B2050" s="1512" t="str">
        <f t="shared" si="290"/>
        <v>Drain &amp; nala</v>
      </c>
      <c r="C2050" s="1511" t="str">
        <f t="shared" si="290"/>
        <v>MERC CAPEX Approval in MTR Order 296 of 2019</v>
      </c>
      <c r="D2050" s="1334" t="str">
        <f t="shared" si="290"/>
        <v>-</v>
      </c>
      <c r="E2050" s="1430">
        <f t="shared" si="290"/>
        <v>0</v>
      </c>
      <c r="F2050" s="1437">
        <f t="shared" si="291"/>
        <v>5.08483324</v>
      </c>
      <c r="G2050" s="1437">
        <f t="shared" si="292"/>
        <v>11.79</v>
      </c>
      <c r="H2050" s="1437">
        <f t="shared" si="293"/>
        <v>-6.7051667599999991</v>
      </c>
      <c r="I2050" s="1437">
        <v>0</v>
      </c>
      <c r="J2050" s="1437">
        <v>0</v>
      </c>
      <c r="K2050" s="1438"/>
      <c r="L2050" s="1438"/>
      <c r="M2050" s="1437">
        <f t="shared" si="294"/>
        <v>0</v>
      </c>
      <c r="N2050" s="1437">
        <f t="shared" si="295"/>
        <v>-6.7051667599999991</v>
      </c>
    </row>
    <row r="2051" spans="1:16" ht="29" outlineLevel="1">
      <c r="A2051" s="1499">
        <f t="shared" si="290"/>
        <v>6</v>
      </c>
      <c r="B2051" s="1512" t="str">
        <f t="shared" si="290"/>
        <v>Internal roads</v>
      </c>
      <c r="C2051" s="1511" t="str">
        <f t="shared" si="290"/>
        <v>MERC CAPEX Approval in MTR Order 296 of 2019</v>
      </c>
      <c r="D2051" s="1334" t="str">
        <f t="shared" si="290"/>
        <v>-</v>
      </c>
      <c r="E2051" s="1430">
        <f t="shared" si="290"/>
        <v>0</v>
      </c>
      <c r="F2051" s="1437">
        <f t="shared" si="291"/>
        <v>9.7521449799999989</v>
      </c>
      <c r="G2051" s="1437">
        <f t="shared" si="292"/>
        <v>1.5</v>
      </c>
      <c r="H2051" s="1437">
        <f t="shared" si="293"/>
        <v>8.2521449799999989</v>
      </c>
      <c r="I2051" s="1437">
        <v>0</v>
      </c>
      <c r="J2051" s="1437">
        <v>0</v>
      </c>
      <c r="K2051" s="1438"/>
      <c r="L2051" s="1438"/>
      <c r="M2051" s="1437">
        <f t="shared" si="294"/>
        <v>0</v>
      </c>
      <c r="N2051" s="1437">
        <f t="shared" si="295"/>
        <v>8.2521449799999989</v>
      </c>
    </row>
    <row r="2052" spans="1:16" ht="29" outlineLevel="1">
      <c r="A2052" s="1499">
        <f t="shared" si="290"/>
        <v>7</v>
      </c>
      <c r="B2052" s="1512" t="str">
        <f t="shared" si="290"/>
        <v>Stacker &amp; reclaimer</v>
      </c>
      <c r="C2052" s="1511" t="str">
        <f t="shared" si="290"/>
        <v>MERC CAPEX Approval in MTR Order 296 of 2019</v>
      </c>
      <c r="D2052" s="1334" t="str">
        <f t="shared" si="290"/>
        <v>-</v>
      </c>
      <c r="E2052" s="1430">
        <f t="shared" si="290"/>
        <v>0</v>
      </c>
      <c r="F2052" s="1437">
        <f t="shared" si="291"/>
        <v>1.1626842399999999</v>
      </c>
      <c r="G2052" s="1437">
        <f t="shared" si="292"/>
        <v>0</v>
      </c>
      <c r="H2052" s="1437">
        <f t="shared" si="293"/>
        <v>1.1626842399999999</v>
      </c>
      <c r="I2052" s="1437">
        <v>0</v>
      </c>
      <c r="J2052" s="1437">
        <v>0</v>
      </c>
      <c r="K2052" s="1438"/>
      <c r="L2052" s="1438"/>
      <c r="M2052" s="1437">
        <f t="shared" si="294"/>
        <v>0</v>
      </c>
      <c r="N2052" s="1437">
        <f t="shared" si="295"/>
        <v>1.1626842399999999</v>
      </c>
    </row>
    <row r="2053" spans="1:16" ht="15.5" outlineLevel="1">
      <c r="A2053" s="1493">
        <f t="shared" ref="A2053:E2068" si="296">A1660</f>
        <v>0</v>
      </c>
      <c r="B2053" s="1494" t="str">
        <f t="shared" si="296"/>
        <v>Other Add Cap</v>
      </c>
      <c r="C2053" s="1495">
        <f t="shared" si="296"/>
        <v>0</v>
      </c>
      <c r="D2053" s="1341" t="str">
        <f t="shared" si="296"/>
        <v>-</v>
      </c>
      <c r="E2053" s="1496">
        <f t="shared" si="296"/>
        <v>0</v>
      </c>
      <c r="F2053" s="1437">
        <f t="shared" si="291"/>
        <v>0</v>
      </c>
      <c r="G2053" s="1437">
        <f t="shared" si="292"/>
        <v>0</v>
      </c>
      <c r="H2053" s="1437">
        <f t="shared" si="293"/>
        <v>0</v>
      </c>
      <c r="I2053" s="1437">
        <v>0</v>
      </c>
      <c r="J2053" s="1437">
        <v>0</v>
      </c>
      <c r="K2053" s="1438"/>
      <c r="L2053" s="1438"/>
      <c r="M2053" s="1437">
        <f t="shared" si="294"/>
        <v>0</v>
      </c>
      <c r="N2053" s="1437">
        <f t="shared" si="295"/>
        <v>0</v>
      </c>
    </row>
    <row r="2054" spans="1:16" ht="15.5" outlineLevel="1">
      <c r="A2054" s="1491">
        <f t="shared" si="296"/>
        <v>0</v>
      </c>
      <c r="B2054" s="1377" t="str">
        <f t="shared" si="296"/>
        <v>Laboratory set up</v>
      </c>
      <c r="C2054" s="1492" t="str">
        <f t="shared" si="296"/>
        <v>Add Cap (As per 296 of 2019)</v>
      </c>
      <c r="D2054" s="1334" t="str">
        <f t="shared" si="296"/>
        <v>-</v>
      </c>
      <c r="E2054" s="1378">
        <f t="shared" si="296"/>
        <v>0</v>
      </c>
      <c r="F2054" s="1437">
        <f t="shared" si="291"/>
        <v>0</v>
      </c>
      <c r="G2054" s="1437">
        <f t="shared" si="292"/>
        <v>0</v>
      </c>
      <c r="H2054" s="1437">
        <f t="shared" si="293"/>
        <v>0</v>
      </c>
      <c r="I2054" s="1437">
        <v>0</v>
      </c>
      <c r="J2054" s="1437">
        <v>0</v>
      </c>
      <c r="K2054" s="1438"/>
      <c r="L2054" s="1438"/>
      <c r="M2054" s="1437">
        <f t="shared" si="294"/>
        <v>0</v>
      </c>
      <c r="N2054" s="1437">
        <f t="shared" si="295"/>
        <v>0</v>
      </c>
    </row>
    <row r="2055" spans="1:16" ht="31" outlineLevel="1">
      <c r="A2055" s="1491">
        <f t="shared" si="296"/>
        <v>1</v>
      </c>
      <c r="B2055" s="1513" t="str">
        <f t="shared" si="296"/>
        <v>Supply of Analytical Instruments for condition monitoring Laboratory for 1X250 MW of   NPTPS, Parli-V.</v>
      </c>
      <c r="C2055" s="1492" t="str">
        <f t="shared" si="296"/>
        <v>Add Cap (As per 296 of 2019)</v>
      </c>
      <c r="D2055" s="1514" t="str">
        <f t="shared" si="296"/>
        <v>-</v>
      </c>
      <c r="E2055" s="1382">
        <f t="shared" si="296"/>
        <v>0.5</v>
      </c>
      <c r="F2055" s="1437">
        <f t="shared" si="291"/>
        <v>0.49655460000000001</v>
      </c>
      <c r="G2055" s="1437">
        <f t="shared" si="292"/>
        <v>0.49655460000000001</v>
      </c>
      <c r="H2055" s="1437">
        <f t="shared" si="293"/>
        <v>0</v>
      </c>
      <c r="I2055" s="1437">
        <v>0</v>
      </c>
      <c r="J2055" s="1437">
        <v>0</v>
      </c>
      <c r="K2055" s="1438"/>
      <c r="L2055" s="1438"/>
      <c r="M2055" s="1437">
        <f t="shared" si="294"/>
        <v>0</v>
      </c>
      <c r="N2055" s="1437">
        <f t="shared" si="295"/>
        <v>0</v>
      </c>
    </row>
    <row r="2056" spans="1:16" ht="31" outlineLevel="1">
      <c r="A2056" s="1491">
        <f t="shared" si="296"/>
        <v>2</v>
      </c>
      <c r="B2056" s="1513" t="str">
        <f t="shared" si="296"/>
        <v>Supply of Analytical Instruments for Water Analysis Laboratory for 1X250 MW of   NPTPS, Parli-V</v>
      </c>
      <c r="C2056" s="1492" t="str">
        <f t="shared" si="296"/>
        <v>Add Cap (As per 296 of 2019)</v>
      </c>
      <c r="D2056" s="1334" t="str">
        <f t="shared" si="296"/>
        <v>-</v>
      </c>
      <c r="E2056" s="1382">
        <f t="shared" si="296"/>
        <v>1.23</v>
      </c>
      <c r="F2056" s="1437">
        <f t="shared" si="291"/>
        <v>0.29846889999999998</v>
      </c>
      <c r="G2056" s="1437">
        <f t="shared" si="292"/>
        <v>0.29846889999999998</v>
      </c>
      <c r="H2056" s="1437">
        <f t="shared" si="293"/>
        <v>0</v>
      </c>
      <c r="I2056" s="1437">
        <v>0</v>
      </c>
      <c r="J2056" s="1437">
        <v>0</v>
      </c>
      <c r="K2056" s="1438"/>
      <c r="L2056" s="1438"/>
      <c r="M2056" s="1437">
        <f t="shared" si="294"/>
        <v>0</v>
      </c>
      <c r="N2056" s="1437">
        <f t="shared" si="295"/>
        <v>0</v>
      </c>
    </row>
    <row r="2057" spans="1:16" ht="31" outlineLevel="1">
      <c r="A2057" s="1491">
        <f t="shared" si="296"/>
        <v>3</v>
      </c>
      <c r="B2057" s="1513" t="str">
        <f t="shared" si="296"/>
        <v>Supply of Analytical Instruments for Environment Laboratory for 1 x 250 MW, NPTPS, Parli-V.</v>
      </c>
      <c r="C2057" s="1492" t="str">
        <f t="shared" si="296"/>
        <v>Add Cap (As per 296 of 2019)</v>
      </c>
      <c r="D2057" s="1514" t="str">
        <f t="shared" si="296"/>
        <v>-</v>
      </c>
      <c r="E2057" s="1382">
        <f t="shared" si="296"/>
        <v>0.39</v>
      </c>
      <c r="F2057" s="1437">
        <f t="shared" si="291"/>
        <v>0.36579919999999999</v>
      </c>
      <c r="G2057" s="1437">
        <f t="shared" si="292"/>
        <v>0.36579919999999999</v>
      </c>
      <c r="H2057" s="1437">
        <f t="shared" si="293"/>
        <v>0</v>
      </c>
      <c r="I2057" s="1437">
        <v>0</v>
      </c>
      <c r="J2057" s="1437">
        <v>0</v>
      </c>
      <c r="K2057" s="1438"/>
      <c r="L2057" s="1438"/>
      <c r="M2057" s="1437">
        <f t="shared" si="294"/>
        <v>0</v>
      </c>
      <c r="N2057" s="1437">
        <f t="shared" si="295"/>
        <v>0</v>
      </c>
    </row>
    <row r="2058" spans="1:16" ht="31" outlineLevel="1">
      <c r="A2058" s="1491">
        <f t="shared" si="296"/>
        <v>4</v>
      </c>
      <c r="B2058" s="1513" t="str">
        <f t="shared" si="296"/>
        <v>Supply of Analytical Instruments for Precision Laboratory for 1 x 250 MW, NPTPS, Parli-V.</v>
      </c>
      <c r="C2058" s="1492" t="str">
        <f t="shared" si="296"/>
        <v>Add Cap (As per 296 of 2019)</v>
      </c>
      <c r="D2058" s="1334" t="str">
        <f t="shared" si="296"/>
        <v>-</v>
      </c>
      <c r="E2058" s="1382">
        <f t="shared" si="296"/>
        <v>1</v>
      </c>
      <c r="F2058" s="1437">
        <f t="shared" si="291"/>
        <v>0</v>
      </c>
      <c r="G2058" s="1437">
        <f t="shared" si="292"/>
        <v>0</v>
      </c>
      <c r="H2058" s="1437">
        <f t="shared" si="293"/>
        <v>0</v>
      </c>
      <c r="I2058" s="1437">
        <v>0</v>
      </c>
      <c r="J2058" s="1437">
        <v>0</v>
      </c>
      <c r="K2058" s="1438"/>
      <c r="L2058" s="1438"/>
      <c r="M2058" s="1437">
        <f t="shared" si="294"/>
        <v>0</v>
      </c>
      <c r="N2058" s="1437">
        <f t="shared" si="295"/>
        <v>0</v>
      </c>
    </row>
    <row r="2059" spans="1:16" ht="31" outlineLevel="1">
      <c r="A2059" s="1491">
        <f t="shared" si="296"/>
        <v>5</v>
      </c>
      <c r="B2059" s="1513" t="str">
        <f t="shared" si="296"/>
        <v>Supply of Analytical Instruments for General Laboratory of Water Treatment Plant of 1 x 250 MW, NPTPS, Parli-V.</v>
      </c>
      <c r="C2059" s="1492" t="str">
        <f t="shared" si="296"/>
        <v>Add Cap (As per 296 of 2019)</v>
      </c>
      <c r="D2059" s="1334" t="str">
        <f t="shared" si="296"/>
        <v>-</v>
      </c>
      <c r="E2059" s="1382">
        <f t="shared" si="296"/>
        <v>0.93</v>
      </c>
      <c r="F2059" s="1437">
        <f t="shared" si="291"/>
        <v>0</v>
      </c>
      <c r="G2059" s="1437">
        <f t="shared" si="292"/>
        <v>0</v>
      </c>
      <c r="H2059" s="1437">
        <f t="shared" si="293"/>
        <v>0</v>
      </c>
      <c r="I2059" s="1437">
        <v>0</v>
      </c>
      <c r="J2059" s="1437">
        <v>0</v>
      </c>
      <c r="K2059" s="1438"/>
      <c r="L2059" s="1438"/>
      <c r="M2059" s="1437">
        <f t="shared" si="294"/>
        <v>0</v>
      </c>
      <c r="N2059" s="1437">
        <f t="shared" si="295"/>
        <v>0</v>
      </c>
    </row>
    <row r="2060" spans="1:16" ht="31" outlineLevel="1">
      <c r="A2060" s="1491">
        <f t="shared" si="296"/>
        <v>6</v>
      </c>
      <c r="B2060" s="1513" t="str">
        <f t="shared" si="296"/>
        <v>Supply of Corrosion Monitor/Meter, Corrosion Coupon &amp; Coupon Rack for 1X250 MW of   NPTPS, Parli-V.</v>
      </c>
      <c r="C2060" s="1492" t="str">
        <f t="shared" si="296"/>
        <v>Add Cap (As per 296 of 2019)</v>
      </c>
      <c r="D2060" s="1334" t="str">
        <f t="shared" si="296"/>
        <v>-</v>
      </c>
      <c r="E2060" s="1382">
        <f t="shared" si="296"/>
        <v>0.34</v>
      </c>
      <c r="F2060" s="1437">
        <f t="shared" si="291"/>
        <v>0.347356836</v>
      </c>
      <c r="G2060" s="1437">
        <f t="shared" si="292"/>
        <v>0.347356836</v>
      </c>
      <c r="H2060" s="1437">
        <f t="shared" si="293"/>
        <v>0</v>
      </c>
      <c r="I2060" s="1437">
        <v>0</v>
      </c>
      <c r="J2060" s="1437">
        <v>0</v>
      </c>
      <c r="K2060" s="1438"/>
      <c r="L2060" s="1438"/>
      <c r="M2060" s="1437">
        <f t="shared" si="294"/>
        <v>0</v>
      </c>
      <c r="N2060" s="1437">
        <f t="shared" si="295"/>
        <v>0</v>
      </c>
    </row>
    <row r="2061" spans="1:16" ht="31" outlineLevel="1">
      <c r="A2061" s="1491">
        <f t="shared" si="296"/>
        <v>7</v>
      </c>
      <c r="B2061" s="1515" t="str">
        <f t="shared" si="296"/>
        <v>Supply of Analytical Instruments for Coal Analysis Laboratory for 1X250 MW of   NPTPS, Parli-V</v>
      </c>
      <c r="C2061" s="1492" t="str">
        <f t="shared" si="296"/>
        <v>Add Cap (As per 296 of 2019)</v>
      </c>
      <c r="D2061" s="1334" t="str">
        <f t="shared" si="296"/>
        <v>-</v>
      </c>
      <c r="E2061" s="1382">
        <f t="shared" si="296"/>
        <v>1.65</v>
      </c>
      <c r="F2061" s="1437">
        <f t="shared" si="291"/>
        <v>0.39444410000000002</v>
      </c>
      <c r="G2061" s="1437">
        <f t="shared" si="292"/>
        <v>0.39444410000000002</v>
      </c>
      <c r="H2061" s="1437">
        <f t="shared" si="293"/>
        <v>0</v>
      </c>
      <c r="I2061" s="1437">
        <v>0</v>
      </c>
      <c r="J2061" s="1437">
        <v>0</v>
      </c>
      <c r="K2061" s="1438"/>
      <c r="L2061" s="1438"/>
      <c r="M2061" s="1437">
        <f t="shared" si="294"/>
        <v>0</v>
      </c>
      <c r="N2061" s="1437">
        <f t="shared" si="295"/>
        <v>0</v>
      </c>
      <c r="O2061" s="1529">
        <f t="shared" ref="O2061:O2063" si="297">MAX(0,IF(M2061=0,0,IF(G2061+M2061&lt;E2061,M2061,E2061-G2061)))</f>
        <v>0</v>
      </c>
      <c r="P2061" s="1439">
        <f t="shared" ref="P2061:P2063" si="298">M2061-O2061</f>
        <v>0</v>
      </c>
    </row>
    <row r="2062" spans="1:16" ht="15.5" outlineLevel="1">
      <c r="A2062" s="1491">
        <f t="shared" si="296"/>
        <v>9</v>
      </c>
      <c r="B2062" s="1377" t="str">
        <f t="shared" si="296"/>
        <v>Grade slab (WTP Area)</v>
      </c>
      <c r="C2062" s="1492" t="str">
        <f t="shared" si="296"/>
        <v>Add Cap (As per 296 of 2019)</v>
      </c>
      <c r="D2062" s="1334" t="str">
        <f t="shared" si="296"/>
        <v>-</v>
      </c>
      <c r="E2062" s="1378">
        <f t="shared" si="296"/>
        <v>1</v>
      </c>
      <c r="F2062" s="1437">
        <f t="shared" si="291"/>
        <v>0.99752063400000002</v>
      </c>
      <c r="G2062" s="1437">
        <f t="shared" si="292"/>
        <v>0.99752063400000002</v>
      </c>
      <c r="H2062" s="1437">
        <f t="shared" si="293"/>
        <v>0</v>
      </c>
      <c r="I2062" s="1437">
        <v>0</v>
      </c>
      <c r="J2062" s="1437">
        <v>0</v>
      </c>
      <c r="K2062" s="1438"/>
      <c r="L2062" s="1438"/>
      <c r="M2062" s="1437">
        <f t="shared" si="294"/>
        <v>0</v>
      </c>
      <c r="N2062" s="1437">
        <f t="shared" si="295"/>
        <v>0</v>
      </c>
      <c r="O2062" s="1529">
        <f t="shared" si="297"/>
        <v>0</v>
      </c>
      <c r="P2062" s="1439">
        <f t="shared" si="298"/>
        <v>0</v>
      </c>
    </row>
    <row r="2063" spans="1:16" ht="15.5" outlineLevel="1">
      <c r="A2063" s="1491">
        <f t="shared" si="296"/>
        <v>10</v>
      </c>
      <c r="B2063" s="1377" t="str">
        <f t="shared" si="296"/>
        <v>Grade slab (Near AHP Building)</v>
      </c>
      <c r="C2063" s="1492" t="str">
        <f t="shared" si="296"/>
        <v>Add Cap (As per 296 of 2019)</v>
      </c>
      <c r="D2063" s="1334" t="str">
        <f t="shared" si="296"/>
        <v>-</v>
      </c>
      <c r="E2063" s="1384">
        <f t="shared" si="296"/>
        <v>0.75</v>
      </c>
      <c r="F2063" s="1437">
        <f t="shared" si="291"/>
        <v>0.74556261000000001</v>
      </c>
      <c r="G2063" s="1437">
        <f t="shared" si="292"/>
        <v>0.74556261000000001</v>
      </c>
      <c r="H2063" s="1437">
        <f t="shared" si="293"/>
        <v>0</v>
      </c>
      <c r="I2063" s="1437">
        <v>0</v>
      </c>
      <c r="J2063" s="1437">
        <v>0</v>
      </c>
      <c r="K2063" s="1438"/>
      <c r="L2063" s="1438"/>
      <c r="M2063" s="1437">
        <f t="shared" si="294"/>
        <v>0</v>
      </c>
      <c r="N2063" s="1437">
        <f t="shared" si="295"/>
        <v>0</v>
      </c>
      <c r="O2063" s="1529">
        <f t="shared" si="297"/>
        <v>0</v>
      </c>
      <c r="P2063" s="1439">
        <f t="shared" si="298"/>
        <v>0</v>
      </c>
    </row>
    <row r="2064" spans="1:16" ht="15.5" outlineLevel="1">
      <c r="A2064" s="1516">
        <f t="shared" si="296"/>
        <v>11</v>
      </c>
      <c r="B2064" s="1385" t="str">
        <f t="shared" si="296"/>
        <v>Temporary shed for empty barrles &amp; filled barrles</v>
      </c>
      <c r="C2064" s="1492" t="str">
        <f t="shared" si="296"/>
        <v>Add Cap (As per 296 of 2019)</v>
      </c>
      <c r="D2064" s="1514" t="str">
        <f t="shared" si="296"/>
        <v>-</v>
      </c>
      <c r="E2064" s="1384">
        <f t="shared" si="296"/>
        <v>0.5</v>
      </c>
      <c r="F2064" s="1437">
        <f t="shared" si="291"/>
        <v>0.45635233799999997</v>
      </c>
      <c r="G2064" s="1437">
        <f t="shared" si="292"/>
        <v>0.45635233799999997</v>
      </c>
      <c r="H2064" s="1437">
        <f t="shared" si="293"/>
        <v>0</v>
      </c>
      <c r="I2064" s="1437">
        <v>0</v>
      </c>
      <c r="J2064" s="1437">
        <v>0</v>
      </c>
      <c r="K2064" s="1438"/>
      <c r="L2064" s="1438"/>
      <c r="M2064" s="1437">
        <f t="shared" si="294"/>
        <v>0</v>
      </c>
      <c r="N2064" s="1437">
        <f t="shared" si="295"/>
        <v>0</v>
      </c>
    </row>
    <row r="2065" spans="1:14" ht="15.5" outlineLevel="1">
      <c r="A2065" s="1491">
        <f t="shared" si="296"/>
        <v>12</v>
      </c>
      <c r="B2065" s="1386" t="str">
        <f t="shared" si="296"/>
        <v>Cabins for operators at TP.</v>
      </c>
      <c r="C2065" s="1492" t="str">
        <f t="shared" si="296"/>
        <v>Add Cap (As per 296 of 2019)</v>
      </c>
      <c r="D2065" s="1334" t="str">
        <f t="shared" si="296"/>
        <v>-</v>
      </c>
      <c r="E2065" s="1384">
        <f t="shared" si="296"/>
        <v>0.2</v>
      </c>
      <c r="F2065" s="1437">
        <f t="shared" si="291"/>
        <v>0.18583111099999999</v>
      </c>
      <c r="G2065" s="1437">
        <f t="shared" si="292"/>
        <v>0.18583111099999999</v>
      </c>
      <c r="H2065" s="1437">
        <f t="shared" si="293"/>
        <v>0</v>
      </c>
      <c r="I2065" s="1437">
        <v>0</v>
      </c>
      <c r="J2065" s="1437">
        <v>0</v>
      </c>
      <c r="K2065" s="1438"/>
      <c r="L2065" s="1438"/>
      <c r="M2065" s="1437">
        <f t="shared" si="294"/>
        <v>0</v>
      </c>
      <c r="N2065" s="1437">
        <f t="shared" si="295"/>
        <v>0</v>
      </c>
    </row>
    <row r="2066" spans="1:14" ht="15.5" outlineLevel="1">
      <c r="A2066" s="1491">
        <f t="shared" si="296"/>
        <v>13</v>
      </c>
      <c r="B2066" s="1385" t="str">
        <f t="shared" si="296"/>
        <v>Compound wall for isolation of administrative building.</v>
      </c>
      <c r="C2066" s="1492" t="str">
        <f t="shared" si="296"/>
        <v>Add Cap (As per 296 of 2019)</v>
      </c>
      <c r="D2066" s="1334" t="str">
        <f t="shared" si="296"/>
        <v>-</v>
      </c>
      <c r="E2066" s="1384">
        <f t="shared" si="296"/>
        <v>0.5</v>
      </c>
      <c r="F2066" s="1437">
        <f t="shared" si="291"/>
        <v>0</v>
      </c>
      <c r="G2066" s="1437">
        <f t="shared" si="292"/>
        <v>0</v>
      </c>
      <c r="H2066" s="1437">
        <f t="shared" si="293"/>
        <v>0</v>
      </c>
      <c r="I2066" s="1437">
        <v>0</v>
      </c>
      <c r="J2066" s="1437">
        <v>0</v>
      </c>
      <c r="K2066" s="1438"/>
      <c r="L2066" s="1438"/>
      <c r="M2066" s="1437">
        <f t="shared" si="294"/>
        <v>0</v>
      </c>
      <c r="N2066" s="1437">
        <f t="shared" si="295"/>
        <v>0</v>
      </c>
    </row>
    <row r="2067" spans="1:14" ht="46.5" outlineLevel="1">
      <c r="A2067" s="1491">
        <f t="shared" si="296"/>
        <v>14</v>
      </c>
      <c r="B2067" s="1386" t="str">
        <f t="shared" si="296"/>
        <v>Work of providing/ fixing of internal partitions of aluminium/Nova palm/glass/wooden for Unit 8 service building &amp; other allied builings in the premises.</v>
      </c>
      <c r="C2067" s="1492" t="str">
        <f t="shared" si="296"/>
        <v>Add Cap (As per 296 of 2019)</v>
      </c>
      <c r="D2067" s="1334" t="str">
        <f t="shared" si="296"/>
        <v>-</v>
      </c>
      <c r="E2067" s="1378">
        <f t="shared" si="296"/>
        <v>0.7</v>
      </c>
      <c r="F2067" s="1437">
        <f t="shared" si="291"/>
        <v>0.67356391299999996</v>
      </c>
      <c r="G2067" s="1437">
        <f t="shared" si="292"/>
        <v>0.67356391299999996</v>
      </c>
      <c r="H2067" s="1437">
        <f t="shared" si="293"/>
        <v>0</v>
      </c>
      <c r="I2067" s="1437">
        <v>0</v>
      </c>
      <c r="J2067" s="1437">
        <v>0</v>
      </c>
      <c r="K2067" s="1438"/>
      <c r="L2067" s="1438"/>
      <c r="M2067" s="1437">
        <f t="shared" si="294"/>
        <v>0</v>
      </c>
      <c r="N2067" s="1437">
        <f t="shared" si="295"/>
        <v>0</v>
      </c>
    </row>
    <row r="2068" spans="1:14" ht="46.5" outlineLevel="1">
      <c r="A2068" s="1517">
        <f t="shared" si="296"/>
        <v>15</v>
      </c>
      <c r="B2068" s="1518" t="str">
        <f t="shared" si="296"/>
        <v>Provision of DM and softening water line interconnection from u-6,7 to u-8 &amp; Provision of recovery of waste water from sandava pump house,NDCT.</v>
      </c>
      <c r="C2068" s="1492" t="str">
        <f t="shared" si="296"/>
        <v>Add Cap (As per 296 of 2019)</v>
      </c>
      <c r="D2068" s="1334" t="str">
        <f t="shared" si="296"/>
        <v>-</v>
      </c>
      <c r="E2068" s="1378">
        <f t="shared" si="296"/>
        <v>3</v>
      </c>
      <c r="F2068" s="1437">
        <f t="shared" si="291"/>
        <v>1.0266339840000001</v>
      </c>
      <c r="G2068" s="1437">
        <f t="shared" si="292"/>
        <v>1.0266339840000001</v>
      </c>
      <c r="H2068" s="1437">
        <f t="shared" si="293"/>
        <v>0</v>
      </c>
      <c r="I2068" s="1437">
        <v>0</v>
      </c>
      <c r="J2068" s="1437">
        <v>0</v>
      </c>
      <c r="K2068" s="1438"/>
      <c r="L2068" s="1438"/>
      <c r="M2068" s="1437">
        <f t="shared" si="294"/>
        <v>0</v>
      </c>
      <c r="N2068" s="1437">
        <f t="shared" si="295"/>
        <v>0</v>
      </c>
    </row>
    <row r="2069" spans="1:14" ht="15.5" outlineLevel="1">
      <c r="A2069" s="1519">
        <f t="shared" ref="A2069:E2084" si="299">A1676</f>
        <v>0</v>
      </c>
      <c r="B2069" s="1520">
        <f t="shared" si="299"/>
        <v>0</v>
      </c>
      <c r="C2069" s="1492" t="str">
        <f t="shared" si="299"/>
        <v>Add Cap (As per 296 of 2019)</v>
      </c>
      <c r="D2069" s="1334" t="str">
        <f t="shared" si="299"/>
        <v>-</v>
      </c>
      <c r="E2069" s="1378">
        <f t="shared" si="299"/>
        <v>0</v>
      </c>
      <c r="F2069" s="1437">
        <f t="shared" si="291"/>
        <v>1.8371300820000001</v>
      </c>
      <c r="G2069" s="1437">
        <f t="shared" si="292"/>
        <v>1.8371300820000001</v>
      </c>
      <c r="H2069" s="1437">
        <f t="shared" si="293"/>
        <v>0</v>
      </c>
      <c r="I2069" s="1437">
        <v>0</v>
      </c>
      <c r="J2069" s="1437">
        <v>0</v>
      </c>
      <c r="K2069" s="1438"/>
      <c r="L2069" s="1438"/>
      <c r="M2069" s="1437">
        <f t="shared" si="294"/>
        <v>0</v>
      </c>
      <c r="N2069" s="1437">
        <f t="shared" si="295"/>
        <v>0</v>
      </c>
    </row>
    <row r="2070" spans="1:14" ht="15.5" outlineLevel="1">
      <c r="A2070" s="1491">
        <f t="shared" si="299"/>
        <v>16</v>
      </c>
      <c r="B2070" s="1513" t="str">
        <f t="shared" si="299"/>
        <v xml:space="preserve"> Hydraulic drive system modification.    </v>
      </c>
      <c r="C2070" s="1492" t="str">
        <f t="shared" si="299"/>
        <v>Add Cap (As per 296 of 2019)</v>
      </c>
      <c r="D2070" s="1334" t="str">
        <f t="shared" si="299"/>
        <v>-</v>
      </c>
      <c r="E2070" s="1521">
        <f t="shared" si="299"/>
        <v>2.5</v>
      </c>
      <c r="F2070" s="1437">
        <f t="shared" si="291"/>
        <v>2.4383865259999999</v>
      </c>
      <c r="G2070" s="1437">
        <f t="shared" si="292"/>
        <v>2.4383865259999999</v>
      </c>
      <c r="H2070" s="1437">
        <f t="shared" si="293"/>
        <v>0</v>
      </c>
      <c r="I2070" s="1437">
        <v>0</v>
      </c>
      <c r="J2070" s="1437">
        <v>0</v>
      </c>
      <c r="K2070" s="1438"/>
      <c r="L2070" s="1438"/>
      <c r="M2070" s="1437">
        <f t="shared" si="294"/>
        <v>0</v>
      </c>
      <c r="N2070" s="1437">
        <f t="shared" si="295"/>
        <v>0</v>
      </c>
    </row>
    <row r="2071" spans="1:14" ht="15.5" outlineLevel="1">
      <c r="A2071" s="1491">
        <f t="shared" si="299"/>
        <v>17</v>
      </c>
      <c r="B2071" s="1513" t="str">
        <f t="shared" si="299"/>
        <v xml:space="preserve">Link conveyor from Con-2 of U-6/7 to Con.-2AB of U-8. </v>
      </c>
      <c r="C2071" s="1492" t="str">
        <f t="shared" si="299"/>
        <v>Add Cap (As per 296 of 2019)</v>
      </c>
      <c r="D2071" s="1334" t="str">
        <f t="shared" si="299"/>
        <v>-</v>
      </c>
      <c r="E2071" s="1521">
        <f t="shared" si="299"/>
        <v>3.7</v>
      </c>
      <c r="F2071" s="1437">
        <f t="shared" si="291"/>
        <v>4.6434434319999998</v>
      </c>
      <c r="G2071" s="1437">
        <f t="shared" si="292"/>
        <v>22.656371991</v>
      </c>
      <c r="H2071" s="1437">
        <f t="shared" si="293"/>
        <v>-18.012928559000002</v>
      </c>
      <c r="I2071" s="1437">
        <v>0</v>
      </c>
      <c r="J2071" s="1437">
        <v>0</v>
      </c>
      <c r="K2071" s="1438"/>
      <c r="L2071" s="1438"/>
      <c r="M2071" s="1437">
        <f t="shared" si="294"/>
        <v>0</v>
      </c>
      <c r="N2071" s="1437">
        <f t="shared" si="295"/>
        <v>-18.012928559000002</v>
      </c>
    </row>
    <row r="2072" spans="1:14" ht="15.5" outlineLevel="1">
      <c r="A2072" s="1491">
        <f t="shared" si="299"/>
        <v>18</v>
      </c>
      <c r="B2072" s="1513" t="str">
        <f t="shared" si="299"/>
        <v>Ozone plant for Unit -8</v>
      </c>
      <c r="C2072" s="1492" t="str">
        <f t="shared" si="299"/>
        <v>Add Cap (As per 296 of 2019)</v>
      </c>
      <c r="D2072" s="1334" t="str">
        <f t="shared" si="299"/>
        <v>-</v>
      </c>
      <c r="E2072" s="1521">
        <f t="shared" si="299"/>
        <v>20</v>
      </c>
      <c r="F2072" s="1437">
        <f t="shared" si="291"/>
        <v>20.094708300000001</v>
      </c>
      <c r="G2072" s="1437">
        <f t="shared" si="292"/>
        <v>2.1929439999999998</v>
      </c>
      <c r="H2072" s="1437">
        <f t="shared" si="293"/>
        <v>17.9017643</v>
      </c>
      <c r="I2072" s="1437">
        <v>0</v>
      </c>
      <c r="J2072" s="1437">
        <v>0</v>
      </c>
      <c r="K2072" s="1438"/>
      <c r="L2072" s="1438"/>
      <c r="M2072" s="1437">
        <f t="shared" si="294"/>
        <v>0</v>
      </c>
      <c r="N2072" s="1437">
        <f t="shared" si="295"/>
        <v>17.9017643</v>
      </c>
    </row>
    <row r="2073" spans="1:14" ht="15.5" outlineLevel="1">
      <c r="A2073" s="1499">
        <f t="shared" si="299"/>
        <v>0</v>
      </c>
      <c r="B2073" s="1522" t="str">
        <f t="shared" si="299"/>
        <v>IDC</v>
      </c>
      <c r="C2073" s="1492">
        <f t="shared" si="299"/>
        <v>0</v>
      </c>
      <c r="D2073" s="1334" t="str">
        <f t="shared" si="299"/>
        <v>-</v>
      </c>
      <c r="E2073" s="1521">
        <f t="shared" si="299"/>
        <v>0</v>
      </c>
      <c r="F2073" s="1437">
        <f t="shared" si="291"/>
        <v>0</v>
      </c>
      <c r="G2073" s="1437">
        <f t="shared" si="292"/>
        <v>0</v>
      </c>
      <c r="H2073" s="1437">
        <f t="shared" si="293"/>
        <v>0</v>
      </c>
      <c r="I2073" s="1437">
        <v>0</v>
      </c>
      <c r="J2073" s="1437">
        <v>0</v>
      </c>
      <c r="K2073" s="1438"/>
      <c r="L2073" s="1438"/>
      <c r="M2073" s="1437">
        <f t="shared" si="294"/>
        <v>0</v>
      </c>
      <c r="N2073" s="1437">
        <f t="shared" si="295"/>
        <v>0</v>
      </c>
    </row>
    <row r="2074" spans="1:14" ht="15.5" outlineLevel="1">
      <c r="A2074" s="1491">
        <f t="shared" si="299"/>
        <v>19</v>
      </c>
      <c r="B2074" s="1377" t="str">
        <f t="shared" si="299"/>
        <v>Water management system</v>
      </c>
      <c r="C2074" s="1492" t="str">
        <f t="shared" si="299"/>
        <v>Add Cap (As per 296 of 2019)</v>
      </c>
      <c r="D2074" s="1334" t="str">
        <f t="shared" si="299"/>
        <v>-</v>
      </c>
      <c r="E2074" s="1378">
        <f t="shared" si="299"/>
        <v>2</v>
      </c>
      <c r="F2074" s="1437">
        <f t="shared" si="291"/>
        <v>0</v>
      </c>
      <c r="G2074" s="1437">
        <f t="shared" si="292"/>
        <v>0</v>
      </c>
      <c r="H2074" s="1437">
        <f t="shared" si="293"/>
        <v>0</v>
      </c>
      <c r="I2074" s="1437">
        <v>0</v>
      </c>
      <c r="J2074" s="1437">
        <v>0</v>
      </c>
      <c r="K2074" s="1438"/>
      <c r="L2074" s="1438"/>
      <c r="M2074" s="1437">
        <f t="shared" si="294"/>
        <v>0</v>
      </c>
      <c r="N2074" s="1437">
        <f t="shared" si="295"/>
        <v>0</v>
      </c>
    </row>
    <row r="2075" spans="1:14" ht="31" outlineLevel="1">
      <c r="A2075" s="1491" t="str">
        <f t="shared" si="299"/>
        <v>8, 20</v>
      </c>
      <c r="B2075" s="1523" t="str">
        <f t="shared" si="299"/>
        <v>Procurement &amp; Installation of EMS system at Unit-8 NPTPS Parli-Vaijnath</v>
      </c>
      <c r="C2075" s="1492" t="str">
        <f t="shared" si="299"/>
        <v>Add Cap (As per 296 of 2019)</v>
      </c>
      <c r="D2075" s="1514" t="str">
        <f t="shared" si="299"/>
        <v>-</v>
      </c>
      <c r="E2075" s="1394">
        <f t="shared" si="299"/>
        <v>1</v>
      </c>
      <c r="F2075" s="1437">
        <f t="shared" si="291"/>
        <v>0.144170512</v>
      </c>
      <c r="G2075" s="1437">
        <f t="shared" si="292"/>
        <v>0.144170512</v>
      </c>
      <c r="H2075" s="1437">
        <f t="shared" si="293"/>
        <v>0</v>
      </c>
      <c r="I2075" s="1437">
        <v>0</v>
      </c>
      <c r="J2075" s="1437">
        <v>0</v>
      </c>
      <c r="K2075" s="1438"/>
      <c r="L2075" s="1438"/>
      <c r="M2075" s="1437">
        <f t="shared" si="294"/>
        <v>0</v>
      </c>
      <c r="N2075" s="1437">
        <f t="shared" si="295"/>
        <v>0</v>
      </c>
    </row>
    <row r="2076" spans="1:14" ht="31" outlineLevel="1">
      <c r="A2076" s="1491">
        <f t="shared" si="299"/>
        <v>21</v>
      </c>
      <c r="B2076" s="1515" t="str">
        <f t="shared" si="299"/>
        <v>Conveyor-5 of  stacking/reclaiming belt double drive arrangement.</v>
      </c>
      <c r="C2076" s="1492" t="str">
        <f t="shared" si="299"/>
        <v>Add Cap (As per 296 of 2019)</v>
      </c>
      <c r="D2076" s="1334" t="str">
        <f t="shared" si="299"/>
        <v>-</v>
      </c>
      <c r="E2076" s="1524">
        <f t="shared" si="299"/>
        <v>2</v>
      </c>
      <c r="F2076" s="1437">
        <f t="shared" si="291"/>
        <v>2.0431699999999999</v>
      </c>
      <c r="G2076" s="1437">
        <f t="shared" si="292"/>
        <v>2.0431699999999999</v>
      </c>
      <c r="H2076" s="1437">
        <f t="shared" si="293"/>
        <v>0</v>
      </c>
      <c r="I2076" s="1437">
        <v>0</v>
      </c>
      <c r="J2076" s="1437">
        <v>0</v>
      </c>
      <c r="K2076" s="1438"/>
      <c r="L2076" s="1438"/>
      <c r="M2076" s="1437">
        <f t="shared" si="294"/>
        <v>0</v>
      </c>
      <c r="N2076" s="1437">
        <f t="shared" si="295"/>
        <v>0</v>
      </c>
    </row>
    <row r="2077" spans="1:14" ht="15.5" outlineLevel="1">
      <c r="A2077" s="1491">
        <f t="shared" si="299"/>
        <v>22</v>
      </c>
      <c r="B2077" s="1377" t="str">
        <f t="shared" si="299"/>
        <v>Chemical lab building</v>
      </c>
      <c r="C2077" s="1492" t="str">
        <f t="shared" si="299"/>
        <v>Add Cap (As per 296 of 2019)</v>
      </c>
      <c r="D2077" s="1334" t="str">
        <f t="shared" si="299"/>
        <v>-</v>
      </c>
      <c r="E2077" s="1384">
        <f t="shared" si="299"/>
        <v>1.5</v>
      </c>
      <c r="F2077" s="1437">
        <f t="shared" si="291"/>
        <v>0</v>
      </c>
      <c r="G2077" s="1437">
        <f t="shared" si="292"/>
        <v>0</v>
      </c>
      <c r="H2077" s="1437">
        <f t="shared" si="293"/>
        <v>0</v>
      </c>
      <c r="I2077" s="1437">
        <v>0</v>
      </c>
      <c r="J2077" s="1437">
        <v>0</v>
      </c>
      <c r="K2077" s="1438"/>
      <c r="L2077" s="1438"/>
      <c r="M2077" s="1437">
        <f t="shared" si="294"/>
        <v>0</v>
      </c>
      <c r="N2077" s="1437">
        <f t="shared" si="295"/>
        <v>0</v>
      </c>
    </row>
    <row r="2078" spans="1:14" ht="15.5" outlineLevel="1">
      <c r="A2078" s="1491">
        <f t="shared" si="299"/>
        <v>23</v>
      </c>
      <c r="B2078" s="1377" t="str">
        <f t="shared" si="299"/>
        <v>Chemical store</v>
      </c>
      <c r="C2078" s="1492" t="str">
        <f t="shared" si="299"/>
        <v>Add Cap (As per 296 of 2019)</v>
      </c>
      <c r="D2078" s="1334" t="str">
        <f t="shared" si="299"/>
        <v>-</v>
      </c>
      <c r="E2078" s="1384">
        <f t="shared" si="299"/>
        <v>2.5</v>
      </c>
      <c r="F2078" s="1437">
        <f t="shared" si="291"/>
        <v>0</v>
      </c>
      <c r="G2078" s="1437">
        <f t="shared" si="292"/>
        <v>0</v>
      </c>
      <c r="H2078" s="1437">
        <f t="shared" si="293"/>
        <v>0</v>
      </c>
      <c r="I2078" s="1437">
        <v>0</v>
      </c>
      <c r="J2078" s="1437">
        <v>0</v>
      </c>
      <c r="K2078" s="1438"/>
      <c r="L2078" s="1438"/>
      <c r="M2078" s="1437">
        <f t="shared" si="294"/>
        <v>0</v>
      </c>
      <c r="N2078" s="1437">
        <f t="shared" si="295"/>
        <v>0</v>
      </c>
    </row>
    <row r="2079" spans="1:14" outlineLevel="1">
      <c r="A2079" s="1491">
        <f t="shared" si="299"/>
        <v>24</v>
      </c>
      <c r="B2079" s="1397" t="str">
        <f t="shared" si="299"/>
        <v xml:space="preserve"> Lawn development around NDCT.</v>
      </c>
      <c r="C2079" s="1492" t="str">
        <f t="shared" si="299"/>
        <v>Add Cap (As per 296 of 2019)</v>
      </c>
      <c r="D2079" s="1514" t="str">
        <f t="shared" si="299"/>
        <v>-</v>
      </c>
      <c r="E2079" s="1398">
        <f t="shared" si="299"/>
        <v>0.75</v>
      </c>
      <c r="F2079" s="1437">
        <f t="shared" si="291"/>
        <v>0</v>
      </c>
      <c r="G2079" s="1437">
        <f t="shared" si="292"/>
        <v>0</v>
      </c>
      <c r="H2079" s="1437">
        <f t="shared" si="293"/>
        <v>0</v>
      </c>
      <c r="I2079" s="1437">
        <v>0</v>
      </c>
      <c r="J2079" s="1437">
        <v>0</v>
      </c>
      <c r="K2079" s="1438"/>
      <c r="L2079" s="1438"/>
      <c r="M2079" s="1437">
        <f t="shared" si="294"/>
        <v>0</v>
      </c>
      <c r="N2079" s="1437">
        <f t="shared" si="295"/>
        <v>0</v>
      </c>
    </row>
    <row r="2080" spans="1:14" outlineLevel="1">
      <c r="A2080" s="1491">
        <f t="shared" si="299"/>
        <v>25</v>
      </c>
      <c r="B2080" s="1399" t="str">
        <f t="shared" si="299"/>
        <v>Tree plantation &amp; greenery along road side.</v>
      </c>
      <c r="C2080" s="1492" t="str">
        <f t="shared" si="299"/>
        <v>Add Cap (As per 296 of 2019)</v>
      </c>
      <c r="D2080" s="1334" t="str">
        <f t="shared" si="299"/>
        <v>-</v>
      </c>
      <c r="E2080" s="1400">
        <f t="shared" si="299"/>
        <v>0.5</v>
      </c>
      <c r="F2080" s="1437">
        <f t="shared" si="291"/>
        <v>0</v>
      </c>
      <c r="G2080" s="1437">
        <f t="shared" si="292"/>
        <v>0</v>
      </c>
      <c r="H2080" s="1437">
        <f t="shared" si="293"/>
        <v>0</v>
      </c>
      <c r="I2080" s="1437">
        <v>0</v>
      </c>
      <c r="J2080" s="1437">
        <v>0</v>
      </c>
      <c r="K2080" s="1438"/>
      <c r="L2080" s="1438"/>
      <c r="M2080" s="1437">
        <f t="shared" si="294"/>
        <v>0</v>
      </c>
      <c r="N2080" s="1437">
        <f t="shared" si="295"/>
        <v>0</v>
      </c>
    </row>
    <row r="2081" spans="1:14" outlineLevel="1">
      <c r="A2081" s="1491">
        <f t="shared" si="299"/>
        <v>26</v>
      </c>
      <c r="B2081" s="1399" t="str">
        <f t="shared" si="299"/>
        <v>Greenery development in area between  WTP &amp; main plant.</v>
      </c>
      <c r="C2081" s="1492" t="str">
        <f t="shared" si="299"/>
        <v>Add Cap (As per 296 of 2019)</v>
      </c>
      <c r="D2081" s="1334" t="str">
        <f t="shared" si="299"/>
        <v>-</v>
      </c>
      <c r="E2081" s="1400">
        <f t="shared" si="299"/>
        <v>1.25</v>
      </c>
      <c r="F2081" s="1437">
        <f t="shared" si="291"/>
        <v>0</v>
      </c>
      <c r="G2081" s="1437">
        <f t="shared" si="292"/>
        <v>0</v>
      </c>
      <c r="H2081" s="1437">
        <f t="shared" si="293"/>
        <v>0</v>
      </c>
      <c r="I2081" s="1437">
        <v>0</v>
      </c>
      <c r="J2081" s="1437">
        <v>0</v>
      </c>
      <c r="K2081" s="1438"/>
      <c r="L2081" s="1438"/>
      <c r="M2081" s="1437">
        <f t="shared" si="294"/>
        <v>0</v>
      </c>
      <c r="N2081" s="1437">
        <f t="shared" si="295"/>
        <v>0</v>
      </c>
    </row>
    <row r="2082" spans="1:14" ht="15.5" outlineLevel="1">
      <c r="A2082" s="1491">
        <f t="shared" si="299"/>
        <v>27</v>
      </c>
      <c r="B2082" s="1385" t="str">
        <f t="shared" si="299"/>
        <v>Construction of staff rooms &amp; store for CHP maint..</v>
      </c>
      <c r="C2082" s="1492" t="str">
        <f t="shared" si="299"/>
        <v>Add Cap (As per 296 of 2019)</v>
      </c>
      <c r="D2082" s="1334" t="str">
        <f t="shared" si="299"/>
        <v>-</v>
      </c>
      <c r="E2082" s="1378">
        <f t="shared" si="299"/>
        <v>1</v>
      </c>
      <c r="F2082" s="1437">
        <f t="shared" si="291"/>
        <v>0.90702717499999985</v>
      </c>
      <c r="G2082" s="1437">
        <f t="shared" si="292"/>
        <v>0.90702717499999996</v>
      </c>
      <c r="H2082" s="1437">
        <f t="shared" si="293"/>
        <v>0</v>
      </c>
      <c r="I2082" s="1437">
        <v>0</v>
      </c>
      <c r="J2082" s="1437">
        <v>0</v>
      </c>
      <c r="K2082" s="1438"/>
      <c r="L2082" s="1438"/>
      <c r="M2082" s="1437">
        <f t="shared" si="294"/>
        <v>0</v>
      </c>
      <c r="N2082" s="1437">
        <f t="shared" si="295"/>
        <v>0</v>
      </c>
    </row>
    <row r="2083" spans="1:14" ht="15.5" outlineLevel="1">
      <c r="A2083" s="1491">
        <f t="shared" si="299"/>
        <v>28</v>
      </c>
      <c r="B2083" s="1377" t="str">
        <f t="shared" si="299"/>
        <v xml:space="preserve">Dsludg filteration for raw water </v>
      </c>
      <c r="C2083" s="1492" t="str">
        <f t="shared" si="299"/>
        <v>Add Cap (As per 296 of 2019)</v>
      </c>
      <c r="D2083" s="1334" t="str">
        <f t="shared" si="299"/>
        <v>-</v>
      </c>
      <c r="E2083" s="1401">
        <f t="shared" si="299"/>
        <v>17</v>
      </c>
      <c r="F2083" s="1437">
        <f t="shared" si="291"/>
        <v>0</v>
      </c>
      <c r="G2083" s="1437">
        <f t="shared" si="292"/>
        <v>0</v>
      </c>
      <c r="H2083" s="1437">
        <f t="shared" si="293"/>
        <v>0</v>
      </c>
      <c r="I2083" s="1437">
        <v>0</v>
      </c>
      <c r="J2083" s="1437">
        <v>0</v>
      </c>
      <c r="K2083" s="1438"/>
      <c r="L2083" s="1438"/>
      <c r="M2083" s="1437">
        <f t="shared" si="294"/>
        <v>0</v>
      </c>
      <c r="N2083" s="1437">
        <f t="shared" si="295"/>
        <v>0</v>
      </c>
    </row>
    <row r="2084" spans="1:14" ht="15.5" outlineLevel="1">
      <c r="A2084" s="1491">
        <f t="shared" si="299"/>
        <v>29</v>
      </c>
      <c r="B2084" s="1525" t="str">
        <f t="shared" si="299"/>
        <v>PLC/UPS system  upgradation</v>
      </c>
      <c r="C2084" s="1492" t="str">
        <f t="shared" si="299"/>
        <v>Add Cap (As per 296 of 2019)</v>
      </c>
      <c r="D2084" s="1514" t="str">
        <f t="shared" si="299"/>
        <v>-</v>
      </c>
      <c r="E2084" s="1498">
        <f t="shared" si="299"/>
        <v>0.5</v>
      </c>
      <c r="F2084" s="1437">
        <f t="shared" si="291"/>
        <v>0.40149499999999999</v>
      </c>
      <c r="G2084" s="1437">
        <f t="shared" si="292"/>
        <v>0.40149499999999999</v>
      </c>
      <c r="H2084" s="1437">
        <f t="shared" si="293"/>
        <v>0</v>
      </c>
      <c r="I2084" s="1437">
        <v>0</v>
      </c>
      <c r="J2084" s="1437">
        <v>0</v>
      </c>
      <c r="K2084" s="1438"/>
      <c r="L2084" s="1438"/>
      <c r="M2084" s="1437">
        <f t="shared" si="294"/>
        <v>0</v>
      </c>
      <c r="N2084" s="1437">
        <f t="shared" si="295"/>
        <v>0</v>
      </c>
    </row>
    <row r="2085" spans="1:14" outlineLevel="1">
      <c r="A2085" s="1392">
        <f t="shared" ref="A2085:E2100" si="300">A1692</f>
        <v>0</v>
      </c>
      <c r="B2085" s="1332" t="str">
        <f t="shared" si="300"/>
        <v>DPR Schemes</v>
      </c>
      <c r="C2085" s="1338">
        <f t="shared" si="300"/>
        <v>0</v>
      </c>
      <c r="D2085" s="1334" t="str">
        <f t="shared" si="300"/>
        <v>-</v>
      </c>
      <c r="E2085" s="1336">
        <f t="shared" si="300"/>
        <v>0</v>
      </c>
      <c r="F2085" s="1437">
        <f t="shared" si="291"/>
        <v>0</v>
      </c>
      <c r="G2085" s="1437">
        <f t="shared" si="292"/>
        <v>0</v>
      </c>
      <c r="H2085" s="1437">
        <f t="shared" si="293"/>
        <v>0</v>
      </c>
      <c r="I2085" s="1437">
        <v>0</v>
      </c>
      <c r="J2085" s="1437">
        <v>0</v>
      </c>
      <c r="K2085" s="1438"/>
      <c r="L2085" s="1438"/>
      <c r="M2085" s="1437">
        <f t="shared" si="294"/>
        <v>0</v>
      </c>
      <c r="N2085" s="1437">
        <f t="shared" si="295"/>
        <v>0</v>
      </c>
    </row>
    <row r="2086" spans="1:14" outlineLevel="1">
      <c r="A2086" s="1526">
        <f t="shared" si="300"/>
        <v>22</v>
      </c>
      <c r="B2086" s="1527" t="str">
        <f t="shared" si="300"/>
        <v>FGD at Parli Unit # 8</v>
      </c>
      <c r="C2086" s="1526" t="str">
        <f t="shared" si="300"/>
        <v>MERC/CAPEX/2021-2022/0284</v>
      </c>
      <c r="D2086" s="1528">
        <f t="shared" si="300"/>
        <v>44739</v>
      </c>
      <c r="E2086" s="1405">
        <f t="shared" si="300"/>
        <v>89.240000000000009</v>
      </c>
      <c r="F2086" s="1437">
        <f t="shared" si="291"/>
        <v>4.0999999999999996</v>
      </c>
      <c r="G2086" s="1437">
        <f t="shared" si="292"/>
        <v>0</v>
      </c>
      <c r="H2086" s="1437">
        <f t="shared" si="293"/>
        <v>4.0999999999999996</v>
      </c>
      <c r="I2086" s="1437">
        <v>0</v>
      </c>
      <c r="J2086" s="1437">
        <v>0</v>
      </c>
      <c r="K2086" s="1438"/>
      <c r="L2086" s="1438"/>
      <c r="M2086" s="1437">
        <f t="shared" si="294"/>
        <v>0</v>
      </c>
      <c r="N2086" s="1437">
        <f t="shared" si="295"/>
        <v>4.0999999999999996</v>
      </c>
    </row>
    <row r="2087" spans="1:14" outlineLevel="1">
      <c r="A2087" s="1499">
        <f t="shared" si="300"/>
        <v>22.1</v>
      </c>
      <c r="B2087" s="1530" t="str">
        <f t="shared" si="300"/>
        <v>FGD at Parli Unit # 8</v>
      </c>
      <c r="C2087" s="1491" t="str">
        <f t="shared" si="300"/>
        <v>MERC/CAPEX/2021-2022/0284</v>
      </c>
      <c r="D2087" s="1531">
        <f t="shared" si="300"/>
        <v>44739</v>
      </c>
      <c r="E2087" s="1318">
        <f t="shared" si="300"/>
        <v>85.2</v>
      </c>
      <c r="F2087" s="1437">
        <f t="shared" si="291"/>
        <v>95.21</v>
      </c>
      <c r="G2087" s="1437">
        <f t="shared" si="292"/>
        <v>108.86</v>
      </c>
      <c r="H2087" s="1437">
        <f t="shared" si="293"/>
        <v>-13.650000000000006</v>
      </c>
      <c r="I2087" s="1437">
        <v>0</v>
      </c>
      <c r="J2087" s="1437">
        <v>0</v>
      </c>
      <c r="K2087" s="1438"/>
      <c r="L2087" s="1438"/>
      <c r="M2087" s="1437">
        <f t="shared" si="294"/>
        <v>0</v>
      </c>
      <c r="N2087" s="1437">
        <f t="shared" si="295"/>
        <v>-13.650000000000006</v>
      </c>
    </row>
    <row r="2088" spans="1:14" outlineLevel="1">
      <c r="A2088" s="1511">
        <f t="shared" si="300"/>
        <v>0</v>
      </c>
      <c r="B2088" s="1532" t="str">
        <f t="shared" si="300"/>
        <v>IDC</v>
      </c>
      <c r="C2088" s="1491" t="str">
        <f t="shared" si="300"/>
        <v>MERC/CAPEX/2021-2022/0284</v>
      </c>
      <c r="D2088" s="1531">
        <f t="shared" si="300"/>
        <v>44739</v>
      </c>
      <c r="E2088" s="1318">
        <f t="shared" si="300"/>
        <v>4.04</v>
      </c>
      <c r="F2088" s="1437">
        <f t="shared" si="291"/>
        <v>4.04</v>
      </c>
      <c r="G2088" s="1437">
        <f t="shared" si="292"/>
        <v>0</v>
      </c>
      <c r="H2088" s="1437">
        <f t="shared" si="293"/>
        <v>4.04</v>
      </c>
      <c r="I2088" s="1437">
        <v>0</v>
      </c>
      <c r="J2088" s="1437">
        <v>0</v>
      </c>
      <c r="K2088" s="1438"/>
      <c r="L2088" s="1438"/>
      <c r="M2088" s="1437">
        <f t="shared" si="294"/>
        <v>0</v>
      </c>
      <c r="N2088" s="1437">
        <f t="shared" si="295"/>
        <v>4.04</v>
      </c>
    </row>
    <row r="2089" spans="1:14" ht="31" outlineLevel="1">
      <c r="A2089" s="1533" t="str">
        <f t="shared" si="300"/>
        <v>HO
DPR 16</v>
      </c>
      <c r="B2089" s="1534" t="str">
        <f t="shared" si="300"/>
        <v>Construction of new Administrative Building for Mahagenco at Vidyut Bhawan, Katol Road, Nagpur</v>
      </c>
      <c r="C2089" s="1526" t="str">
        <f t="shared" si="300"/>
        <v>MERC/CAPEX/2021-2022/MSPGCL/063</v>
      </c>
      <c r="D2089" s="1528">
        <f t="shared" si="300"/>
        <v>44604</v>
      </c>
      <c r="E2089" s="1405">
        <f t="shared" si="300"/>
        <v>57</v>
      </c>
      <c r="F2089" s="1437">
        <f t="shared" si="291"/>
        <v>0</v>
      </c>
      <c r="G2089" s="1437">
        <f t="shared" si="292"/>
        <v>0</v>
      </c>
      <c r="H2089" s="1437">
        <f t="shared" si="293"/>
        <v>0</v>
      </c>
      <c r="I2089" s="1437">
        <v>0</v>
      </c>
      <c r="J2089" s="1437">
        <v>0</v>
      </c>
      <c r="K2089" s="1438"/>
      <c r="L2089" s="1438"/>
      <c r="M2089" s="1437">
        <f t="shared" si="294"/>
        <v>0</v>
      </c>
      <c r="N2089" s="1437">
        <f t="shared" si="295"/>
        <v>0</v>
      </c>
    </row>
    <row r="2090" spans="1:14" ht="46.5" outlineLevel="1">
      <c r="A2090" s="1535" t="str">
        <f t="shared" si="300"/>
        <v>HO
DPR 16.1</v>
      </c>
      <c r="B2090" s="1536" t="str">
        <f t="shared" si="300"/>
        <v>Construction of new Administrative Building for Mahagenco at Vidyut Bhawan, Katol Road, Nagpur</v>
      </c>
      <c r="C2090" s="1491" t="str">
        <f t="shared" si="300"/>
        <v>MERC/CAPEX/2021-2022/MSPGCL/063</v>
      </c>
      <c r="D2090" s="1531">
        <f t="shared" si="300"/>
        <v>44604</v>
      </c>
      <c r="E2090" s="1318">
        <f t="shared" si="300"/>
        <v>54.24</v>
      </c>
      <c r="F2090" s="1437">
        <f t="shared" si="291"/>
        <v>0</v>
      </c>
      <c r="G2090" s="1437">
        <f t="shared" si="292"/>
        <v>0</v>
      </c>
      <c r="H2090" s="1437">
        <f t="shared" si="293"/>
        <v>0</v>
      </c>
      <c r="I2090" s="1437">
        <v>0</v>
      </c>
      <c r="J2090" s="1437">
        <v>0</v>
      </c>
      <c r="K2090" s="1438"/>
      <c r="L2090" s="1438"/>
      <c r="M2090" s="1437">
        <f t="shared" si="294"/>
        <v>0</v>
      </c>
      <c r="N2090" s="1437">
        <f t="shared" si="295"/>
        <v>0</v>
      </c>
    </row>
    <row r="2091" spans="1:14" ht="15.5" outlineLevel="1">
      <c r="A2091" s="1537">
        <f t="shared" si="300"/>
        <v>0</v>
      </c>
      <c r="B2091" s="1536" t="str">
        <f t="shared" si="300"/>
        <v>IDC</v>
      </c>
      <c r="C2091" s="1491" t="str">
        <f t="shared" si="300"/>
        <v>MERC/CAPEX/2021-2022/MSPGCL/063</v>
      </c>
      <c r="D2091" s="1531">
        <f t="shared" si="300"/>
        <v>44604</v>
      </c>
      <c r="E2091" s="1318">
        <f t="shared" si="300"/>
        <v>2.76</v>
      </c>
      <c r="F2091" s="1437">
        <f t="shared" si="291"/>
        <v>0</v>
      </c>
      <c r="G2091" s="1437">
        <f t="shared" si="292"/>
        <v>0</v>
      </c>
      <c r="H2091" s="1437">
        <f t="shared" si="293"/>
        <v>0</v>
      </c>
      <c r="I2091" s="1437">
        <v>0</v>
      </c>
      <c r="J2091" s="1437">
        <v>0</v>
      </c>
      <c r="K2091" s="1438"/>
      <c r="L2091" s="1438"/>
      <c r="M2091" s="1437">
        <f t="shared" si="294"/>
        <v>0</v>
      </c>
      <c r="N2091" s="1437">
        <f t="shared" si="295"/>
        <v>0</v>
      </c>
    </row>
    <row r="2092" spans="1:14" ht="31" outlineLevel="1">
      <c r="A2092" s="1533" t="str">
        <f t="shared" si="300"/>
        <v>HO
DPR 17</v>
      </c>
      <c r="B2092" s="1534" t="str">
        <f t="shared" si="300"/>
        <v>Centralized Monitoring Solution</v>
      </c>
      <c r="C2092" s="1526" t="str">
        <f t="shared" si="300"/>
        <v>MERC/CAPEX/MSPGCL/2023-24/0576</v>
      </c>
      <c r="D2092" s="1528">
        <f t="shared" si="300"/>
        <v>45232</v>
      </c>
      <c r="E2092" s="1405">
        <f t="shared" si="300"/>
        <v>69.308999999999997</v>
      </c>
      <c r="F2092" s="1437">
        <f t="shared" si="291"/>
        <v>0</v>
      </c>
      <c r="G2092" s="1437">
        <f t="shared" si="292"/>
        <v>0</v>
      </c>
      <c r="H2092" s="1437">
        <f t="shared" si="293"/>
        <v>0</v>
      </c>
      <c r="I2092" s="1437">
        <v>0</v>
      </c>
      <c r="J2092" s="1437">
        <v>0</v>
      </c>
      <c r="K2092" s="1438"/>
      <c r="L2092" s="1438"/>
      <c r="M2092" s="1437">
        <f t="shared" si="294"/>
        <v>0</v>
      </c>
      <c r="N2092" s="1437">
        <f t="shared" si="295"/>
        <v>0</v>
      </c>
    </row>
    <row r="2093" spans="1:14" ht="46.5" outlineLevel="1">
      <c r="A2093" s="1535" t="str">
        <f t="shared" si="300"/>
        <v>HO
DPR 17.1</v>
      </c>
      <c r="B2093" s="1536" t="str">
        <f t="shared" si="300"/>
        <v>Centralized Monitoring Solution</v>
      </c>
      <c r="C2093" s="1491" t="str">
        <f t="shared" si="300"/>
        <v>MERC/CAPEX/MSPGCL/2023-24/0576</v>
      </c>
      <c r="D2093" s="1531">
        <f t="shared" si="300"/>
        <v>45232</v>
      </c>
      <c r="E2093" s="1318">
        <f t="shared" si="300"/>
        <v>66.009</v>
      </c>
      <c r="F2093" s="1437">
        <f t="shared" si="291"/>
        <v>2.23</v>
      </c>
      <c r="G2093" s="1437">
        <f t="shared" si="292"/>
        <v>2.23</v>
      </c>
      <c r="H2093" s="1437">
        <f t="shared" si="293"/>
        <v>0</v>
      </c>
      <c r="I2093" s="1437">
        <v>0</v>
      </c>
      <c r="J2093" s="1437">
        <v>0</v>
      </c>
      <c r="K2093" s="1438"/>
      <c r="L2093" s="1438"/>
      <c r="M2093" s="1437">
        <f t="shared" si="294"/>
        <v>0</v>
      </c>
      <c r="N2093" s="1437">
        <f t="shared" si="295"/>
        <v>0</v>
      </c>
    </row>
    <row r="2094" spans="1:14" ht="15.5" outlineLevel="1">
      <c r="A2094" s="1537">
        <f t="shared" si="300"/>
        <v>0</v>
      </c>
      <c r="B2094" s="1536" t="str">
        <f t="shared" si="300"/>
        <v>IDC</v>
      </c>
      <c r="C2094" s="1491" t="str">
        <f t="shared" si="300"/>
        <v>MERC/CAPEX/MSPGCL/2023-24/0576</v>
      </c>
      <c r="D2094" s="1531">
        <f t="shared" si="300"/>
        <v>45232</v>
      </c>
      <c r="E2094" s="1318">
        <f t="shared" si="300"/>
        <v>3.3</v>
      </c>
      <c r="F2094" s="1437">
        <f t="shared" si="291"/>
        <v>0</v>
      </c>
      <c r="G2094" s="1437">
        <f t="shared" si="292"/>
        <v>0</v>
      </c>
      <c r="H2094" s="1437">
        <f t="shared" si="293"/>
        <v>0</v>
      </c>
      <c r="I2094" s="1437">
        <v>0</v>
      </c>
      <c r="J2094" s="1437">
        <v>0</v>
      </c>
      <c r="K2094" s="1438"/>
      <c r="L2094" s="1438"/>
      <c r="M2094" s="1437">
        <f t="shared" si="294"/>
        <v>0</v>
      </c>
      <c r="N2094" s="1437">
        <f t="shared" si="295"/>
        <v>0</v>
      </c>
    </row>
    <row r="2095" spans="1:14" outlineLevel="1">
      <c r="A2095" s="1505">
        <f t="shared" si="300"/>
        <v>0</v>
      </c>
      <c r="B2095" s="1332" t="str">
        <f t="shared" si="300"/>
        <v>(ii) Yet to be submitted to MERC</v>
      </c>
      <c r="C2095" s="1491">
        <f t="shared" si="300"/>
        <v>0</v>
      </c>
      <c r="D2095" s="1531" t="str">
        <f t="shared" si="300"/>
        <v>-</v>
      </c>
      <c r="E2095" s="1318">
        <f t="shared" si="300"/>
        <v>0</v>
      </c>
      <c r="F2095" s="1437">
        <f t="shared" si="291"/>
        <v>0</v>
      </c>
      <c r="G2095" s="1437">
        <f t="shared" si="292"/>
        <v>0</v>
      </c>
      <c r="H2095" s="1437">
        <f t="shared" si="293"/>
        <v>0</v>
      </c>
      <c r="I2095" s="1437">
        <v>0</v>
      </c>
      <c r="J2095" s="1437">
        <v>0</v>
      </c>
      <c r="K2095" s="1438"/>
      <c r="L2095" s="1438"/>
      <c r="M2095" s="1437">
        <f t="shared" si="294"/>
        <v>0</v>
      </c>
      <c r="N2095" s="1437">
        <f t="shared" si="295"/>
        <v>0</v>
      </c>
    </row>
    <row r="2096" spans="1:14" ht="46.5" outlineLevel="1">
      <c r="A2096" s="1533">
        <f t="shared" si="300"/>
        <v>1</v>
      </c>
      <c r="B2096" s="1534" t="str">
        <f t="shared" si="300"/>
        <v xml:space="preserve">Detailed Project Report on  Boiler plant performance improvement and availability improvement schemes at Boiler Maintenance 1x250MW Unit-8 TPS Parli-V </v>
      </c>
      <c r="C2096" s="1526" t="str">
        <f t="shared" si="300"/>
        <v>Yet to be approved</v>
      </c>
      <c r="D2096" s="1528" t="str">
        <f t="shared" si="300"/>
        <v>-</v>
      </c>
      <c r="E2096" s="1405">
        <f t="shared" si="300"/>
        <v>0</v>
      </c>
      <c r="F2096" s="1437">
        <f t="shared" si="291"/>
        <v>0</v>
      </c>
      <c r="G2096" s="1437">
        <f t="shared" si="292"/>
        <v>0</v>
      </c>
      <c r="H2096" s="1437">
        <f t="shared" si="293"/>
        <v>0</v>
      </c>
      <c r="I2096" s="1437">
        <v>0</v>
      </c>
      <c r="J2096" s="1437">
        <v>0</v>
      </c>
      <c r="K2096" s="1438"/>
      <c r="L2096" s="1438"/>
      <c r="M2096" s="1437">
        <f t="shared" si="294"/>
        <v>0</v>
      </c>
      <c r="N2096" s="1437">
        <f t="shared" si="295"/>
        <v>0</v>
      </c>
    </row>
    <row r="2097" spans="1:14" ht="29" outlineLevel="1">
      <c r="A2097" s="1491">
        <f t="shared" si="300"/>
        <v>1.1000000000000001</v>
      </c>
      <c r="B2097" s="1530" t="str">
        <f t="shared" si="300"/>
        <v>Procurement &amp; Replacement of Complete Economizer Upper &amp; Lower Bank Coil Assemblies at Unit-8, NPTPS Parli-V</v>
      </c>
      <c r="C2097" s="1491" t="str">
        <f t="shared" si="300"/>
        <v>Yet to be approved</v>
      </c>
      <c r="D2097" s="1531" t="str">
        <f t="shared" si="300"/>
        <v>-</v>
      </c>
      <c r="E2097" s="1318">
        <f t="shared" si="300"/>
        <v>0</v>
      </c>
      <c r="F2097" s="1437">
        <f t="shared" si="291"/>
        <v>5.68</v>
      </c>
      <c r="G2097" s="1437">
        <f t="shared" si="292"/>
        <v>5.68</v>
      </c>
      <c r="H2097" s="1437">
        <f t="shared" si="293"/>
        <v>0</v>
      </c>
      <c r="I2097" s="1437">
        <v>0</v>
      </c>
      <c r="J2097" s="1437">
        <v>0</v>
      </c>
      <c r="K2097" s="1438"/>
      <c r="L2097" s="1438"/>
      <c r="M2097" s="1437">
        <f t="shared" si="294"/>
        <v>0</v>
      </c>
      <c r="N2097" s="1437">
        <f t="shared" si="295"/>
        <v>0</v>
      </c>
    </row>
    <row r="2098" spans="1:14" ht="29" outlineLevel="1">
      <c r="A2098" s="1491">
        <f t="shared" si="300"/>
        <v>1.2</v>
      </c>
      <c r="B2098" s="1530" t="str">
        <f t="shared" si="300"/>
        <v>Procurement &amp; Replacement of Two complete set of APH Baskets at 250 MW Unit-8, Parli TPS.</v>
      </c>
      <c r="C2098" s="1491" t="str">
        <f t="shared" si="300"/>
        <v>Yet to be approved</v>
      </c>
      <c r="D2098" s="1531" t="str">
        <f t="shared" si="300"/>
        <v>-</v>
      </c>
      <c r="E2098" s="1318">
        <f t="shared" si="300"/>
        <v>0</v>
      </c>
      <c r="F2098" s="1437">
        <f t="shared" si="291"/>
        <v>4.5</v>
      </c>
      <c r="G2098" s="1437">
        <f t="shared" si="292"/>
        <v>4.5</v>
      </c>
      <c r="H2098" s="1437">
        <f t="shared" si="293"/>
        <v>0</v>
      </c>
      <c r="I2098" s="1437">
        <v>0</v>
      </c>
      <c r="J2098" s="1437">
        <v>0</v>
      </c>
      <c r="K2098" s="1438"/>
      <c r="L2098" s="1438"/>
      <c r="M2098" s="1437">
        <f t="shared" si="294"/>
        <v>0</v>
      </c>
      <c r="N2098" s="1437">
        <f t="shared" si="295"/>
        <v>0</v>
      </c>
    </row>
    <row r="2099" spans="1:14" ht="29" outlineLevel="1">
      <c r="A2099" s="1491">
        <f t="shared" si="300"/>
        <v>1.3</v>
      </c>
      <c r="B2099" s="1530" t="str">
        <f t="shared" si="300"/>
        <v>Procurement &amp; replacement of  PA Fan PAF 17/11.8-2 and FD Fan FAF 17/9.5-1 Complete Blade set required at BM U-8 NPTPS Parli-V.</v>
      </c>
      <c r="C2099" s="1491" t="str">
        <f t="shared" si="300"/>
        <v>Yet to be approved</v>
      </c>
      <c r="D2099" s="1531" t="str">
        <f t="shared" si="300"/>
        <v>-</v>
      </c>
      <c r="E2099" s="1318">
        <f t="shared" si="300"/>
        <v>0</v>
      </c>
      <c r="F2099" s="1437">
        <f t="shared" si="291"/>
        <v>5.45</v>
      </c>
      <c r="G2099" s="1437">
        <f t="shared" si="292"/>
        <v>5.45</v>
      </c>
      <c r="H2099" s="1437">
        <f t="shared" si="293"/>
        <v>0</v>
      </c>
      <c r="I2099" s="1437">
        <v>0</v>
      </c>
      <c r="J2099" s="1437">
        <v>0</v>
      </c>
      <c r="K2099" s="1438"/>
      <c r="L2099" s="1438"/>
      <c r="M2099" s="1437">
        <f t="shared" si="294"/>
        <v>0</v>
      </c>
      <c r="N2099" s="1437">
        <f t="shared" si="295"/>
        <v>0</v>
      </c>
    </row>
    <row r="2100" spans="1:14" ht="29" outlineLevel="1">
      <c r="A2100" s="1491">
        <f t="shared" si="300"/>
        <v>1.4</v>
      </c>
      <c r="B2100" s="1530" t="str">
        <f t="shared" si="300"/>
        <v>Procurement &amp; Replacement of  Coal Mill Gear Box Type KMP 280 at 250 MW Unit-8, Parli TPS.</v>
      </c>
      <c r="C2100" s="1491" t="str">
        <f t="shared" si="300"/>
        <v>Yet to be approved</v>
      </c>
      <c r="D2100" s="1531" t="str">
        <f t="shared" si="300"/>
        <v>-</v>
      </c>
      <c r="E2100" s="1318">
        <f t="shared" si="300"/>
        <v>0</v>
      </c>
      <c r="F2100" s="1437">
        <f t="shared" si="291"/>
        <v>7.43</v>
      </c>
      <c r="G2100" s="1437">
        <f t="shared" si="292"/>
        <v>7.43</v>
      </c>
      <c r="H2100" s="1437">
        <f t="shared" si="293"/>
        <v>0</v>
      </c>
      <c r="I2100" s="1437">
        <v>0</v>
      </c>
      <c r="J2100" s="1437">
        <v>0</v>
      </c>
      <c r="K2100" s="1438"/>
      <c r="L2100" s="1438"/>
      <c r="M2100" s="1437">
        <f t="shared" si="294"/>
        <v>0</v>
      </c>
      <c r="N2100" s="1437">
        <f t="shared" si="295"/>
        <v>0</v>
      </c>
    </row>
    <row r="2101" spans="1:14" ht="29" outlineLevel="1">
      <c r="A2101" s="1491">
        <f t="shared" ref="A2101:E2116" si="301">A1708</f>
        <v>1.5</v>
      </c>
      <c r="B2101" s="1530" t="str">
        <f t="shared" si="301"/>
        <v>Procurement &amp; replacement of Bowl &amp; Bowl Hub Assembly of Coal Mill XRP-903 required at BM U-8 NPTPS Parli-V.</v>
      </c>
      <c r="C2101" s="1491" t="str">
        <f t="shared" si="301"/>
        <v>Yet to be approved</v>
      </c>
      <c r="D2101" s="1531" t="str">
        <f t="shared" si="301"/>
        <v>-</v>
      </c>
      <c r="E2101" s="1318">
        <f t="shared" si="301"/>
        <v>0</v>
      </c>
      <c r="F2101" s="1437">
        <f t="shared" si="291"/>
        <v>3.1</v>
      </c>
      <c r="G2101" s="1437">
        <f t="shared" si="292"/>
        <v>3.1</v>
      </c>
      <c r="H2101" s="1437">
        <f t="shared" si="293"/>
        <v>0</v>
      </c>
      <c r="I2101" s="1437">
        <v>0</v>
      </c>
      <c r="J2101" s="1437">
        <v>0</v>
      </c>
      <c r="K2101" s="1438"/>
      <c r="L2101" s="1438"/>
      <c r="M2101" s="1437">
        <f t="shared" ref="M2101" si="302">SUM(J2101:L2101)</f>
        <v>0</v>
      </c>
      <c r="N2101" s="1437">
        <f t="shared" si="295"/>
        <v>0</v>
      </c>
    </row>
    <row r="2102" spans="1:14" ht="29" outlineLevel="1">
      <c r="A2102" s="1491">
        <f t="shared" si="301"/>
        <v>1.6</v>
      </c>
      <c r="B2102" s="1530" t="str">
        <f t="shared" si="301"/>
        <v>Procurement of Complete Journal Assembly without Grinding roll for Coal Mill XRP-903  required at BM U-8 NPTPS Parli-V</v>
      </c>
      <c r="C2102" s="1491" t="str">
        <f t="shared" si="301"/>
        <v>Yet to be approved</v>
      </c>
      <c r="D2102" s="1531" t="str">
        <f t="shared" si="301"/>
        <v>-</v>
      </c>
      <c r="E2102" s="1318">
        <f t="shared" si="301"/>
        <v>0</v>
      </c>
      <c r="F2102" s="1437">
        <f t="shared" si="291"/>
        <v>1.29</v>
      </c>
      <c r="G2102" s="1437">
        <f t="shared" si="292"/>
        <v>1.29</v>
      </c>
      <c r="H2102" s="1437">
        <f t="shared" si="293"/>
        <v>0</v>
      </c>
      <c r="I2102" s="1437">
        <v>0</v>
      </c>
      <c r="J2102" s="1437">
        <v>0</v>
      </c>
      <c r="K2102" s="1438"/>
      <c r="L2102" s="1438"/>
      <c r="M2102" s="1437">
        <f t="shared" ref="M2102:M2166" si="303">SUM(J2102:L2102)</f>
        <v>0</v>
      </c>
      <c r="N2102" s="1437">
        <f t="shared" si="295"/>
        <v>0</v>
      </c>
    </row>
    <row r="2103" spans="1:14" ht="29" outlineLevel="1">
      <c r="A2103" s="1491">
        <f t="shared" si="301"/>
        <v>1.7</v>
      </c>
      <c r="B2103" s="1530" t="str">
        <f t="shared" si="301"/>
        <v>Procurement of  Hydraulic Adjustment Device for FD Fan FAF 17/9.5-1 at BM U-8 NPTPS Parli-V.</v>
      </c>
      <c r="C2103" s="1491" t="str">
        <f t="shared" si="301"/>
        <v>Yet to be approved</v>
      </c>
      <c r="D2103" s="1531" t="str">
        <f t="shared" si="301"/>
        <v>-</v>
      </c>
      <c r="E2103" s="1318">
        <f t="shared" si="301"/>
        <v>0</v>
      </c>
      <c r="F2103" s="1437">
        <f t="shared" si="291"/>
        <v>1.4</v>
      </c>
      <c r="G2103" s="1437">
        <f t="shared" si="292"/>
        <v>1.4</v>
      </c>
      <c r="H2103" s="1437">
        <f t="shared" si="293"/>
        <v>0</v>
      </c>
      <c r="I2103" s="1437">
        <v>0</v>
      </c>
      <c r="J2103" s="1437">
        <v>0</v>
      </c>
      <c r="K2103" s="1438"/>
      <c r="L2103" s="1438"/>
      <c r="M2103" s="1437">
        <f t="shared" si="303"/>
        <v>0</v>
      </c>
      <c r="N2103" s="1437">
        <f t="shared" si="295"/>
        <v>0</v>
      </c>
    </row>
    <row r="2104" spans="1:14" outlineLevel="1">
      <c r="A2104" s="1491">
        <f t="shared" si="301"/>
        <v>1.8</v>
      </c>
      <c r="B2104" s="1530" t="str">
        <f t="shared" si="301"/>
        <v>SWAS upgradation at U#8</v>
      </c>
      <c r="C2104" s="1491" t="str">
        <f t="shared" si="301"/>
        <v>Yet to be approved</v>
      </c>
      <c r="D2104" s="1531" t="str">
        <f t="shared" si="301"/>
        <v>-</v>
      </c>
      <c r="E2104" s="1318">
        <f t="shared" si="301"/>
        <v>0</v>
      </c>
      <c r="F2104" s="1437">
        <f t="shared" ref="F2104:F2167" si="304">F1711+I1711</f>
        <v>4.8</v>
      </c>
      <c r="G2104" s="1437">
        <f t="shared" ref="G2104:G2167" si="305">G1711+M1711</f>
        <v>4.8</v>
      </c>
      <c r="H2104" s="1437">
        <f t="shared" ref="H2104:H2168" si="306">F2104-G2104</f>
        <v>0</v>
      </c>
      <c r="I2104" s="1437">
        <v>0</v>
      </c>
      <c r="J2104" s="1437">
        <v>0</v>
      </c>
      <c r="K2104" s="1438"/>
      <c r="L2104" s="1438"/>
      <c r="M2104" s="1437">
        <f t="shared" si="303"/>
        <v>0</v>
      </c>
      <c r="N2104" s="1437">
        <f t="shared" ref="N2104:N2168" si="307">H2104+I2104-M2104</f>
        <v>0</v>
      </c>
    </row>
    <row r="2105" spans="1:14" ht="21" outlineLevel="1">
      <c r="A2105" s="1538">
        <f t="shared" si="301"/>
        <v>0</v>
      </c>
      <c r="B2105" s="1410" t="str">
        <f t="shared" si="301"/>
        <v>(ii) Yet to be submitted to MERC</v>
      </c>
      <c r="C2105" s="1491">
        <f t="shared" si="301"/>
        <v>0</v>
      </c>
      <c r="D2105" s="1531" t="str">
        <f t="shared" si="301"/>
        <v>-</v>
      </c>
      <c r="E2105" s="1318">
        <f t="shared" si="301"/>
        <v>0</v>
      </c>
      <c r="F2105" s="1437">
        <f t="shared" si="304"/>
        <v>0</v>
      </c>
      <c r="G2105" s="1437">
        <f t="shared" si="305"/>
        <v>0</v>
      </c>
      <c r="H2105" s="1437">
        <f t="shared" si="306"/>
        <v>0</v>
      </c>
      <c r="I2105" s="1437">
        <v>0</v>
      </c>
      <c r="J2105" s="1437">
        <v>0</v>
      </c>
      <c r="K2105" s="1438"/>
      <c r="L2105" s="1438"/>
      <c r="M2105" s="1437">
        <f t="shared" si="303"/>
        <v>0</v>
      </c>
      <c r="N2105" s="1437">
        <f t="shared" si="307"/>
        <v>0</v>
      </c>
    </row>
    <row r="2106" spans="1:14" ht="77.5" outlineLevel="1">
      <c r="A2106" s="1533">
        <f t="shared" si="301"/>
        <v>2</v>
      </c>
      <c r="B2106" s="1534" t="str">
        <f t="shared" si="301"/>
        <v xml:space="preserve"> Procurement &amp; Replacement of Complete Platen super heater coils  Coil Assemblies at Unit-8, TPS Parli-V,  Procurement &amp; Replacement of Complete LTSH upper &amp; lower bank Coil Assemblies at Unit-8, TPS Parli-V &amp;  Procurement &amp; Replacement of  Coal Mill Gear Box Type KMP 280 at 250 MW Unit-8, Parli TPS.</v>
      </c>
      <c r="C2106" s="1491" t="str">
        <f t="shared" si="301"/>
        <v>Yet to be approved</v>
      </c>
      <c r="D2106" s="1531" t="str">
        <f t="shared" si="301"/>
        <v>-</v>
      </c>
      <c r="E2106" s="1318">
        <f t="shared" si="301"/>
        <v>0</v>
      </c>
      <c r="F2106" s="1437">
        <f t="shared" si="304"/>
        <v>0</v>
      </c>
      <c r="G2106" s="1437">
        <f t="shared" si="305"/>
        <v>0</v>
      </c>
      <c r="H2106" s="1437">
        <f t="shared" si="306"/>
        <v>0</v>
      </c>
      <c r="I2106" s="1437">
        <v>0</v>
      </c>
      <c r="J2106" s="1437">
        <v>0</v>
      </c>
      <c r="K2106" s="1438"/>
      <c r="L2106" s="1438"/>
      <c r="M2106" s="1437">
        <f t="shared" si="303"/>
        <v>0</v>
      </c>
      <c r="N2106" s="1437">
        <f t="shared" si="307"/>
        <v>0</v>
      </c>
    </row>
    <row r="2107" spans="1:14" ht="29" outlineLevel="1">
      <c r="A2107" s="1491">
        <f t="shared" si="301"/>
        <v>2.1</v>
      </c>
      <c r="B2107" s="1530" t="str">
        <f t="shared" si="301"/>
        <v>Procurement &amp; Replacement of Complete Platen super heater coils  Coil Assemblies at Unit-8, TPS Parli-V</v>
      </c>
      <c r="C2107" s="1491" t="str">
        <f t="shared" si="301"/>
        <v>Yet to be approved</v>
      </c>
      <c r="D2107" s="1531" t="str">
        <f t="shared" si="301"/>
        <v>-</v>
      </c>
      <c r="E2107" s="1318">
        <f t="shared" si="301"/>
        <v>0</v>
      </c>
      <c r="F2107" s="1437">
        <f t="shared" si="304"/>
        <v>12</v>
      </c>
      <c r="G2107" s="1437">
        <f t="shared" si="305"/>
        <v>12</v>
      </c>
      <c r="H2107" s="1437">
        <f t="shared" si="306"/>
        <v>0</v>
      </c>
      <c r="I2107" s="1437">
        <v>0</v>
      </c>
      <c r="J2107" s="1437">
        <v>0</v>
      </c>
      <c r="K2107" s="1438"/>
      <c r="L2107" s="1438"/>
      <c r="M2107" s="1437">
        <f t="shared" si="303"/>
        <v>0</v>
      </c>
      <c r="N2107" s="1437">
        <f t="shared" si="307"/>
        <v>0</v>
      </c>
    </row>
    <row r="2108" spans="1:14" ht="29" outlineLevel="1">
      <c r="A2108" s="1491">
        <f t="shared" si="301"/>
        <v>2.2000000000000002</v>
      </c>
      <c r="B2108" s="1530" t="str">
        <f t="shared" si="301"/>
        <v>Procurement &amp; Replacement of Complete LTSH upper &amp; lower bank Coil Assemblies at Unit-8, TPS Parli-V</v>
      </c>
      <c r="C2108" s="1491" t="str">
        <f t="shared" si="301"/>
        <v>Yet to be approved</v>
      </c>
      <c r="D2108" s="1531" t="str">
        <f t="shared" si="301"/>
        <v>-</v>
      </c>
      <c r="E2108" s="1318">
        <f t="shared" si="301"/>
        <v>0</v>
      </c>
      <c r="F2108" s="1437">
        <f t="shared" si="304"/>
        <v>9.35</v>
      </c>
      <c r="G2108" s="1437">
        <f t="shared" si="305"/>
        <v>9.35</v>
      </c>
      <c r="H2108" s="1437">
        <f t="shared" si="306"/>
        <v>0</v>
      </c>
      <c r="I2108" s="1437">
        <v>0</v>
      </c>
      <c r="J2108" s="1437">
        <v>0</v>
      </c>
      <c r="K2108" s="1438"/>
      <c r="L2108" s="1438"/>
      <c r="M2108" s="1437">
        <f t="shared" si="303"/>
        <v>0</v>
      </c>
      <c r="N2108" s="1437">
        <f t="shared" si="307"/>
        <v>0</v>
      </c>
    </row>
    <row r="2109" spans="1:14" ht="29" outlineLevel="1">
      <c r="A2109" s="1491">
        <f t="shared" si="301"/>
        <v>2.2999999999999998</v>
      </c>
      <c r="B2109" s="1530" t="str">
        <f t="shared" si="301"/>
        <v xml:space="preserve"> Procurement &amp; Replacement of  Coal Mill Gear Box Type KMP 280 at 250 MW Unit-8, Parli TPS.</v>
      </c>
      <c r="C2109" s="1491" t="str">
        <f t="shared" si="301"/>
        <v>Yet to be approved</v>
      </c>
      <c r="D2109" s="1531" t="str">
        <f t="shared" si="301"/>
        <v>-</v>
      </c>
      <c r="E2109" s="1318">
        <f t="shared" si="301"/>
        <v>0</v>
      </c>
      <c r="F2109" s="1437">
        <f t="shared" si="304"/>
        <v>7.8</v>
      </c>
      <c r="G2109" s="1437">
        <f t="shared" si="305"/>
        <v>7.8</v>
      </c>
      <c r="H2109" s="1437">
        <f t="shared" si="306"/>
        <v>0</v>
      </c>
      <c r="I2109" s="1437">
        <v>0</v>
      </c>
      <c r="J2109" s="1437">
        <v>0</v>
      </c>
      <c r="K2109" s="1438"/>
      <c r="L2109" s="1438"/>
      <c r="M2109" s="1437">
        <f t="shared" si="303"/>
        <v>0</v>
      </c>
      <c r="N2109" s="1437">
        <f t="shared" si="307"/>
        <v>0</v>
      </c>
    </row>
    <row r="2110" spans="1:14" ht="46.5" outlineLevel="1">
      <c r="A2110" s="1533">
        <f t="shared" si="301"/>
        <v>3</v>
      </c>
      <c r="B2110" s="1534" t="str">
        <f t="shared" si="301"/>
        <v xml:space="preserve"> Procurement &amp; Replacement of Two complete set of APH Baskets at 250 MW Unit-8, Parli TPS Procurement &amp; replacement of PA &amp; FD fan rotar hub assembly at Unit-8 TPS Parli-V</v>
      </c>
      <c r="C2110" s="1491" t="str">
        <f t="shared" si="301"/>
        <v>Yet to be approved</v>
      </c>
      <c r="D2110" s="1531" t="str">
        <f t="shared" si="301"/>
        <v>-</v>
      </c>
      <c r="E2110" s="1318">
        <f t="shared" si="301"/>
        <v>0</v>
      </c>
      <c r="F2110" s="1437">
        <f t="shared" si="304"/>
        <v>0</v>
      </c>
      <c r="G2110" s="1437">
        <f t="shared" si="305"/>
        <v>0</v>
      </c>
      <c r="H2110" s="1437">
        <f t="shared" si="306"/>
        <v>0</v>
      </c>
      <c r="I2110" s="1437">
        <v>0</v>
      </c>
      <c r="J2110" s="1437">
        <v>0</v>
      </c>
      <c r="K2110" s="1438"/>
      <c r="L2110" s="1438"/>
      <c r="M2110" s="1437">
        <f t="shared" si="303"/>
        <v>0</v>
      </c>
      <c r="N2110" s="1437">
        <f t="shared" si="307"/>
        <v>0</v>
      </c>
    </row>
    <row r="2111" spans="1:14" ht="29" outlineLevel="1">
      <c r="A2111" s="1491">
        <f t="shared" si="301"/>
        <v>3.1</v>
      </c>
      <c r="B2111" s="1530" t="str">
        <f t="shared" si="301"/>
        <v xml:space="preserve"> Procurement &amp; Replacement of Two complete set of APH Baskets at 250 MW Unit-8, Parli TPS.</v>
      </c>
      <c r="C2111" s="1491" t="str">
        <f t="shared" si="301"/>
        <v>Yet to be approved</v>
      </c>
      <c r="D2111" s="1531" t="str">
        <f t="shared" si="301"/>
        <v>-</v>
      </c>
      <c r="E2111" s="1318">
        <f t="shared" si="301"/>
        <v>0</v>
      </c>
      <c r="F2111" s="1437">
        <f t="shared" si="304"/>
        <v>0</v>
      </c>
      <c r="G2111" s="1437">
        <f t="shared" si="305"/>
        <v>0</v>
      </c>
      <c r="H2111" s="1437">
        <f t="shared" si="306"/>
        <v>0</v>
      </c>
      <c r="I2111" s="1437">
        <v>0</v>
      </c>
      <c r="J2111" s="1437">
        <v>0</v>
      </c>
      <c r="K2111" s="1438"/>
      <c r="L2111" s="1438"/>
      <c r="M2111" s="1437">
        <f t="shared" si="303"/>
        <v>0</v>
      </c>
      <c r="N2111" s="1437">
        <f t="shared" si="307"/>
        <v>0</v>
      </c>
    </row>
    <row r="2112" spans="1:14" ht="29" outlineLevel="1">
      <c r="A2112" s="1491">
        <f t="shared" si="301"/>
        <v>3.2</v>
      </c>
      <c r="B2112" s="1530" t="str">
        <f t="shared" si="301"/>
        <v>Procurement &amp; replacement of PA &amp; FD fan rotar hub assembly at Unit-8 TPS Parli-V</v>
      </c>
      <c r="C2112" s="1491" t="str">
        <f t="shared" si="301"/>
        <v>Yet to be approved</v>
      </c>
      <c r="D2112" s="1531" t="str">
        <f t="shared" si="301"/>
        <v>-</v>
      </c>
      <c r="E2112" s="1318">
        <f t="shared" si="301"/>
        <v>0</v>
      </c>
      <c r="F2112" s="1437">
        <f t="shared" si="304"/>
        <v>0</v>
      </c>
      <c r="G2112" s="1437">
        <f t="shared" si="305"/>
        <v>0</v>
      </c>
      <c r="H2112" s="1437">
        <f t="shared" si="306"/>
        <v>0</v>
      </c>
      <c r="I2112" s="1437">
        <v>10</v>
      </c>
      <c r="J2112" s="1437">
        <v>10</v>
      </c>
      <c r="K2112" s="1438"/>
      <c r="L2112" s="1438"/>
      <c r="M2112" s="1437">
        <f t="shared" si="303"/>
        <v>10</v>
      </c>
      <c r="N2112" s="1437">
        <f t="shared" si="307"/>
        <v>0</v>
      </c>
    </row>
    <row r="2113" spans="1:14" ht="31" outlineLevel="1">
      <c r="A2113" s="1533">
        <f t="shared" si="301"/>
        <v>4</v>
      </c>
      <c r="B2113" s="1534" t="str">
        <f t="shared" si="301"/>
        <v xml:space="preserve">DPR on Refurbishment of TG Governing system at Unit-8, PTPS, Parli V. </v>
      </c>
      <c r="C2113" s="1491" t="str">
        <f t="shared" si="301"/>
        <v>Yet to be approved</v>
      </c>
      <c r="D2113" s="1531" t="str">
        <f t="shared" si="301"/>
        <v>-</v>
      </c>
      <c r="E2113" s="1318">
        <f t="shared" si="301"/>
        <v>0</v>
      </c>
      <c r="F2113" s="1437">
        <f t="shared" si="304"/>
        <v>0</v>
      </c>
      <c r="G2113" s="1437">
        <f t="shared" si="305"/>
        <v>0</v>
      </c>
      <c r="H2113" s="1437">
        <f t="shared" si="306"/>
        <v>0</v>
      </c>
      <c r="I2113" s="1437">
        <v>0</v>
      </c>
      <c r="J2113" s="1437">
        <v>0</v>
      </c>
      <c r="K2113" s="1438"/>
      <c r="L2113" s="1438"/>
      <c r="M2113" s="1437">
        <f t="shared" si="303"/>
        <v>0</v>
      </c>
      <c r="N2113" s="1437">
        <f t="shared" si="307"/>
        <v>0</v>
      </c>
    </row>
    <row r="2114" spans="1:14" outlineLevel="1">
      <c r="A2114" s="1491">
        <f t="shared" si="301"/>
        <v>4.0999999999999996</v>
      </c>
      <c r="B2114" s="1530" t="str">
        <f t="shared" si="301"/>
        <v xml:space="preserve">Refurbishment of TG Governing system at Unit-8, PTPS, Parli V. </v>
      </c>
      <c r="C2114" s="1491" t="str">
        <f t="shared" si="301"/>
        <v>Yet to be approved</v>
      </c>
      <c r="D2114" s="1531" t="str">
        <f t="shared" si="301"/>
        <v>-</v>
      </c>
      <c r="E2114" s="1318">
        <f t="shared" si="301"/>
        <v>0</v>
      </c>
      <c r="F2114" s="1437">
        <f t="shared" si="304"/>
        <v>25</v>
      </c>
      <c r="G2114" s="1437">
        <f t="shared" si="305"/>
        <v>25</v>
      </c>
      <c r="H2114" s="1437">
        <f t="shared" si="306"/>
        <v>0</v>
      </c>
      <c r="I2114" s="1437">
        <v>0</v>
      </c>
      <c r="J2114" s="1437">
        <v>0</v>
      </c>
      <c r="K2114" s="1438"/>
      <c r="L2114" s="1438"/>
      <c r="M2114" s="1437">
        <f t="shared" si="303"/>
        <v>0</v>
      </c>
      <c r="N2114" s="1437">
        <f t="shared" si="307"/>
        <v>0</v>
      </c>
    </row>
    <row r="2115" spans="1:14" ht="31" outlineLevel="1">
      <c r="A2115" s="1533">
        <f t="shared" si="301"/>
        <v>5</v>
      </c>
      <c r="B2115" s="1534" t="str">
        <f t="shared" si="301"/>
        <v>DPR on Performance improvement of Natural Draft Cooling Tower (NDCT) at Unit-8, PTPS, Parli V.</v>
      </c>
      <c r="C2115" s="1491" t="str">
        <f t="shared" si="301"/>
        <v>Yet to be approved</v>
      </c>
      <c r="D2115" s="1531" t="str">
        <f t="shared" si="301"/>
        <v>-</v>
      </c>
      <c r="E2115" s="1318">
        <f t="shared" si="301"/>
        <v>0</v>
      </c>
      <c r="F2115" s="1437">
        <f t="shared" si="304"/>
        <v>0</v>
      </c>
      <c r="G2115" s="1437">
        <f t="shared" si="305"/>
        <v>0</v>
      </c>
      <c r="H2115" s="1437">
        <f t="shared" si="306"/>
        <v>0</v>
      </c>
      <c r="I2115" s="1437">
        <v>0</v>
      </c>
      <c r="J2115" s="1437">
        <v>0</v>
      </c>
      <c r="K2115" s="1438"/>
      <c r="L2115" s="1438"/>
      <c r="M2115" s="1437">
        <f t="shared" si="303"/>
        <v>0</v>
      </c>
      <c r="N2115" s="1437">
        <f t="shared" si="307"/>
        <v>0</v>
      </c>
    </row>
    <row r="2116" spans="1:14" ht="58" outlineLevel="1">
      <c r="A2116" s="1491">
        <f t="shared" si="301"/>
        <v>5.0999999999999996</v>
      </c>
      <c r="B2116" s="1530" t="str">
        <f t="shared" si="301"/>
        <v>Performance improvement of Natural Draft Cooling Tower (NDCT) by replacement of PVC fills, AC cement pipes, strengthening of Hot water distribution system, replacement of beams, columns, support structures, etc. at Unit-8, PTPS, Parli V.</v>
      </c>
      <c r="C2116" s="1491" t="str">
        <f t="shared" si="301"/>
        <v>Yet to be approved</v>
      </c>
      <c r="D2116" s="1531" t="str">
        <f t="shared" si="301"/>
        <v>-</v>
      </c>
      <c r="E2116" s="1318">
        <f t="shared" si="301"/>
        <v>0</v>
      </c>
      <c r="F2116" s="1437">
        <f t="shared" si="304"/>
        <v>25</v>
      </c>
      <c r="G2116" s="1437">
        <f t="shared" si="305"/>
        <v>25</v>
      </c>
      <c r="H2116" s="1437">
        <f t="shared" si="306"/>
        <v>0</v>
      </c>
      <c r="I2116" s="1437">
        <v>0</v>
      </c>
      <c r="J2116" s="1437">
        <v>0</v>
      </c>
      <c r="K2116" s="1438"/>
      <c r="L2116" s="1438"/>
      <c r="M2116" s="1437">
        <f t="shared" si="303"/>
        <v>0</v>
      </c>
      <c r="N2116" s="1437">
        <f t="shared" si="307"/>
        <v>0</v>
      </c>
    </row>
    <row r="2117" spans="1:14" ht="31" outlineLevel="1">
      <c r="A2117" s="1533">
        <f t="shared" ref="A2117:E2132" si="308">A1724</f>
        <v>6</v>
      </c>
      <c r="B2117" s="1534" t="str">
        <f t="shared" si="308"/>
        <v xml:space="preserve">DPR on Procurement of  ACW &amp; CW pump along with mandatory spares at Unit-8, PTPS, Parli V. </v>
      </c>
      <c r="C2117" s="1491" t="str">
        <f t="shared" si="308"/>
        <v>Yet to be approved</v>
      </c>
      <c r="D2117" s="1531" t="str">
        <f t="shared" si="308"/>
        <v>-</v>
      </c>
      <c r="E2117" s="1318">
        <f t="shared" si="308"/>
        <v>0</v>
      </c>
      <c r="F2117" s="1437">
        <f t="shared" si="304"/>
        <v>0</v>
      </c>
      <c r="G2117" s="1437">
        <f t="shared" si="305"/>
        <v>0</v>
      </c>
      <c r="H2117" s="1437">
        <f t="shared" si="306"/>
        <v>0</v>
      </c>
      <c r="I2117" s="1437">
        <v>0</v>
      </c>
      <c r="J2117" s="1437">
        <v>0</v>
      </c>
      <c r="K2117" s="1438"/>
      <c r="L2117" s="1438"/>
      <c r="M2117" s="1437">
        <f t="shared" si="303"/>
        <v>0</v>
      </c>
      <c r="N2117" s="1437">
        <f t="shared" si="307"/>
        <v>0</v>
      </c>
    </row>
    <row r="2118" spans="1:14" ht="29" outlineLevel="1">
      <c r="A2118" s="1491">
        <f t="shared" si="308"/>
        <v>6.1</v>
      </c>
      <c r="B2118" s="1530" t="str">
        <f t="shared" si="308"/>
        <v xml:space="preserve">DPR on Procurement of  ACW &amp; CW pump along with mandatory spares at Unit-8, PTPS, Parli V. </v>
      </c>
      <c r="C2118" s="1491" t="str">
        <f t="shared" si="308"/>
        <v>Yet to be approved</v>
      </c>
      <c r="D2118" s="1531" t="str">
        <f t="shared" si="308"/>
        <v>-</v>
      </c>
      <c r="E2118" s="1318">
        <f t="shared" si="308"/>
        <v>0</v>
      </c>
      <c r="F2118" s="1437">
        <f t="shared" si="304"/>
        <v>35</v>
      </c>
      <c r="G2118" s="1437">
        <f t="shared" si="305"/>
        <v>35</v>
      </c>
      <c r="H2118" s="1437">
        <f t="shared" si="306"/>
        <v>0</v>
      </c>
      <c r="I2118" s="1437">
        <v>0</v>
      </c>
      <c r="J2118" s="1437">
        <v>0</v>
      </c>
      <c r="K2118" s="1438"/>
      <c r="L2118" s="1438"/>
      <c r="M2118" s="1437">
        <f t="shared" si="303"/>
        <v>0</v>
      </c>
      <c r="N2118" s="1437">
        <f t="shared" si="307"/>
        <v>0</v>
      </c>
    </row>
    <row r="2119" spans="1:14" ht="62" outlineLevel="1">
      <c r="A2119" s="1533">
        <f t="shared" si="308"/>
        <v>7</v>
      </c>
      <c r="B2119" s="1534" t="str">
        <f t="shared" si="308"/>
        <v xml:space="preserve">DPR on Procurement of  CEP pump and BFP Booster pump along with mandatory spares at Unit-8, PTPS, Parli V and Procurement of Energy Efficient Cartridges of Boiler Feed Pump at Unit-8, PTPS, Parli V. </v>
      </c>
      <c r="C2119" s="1491" t="str">
        <f t="shared" si="308"/>
        <v>Yet to be approved</v>
      </c>
      <c r="D2119" s="1531" t="str">
        <f t="shared" si="308"/>
        <v>-</v>
      </c>
      <c r="E2119" s="1318">
        <f t="shared" si="308"/>
        <v>0</v>
      </c>
      <c r="F2119" s="1437">
        <f t="shared" si="304"/>
        <v>0</v>
      </c>
      <c r="G2119" s="1437">
        <f t="shared" si="305"/>
        <v>0</v>
      </c>
      <c r="H2119" s="1437">
        <f t="shared" si="306"/>
        <v>0</v>
      </c>
      <c r="I2119" s="1437">
        <v>0</v>
      </c>
      <c r="J2119" s="1437">
        <v>0</v>
      </c>
      <c r="K2119" s="1438"/>
      <c r="L2119" s="1438"/>
      <c r="M2119" s="1437">
        <f t="shared" si="303"/>
        <v>0</v>
      </c>
      <c r="N2119" s="1437">
        <f t="shared" si="307"/>
        <v>0</v>
      </c>
    </row>
    <row r="2120" spans="1:14" ht="29" outlineLevel="1">
      <c r="A2120" s="1491">
        <f t="shared" si="308"/>
        <v>7.1</v>
      </c>
      <c r="B2120" s="1530" t="str">
        <f t="shared" si="308"/>
        <v xml:space="preserve">Procurement of  CEP pump and BFP Booster pump along with mandatory spares at Unit-8, PTPS, Parli </v>
      </c>
      <c r="C2120" s="1491" t="str">
        <f t="shared" si="308"/>
        <v>Yet to be approved</v>
      </c>
      <c r="D2120" s="1531" t="str">
        <f t="shared" si="308"/>
        <v>-</v>
      </c>
      <c r="E2120" s="1318">
        <f t="shared" si="308"/>
        <v>0</v>
      </c>
      <c r="F2120" s="1437">
        <f t="shared" si="304"/>
        <v>30</v>
      </c>
      <c r="G2120" s="1437">
        <f t="shared" si="305"/>
        <v>30</v>
      </c>
      <c r="H2120" s="1437">
        <f t="shared" si="306"/>
        <v>0</v>
      </c>
      <c r="I2120" s="1437">
        <v>0</v>
      </c>
      <c r="J2120" s="1437">
        <v>0</v>
      </c>
      <c r="K2120" s="1438"/>
      <c r="L2120" s="1438"/>
      <c r="M2120" s="1437">
        <f t="shared" si="303"/>
        <v>0</v>
      </c>
      <c r="N2120" s="1437">
        <f t="shared" si="307"/>
        <v>0</v>
      </c>
    </row>
    <row r="2121" spans="1:14" ht="29" outlineLevel="1">
      <c r="A2121" s="1491">
        <f t="shared" si="308"/>
        <v>7.2</v>
      </c>
      <c r="B2121" s="1530" t="str">
        <f t="shared" si="308"/>
        <v xml:space="preserve">Procurement of Energy Efficient Cartridges of Boiler Feed Pump at Unit-8, PTPS, Parli V. </v>
      </c>
      <c r="C2121" s="1491" t="str">
        <f t="shared" si="308"/>
        <v>Yet to be approved</v>
      </c>
      <c r="D2121" s="1531" t="str">
        <f t="shared" si="308"/>
        <v>-</v>
      </c>
      <c r="E2121" s="1318">
        <f t="shared" si="308"/>
        <v>0</v>
      </c>
      <c r="F2121" s="1437">
        <f t="shared" si="304"/>
        <v>10</v>
      </c>
      <c r="G2121" s="1437">
        <f t="shared" si="305"/>
        <v>10</v>
      </c>
      <c r="H2121" s="1437">
        <f t="shared" si="306"/>
        <v>0</v>
      </c>
      <c r="I2121" s="1437">
        <v>0</v>
      </c>
      <c r="J2121" s="1437">
        <v>0</v>
      </c>
      <c r="K2121" s="1438"/>
      <c r="L2121" s="1438"/>
      <c r="M2121" s="1437">
        <f t="shared" si="303"/>
        <v>0</v>
      </c>
      <c r="N2121" s="1437">
        <f t="shared" si="307"/>
        <v>0</v>
      </c>
    </row>
    <row r="2122" spans="1:14" ht="31" outlineLevel="1">
      <c r="A2122" s="1533">
        <f t="shared" si="308"/>
        <v>8</v>
      </c>
      <c r="B2122" s="1534" t="str">
        <f t="shared" si="308"/>
        <v>DPR on Procurement of turbine blades of HP, IP &amp; LP rotor in Unit-8, PTPS, Parli V.</v>
      </c>
      <c r="C2122" s="1491" t="str">
        <f t="shared" si="308"/>
        <v>Yet to be approved</v>
      </c>
      <c r="D2122" s="1531" t="str">
        <f t="shared" si="308"/>
        <v>-</v>
      </c>
      <c r="E2122" s="1318">
        <f t="shared" si="308"/>
        <v>0</v>
      </c>
      <c r="F2122" s="1437">
        <f t="shared" si="304"/>
        <v>0</v>
      </c>
      <c r="G2122" s="1437">
        <f t="shared" si="305"/>
        <v>0</v>
      </c>
      <c r="H2122" s="1437">
        <f t="shared" si="306"/>
        <v>0</v>
      </c>
      <c r="I2122" s="1437">
        <v>0</v>
      </c>
      <c r="J2122" s="1437">
        <v>0</v>
      </c>
      <c r="K2122" s="1438"/>
      <c r="L2122" s="1438"/>
      <c r="M2122" s="1437">
        <f t="shared" si="303"/>
        <v>0</v>
      </c>
      <c r="N2122" s="1437">
        <f t="shared" si="307"/>
        <v>0</v>
      </c>
    </row>
    <row r="2123" spans="1:14" ht="29" outlineLevel="1">
      <c r="A2123" s="1491">
        <f t="shared" si="308"/>
        <v>8.1</v>
      </c>
      <c r="B2123" s="1530" t="str">
        <f t="shared" si="308"/>
        <v>DPR on Procurement of turbine blades of HP, IP &amp; LP rotor in Unit-8, PTPS, Parli V.</v>
      </c>
      <c r="C2123" s="1491" t="str">
        <f t="shared" si="308"/>
        <v>Yet to be approved</v>
      </c>
      <c r="D2123" s="1531" t="str">
        <f t="shared" si="308"/>
        <v>-</v>
      </c>
      <c r="E2123" s="1318">
        <f t="shared" si="308"/>
        <v>0</v>
      </c>
      <c r="F2123" s="1437">
        <f t="shared" si="304"/>
        <v>35</v>
      </c>
      <c r="G2123" s="1437">
        <f t="shared" si="305"/>
        <v>35</v>
      </c>
      <c r="H2123" s="1437">
        <f t="shared" si="306"/>
        <v>0</v>
      </c>
      <c r="I2123" s="1437">
        <v>0</v>
      </c>
      <c r="J2123" s="1437">
        <v>0</v>
      </c>
      <c r="K2123" s="1438"/>
      <c r="L2123" s="1438"/>
      <c r="M2123" s="1437">
        <f t="shared" si="303"/>
        <v>0</v>
      </c>
      <c r="N2123" s="1437">
        <f t="shared" si="307"/>
        <v>0</v>
      </c>
    </row>
    <row r="2124" spans="1:14" ht="46.5" outlineLevel="1">
      <c r="A2124" s="1533">
        <f t="shared" si="308"/>
        <v>9</v>
      </c>
      <c r="B2124" s="1534" t="str">
        <f t="shared" si="308"/>
        <v xml:space="preserve">DPR on Repair &amp; Reconditioning of Water treatment plant at Unit-8, PTPS, Parli V and Performance improvement of centralised AC plant at Unit-8, PTPS, Parli V. </v>
      </c>
      <c r="C2124" s="1491" t="str">
        <f t="shared" si="308"/>
        <v>Yet to be approved</v>
      </c>
      <c r="D2124" s="1531" t="str">
        <f t="shared" si="308"/>
        <v>-</v>
      </c>
      <c r="E2124" s="1318">
        <f t="shared" si="308"/>
        <v>0</v>
      </c>
      <c r="F2124" s="1437">
        <f t="shared" si="304"/>
        <v>0</v>
      </c>
      <c r="G2124" s="1437">
        <f t="shared" si="305"/>
        <v>0</v>
      </c>
      <c r="H2124" s="1437">
        <f t="shared" si="306"/>
        <v>0</v>
      </c>
      <c r="I2124" s="1437">
        <v>0</v>
      </c>
      <c r="J2124" s="1437">
        <v>0</v>
      </c>
      <c r="K2124" s="1438"/>
      <c r="L2124" s="1438"/>
      <c r="M2124" s="1437">
        <f t="shared" si="303"/>
        <v>0</v>
      </c>
      <c r="N2124" s="1437">
        <f t="shared" si="307"/>
        <v>0</v>
      </c>
    </row>
    <row r="2125" spans="1:14" ht="29" outlineLevel="1">
      <c r="A2125" s="1491">
        <f t="shared" si="308"/>
        <v>9.1</v>
      </c>
      <c r="B2125" s="1530" t="str">
        <f t="shared" si="308"/>
        <v>Reconditioning of Acid and Alkali Unloading and storage system at Unit-8, PTPS, Parli V.</v>
      </c>
      <c r="C2125" s="1491" t="str">
        <f t="shared" si="308"/>
        <v>Yet to be approved</v>
      </c>
      <c r="D2125" s="1531" t="str">
        <f t="shared" si="308"/>
        <v>-</v>
      </c>
      <c r="E2125" s="1318">
        <f t="shared" si="308"/>
        <v>0</v>
      </c>
      <c r="F2125" s="1437">
        <f t="shared" si="304"/>
        <v>10</v>
      </c>
      <c r="G2125" s="1437">
        <f t="shared" si="305"/>
        <v>10</v>
      </c>
      <c r="H2125" s="1437">
        <f t="shared" si="306"/>
        <v>0</v>
      </c>
      <c r="I2125" s="1437">
        <v>0</v>
      </c>
      <c r="J2125" s="1437">
        <v>0</v>
      </c>
      <c r="K2125" s="1438"/>
      <c r="L2125" s="1438"/>
      <c r="M2125" s="1437">
        <f t="shared" si="303"/>
        <v>0</v>
      </c>
      <c r="N2125" s="1437">
        <f t="shared" si="307"/>
        <v>0</v>
      </c>
    </row>
    <row r="2126" spans="1:14" ht="29" outlineLevel="1">
      <c r="A2126" s="1491">
        <f t="shared" si="308"/>
        <v>9.1999999999999993</v>
      </c>
      <c r="B2126" s="1530" t="str">
        <f t="shared" si="308"/>
        <v>Reconditioning &amp; repairing of WTP DM Plant regeneration system at Unit-8, PTPS, Parli V.</v>
      </c>
      <c r="C2126" s="1491" t="str">
        <f t="shared" si="308"/>
        <v>Yet to be approved</v>
      </c>
      <c r="D2126" s="1531" t="str">
        <f t="shared" si="308"/>
        <v>-</v>
      </c>
      <c r="E2126" s="1318">
        <f t="shared" si="308"/>
        <v>0</v>
      </c>
      <c r="F2126" s="1437">
        <f t="shared" si="304"/>
        <v>20</v>
      </c>
      <c r="G2126" s="1437">
        <f t="shared" si="305"/>
        <v>20</v>
      </c>
      <c r="H2126" s="1437">
        <f t="shared" si="306"/>
        <v>0</v>
      </c>
      <c r="I2126" s="1437">
        <v>0</v>
      </c>
      <c r="J2126" s="1437">
        <v>0</v>
      </c>
      <c r="K2126" s="1438"/>
      <c r="L2126" s="1438"/>
      <c r="M2126" s="1437">
        <f t="shared" si="303"/>
        <v>0</v>
      </c>
      <c r="N2126" s="1437">
        <f t="shared" si="307"/>
        <v>0</v>
      </c>
    </row>
    <row r="2127" spans="1:14" ht="43.5" outlineLevel="1">
      <c r="A2127" s="1491">
        <f t="shared" si="308"/>
        <v>9.3000000000000007</v>
      </c>
      <c r="B2127" s="1530" t="str">
        <f t="shared" si="308"/>
        <v xml:space="preserve"> Performance improvement of centralised AC plant by reconditioning of cooling tower, various pumps, heat exchangers, etc. at Unit-8, PTPS, Parli V. </v>
      </c>
      <c r="C2127" s="1491" t="str">
        <f t="shared" si="308"/>
        <v>Yet to be approved</v>
      </c>
      <c r="D2127" s="1531" t="str">
        <f t="shared" si="308"/>
        <v>-</v>
      </c>
      <c r="E2127" s="1318">
        <f t="shared" si="308"/>
        <v>0</v>
      </c>
      <c r="F2127" s="1437">
        <f t="shared" si="304"/>
        <v>10</v>
      </c>
      <c r="G2127" s="1437">
        <f t="shared" si="305"/>
        <v>10</v>
      </c>
      <c r="H2127" s="1437">
        <f t="shared" si="306"/>
        <v>0</v>
      </c>
      <c r="I2127" s="1437">
        <v>0</v>
      </c>
      <c r="J2127" s="1437">
        <v>0</v>
      </c>
      <c r="K2127" s="1438"/>
      <c r="L2127" s="1438"/>
      <c r="M2127" s="1437">
        <f t="shared" si="303"/>
        <v>0</v>
      </c>
      <c r="N2127" s="1437">
        <f t="shared" si="307"/>
        <v>0</v>
      </c>
    </row>
    <row r="2128" spans="1:14" ht="46.5" outlineLevel="1">
      <c r="A2128" s="1533">
        <f t="shared" si="308"/>
        <v>10</v>
      </c>
      <c r="B2128" s="1534" t="str">
        <f t="shared" si="308"/>
        <v>DPR on Procurement of Control Fluid (HPCF) pump, Lube Oil pump, Emergency Oil pump, Jacking Oil pump, Seal oil pump at Unit-8, PTPS, Parli V.</v>
      </c>
      <c r="C2128" s="1491" t="str">
        <f t="shared" si="308"/>
        <v>Yet to be approved</v>
      </c>
      <c r="D2128" s="1531" t="str">
        <f t="shared" si="308"/>
        <v>-</v>
      </c>
      <c r="E2128" s="1318">
        <f t="shared" si="308"/>
        <v>0</v>
      </c>
      <c r="F2128" s="1437">
        <f t="shared" si="304"/>
        <v>0</v>
      </c>
      <c r="G2128" s="1437">
        <f t="shared" si="305"/>
        <v>0</v>
      </c>
      <c r="H2128" s="1437">
        <f t="shared" si="306"/>
        <v>0</v>
      </c>
      <c r="I2128" s="1437">
        <v>0</v>
      </c>
      <c r="J2128" s="1437">
        <v>0</v>
      </c>
      <c r="K2128" s="1438"/>
      <c r="L2128" s="1438"/>
      <c r="M2128" s="1437">
        <f t="shared" si="303"/>
        <v>0</v>
      </c>
      <c r="N2128" s="1437">
        <f t="shared" si="307"/>
        <v>0</v>
      </c>
    </row>
    <row r="2129" spans="1:14" ht="43.5" outlineLevel="1">
      <c r="A2129" s="1491">
        <f t="shared" si="308"/>
        <v>10.1</v>
      </c>
      <c r="B2129" s="1530" t="str">
        <f t="shared" si="308"/>
        <v>DPR on Procurement of Control Fluid (HPCF) pump, Lube Oil pump, Emergency Oil pump, Jacking Oil pump, Seal oil pump at Unit-8, PTPS, Parli V.</v>
      </c>
      <c r="C2129" s="1491" t="str">
        <f t="shared" si="308"/>
        <v>Yet to be approved</v>
      </c>
      <c r="D2129" s="1531" t="str">
        <f t="shared" si="308"/>
        <v>-</v>
      </c>
      <c r="E2129" s="1318">
        <f t="shared" si="308"/>
        <v>0</v>
      </c>
      <c r="F2129" s="1437">
        <f t="shared" si="304"/>
        <v>25</v>
      </c>
      <c r="G2129" s="1437">
        <f t="shared" si="305"/>
        <v>25</v>
      </c>
      <c r="H2129" s="1437">
        <f t="shared" si="306"/>
        <v>0</v>
      </c>
      <c r="I2129" s="1437">
        <v>0</v>
      </c>
      <c r="J2129" s="1437">
        <v>0</v>
      </c>
      <c r="K2129" s="1438"/>
      <c r="L2129" s="1438"/>
      <c r="M2129" s="1437">
        <f t="shared" si="303"/>
        <v>0</v>
      </c>
      <c r="N2129" s="1437">
        <f t="shared" si="307"/>
        <v>0</v>
      </c>
    </row>
    <row r="2130" spans="1:14" ht="31" outlineLevel="1">
      <c r="A2130" s="1533">
        <f t="shared" si="308"/>
        <v>11</v>
      </c>
      <c r="B2130" s="1534" t="str">
        <f t="shared" si="308"/>
        <v xml:space="preserve">DPR on Procurement of H2 cooler, BFP coolers, generator exciter cooler, Seal and Lube oil coolers at Unit-8, PTPS, Parli V. </v>
      </c>
      <c r="C2130" s="1491" t="str">
        <f t="shared" si="308"/>
        <v>Yet to be approved</v>
      </c>
      <c r="D2130" s="1531" t="str">
        <f t="shared" si="308"/>
        <v>-</v>
      </c>
      <c r="E2130" s="1318">
        <f t="shared" si="308"/>
        <v>0</v>
      </c>
      <c r="F2130" s="1437">
        <f t="shared" si="304"/>
        <v>0</v>
      </c>
      <c r="G2130" s="1437">
        <f t="shared" si="305"/>
        <v>0</v>
      </c>
      <c r="H2130" s="1437">
        <f t="shared" si="306"/>
        <v>0</v>
      </c>
      <c r="I2130" s="1437">
        <v>0</v>
      </c>
      <c r="J2130" s="1437">
        <v>0</v>
      </c>
      <c r="K2130" s="1438"/>
      <c r="L2130" s="1438"/>
      <c r="M2130" s="1437">
        <f t="shared" si="303"/>
        <v>0</v>
      </c>
      <c r="N2130" s="1437">
        <f t="shared" si="307"/>
        <v>0</v>
      </c>
    </row>
    <row r="2131" spans="1:14" ht="29" outlineLevel="1">
      <c r="A2131" s="1491">
        <f t="shared" si="308"/>
        <v>11.1</v>
      </c>
      <c r="B2131" s="1530" t="str">
        <f t="shared" si="308"/>
        <v xml:space="preserve">DPR on Procurement of H2 cooler, BFP coolers, generator exciter cooler, Seal and Lube oil coolers at Unit-8, PTPS, Parli V. </v>
      </c>
      <c r="C2131" s="1491" t="str">
        <f t="shared" si="308"/>
        <v>Yet to be approved</v>
      </c>
      <c r="D2131" s="1531" t="str">
        <f t="shared" si="308"/>
        <v>-</v>
      </c>
      <c r="E2131" s="1318">
        <f t="shared" si="308"/>
        <v>0</v>
      </c>
      <c r="F2131" s="1437">
        <f t="shared" si="304"/>
        <v>0</v>
      </c>
      <c r="G2131" s="1437">
        <f t="shared" si="305"/>
        <v>0</v>
      </c>
      <c r="H2131" s="1437">
        <f t="shared" si="306"/>
        <v>0</v>
      </c>
      <c r="I2131" s="1437">
        <v>30</v>
      </c>
      <c r="J2131" s="1437">
        <v>30</v>
      </c>
      <c r="K2131" s="1438"/>
      <c r="L2131" s="1438"/>
      <c r="M2131" s="1437">
        <f t="shared" si="303"/>
        <v>30</v>
      </c>
      <c r="N2131" s="1437">
        <f t="shared" si="307"/>
        <v>0</v>
      </c>
    </row>
    <row r="2132" spans="1:14" ht="62" outlineLevel="1">
      <c r="A2132" s="1533">
        <f t="shared" si="308"/>
        <v>12</v>
      </c>
      <c r="B2132" s="1534" t="str">
        <f t="shared" si="308"/>
        <v>Supply, installation &amp; commissioning of 220V 2140AH,24V 830AH &amp; 710AH, 360V 570AH Mains UPS,110V 110AH AHP PLC , 110V , 103 AH DM plant battery set for unit 8 , NPTPS Parli-V &amp; Procurement of HT motors at U#8</v>
      </c>
      <c r="C2132" s="1491" t="str">
        <f t="shared" si="308"/>
        <v>Yet to be approved</v>
      </c>
      <c r="D2132" s="1531" t="str">
        <f t="shared" si="308"/>
        <v>-</v>
      </c>
      <c r="E2132" s="1318">
        <f t="shared" si="308"/>
        <v>0</v>
      </c>
      <c r="F2132" s="1437">
        <f t="shared" si="304"/>
        <v>0</v>
      </c>
      <c r="G2132" s="1437">
        <f t="shared" si="305"/>
        <v>0</v>
      </c>
      <c r="H2132" s="1437">
        <f t="shared" si="306"/>
        <v>0</v>
      </c>
      <c r="I2132" s="1437">
        <v>0</v>
      </c>
      <c r="J2132" s="1437">
        <v>0</v>
      </c>
      <c r="K2132" s="1438"/>
      <c r="L2132" s="1438"/>
      <c r="M2132" s="1437">
        <f t="shared" si="303"/>
        <v>0</v>
      </c>
      <c r="N2132" s="1437">
        <f t="shared" si="307"/>
        <v>0</v>
      </c>
    </row>
    <row r="2133" spans="1:14" ht="43.5" outlineLevel="1">
      <c r="A2133" s="1491">
        <f t="shared" ref="A2133:E2148" si="309">A1740</f>
        <v>12.1</v>
      </c>
      <c r="B2133" s="1530" t="str">
        <f t="shared" si="309"/>
        <v>Supply, installation &amp; commissioning of 220V 2140AH,24V 830AH &amp; 710AH, 360V 570AH Mains UPS,110V 110AH AHP PLC , 110V , 103 AH DM plant battery set for unit 8 , NPTPS Parli-V</v>
      </c>
      <c r="C2133" s="1491" t="str">
        <f t="shared" si="309"/>
        <v>Yet to be approved</v>
      </c>
      <c r="D2133" s="1531" t="str">
        <f t="shared" si="309"/>
        <v>-</v>
      </c>
      <c r="E2133" s="1318">
        <f t="shared" si="309"/>
        <v>0</v>
      </c>
      <c r="F2133" s="1437">
        <f t="shared" si="304"/>
        <v>0</v>
      </c>
      <c r="G2133" s="1437">
        <f t="shared" si="305"/>
        <v>0</v>
      </c>
      <c r="H2133" s="1437">
        <f t="shared" si="306"/>
        <v>0</v>
      </c>
      <c r="I2133" s="1437">
        <v>15</v>
      </c>
      <c r="J2133" s="1437">
        <v>15</v>
      </c>
      <c r="K2133" s="1438"/>
      <c r="L2133" s="1438"/>
      <c r="M2133" s="1437">
        <f t="shared" si="303"/>
        <v>15</v>
      </c>
      <c r="N2133" s="1437">
        <f t="shared" si="307"/>
        <v>0</v>
      </c>
    </row>
    <row r="2134" spans="1:14" outlineLevel="1">
      <c r="A2134" s="1491">
        <f t="shared" si="309"/>
        <v>12.2</v>
      </c>
      <c r="B2134" s="1530" t="str">
        <f t="shared" si="309"/>
        <v>Procurement of HT motors at U#8</v>
      </c>
      <c r="C2134" s="1491" t="str">
        <f t="shared" si="309"/>
        <v>Yet to be approved</v>
      </c>
      <c r="D2134" s="1531" t="str">
        <f t="shared" si="309"/>
        <v>-</v>
      </c>
      <c r="E2134" s="1318">
        <f t="shared" si="309"/>
        <v>0</v>
      </c>
      <c r="F2134" s="1437">
        <f t="shared" si="304"/>
        <v>10</v>
      </c>
      <c r="G2134" s="1437">
        <f t="shared" si="305"/>
        <v>10</v>
      </c>
      <c r="H2134" s="1437">
        <f t="shared" si="306"/>
        <v>0</v>
      </c>
      <c r="I2134" s="1437">
        <v>0</v>
      </c>
      <c r="J2134" s="1437">
        <v>0</v>
      </c>
      <c r="K2134" s="1438"/>
      <c r="L2134" s="1438"/>
      <c r="M2134" s="1437">
        <f t="shared" si="303"/>
        <v>0</v>
      </c>
      <c r="N2134" s="1437">
        <f t="shared" si="307"/>
        <v>0</v>
      </c>
    </row>
    <row r="2135" spans="1:14" ht="15.5" outlineLevel="1">
      <c r="A2135" s="1533">
        <f t="shared" si="309"/>
        <v>13</v>
      </c>
      <c r="B2135" s="1534" t="str">
        <f t="shared" si="309"/>
        <v>DPR on various instrumentation &amp; control schemes at U#8</v>
      </c>
      <c r="C2135" s="1491" t="str">
        <f t="shared" si="309"/>
        <v>Yet to be approved</v>
      </c>
      <c r="D2135" s="1531" t="str">
        <f t="shared" si="309"/>
        <v>-</v>
      </c>
      <c r="E2135" s="1318">
        <f t="shared" si="309"/>
        <v>0</v>
      </c>
      <c r="F2135" s="1437">
        <f t="shared" si="304"/>
        <v>0</v>
      </c>
      <c r="G2135" s="1437">
        <f t="shared" si="305"/>
        <v>0</v>
      </c>
      <c r="H2135" s="1437">
        <f t="shared" si="306"/>
        <v>0</v>
      </c>
      <c r="I2135" s="1437">
        <v>0</v>
      </c>
      <c r="J2135" s="1437">
        <v>0</v>
      </c>
      <c r="K2135" s="1438"/>
      <c r="L2135" s="1438"/>
      <c r="M2135" s="1437">
        <f t="shared" si="303"/>
        <v>0</v>
      </c>
      <c r="N2135" s="1437">
        <f t="shared" si="307"/>
        <v>0</v>
      </c>
    </row>
    <row r="2136" spans="1:14" outlineLevel="1">
      <c r="A2136" s="1491">
        <f t="shared" si="309"/>
        <v>13.1</v>
      </c>
      <c r="B2136" s="1530" t="str">
        <f t="shared" si="309"/>
        <v>Upgradation of MAX-DNA  DCS system at U#8 (HMI upgradation)</v>
      </c>
      <c r="C2136" s="1491" t="str">
        <f t="shared" si="309"/>
        <v>Yet to be approved</v>
      </c>
      <c r="D2136" s="1531" t="str">
        <f t="shared" si="309"/>
        <v>-</v>
      </c>
      <c r="E2136" s="1318">
        <f t="shared" si="309"/>
        <v>0</v>
      </c>
      <c r="F2136" s="1437">
        <f t="shared" si="304"/>
        <v>6.81</v>
      </c>
      <c r="G2136" s="1437">
        <f t="shared" si="305"/>
        <v>6.81</v>
      </c>
      <c r="H2136" s="1437">
        <f t="shared" si="306"/>
        <v>0</v>
      </c>
      <c r="I2136" s="1437">
        <v>0</v>
      </c>
      <c r="J2136" s="1437">
        <v>0</v>
      </c>
      <c r="K2136" s="1438"/>
      <c r="L2136" s="1438"/>
      <c r="M2136" s="1437">
        <f t="shared" si="303"/>
        <v>0</v>
      </c>
      <c r="N2136" s="1437">
        <f t="shared" si="307"/>
        <v>0</v>
      </c>
    </row>
    <row r="2137" spans="1:14" ht="29" outlineLevel="1">
      <c r="A2137" s="1491">
        <f t="shared" si="309"/>
        <v>13.2</v>
      </c>
      <c r="B2137" s="1530" t="str">
        <f t="shared" si="309"/>
        <v>Upgradation of existing Pcal system with plant performance analysis diagnostic and optimization system (PADO) at Unit  8 New Parli TPS</v>
      </c>
      <c r="C2137" s="1491" t="str">
        <f t="shared" si="309"/>
        <v>Yet to be approved</v>
      </c>
      <c r="D2137" s="1531" t="str">
        <f t="shared" si="309"/>
        <v>-</v>
      </c>
      <c r="E2137" s="1318">
        <f t="shared" si="309"/>
        <v>0</v>
      </c>
      <c r="F2137" s="1437">
        <f t="shared" si="304"/>
        <v>1.4</v>
      </c>
      <c r="G2137" s="1437">
        <f t="shared" si="305"/>
        <v>1.4</v>
      </c>
      <c r="H2137" s="1437">
        <f t="shared" si="306"/>
        <v>0</v>
      </c>
      <c r="I2137" s="1437">
        <v>0</v>
      </c>
      <c r="J2137" s="1437">
        <v>0</v>
      </c>
      <c r="K2137" s="1438"/>
      <c r="L2137" s="1438"/>
      <c r="M2137" s="1437">
        <f t="shared" si="303"/>
        <v>0</v>
      </c>
      <c r="N2137" s="1437">
        <f t="shared" si="307"/>
        <v>0</v>
      </c>
    </row>
    <row r="2138" spans="1:14" outlineLevel="1">
      <c r="A2138" s="1491">
        <f t="shared" si="309"/>
        <v>13.3</v>
      </c>
      <c r="B2138" s="1530" t="str">
        <f t="shared" si="309"/>
        <v xml:space="preserve"> Upgradation of coal feeder for I&amp;C Unit8 PTPS Parli V.</v>
      </c>
      <c r="C2138" s="1491" t="str">
        <f t="shared" si="309"/>
        <v>Yet to be approved</v>
      </c>
      <c r="D2138" s="1531" t="str">
        <f t="shared" si="309"/>
        <v>-</v>
      </c>
      <c r="E2138" s="1318">
        <f t="shared" si="309"/>
        <v>0</v>
      </c>
      <c r="F2138" s="1437">
        <f t="shared" si="304"/>
        <v>1.5</v>
      </c>
      <c r="G2138" s="1437">
        <f t="shared" si="305"/>
        <v>1.5</v>
      </c>
      <c r="H2138" s="1437">
        <f t="shared" si="306"/>
        <v>0</v>
      </c>
      <c r="I2138" s="1437">
        <v>0</v>
      </c>
      <c r="J2138" s="1437">
        <v>0</v>
      </c>
      <c r="K2138" s="1438"/>
      <c r="L2138" s="1438"/>
      <c r="M2138" s="1437">
        <f t="shared" si="303"/>
        <v>0</v>
      </c>
      <c r="N2138" s="1437">
        <f t="shared" si="307"/>
        <v>0</v>
      </c>
    </row>
    <row r="2139" spans="1:14" outlineLevel="1">
      <c r="A2139" s="1491">
        <f t="shared" si="309"/>
        <v>13.4</v>
      </c>
      <c r="B2139" s="1530" t="str">
        <f t="shared" si="309"/>
        <v>Procurement of smart control positioner at I&amp;C Unit8 PTPS Parli V.</v>
      </c>
      <c r="C2139" s="1491" t="str">
        <f t="shared" si="309"/>
        <v>Yet to be approved</v>
      </c>
      <c r="D2139" s="1531" t="str">
        <f t="shared" si="309"/>
        <v>-</v>
      </c>
      <c r="E2139" s="1318">
        <f t="shared" si="309"/>
        <v>0</v>
      </c>
      <c r="F2139" s="1437">
        <f t="shared" si="304"/>
        <v>0.95</v>
      </c>
      <c r="G2139" s="1437">
        <f t="shared" si="305"/>
        <v>0.95</v>
      </c>
      <c r="H2139" s="1437">
        <f t="shared" si="306"/>
        <v>0</v>
      </c>
      <c r="I2139" s="1437">
        <v>0</v>
      </c>
      <c r="J2139" s="1437">
        <v>0</v>
      </c>
      <c r="K2139" s="1438"/>
      <c r="L2139" s="1438"/>
      <c r="M2139" s="1437">
        <f t="shared" si="303"/>
        <v>0</v>
      </c>
      <c r="N2139" s="1437">
        <f t="shared" si="307"/>
        <v>0</v>
      </c>
    </row>
    <row r="2140" spans="1:14" outlineLevel="1">
      <c r="A2140" s="1491">
        <f t="shared" si="309"/>
        <v>13.5</v>
      </c>
      <c r="B2140" s="1530" t="str">
        <f t="shared" si="309"/>
        <v>Upgradation Electronic control drive for I&amp;C Unit8 PTPS Parli V.</v>
      </c>
      <c r="C2140" s="1491" t="str">
        <f t="shared" si="309"/>
        <v>Yet to be approved</v>
      </c>
      <c r="D2140" s="1531" t="str">
        <f t="shared" si="309"/>
        <v>-</v>
      </c>
      <c r="E2140" s="1318">
        <f t="shared" si="309"/>
        <v>0</v>
      </c>
      <c r="F2140" s="1437">
        <f t="shared" si="304"/>
        <v>3.05</v>
      </c>
      <c r="G2140" s="1437">
        <f t="shared" si="305"/>
        <v>3.05</v>
      </c>
      <c r="H2140" s="1437">
        <f t="shared" si="306"/>
        <v>0</v>
      </c>
      <c r="I2140" s="1437">
        <v>0</v>
      </c>
      <c r="J2140" s="1437">
        <v>0</v>
      </c>
      <c r="K2140" s="1438"/>
      <c r="L2140" s="1438"/>
      <c r="M2140" s="1437">
        <f t="shared" si="303"/>
        <v>0</v>
      </c>
      <c r="N2140" s="1437">
        <f t="shared" si="307"/>
        <v>0</v>
      </c>
    </row>
    <row r="2141" spans="1:14" ht="29" outlineLevel="1">
      <c r="A2141" s="1491">
        <f t="shared" si="309"/>
        <v>13.6</v>
      </c>
      <c r="B2141" s="1530" t="str">
        <f t="shared" si="309"/>
        <v>Upgradation of turbovisory &amp; vibration monitoring system control panel.</v>
      </c>
      <c r="C2141" s="1491" t="str">
        <f t="shared" si="309"/>
        <v>Yet to be approved</v>
      </c>
      <c r="D2141" s="1531" t="str">
        <f t="shared" si="309"/>
        <v>-</v>
      </c>
      <c r="E2141" s="1318">
        <f t="shared" si="309"/>
        <v>0</v>
      </c>
      <c r="F2141" s="1437">
        <f t="shared" si="304"/>
        <v>2</v>
      </c>
      <c r="G2141" s="1437">
        <f t="shared" si="305"/>
        <v>2</v>
      </c>
      <c r="H2141" s="1437">
        <f t="shared" si="306"/>
        <v>0</v>
      </c>
      <c r="I2141" s="1437">
        <v>0</v>
      </c>
      <c r="J2141" s="1437">
        <v>0</v>
      </c>
      <c r="K2141" s="1438"/>
      <c r="L2141" s="1438"/>
      <c r="M2141" s="1437">
        <f t="shared" si="303"/>
        <v>0</v>
      </c>
      <c r="N2141" s="1437">
        <f t="shared" si="307"/>
        <v>0</v>
      </c>
    </row>
    <row r="2142" spans="1:14" ht="46.5" outlineLevel="1">
      <c r="A2142" s="1533">
        <f t="shared" si="309"/>
        <v>14</v>
      </c>
      <c r="B2142" s="1534" t="str">
        <f t="shared" si="309"/>
        <v>Performance improvement by system up gradation  at CHP &amp; DPR for normalization and stabilization of coal handling plant performance at Parli TPS</v>
      </c>
      <c r="C2142" s="1491" t="str">
        <f t="shared" si="309"/>
        <v>Yet to be approved</v>
      </c>
      <c r="D2142" s="1531" t="str">
        <f t="shared" si="309"/>
        <v>-</v>
      </c>
      <c r="E2142" s="1318">
        <f t="shared" si="309"/>
        <v>0</v>
      </c>
      <c r="F2142" s="1437">
        <f t="shared" si="304"/>
        <v>0</v>
      </c>
      <c r="G2142" s="1437">
        <f t="shared" si="305"/>
        <v>0</v>
      </c>
      <c r="H2142" s="1437">
        <f t="shared" si="306"/>
        <v>0</v>
      </c>
      <c r="I2142" s="1437">
        <v>0</v>
      </c>
      <c r="J2142" s="1437">
        <v>0</v>
      </c>
      <c r="K2142" s="1438"/>
      <c r="L2142" s="1438"/>
      <c r="M2142" s="1437">
        <f t="shared" si="303"/>
        <v>0</v>
      </c>
      <c r="N2142" s="1437">
        <f t="shared" si="307"/>
        <v>0</v>
      </c>
    </row>
    <row r="2143" spans="1:14" ht="43.5" outlineLevel="1">
      <c r="A2143" s="1491">
        <f t="shared" si="309"/>
        <v>14.1</v>
      </c>
      <c r="B2143" s="1530" t="str">
        <f t="shared" si="309"/>
        <v xml:space="preserve">Supply and Commissioning of Energy Efficient Evaporative Cooling System for Control Panel &amp; Breaker room of CHP Unit-8   For  PARLI TPS </v>
      </c>
      <c r="C2143" s="1491" t="str">
        <f t="shared" si="309"/>
        <v>Yet to be approved</v>
      </c>
      <c r="D2143" s="1531" t="str">
        <f t="shared" si="309"/>
        <v>-</v>
      </c>
      <c r="E2143" s="1318">
        <f t="shared" si="309"/>
        <v>0</v>
      </c>
      <c r="F2143" s="1437">
        <f t="shared" si="304"/>
        <v>1.38</v>
      </c>
      <c r="G2143" s="1437">
        <f t="shared" si="305"/>
        <v>1.38</v>
      </c>
      <c r="H2143" s="1437">
        <f t="shared" si="306"/>
        <v>0</v>
      </c>
      <c r="I2143" s="1437">
        <v>0</v>
      </c>
      <c r="J2143" s="1437">
        <v>0</v>
      </c>
      <c r="K2143" s="1438"/>
      <c r="L2143" s="1438"/>
      <c r="M2143" s="1437">
        <f t="shared" si="303"/>
        <v>0</v>
      </c>
      <c r="N2143" s="1437">
        <f t="shared" si="307"/>
        <v>0</v>
      </c>
    </row>
    <row r="2144" spans="1:14" outlineLevel="1">
      <c r="A2144" s="1491">
        <f t="shared" si="309"/>
        <v>14.2</v>
      </c>
      <c r="B2144" s="1530" t="str">
        <f t="shared" si="309"/>
        <v>Supply and commissioning of Suspended Magnets for U-8 CHP NPTPS</v>
      </c>
      <c r="C2144" s="1491" t="str">
        <f t="shared" si="309"/>
        <v>Yet to be approved</v>
      </c>
      <c r="D2144" s="1531" t="str">
        <f t="shared" si="309"/>
        <v>-</v>
      </c>
      <c r="E2144" s="1318">
        <f t="shared" si="309"/>
        <v>0</v>
      </c>
      <c r="F2144" s="1437">
        <f t="shared" si="304"/>
        <v>3.3</v>
      </c>
      <c r="G2144" s="1437">
        <f t="shared" si="305"/>
        <v>3.3</v>
      </c>
      <c r="H2144" s="1437">
        <f t="shared" si="306"/>
        <v>0</v>
      </c>
      <c r="I2144" s="1437">
        <v>0</v>
      </c>
      <c r="J2144" s="1437">
        <v>0</v>
      </c>
      <c r="K2144" s="1438"/>
      <c r="L2144" s="1438"/>
      <c r="M2144" s="1437">
        <f t="shared" si="303"/>
        <v>0</v>
      </c>
      <c r="N2144" s="1437">
        <f t="shared" si="307"/>
        <v>0</v>
      </c>
    </row>
    <row r="2145" spans="1:14" outlineLevel="1">
      <c r="A2145" s="1491">
        <f t="shared" si="309"/>
        <v>14.3</v>
      </c>
      <c r="B2145" s="1530" t="str">
        <f t="shared" si="309"/>
        <v>Stacker-reclaimer Bucket wheel drive modification work of U- 8 CHP</v>
      </c>
      <c r="C2145" s="1491" t="str">
        <f t="shared" si="309"/>
        <v>Yet to be approved</v>
      </c>
      <c r="D2145" s="1531" t="str">
        <f t="shared" si="309"/>
        <v>-</v>
      </c>
      <c r="E2145" s="1318">
        <f t="shared" si="309"/>
        <v>0</v>
      </c>
      <c r="F2145" s="1437">
        <f t="shared" si="304"/>
        <v>3.32</v>
      </c>
      <c r="G2145" s="1437">
        <f t="shared" si="305"/>
        <v>3.32</v>
      </c>
      <c r="H2145" s="1437">
        <f t="shared" si="306"/>
        <v>0</v>
      </c>
      <c r="I2145" s="1437">
        <v>0</v>
      </c>
      <c r="J2145" s="1437">
        <v>0</v>
      </c>
      <c r="K2145" s="1438"/>
      <c r="L2145" s="1438"/>
      <c r="M2145" s="1437">
        <f t="shared" si="303"/>
        <v>0</v>
      </c>
      <c r="N2145" s="1437">
        <f t="shared" si="307"/>
        <v>0</v>
      </c>
    </row>
    <row r="2146" spans="1:14" ht="29" outlineLevel="1">
      <c r="A2146" s="1491">
        <f t="shared" si="309"/>
        <v>14.4</v>
      </c>
      <c r="B2146" s="1530" t="str">
        <f t="shared" si="309"/>
        <v>Apron feeder drive modification from Hydraulic to Electro-Mechanical at CHP U-8  NPTPS</v>
      </c>
      <c r="C2146" s="1491" t="str">
        <f t="shared" si="309"/>
        <v>Yet to be approved</v>
      </c>
      <c r="D2146" s="1531" t="str">
        <f t="shared" si="309"/>
        <v>-</v>
      </c>
      <c r="E2146" s="1318">
        <f t="shared" si="309"/>
        <v>0</v>
      </c>
      <c r="F2146" s="1437">
        <f t="shared" si="304"/>
        <v>4.0199999999999996</v>
      </c>
      <c r="G2146" s="1437">
        <f t="shared" si="305"/>
        <v>4.0199999999999996</v>
      </c>
      <c r="H2146" s="1437">
        <f t="shared" si="306"/>
        <v>0</v>
      </c>
      <c r="I2146" s="1437">
        <v>0</v>
      </c>
      <c r="J2146" s="1437">
        <v>0</v>
      </c>
      <c r="K2146" s="1438"/>
      <c r="L2146" s="1438"/>
      <c r="M2146" s="1437">
        <f t="shared" si="303"/>
        <v>0</v>
      </c>
      <c r="N2146" s="1437">
        <f t="shared" si="307"/>
        <v>0</v>
      </c>
    </row>
    <row r="2147" spans="1:14" outlineLevel="1">
      <c r="A2147" s="1491">
        <f t="shared" si="309"/>
        <v>14.5</v>
      </c>
      <c r="B2147" s="1530" t="str">
        <f t="shared" si="309"/>
        <v>Procurement of U-8 W/T Major spares</v>
      </c>
      <c r="C2147" s="1491" t="str">
        <f t="shared" si="309"/>
        <v>Yet to be approved</v>
      </c>
      <c r="D2147" s="1531" t="str">
        <f t="shared" si="309"/>
        <v>-</v>
      </c>
      <c r="E2147" s="1318">
        <f t="shared" si="309"/>
        <v>0</v>
      </c>
      <c r="F2147" s="1437">
        <f t="shared" si="304"/>
        <v>10</v>
      </c>
      <c r="G2147" s="1437">
        <f t="shared" si="305"/>
        <v>10</v>
      </c>
      <c r="H2147" s="1437">
        <f t="shared" si="306"/>
        <v>0</v>
      </c>
      <c r="I2147" s="1437">
        <v>0</v>
      </c>
      <c r="J2147" s="1437">
        <v>0</v>
      </c>
      <c r="K2147" s="1438"/>
      <c r="L2147" s="1438"/>
      <c r="M2147" s="1437">
        <f t="shared" si="303"/>
        <v>0</v>
      </c>
      <c r="N2147" s="1437">
        <f t="shared" si="307"/>
        <v>0</v>
      </c>
    </row>
    <row r="2148" spans="1:14" outlineLevel="1">
      <c r="A2148" s="1491">
        <f t="shared" si="309"/>
        <v>14.6</v>
      </c>
      <c r="B2148" s="1530" t="str">
        <f t="shared" si="309"/>
        <v>Provision of Soft starter / VFD for Various conveyor</v>
      </c>
      <c r="C2148" s="1491" t="str">
        <f t="shared" si="309"/>
        <v>Yet to be approved</v>
      </c>
      <c r="D2148" s="1531" t="str">
        <f t="shared" si="309"/>
        <v>-</v>
      </c>
      <c r="E2148" s="1318">
        <f t="shared" si="309"/>
        <v>0</v>
      </c>
      <c r="F2148" s="1437">
        <f t="shared" si="304"/>
        <v>8</v>
      </c>
      <c r="G2148" s="1437">
        <f t="shared" si="305"/>
        <v>8</v>
      </c>
      <c r="H2148" s="1437">
        <f t="shared" si="306"/>
        <v>0</v>
      </c>
      <c r="I2148" s="1437">
        <v>0</v>
      </c>
      <c r="J2148" s="1437">
        <v>0</v>
      </c>
      <c r="K2148" s="1438"/>
      <c r="L2148" s="1438"/>
      <c r="M2148" s="1437">
        <f t="shared" si="303"/>
        <v>0</v>
      </c>
      <c r="N2148" s="1437">
        <f t="shared" si="307"/>
        <v>0</v>
      </c>
    </row>
    <row r="2149" spans="1:14" outlineLevel="1">
      <c r="A2149" s="1491">
        <f t="shared" ref="A2149:E2164" si="310">A1756</f>
        <v>14.7</v>
      </c>
      <c r="B2149" s="1530" t="str">
        <f t="shared" si="310"/>
        <v>TP-3 chute modification at U-8 CHP.</v>
      </c>
      <c r="C2149" s="1491" t="str">
        <f t="shared" si="310"/>
        <v>Yet to be approved</v>
      </c>
      <c r="D2149" s="1531" t="str">
        <f t="shared" si="310"/>
        <v>-</v>
      </c>
      <c r="E2149" s="1318">
        <f t="shared" si="310"/>
        <v>0</v>
      </c>
      <c r="F2149" s="1437">
        <f t="shared" si="304"/>
        <v>3</v>
      </c>
      <c r="G2149" s="1437">
        <f t="shared" si="305"/>
        <v>3</v>
      </c>
      <c r="H2149" s="1437">
        <f t="shared" si="306"/>
        <v>0</v>
      </c>
      <c r="I2149" s="1437">
        <v>0</v>
      </c>
      <c r="J2149" s="1437">
        <v>0</v>
      </c>
      <c r="K2149" s="1438"/>
      <c r="L2149" s="1438"/>
      <c r="M2149" s="1437">
        <f t="shared" si="303"/>
        <v>0</v>
      </c>
      <c r="N2149" s="1437">
        <f t="shared" si="307"/>
        <v>0</v>
      </c>
    </row>
    <row r="2150" spans="1:14" ht="29" outlineLevel="1">
      <c r="A2150" s="1491">
        <f t="shared" si="310"/>
        <v>14.8</v>
      </c>
      <c r="B2150" s="1530" t="str">
        <f t="shared" si="310"/>
        <v>Design, supply and commissioning of solar operated lighting system in CHP  U-8.</v>
      </c>
      <c r="C2150" s="1491" t="str">
        <f t="shared" si="310"/>
        <v>Yet to be approved</v>
      </c>
      <c r="D2150" s="1531" t="str">
        <f t="shared" si="310"/>
        <v>-</v>
      </c>
      <c r="E2150" s="1318">
        <f t="shared" si="310"/>
        <v>0</v>
      </c>
      <c r="F2150" s="1437">
        <f t="shared" si="304"/>
        <v>15</v>
      </c>
      <c r="G2150" s="1437">
        <f t="shared" si="305"/>
        <v>15</v>
      </c>
      <c r="H2150" s="1437">
        <f t="shared" si="306"/>
        <v>0</v>
      </c>
      <c r="I2150" s="1437">
        <v>0</v>
      </c>
      <c r="J2150" s="1437">
        <v>0</v>
      </c>
      <c r="K2150" s="1438"/>
      <c r="L2150" s="1438"/>
      <c r="M2150" s="1437">
        <f t="shared" si="303"/>
        <v>0</v>
      </c>
      <c r="N2150" s="1437">
        <f t="shared" si="307"/>
        <v>0</v>
      </c>
    </row>
    <row r="2151" spans="1:14" outlineLevel="1">
      <c r="A2151" s="1491">
        <f t="shared" si="310"/>
        <v>14.9</v>
      </c>
      <c r="B2151" s="1530" t="str">
        <f t="shared" si="310"/>
        <v xml:space="preserve"> Installation of CCTV survillance system alongwith all conveyors.</v>
      </c>
      <c r="C2151" s="1491" t="str">
        <f t="shared" si="310"/>
        <v>Yet to be approved</v>
      </c>
      <c r="D2151" s="1531" t="str">
        <f t="shared" si="310"/>
        <v>-</v>
      </c>
      <c r="E2151" s="1318">
        <f t="shared" si="310"/>
        <v>0</v>
      </c>
      <c r="F2151" s="1437">
        <f t="shared" si="304"/>
        <v>4</v>
      </c>
      <c r="G2151" s="1437">
        <f t="shared" si="305"/>
        <v>4</v>
      </c>
      <c r="H2151" s="1437">
        <f t="shared" si="306"/>
        <v>0</v>
      </c>
      <c r="I2151" s="1437">
        <v>0</v>
      </c>
      <c r="J2151" s="1437">
        <v>0</v>
      </c>
      <c r="K2151" s="1438"/>
      <c r="L2151" s="1438"/>
      <c r="M2151" s="1437">
        <f t="shared" si="303"/>
        <v>0</v>
      </c>
      <c r="N2151" s="1437">
        <f t="shared" si="307"/>
        <v>0</v>
      </c>
    </row>
    <row r="2152" spans="1:14" ht="31" outlineLevel="1">
      <c r="A2152" s="1533">
        <f t="shared" si="310"/>
        <v>15</v>
      </c>
      <c r="B2152" s="1534" t="str">
        <f t="shared" si="310"/>
        <v>DPR for maximiation of Coal Handling Plant efficiency &amp; DPR on life enhancement of Coal Handling Plant</v>
      </c>
      <c r="C2152" s="1491" t="str">
        <f t="shared" si="310"/>
        <v>Yet to be approved</v>
      </c>
      <c r="D2152" s="1531" t="str">
        <f t="shared" si="310"/>
        <v>-</v>
      </c>
      <c r="E2152" s="1318">
        <f t="shared" si="310"/>
        <v>0</v>
      </c>
      <c r="F2152" s="1437">
        <f t="shared" si="304"/>
        <v>0</v>
      </c>
      <c r="G2152" s="1437">
        <f t="shared" si="305"/>
        <v>0</v>
      </c>
      <c r="H2152" s="1437">
        <f t="shared" si="306"/>
        <v>0</v>
      </c>
      <c r="I2152" s="1437">
        <v>0</v>
      </c>
      <c r="J2152" s="1437">
        <v>0</v>
      </c>
      <c r="K2152" s="1438"/>
      <c r="L2152" s="1438"/>
      <c r="M2152" s="1437">
        <f t="shared" si="303"/>
        <v>0</v>
      </c>
      <c r="N2152" s="1437">
        <f t="shared" si="307"/>
        <v>0</v>
      </c>
    </row>
    <row r="2153" spans="1:14" outlineLevel="1">
      <c r="A2153" s="1491">
        <f t="shared" si="310"/>
        <v>15.1</v>
      </c>
      <c r="B2153" s="1530" t="str">
        <f t="shared" si="310"/>
        <v>W/T control room &amp; bunker house battery &amp; UPS upgradation</v>
      </c>
      <c r="C2153" s="1491" t="str">
        <f t="shared" si="310"/>
        <v>Yet to be approved</v>
      </c>
      <c r="D2153" s="1531" t="str">
        <f t="shared" si="310"/>
        <v>-</v>
      </c>
      <c r="E2153" s="1318">
        <f t="shared" si="310"/>
        <v>0</v>
      </c>
      <c r="F2153" s="1437">
        <f t="shared" si="304"/>
        <v>0</v>
      </c>
      <c r="G2153" s="1437">
        <f t="shared" si="305"/>
        <v>0</v>
      </c>
      <c r="H2153" s="1437">
        <f t="shared" si="306"/>
        <v>0</v>
      </c>
      <c r="I2153" s="1437">
        <v>3</v>
      </c>
      <c r="J2153" s="1437">
        <v>3</v>
      </c>
      <c r="K2153" s="1438"/>
      <c r="L2153" s="1438"/>
      <c r="M2153" s="1437">
        <f t="shared" si="303"/>
        <v>3</v>
      </c>
      <c r="N2153" s="1437">
        <f t="shared" si="307"/>
        <v>0</v>
      </c>
    </row>
    <row r="2154" spans="1:14" ht="29" outlineLevel="1">
      <c r="A2154" s="1491">
        <f t="shared" si="310"/>
        <v>15.2</v>
      </c>
      <c r="B2154" s="1530" t="str">
        <f t="shared" si="310"/>
        <v>Refurbishment of  conveyor no. 2 A/B &amp; 6 A/B drive system of CHP U-8 TPS Parli.</v>
      </c>
      <c r="C2154" s="1491" t="str">
        <f t="shared" si="310"/>
        <v>Yet to be approved</v>
      </c>
      <c r="D2154" s="1531" t="str">
        <f t="shared" si="310"/>
        <v>-</v>
      </c>
      <c r="E2154" s="1318">
        <f t="shared" si="310"/>
        <v>0</v>
      </c>
      <c r="F2154" s="1437">
        <f t="shared" si="304"/>
        <v>0</v>
      </c>
      <c r="G2154" s="1437">
        <f t="shared" si="305"/>
        <v>0</v>
      </c>
      <c r="H2154" s="1437">
        <f t="shared" si="306"/>
        <v>0</v>
      </c>
      <c r="I2154" s="1437">
        <v>8</v>
      </c>
      <c r="J2154" s="1437">
        <v>8</v>
      </c>
      <c r="K2154" s="1438"/>
      <c r="L2154" s="1438"/>
      <c r="M2154" s="1437">
        <f t="shared" si="303"/>
        <v>8</v>
      </c>
      <c r="N2154" s="1437">
        <f t="shared" si="307"/>
        <v>0</v>
      </c>
    </row>
    <row r="2155" spans="1:14" outlineLevel="1">
      <c r="A2155" s="1491">
        <f t="shared" si="310"/>
        <v>15.3</v>
      </c>
      <c r="B2155" s="1530" t="str">
        <f t="shared" si="310"/>
        <v>Provision of Soft starter / VFD for Various conveyor</v>
      </c>
      <c r="C2155" s="1491" t="str">
        <f t="shared" si="310"/>
        <v>Yet to be approved</v>
      </c>
      <c r="D2155" s="1531" t="str">
        <f t="shared" si="310"/>
        <v>-</v>
      </c>
      <c r="E2155" s="1318">
        <f t="shared" si="310"/>
        <v>0</v>
      </c>
      <c r="F2155" s="1437">
        <f t="shared" si="304"/>
        <v>0</v>
      </c>
      <c r="G2155" s="1437">
        <f t="shared" si="305"/>
        <v>0</v>
      </c>
      <c r="H2155" s="1437">
        <f t="shared" si="306"/>
        <v>0</v>
      </c>
      <c r="I2155" s="1437">
        <v>8</v>
      </c>
      <c r="J2155" s="1437">
        <v>8</v>
      </c>
      <c r="K2155" s="1438"/>
      <c r="L2155" s="1438"/>
      <c r="M2155" s="1437">
        <f t="shared" si="303"/>
        <v>8</v>
      </c>
      <c r="N2155" s="1437">
        <f t="shared" si="307"/>
        <v>0</v>
      </c>
    </row>
    <row r="2156" spans="1:14" outlineLevel="1">
      <c r="A2156" s="1491">
        <f t="shared" si="310"/>
        <v>15.4</v>
      </c>
      <c r="B2156" s="1530" t="str">
        <f t="shared" si="310"/>
        <v>Procurement &amp; installation of Belt tear detection system</v>
      </c>
      <c r="C2156" s="1491" t="str">
        <f t="shared" si="310"/>
        <v>Yet to be approved</v>
      </c>
      <c r="D2156" s="1531" t="str">
        <f t="shared" si="310"/>
        <v>-</v>
      </c>
      <c r="E2156" s="1318">
        <f t="shared" si="310"/>
        <v>0</v>
      </c>
      <c r="F2156" s="1437">
        <f t="shared" si="304"/>
        <v>0</v>
      </c>
      <c r="G2156" s="1437">
        <f t="shared" si="305"/>
        <v>0</v>
      </c>
      <c r="H2156" s="1437">
        <f t="shared" si="306"/>
        <v>0</v>
      </c>
      <c r="I2156" s="1437">
        <v>0</v>
      </c>
      <c r="J2156" s="1437">
        <v>0</v>
      </c>
      <c r="K2156" s="1438"/>
      <c r="L2156" s="1438"/>
      <c r="M2156" s="1437">
        <f t="shared" si="303"/>
        <v>0</v>
      </c>
      <c r="N2156" s="1437">
        <f t="shared" si="307"/>
        <v>0</v>
      </c>
    </row>
    <row r="2157" spans="1:14" outlineLevel="1">
      <c r="A2157" s="1491">
        <f t="shared" si="310"/>
        <v>15.5</v>
      </c>
      <c r="B2157" s="1530" t="str">
        <f t="shared" si="310"/>
        <v>Conveyor gravity takeup infrastructure strengthening work</v>
      </c>
      <c r="C2157" s="1491" t="str">
        <f t="shared" si="310"/>
        <v>Yet to be approved</v>
      </c>
      <c r="D2157" s="1531" t="str">
        <f t="shared" si="310"/>
        <v>-</v>
      </c>
      <c r="E2157" s="1318">
        <f t="shared" si="310"/>
        <v>0</v>
      </c>
      <c r="F2157" s="1437">
        <f t="shared" si="304"/>
        <v>0</v>
      </c>
      <c r="G2157" s="1437">
        <f t="shared" si="305"/>
        <v>0</v>
      </c>
      <c r="H2157" s="1437">
        <f t="shared" si="306"/>
        <v>0</v>
      </c>
      <c r="I2157" s="1437">
        <v>0</v>
      </c>
      <c r="J2157" s="1437">
        <v>0</v>
      </c>
      <c r="K2157" s="1438"/>
      <c r="L2157" s="1438"/>
      <c r="M2157" s="1437">
        <f t="shared" si="303"/>
        <v>0</v>
      </c>
      <c r="N2157" s="1437">
        <f t="shared" si="307"/>
        <v>0</v>
      </c>
    </row>
    <row r="2158" spans="1:14" outlineLevel="1">
      <c r="A2158" s="1491">
        <f t="shared" si="310"/>
        <v>15.6</v>
      </c>
      <c r="B2158" s="1530" t="str">
        <f t="shared" si="310"/>
        <v>U-8 CHP apron feeder-I to Conveyor 1 A/B chute modification work .</v>
      </c>
      <c r="C2158" s="1491" t="str">
        <f t="shared" si="310"/>
        <v>Yet to be approved</v>
      </c>
      <c r="D2158" s="1531" t="str">
        <f t="shared" si="310"/>
        <v>-</v>
      </c>
      <c r="E2158" s="1318">
        <f t="shared" si="310"/>
        <v>0</v>
      </c>
      <c r="F2158" s="1437">
        <f t="shared" si="304"/>
        <v>0</v>
      </c>
      <c r="G2158" s="1437">
        <f t="shared" si="305"/>
        <v>0</v>
      </c>
      <c r="H2158" s="1437">
        <f t="shared" si="306"/>
        <v>0</v>
      </c>
      <c r="I2158" s="1437">
        <v>0</v>
      </c>
      <c r="J2158" s="1437">
        <v>0</v>
      </c>
      <c r="K2158" s="1438"/>
      <c r="L2158" s="1438"/>
      <c r="M2158" s="1437">
        <f t="shared" si="303"/>
        <v>0</v>
      </c>
      <c r="N2158" s="1437">
        <f t="shared" si="307"/>
        <v>0</v>
      </c>
    </row>
    <row r="2159" spans="1:14" ht="15.5" outlineLevel="1">
      <c r="A2159" s="1533">
        <f t="shared" si="310"/>
        <v>16</v>
      </c>
      <c r="B2159" s="1534" t="str">
        <f t="shared" si="310"/>
        <v>DPR for stabiliazation of Coal Handling Performance.</v>
      </c>
      <c r="C2159" s="1491" t="str">
        <f t="shared" si="310"/>
        <v>Yet to be approved</v>
      </c>
      <c r="D2159" s="1531" t="str">
        <f t="shared" si="310"/>
        <v>-</v>
      </c>
      <c r="E2159" s="1318">
        <f t="shared" si="310"/>
        <v>0</v>
      </c>
      <c r="F2159" s="1437">
        <f t="shared" si="304"/>
        <v>0</v>
      </c>
      <c r="G2159" s="1437">
        <f t="shared" si="305"/>
        <v>0</v>
      </c>
      <c r="H2159" s="1437">
        <f t="shared" si="306"/>
        <v>0</v>
      </c>
      <c r="I2159" s="1437">
        <v>0</v>
      </c>
      <c r="J2159" s="1437">
        <v>0</v>
      </c>
      <c r="K2159" s="1438"/>
      <c r="L2159" s="1438"/>
      <c r="M2159" s="1437">
        <f t="shared" si="303"/>
        <v>0</v>
      </c>
      <c r="N2159" s="1437">
        <f t="shared" si="307"/>
        <v>0</v>
      </c>
    </row>
    <row r="2160" spans="1:14" outlineLevel="1">
      <c r="A2160" s="1491">
        <f t="shared" si="310"/>
        <v>16.100000000000001</v>
      </c>
      <c r="B2160" s="1530" t="str">
        <f t="shared" si="310"/>
        <v xml:space="preserve">Drive modification of Stacker Reclaimer slewing system. </v>
      </c>
      <c r="C2160" s="1491" t="str">
        <f t="shared" si="310"/>
        <v>Yet to be approved</v>
      </c>
      <c r="D2160" s="1531" t="str">
        <f t="shared" si="310"/>
        <v>-</v>
      </c>
      <c r="E2160" s="1318">
        <f t="shared" si="310"/>
        <v>0</v>
      </c>
      <c r="F2160" s="1437">
        <f t="shared" si="304"/>
        <v>0</v>
      </c>
      <c r="G2160" s="1437">
        <f t="shared" si="305"/>
        <v>0</v>
      </c>
      <c r="H2160" s="1437">
        <f t="shared" si="306"/>
        <v>0</v>
      </c>
      <c r="I2160" s="1437">
        <v>0</v>
      </c>
      <c r="J2160" s="1437">
        <v>0</v>
      </c>
      <c r="K2160" s="1438"/>
      <c r="L2160" s="1438"/>
      <c r="M2160" s="1437">
        <f t="shared" si="303"/>
        <v>0</v>
      </c>
      <c r="N2160" s="1437">
        <f t="shared" si="307"/>
        <v>0</v>
      </c>
    </row>
    <row r="2161" spans="1:14" outlineLevel="1">
      <c r="A2161" s="1491">
        <f t="shared" si="310"/>
        <v>16.2</v>
      </c>
      <c r="B2161" s="1530" t="str">
        <f t="shared" si="310"/>
        <v>Retrofitting of Side Arm Charger-I &amp; II at CHP U-8</v>
      </c>
      <c r="C2161" s="1491" t="str">
        <f t="shared" si="310"/>
        <v>Yet to be approved</v>
      </c>
      <c r="D2161" s="1531" t="str">
        <f t="shared" si="310"/>
        <v>-</v>
      </c>
      <c r="E2161" s="1318">
        <f t="shared" si="310"/>
        <v>0</v>
      </c>
      <c r="F2161" s="1437">
        <f t="shared" si="304"/>
        <v>0</v>
      </c>
      <c r="G2161" s="1437">
        <f t="shared" si="305"/>
        <v>0</v>
      </c>
      <c r="H2161" s="1437">
        <f t="shared" si="306"/>
        <v>0</v>
      </c>
      <c r="I2161" s="1437">
        <v>0</v>
      </c>
      <c r="J2161" s="1437">
        <v>0</v>
      </c>
      <c r="K2161" s="1438"/>
      <c r="L2161" s="1438"/>
      <c r="M2161" s="1437">
        <f t="shared" si="303"/>
        <v>0</v>
      </c>
      <c r="N2161" s="1437">
        <f t="shared" si="307"/>
        <v>0</v>
      </c>
    </row>
    <row r="2162" spans="1:14" outlineLevel="1">
      <c r="A2162" s="1491">
        <f t="shared" si="310"/>
        <v>16.3</v>
      </c>
      <c r="B2162" s="1530" t="str">
        <f t="shared" si="310"/>
        <v>Upgradation of GE/Schineder make PLC system atU-8 CHP.</v>
      </c>
      <c r="C2162" s="1491" t="str">
        <f t="shared" si="310"/>
        <v>Yet to be approved</v>
      </c>
      <c r="D2162" s="1531" t="str">
        <f t="shared" si="310"/>
        <v>-</v>
      </c>
      <c r="E2162" s="1318">
        <f t="shared" si="310"/>
        <v>0</v>
      </c>
      <c r="F2162" s="1437">
        <f t="shared" si="304"/>
        <v>0</v>
      </c>
      <c r="G2162" s="1437">
        <f t="shared" si="305"/>
        <v>0</v>
      </c>
      <c r="H2162" s="1437">
        <f t="shared" si="306"/>
        <v>0</v>
      </c>
      <c r="I2162" s="1437">
        <v>0</v>
      </c>
      <c r="J2162" s="1437">
        <v>0</v>
      </c>
      <c r="K2162" s="1438"/>
      <c r="L2162" s="1438"/>
      <c r="M2162" s="1437">
        <f t="shared" si="303"/>
        <v>0</v>
      </c>
      <c r="N2162" s="1437">
        <f t="shared" si="307"/>
        <v>0</v>
      </c>
    </row>
    <row r="2163" spans="1:14" outlineLevel="1">
      <c r="A2163" s="1491">
        <f t="shared" si="310"/>
        <v>16.399999999999999</v>
      </c>
      <c r="B2163" s="1530" t="str">
        <f t="shared" si="310"/>
        <v>Refurbishment of Apron Feeder at CHP U-8.</v>
      </c>
      <c r="C2163" s="1491" t="str">
        <f t="shared" si="310"/>
        <v>Yet to be approved</v>
      </c>
      <c r="D2163" s="1531" t="str">
        <f t="shared" si="310"/>
        <v>-</v>
      </c>
      <c r="E2163" s="1318">
        <f t="shared" si="310"/>
        <v>0</v>
      </c>
      <c r="F2163" s="1437">
        <f t="shared" si="304"/>
        <v>0</v>
      </c>
      <c r="G2163" s="1437">
        <f t="shared" si="305"/>
        <v>0</v>
      </c>
      <c r="H2163" s="1437">
        <f t="shared" si="306"/>
        <v>0</v>
      </c>
      <c r="I2163" s="1437">
        <v>0</v>
      </c>
      <c r="J2163" s="1437">
        <v>0</v>
      </c>
      <c r="K2163" s="1438"/>
      <c r="L2163" s="1438"/>
      <c r="M2163" s="1437">
        <f t="shared" si="303"/>
        <v>0</v>
      </c>
      <c r="N2163" s="1437">
        <f t="shared" si="307"/>
        <v>0</v>
      </c>
    </row>
    <row r="2164" spans="1:14" ht="29" outlineLevel="1">
      <c r="A2164" s="1491">
        <f t="shared" si="310"/>
        <v>16.5</v>
      </c>
      <c r="B2164" s="1530" t="str">
        <f t="shared" si="310"/>
        <v>Provision of moveable stacker and crusher in CHP coal stack yard at CHP U-8.</v>
      </c>
      <c r="C2164" s="1491" t="str">
        <f t="shared" si="310"/>
        <v>Yet to be approved</v>
      </c>
      <c r="D2164" s="1531" t="str">
        <f t="shared" si="310"/>
        <v>-</v>
      </c>
      <c r="E2164" s="1318">
        <f t="shared" si="310"/>
        <v>0</v>
      </c>
      <c r="F2164" s="1437">
        <f t="shared" si="304"/>
        <v>0</v>
      </c>
      <c r="G2164" s="1437">
        <f t="shared" si="305"/>
        <v>0</v>
      </c>
      <c r="H2164" s="1437">
        <f t="shared" si="306"/>
        <v>0</v>
      </c>
      <c r="I2164" s="1437">
        <v>0</v>
      </c>
      <c r="J2164" s="1437">
        <v>0</v>
      </c>
      <c r="K2164" s="1438"/>
      <c r="L2164" s="1438"/>
      <c r="M2164" s="1437">
        <f t="shared" si="303"/>
        <v>0</v>
      </c>
      <c r="N2164" s="1437">
        <f t="shared" si="307"/>
        <v>0</v>
      </c>
    </row>
    <row r="2165" spans="1:14" outlineLevel="1">
      <c r="A2165" s="1491">
        <f t="shared" ref="A2165:E2180" si="311">A1772</f>
        <v>16.600000000000001</v>
      </c>
      <c r="B2165" s="1530" t="str">
        <f t="shared" si="311"/>
        <v>Procurement of Loco &amp; Bulldozer at CHP U-8.</v>
      </c>
      <c r="C2165" s="1491" t="str">
        <f t="shared" si="311"/>
        <v>Yet to be approved</v>
      </c>
      <c r="D2165" s="1531" t="str">
        <f t="shared" si="311"/>
        <v>-</v>
      </c>
      <c r="E2165" s="1318">
        <f t="shared" si="311"/>
        <v>0</v>
      </c>
      <c r="F2165" s="1437">
        <f t="shared" si="304"/>
        <v>0</v>
      </c>
      <c r="G2165" s="1437">
        <f t="shared" si="305"/>
        <v>0</v>
      </c>
      <c r="H2165" s="1437">
        <f t="shared" si="306"/>
        <v>0</v>
      </c>
      <c r="I2165" s="1437">
        <v>0</v>
      </c>
      <c r="J2165" s="1437">
        <v>0</v>
      </c>
      <c r="K2165" s="1438"/>
      <c r="L2165" s="1438"/>
      <c r="M2165" s="1437">
        <f t="shared" si="303"/>
        <v>0</v>
      </c>
      <c r="N2165" s="1437">
        <f t="shared" si="307"/>
        <v>0</v>
      </c>
    </row>
    <row r="2166" spans="1:14" ht="31" outlineLevel="1">
      <c r="A2166" s="1533">
        <f t="shared" si="311"/>
        <v>17</v>
      </c>
      <c r="B2166" s="1534" t="str">
        <f t="shared" si="311"/>
        <v>DPR on dry fly ash utilisation improvement scheme for AHP U-8 NPTPS Parli-V.</v>
      </c>
      <c r="C2166" s="1491" t="str">
        <f t="shared" si="311"/>
        <v>Yet to be approved</v>
      </c>
      <c r="D2166" s="1531" t="str">
        <f t="shared" si="311"/>
        <v>-</v>
      </c>
      <c r="E2166" s="1318">
        <f t="shared" si="311"/>
        <v>0</v>
      </c>
      <c r="F2166" s="1437">
        <f t="shared" si="304"/>
        <v>0</v>
      </c>
      <c r="G2166" s="1437">
        <f t="shared" si="305"/>
        <v>0</v>
      </c>
      <c r="H2166" s="1437">
        <f t="shared" si="306"/>
        <v>0</v>
      </c>
      <c r="I2166" s="1437">
        <v>0</v>
      </c>
      <c r="J2166" s="1437">
        <v>0</v>
      </c>
      <c r="K2166" s="1438"/>
      <c r="L2166" s="1438"/>
      <c r="M2166" s="1437">
        <f t="shared" si="303"/>
        <v>0</v>
      </c>
      <c r="N2166" s="1437">
        <f t="shared" si="307"/>
        <v>0</v>
      </c>
    </row>
    <row r="2167" spans="1:14" ht="29" outlineLevel="1">
      <c r="A2167" s="1491">
        <f t="shared" si="311"/>
        <v>17.100000000000001</v>
      </c>
      <c r="B2167" s="1530" t="str">
        <f t="shared" si="311"/>
        <v>Design, supply, erection, installation &amp; comissioning of intermediate silo with sub system at AHP U-8.</v>
      </c>
      <c r="C2167" s="1491" t="str">
        <f t="shared" si="311"/>
        <v>Yet to be approved</v>
      </c>
      <c r="D2167" s="1531" t="str">
        <f t="shared" si="311"/>
        <v>-</v>
      </c>
      <c r="E2167" s="1318">
        <f t="shared" si="311"/>
        <v>0</v>
      </c>
      <c r="F2167" s="1437">
        <f t="shared" si="304"/>
        <v>0</v>
      </c>
      <c r="G2167" s="1437">
        <f t="shared" si="305"/>
        <v>0</v>
      </c>
      <c r="H2167" s="1437">
        <f t="shared" si="306"/>
        <v>0</v>
      </c>
      <c r="I2167" s="1437">
        <v>38</v>
      </c>
      <c r="J2167" s="1437">
        <v>38</v>
      </c>
      <c r="K2167" s="1438"/>
      <c r="L2167" s="1438"/>
      <c r="M2167" s="1437">
        <f t="shared" ref="M2167:M2230" si="312">SUM(J2167:L2167)</f>
        <v>38</v>
      </c>
      <c r="N2167" s="1437">
        <f t="shared" si="307"/>
        <v>0</v>
      </c>
    </row>
    <row r="2168" spans="1:14" ht="31" outlineLevel="1">
      <c r="A2168" s="1533">
        <f t="shared" si="311"/>
        <v>18</v>
      </c>
      <c r="B2168" s="1534" t="str">
        <f t="shared" si="311"/>
        <v>DPR on ash handling plant improvement scheme for AHP U-8 NPTPS Parli-V.</v>
      </c>
      <c r="C2168" s="1491" t="str">
        <f t="shared" si="311"/>
        <v>Yet to be approved</v>
      </c>
      <c r="D2168" s="1531" t="str">
        <f t="shared" si="311"/>
        <v>-</v>
      </c>
      <c r="E2168" s="1318">
        <f t="shared" si="311"/>
        <v>0</v>
      </c>
      <c r="F2168" s="1437">
        <f t="shared" ref="F2168:F2231" si="313">F1775+I1775</f>
        <v>0</v>
      </c>
      <c r="G2168" s="1437">
        <f t="shared" ref="G2168:G2231" si="314">G1775+M1775</f>
        <v>0</v>
      </c>
      <c r="H2168" s="1437">
        <f t="shared" si="306"/>
        <v>0</v>
      </c>
      <c r="I2168" s="1437">
        <v>0</v>
      </c>
      <c r="J2168" s="1437">
        <v>0</v>
      </c>
      <c r="K2168" s="1438"/>
      <c r="L2168" s="1438"/>
      <c r="M2168" s="1437">
        <f t="shared" si="312"/>
        <v>0</v>
      </c>
      <c r="N2168" s="1437">
        <f t="shared" si="307"/>
        <v>0</v>
      </c>
    </row>
    <row r="2169" spans="1:14" ht="29" outlineLevel="1">
      <c r="A2169" s="1491">
        <f t="shared" si="311"/>
        <v>18.100000000000001</v>
      </c>
      <c r="B2169" s="1530" t="str">
        <f t="shared" si="311"/>
        <v xml:space="preserve"> Design, supply, erection &amp; comissioning of weigh bridge for silo at AHP U-8.</v>
      </c>
      <c r="C2169" s="1491" t="str">
        <f t="shared" si="311"/>
        <v>Yet to be approved</v>
      </c>
      <c r="D2169" s="1531" t="str">
        <f t="shared" si="311"/>
        <v>-</v>
      </c>
      <c r="E2169" s="1318">
        <f t="shared" si="311"/>
        <v>0</v>
      </c>
      <c r="F2169" s="1437">
        <f t="shared" si="313"/>
        <v>0.5</v>
      </c>
      <c r="G2169" s="1437">
        <f t="shared" si="314"/>
        <v>0.5</v>
      </c>
      <c r="H2169" s="1437">
        <f t="shared" ref="H2169:H2232" si="315">F2169-G2169</f>
        <v>0</v>
      </c>
      <c r="I2169" s="1437">
        <v>0</v>
      </c>
      <c r="J2169" s="1437">
        <v>0</v>
      </c>
      <c r="K2169" s="1438"/>
      <c r="L2169" s="1438"/>
      <c r="M2169" s="1437">
        <f t="shared" si="312"/>
        <v>0</v>
      </c>
      <c r="N2169" s="1437">
        <f t="shared" ref="N2169:N2232" si="316">H2169+I2169-M2169</f>
        <v>0</v>
      </c>
    </row>
    <row r="2170" spans="1:14" ht="29" outlineLevel="1">
      <c r="A2170" s="1491">
        <f t="shared" si="311"/>
        <v>18.2</v>
      </c>
      <c r="B2170" s="1530" t="str">
        <f t="shared" si="311"/>
        <v>Supply, installation &amp; comissioning of energy efficient air compressor at AHP U-8.</v>
      </c>
      <c r="C2170" s="1491" t="str">
        <f t="shared" si="311"/>
        <v>Yet to be approved</v>
      </c>
      <c r="D2170" s="1531" t="str">
        <f t="shared" si="311"/>
        <v>-</v>
      </c>
      <c r="E2170" s="1318">
        <f t="shared" si="311"/>
        <v>0</v>
      </c>
      <c r="F2170" s="1437">
        <f t="shared" si="313"/>
        <v>6</v>
      </c>
      <c r="G2170" s="1437">
        <f t="shared" si="314"/>
        <v>6</v>
      </c>
      <c r="H2170" s="1437">
        <f t="shared" si="315"/>
        <v>0</v>
      </c>
      <c r="I2170" s="1437">
        <v>0</v>
      </c>
      <c r="J2170" s="1437">
        <v>0</v>
      </c>
      <c r="K2170" s="1438"/>
      <c r="L2170" s="1438"/>
      <c r="M2170" s="1437">
        <f t="shared" si="312"/>
        <v>0</v>
      </c>
      <c r="N2170" s="1437">
        <f t="shared" si="316"/>
        <v>0</v>
      </c>
    </row>
    <row r="2171" spans="1:14" ht="58" outlineLevel="1">
      <c r="A2171" s="1491">
        <f t="shared" si="311"/>
        <v>18.3</v>
      </c>
      <c r="B2171" s="1530" t="str">
        <f t="shared" si="311"/>
        <v xml:space="preserve"> PROCUREMENT OF COMPLETE ASSEMBLY OF SAM MAKE AR-150/510 PUMPS (2 NOS) FOR REPLACEMENT OF ASH SLURRY PUMPS OF BOTTOM ASH SLURRY DISPOSAL FROM SLURRY TANK TO ASH BUND IN SLURRY PUMP HOUSE. </v>
      </c>
      <c r="C2171" s="1491" t="str">
        <f t="shared" si="311"/>
        <v>Yet to be approved</v>
      </c>
      <c r="D2171" s="1531" t="str">
        <f t="shared" si="311"/>
        <v>-</v>
      </c>
      <c r="E2171" s="1318">
        <f t="shared" si="311"/>
        <v>0</v>
      </c>
      <c r="F2171" s="1437">
        <f t="shared" si="313"/>
        <v>0.5</v>
      </c>
      <c r="G2171" s="1437">
        <f t="shared" si="314"/>
        <v>0.5</v>
      </c>
      <c r="H2171" s="1437">
        <f t="shared" si="315"/>
        <v>0</v>
      </c>
      <c r="I2171" s="1437">
        <v>0</v>
      </c>
      <c r="J2171" s="1437">
        <v>0</v>
      </c>
      <c r="K2171" s="1438"/>
      <c r="L2171" s="1438"/>
      <c r="M2171" s="1437">
        <f t="shared" si="312"/>
        <v>0</v>
      </c>
      <c r="N2171" s="1437">
        <f t="shared" si="316"/>
        <v>0</v>
      </c>
    </row>
    <row r="2172" spans="1:14" ht="58" outlineLevel="1">
      <c r="A2172" s="1491">
        <f t="shared" si="311"/>
        <v>18.399999999999999</v>
      </c>
      <c r="B2172" s="1530" t="str">
        <f t="shared" si="311"/>
        <v>PROCUREMENT OF COMPLETE ASSEMBLY OF SAM MAKE ZM-II 530/02 (2 NOS) FOR REPLACEMENT OF HP PUMPS OF BOTTOM ASH &amp; COARSE ASH EVACUATION FROM BA/CA HOPPERS TO SLURRY TANK IN ASH WATER PUMP HOUSE. 0.75 0.89</v>
      </c>
      <c r="C2172" s="1491" t="str">
        <f t="shared" si="311"/>
        <v>Yet to be approved</v>
      </c>
      <c r="D2172" s="1531" t="str">
        <f t="shared" si="311"/>
        <v>-</v>
      </c>
      <c r="E2172" s="1318">
        <f t="shared" si="311"/>
        <v>0</v>
      </c>
      <c r="F2172" s="1437">
        <f t="shared" si="313"/>
        <v>0.4</v>
      </c>
      <c r="G2172" s="1437">
        <f t="shared" si="314"/>
        <v>0.4</v>
      </c>
      <c r="H2172" s="1437">
        <f t="shared" si="315"/>
        <v>0</v>
      </c>
      <c r="I2172" s="1437">
        <v>0</v>
      </c>
      <c r="J2172" s="1437">
        <v>0</v>
      </c>
      <c r="K2172" s="1438"/>
      <c r="L2172" s="1438"/>
      <c r="M2172" s="1437">
        <f t="shared" si="312"/>
        <v>0</v>
      </c>
      <c r="N2172" s="1437">
        <f t="shared" si="316"/>
        <v>0</v>
      </c>
    </row>
    <row r="2173" spans="1:14" ht="29" outlineLevel="1">
      <c r="A2173" s="1491">
        <f t="shared" si="311"/>
        <v>18.5</v>
      </c>
      <c r="B2173" s="1530" t="str">
        <f t="shared" si="311"/>
        <v>Procurement of vacuum pumps complete assembly for AHP U-8 NPTPS Parli-V.</v>
      </c>
      <c r="C2173" s="1491" t="str">
        <f t="shared" si="311"/>
        <v>Yet to be approved</v>
      </c>
      <c r="D2173" s="1531" t="str">
        <f t="shared" si="311"/>
        <v>-</v>
      </c>
      <c r="E2173" s="1318">
        <f t="shared" si="311"/>
        <v>0</v>
      </c>
      <c r="F2173" s="1437">
        <f t="shared" si="313"/>
        <v>1.5</v>
      </c>
      <c r="G2173" s="1437">
        <f t="shared" si="314"/>
        <v>1.5</v>
      </c>
      <c r="H2173" s="1437">
        <f t="shared" si="315"/>
        <v>0</v>
      </c>
      <c r="I2173" s="1437">
        <v>0</v>
      </c>
      <c r="J2173" s="1437">
        <v>0</v>
      </c>
      <c r="K2173" s="1438"/>
      <c r="L2173" s="1438"/>
      <c r="M2173" s="1437">
        <f t="shared" si="312"/>
        <v>0</v>
      </c>
      <c r="N2173" s="1437">
        <f t="shared" si="316"/>
        <v>0</v>
      </c>
    </row>
    <row r="2174" spans="1:14" ht="29" outlineLevel="1">
      <c r="A2174" s="1491">
        <f t="shared" si="311"/>
        <v>18.600000000000001</v>
      </c>
      <c r="B2174" s="1530" t="str">
        <f t="shared" si="311"/>
        <v>Procurement of vacuum pumps complete assembly for AHP U-8 NPTPS Parli-V.</v>
      </c>
      <c r="C2174" s="1491" t="str">
        <f t="shared" si="311"/>
        <v>Yet to be approved</v>
      </c>
      <c r="D2174" s="1531" t="str">
        <f t="shared" si="311"/>
        <v>-</v>
      </c>
      <c r="E2174" s="1318">
        <f t="shared" si="311"/>
        <v>0</v>
      </c>
      <c r="F2174" s="1437">
        <f t="shared" si="313"/>
        <v>2</v>
      </c>
      <c r="G2174" s="1437">
        <f t="shared" si="314"/>
        <v>2</v>
      </c>
      <c r="H2174" s="1437">
        <f t="shared" si="315"/>
        <v>0</v>
      </c>
      <c r="I2174" s="1437">
        <v>0</v>
      </c>
      <c r="J2174" s="1437">
        <v>0</v>
      </c>
      <c r="K2174" s="1438"/>
      <c r="L2174" s="1438"/>
      <c r="M2174" s="1437">
        <f t="shared" si="312"/>
        <v>0</v>
      </c>
      <c r="N2174" s="1437">
        <f t="shared" si="316"/>
        <v>0</v>
      </c>
    </row>
    <row r="2175" spans="1:14" ht="29" outlineLevel="1">
      <c r="A2175" s="1491">
        <f t="shared" si="311"/>
        <v>18.7</v>
      </c>
      <c r="B2175" s="1530" t="str">
        <f t="shared" si="311"/>
        <v>Procurement of Feed Gate Complete Assembly along with modified metallurgy to enhance the life of Clinker Grinder.</v>
      </c>
      <c r="C2175" s="1491" t="str">
        <f t="shared" si="311"/>
        <v>Yet to be approved</v>
      </c>
      <c r="D2175" s="1531" t="str">
        <f t="shared" si="311"/>
        <v>-</v>
      </c>
      <c r="E2175" s="1318">
        <f t="shared" si="311"/>
        <v>0</v>
      </c>
      <c r="F2175" s="1437">
        <f t="shared" si="313"/>
        <v>1</v>
      </c>
      <c r="G2175" s="1437">
        <f t="shared" si="314"/>
        <v>1</v>
      </c>
      <c r="H2175" s="1437">
        <f t="shared" si="315"/>
        <v>0</v>
      </c>
      <c r="I2175" s="1437">
        <v>0</v>
      </c>
      <c r="J2175" s="1437">
        <v>0</v>
      </c>
      <c r="K2175" s="1438"/>
      <c r="L2175" s="1438"/>
      <c r="M2175" s="1437">
        <f t="shared" si="312"/>
        <v>0</v>
      </c>
      <c r="N2175" s="1437">
        <f t="shared" si="316"/>
        <v>0</v>
      </c>
    </row>
    <row r="2176" spans="1:14" ht="29" outlineLevel="1">
      <c r="A2176" s="1491">
        <f t="shared" si="311"/>
        <v>18.8</v>
      </c>
      <c r="B2176" s="1530" t="str">
        <f t="shared" si="311"/>
        <v>Procurement of Double Roll Clinker Grinder Complete Assembly with Drive Unit installed at AHP</v>
      </c>
      <c r="C2176" s="1491" t="str">
        <f t="shared" si="311"/>
        <v>Yet to be approved</v>
      </c>
      <c r="D2176" s="1531" t="str">
        <f t="shared" si="311"/>
        <v>-</v>
      </c>
      <c r="E2176" s="1318">
        <f t="shared" si="311"/>
        <v>0</v>
      </c>
      <c r="F2176" s="1437">
        <f t="shared" si="313"/>
        <v>1.25</v>
      </c>
      <c r="G2176" s="1437">
        <f t="shared" si="314"/>
        <v>1.25</v>
      </c>
      <c r="H2176" s="1437">
        <f t="shared" si="315"/>
        <v>0</v>
      </c>
      <c r="I2176" s="1437">
        <v>0</v>
      </c>
      <c r="J2176" s="1437">
        <v>0</v>
      </c>
      <c r="K2176" s="1438"/>
      <c r="L2176" s="1438"/>
      <c r="M2176" s="1437">
        <f t="shared" si="312"/>
        <v>0</v>
      </c>
      <c r="N2176" s="1437">
        <f t="shared" si="316"/>
        <v>0</v>
      </c>
    </row>
    <row r="2177" spans="1:14" ht="29" outlineLevel="1">
      <c r="A2177" s="1491">
        <f t="shared" si="311"/>
        <v>18.899999999999999</v>
      </c>
      <c r="B2177" s="1530" t="str">
        <f t="shared" si="311"/>
        <v>Procurement of Instrument Air Dryers assembly for performance improvement</v>
      </c>
      <c r="C2177" s="1491" t="str">
        <f t="shared" si="311"/>
        <v>Yet to be approved</v>
      </c>
      <c r="D2177" s="1531" t="str">
        <f t="shared" si="311"/>
        <v>-</v>
      </c>
      <c r="E2177" s="1318">
        <f t="shared" si="311"/>
        <v>0</v>
      </c>
      <c r="F2177" s="1437">
        <f t="shared" si="313"/>
        <v>0.5</v>
      </c>
      <c r="G2177" s="1437">
        <f t="shared" si="314"/>
        <v>0.5</v>
      </c>
      <c r="H2177" s="1437">
        <f t="shared" si="315"/>
        <v>0</v>
      </c>
      <c r="I2177" s="1437">
        <v>0</v>
      </c>
      <c r="J2177" s="1437">
        <v>0</v>
      </c>
      <c r="K2177" s="1438"/>
      <c r="L2177" s="1438"/>
      <c r="M2177" s="1437">
        <f t="shared" si="312"/>
        <v>0</v>
      </c>
      <c r="N2177" s="1437">
        <f t="shared" si="316"/>
        <v>0</v>
      </c>
    </row>
    <row r="2178" spans="1:14" ht="43.5" outlineLevel="1">
      <c r="A2178" s="1491">
        <f t="shared" si="311"/>
        <v>18.100000000000001</v>
      </c>
      <c r="B2178" s="1530" t="str">
        <f t="shared" si="311"/>
        <v>Procurement of various types of Isolation Valves assembly, Dome Valves assembly, Root Valve Assembly &amp; Expansion Bellows Assembly for Dry Ash Conveing performance improvement</v>
      </c>
      <c r="C2178" s="1491" t="str">
        <f t="shared" si="311"/>
        <v>Yet to be approved</v>
      </c>
      <c r="D2178" s="1531" t="str">
        <f t="shared" si="311"/>
        <v>-</v>
      </c>
      <c r="E2178" s="1318">
        <f t="shared" si="311"/>
        <v>0</v>
      </c>
      <c r="F2178" s="1437">
        <f t="shared" si="313"/>
        <v>3.6</v>
      </c>
      <c r="G2178" s="1437">
        <f t="shared" si="314"/>
        <v>3.6</v>
      </c>
      <c r="H2178" s="1437">
        <f t="shared" si="315"/>
        <v>0</v>
      </c>
      <c r="I2178" s="1437">
        <v>0</v>
      </c>
      <c r="J2178" s="1437">
        <v>0</v>
      </c>
      <c r="K2178" s="1438"/>
      <c r="L2178" s="1438"/>
      <c r="M2178" s="1437">
        <f t="shared" si="312"/>
        <v>0</v>
      </c>
      <c r="N2178" s="1437">
        <f t="shared" si="316"/>
        <v>0</v>
      </c>
    </row>
    <row r="2179" spans="1:14" ht="31" outlineLevel="1">
      <c r="A2179" s="1533">
        <f t="shared" si="311"/>
        <v>19</v>
      </c>
      <c r="B2179" s="1534" t="str">
        <f t="shared" si="311"/>
        <v>DPR on ash handling plant improvement scheme for AHP U-8 NPTPS Parli-V.</v>
      </c>
      <c r="C2179" s="1491" t="str">
        <f t="shared" si="311"/>
        <v>Yet to be approved</v>
      </c>
      <c r="D2179" s="1531" t="str">
        <f t="shared" si="311"/>
        <v>-</v>
      </c>
      <c r="E2179" s="1318">
        <f t="shared" si="311"/>
        <v>0</v>
      </c>
      <c r="F2179" s="1437">
        <f t="shared" si="313"/>
        <v>0</v>
      </c>
      <c r="G2179" s="1437">
        <f t="shared" si="314"/>
        <v>0</v>
      </c>
      <c r="H2179" s="1437">
        <f t="shared" si="315"/>
        <v>0</v>
      </c>
      <c r="I2179" s="1437">
        <v>0</v>
      </c>
      <c r="J2179" s="1437">
        <v>0</v>
      </c>
      <c r="K2179" s="1438"/>
      <c r="L2179" s="1438"/>
      <c r="M2179" s="1437">
        <f t="shared" si="312"/>
        <v>0</v>
      </c>
      <c r="N2179" s="1437">
        <f t="shared" si="316"/>
        <v>0</v>
      </c>
    </row>
    <row r="2180" spans="1:14" ht="29" outlineLevel="1">
      <c r="A2180" s="1491">
        <f t="shared" si="311"/>
        <v>19.100000000000001</v>
      </c>
      <c r="B2180" s="1530" t="str">
        <f t="shared" si="311"/>
        <v>Design, supply, erection, installation &amp; comissioning of DM water close loop cooling system for air compressors at AHP U-8.</v>
      </c>
      <c r="C2180" s="1491" t="str">
        <f t="shared" si="311"/>
        <v>Yet to be approved</v>
      </c>
      <c r="D2180" s="1531" t="str">
        <f t="shared" si="311"/>
        <v>-</v>
      </c>
      <c r="E2180" s="1318">
        <f t="shared" si="311"/>
        <v>0</v>
      </c>
      <c r="F2180" s="1437">
        <f t="shared" si="313"/>
        <v>3</v>
      </c>
      <c r="G2180" s="1437">
        <f t="shared" si="314"/>
        <v>3</v>
      </c>
      <c r="H2180" s="1437">
        <f t="shared" si="315"/>
        <v>0</v>
      </c>
      <c r="I2180" s="1437">
        <v>0</v>
      </c>
      <c r="J2180" s="1437">
        <v>0</v>
      </c>
      <c r="K2180" s="1438"/>
      <c r="L2180" s="1438"/>
      <c r="M2180" s="1437">
        <f t="shared" si="312"/>
        <v>0</v>
      </c>
      <c r="N2180" s="1437">
        <f t="shared" si="316"/>
        <v>0</v>
      </c>
    </row>
    <row r="2181" spans="1:14" ht="29" outlineLevel="1">
      <c r="A2181" s="1491">
        <f t="shared" ref="A2181:E2196" si="317">A1788</f>
        <v>19.2</v>
      </c>
      <c r="B2181" s="1530" t="str">
        <f t="shared" si="317"/>
        <v>Up-gradation of Existing Schneider make PLC (HMI + PLC hardware) installed at AHP Unit -8 at Parli TPS.</v>
      </c>
      <c r="C2181" s="1491" t="str">
        <f t="shared" si="317"/>
        <v>Yet to be approved</v>
      </c>
      <c r="D2181" s="1531" t="str">
        <f t="shared" si="317"/>
        <v>-</v>
      </c>
      <c r="E2181" s="1318">
        <f t="shared" si="317"/>
        <v>0</v>
      </c>
      <c r="F2181" s="1437">
        <f t="shared" si="313"/>
        <v>1.5</v>
      </c>
      <c r="G2181" s="1437">
        <f t="shared" si="314"/>
        <v>1.5</v>
      </c>
      <c r="H2181" s="1437">
        <f t="shared" si="315"/>
        <v>0</v>
      </c>
      <c r="I2181" s="1437">
        <v>0</v>
      </c>
      <c r="J2181" s="1437">
        <v>0</v>
      </c>
      <c r="K2181" s="1438"/>
      <c r="L2181" s="1438"/>
      <c r="M2181" s="1437">
        <f t="shared" si="312"/>
        <v>0</v>
      </c>
      <c r="N2181" s="1437">
        <f t="shared" si="316"/>
        <v>0</v>
      </c>
    </row>
    <row r="2182" spans="1:14" outlineLevel="1">
      <c r="A2182" s="1491">
        <f t="shared" si="317"/>
        <v>19.3</v>
      </c>
      <c r="B2182" s="1530" t="str">
        <f t="shared" si="317"/>
        <v>Procurement of HT motors for AHP U-8 Parli TPS.</v>
      </c>
      <c r="C2182" s="1491" t="str">
        <f t="shared" si="317"/>
        <v>Yet to be approved</v>
      </c>
      <c r="D2182" s="1531" t="str">
        <f t="shared" si="317"/>
        <v>-</v>
      </c>
      <c r="E2182" s="1318">
        <f t="shared" si="317"/>
        <v>0</v>
      </c>
      <c r="F2182" s="1437">
        <f t="shared" si="313"/>
        <v>2.2999999999999998</v>
      </c>
      <c r="G2182" s="1437">
        <f t="shared" si="314"/>
        <v>2.2999999999999998</v>
      </c>
      <c r="H2182" s="1437">
        <f t="shared" si="315"/>
        <v>0</v>
      </c>
      <c r="I2182" s="1437">
        <v>0</v>
      </c>
      <c r="J2182" s="1437">
        <v>0</v>
      </c>
      <c r="K2182" s="1438"/>
      <c r="L2182" s="1438"/>
      <c r="M2182" s="1437">
        <f t="shared" si="312"/>
        <v>0</v>
      </c>
      <c r="N2182" s="1437">
        <f t="shared" si="316"/>
        <v>0</v>
      </c>
    </row>
    <row r="2183" spans="1:14" ht="43.5" outlineLevel="1">
      <c r="A2183" s="1491">
        <f t="shared" si="317"/>
        <v>19.399999999999999</v>
      </c>
      <c r="B2183" s="1530" t="str">
        <f t="shared" si="317"/>
        <v>PROCUREMENT OF CRITICAL GEARBOXES AND FLUID COUPLINGS INTERNAL ASSEMBLIES FOR SLURRY PUMPS AND SILO HCSD SYSTEM INSTALLED AT AHP, PARLI TPS.</v>
      </c>
      <c r="C2183" s="1491" t="str">
        <f t="shared" si="317"/>
        <v>Yet to be approved</v>
      </c>
      <c r="D2183" s="1531" t="str">
        <f t="shared" si="317"/>
        <v>-</v>
      </c>
      <c r="E2183" s="1318">
        <f t="shared" si="317"/>
        <v>0</v>
      </c>
      <c r="F2183" s="1437">
        <f t="shared" si="313"/>
        <v>1.2</v>
      </c>
      <c r="G2183" s="1437">
        <f t="shared" si="314"/>
        <v>1.2</v>
      </c>
      <c r="H2183" s="1437">
        <f t="shared" si="315"/>
        <v>0</v>
      </c>
      <c r="I2183" s="1437">
        <v>0</v>
      </c>
      <c r="J2183" s="1437">
        <v>0</v>
      </c>
      <c r="K2183" s="1438"/>
      <c r="L2183" s="1438"/>
      <c r="M2183" s="1437">
        <f t="shared" si="312"/>
        <v>0</v>
      </c>
      <c r="N2183" s="1437">
        <f t="shared" si="316"/>
        <v>0</v>
      </c>
    </row>
    <row r="2184" spans="1:14" ht="43.5" outlineLevel="1">
      <c r="A2184" s="1491">
        <f t="shared" si="317"/>
        <v>19.5</v>
      </c>
      <c r="B2184" s="1530" t="str">
        <f t="shared" si="317"/>
        <v>Procurement of Atlas Copco Make Instrument Air Compressors Critical/Non-Critical Spares sub-assembly for performance improvement</v>
      </c>
      <c r="C2184" s="1491" t="str">
        <f t="shared" si="317"/>
        <v>Yet to be approved</v>
      </c>
      <c r="D2184" s="1531" t="str">
        <f t="shared" si="317"/>
        <v>-</v>
      </c>
      <c r="E2184" s="1318">
        <f t="shared" si="317"/>
        <v>0</v>
      </c>
      <c r="F2184" s="1437">
        <f t="shared" si="313"/>
        <v>6</v>
      </c>
      <c r="G2184" s="1437">
        <f t="shared" si="314"/>
        <v>6</v>
      </c>
      <c r="H2184" s="1437">
        <f t="shared" si="315"/>
        <v>0</v>
      </c>
      <c r="I2184" s="1437">
        <v>0</v>
      </c>
      <c r="J2184" s="1437">
        <v>0</v>
      </c>
      <c r="K2184" s="1438"/>
      <c r="L2184" s="1438"/>
      <c r="M2184" s="1437">
        <f t="shared" si="312"/>
        <v>0</v>
      </c>
      <c r="N2184" s="1437">
        <f t="shared" si="316"/>
        <v>0</v>
      </c>
    </row>
    <row r="2185" spans="1:14" ht="43.5" outlineLevel="1">
      <c r="A2185" s="1491">
        <f t="shared" si="317"/>
        <v>19.600000000000001</v>
      </c>
      <c r="B2185" s="1530" t="str">
        <f t="shared" si="317"/>
        <v>Upgradation and improvement in Hopper Temperature monitoring system by providing Rf Type Hopper Level Sensors for performance improvement of conveying of Dry ash evacuation system.</v>
      </c>
      <c r="C2185" s="1491" t="str">
        <f t="shared" si="317"/>
        <v>Yet to be approved</v>
      </c>
      <c r="D2185" s="1531" t="str">
        <f t="shared" si="317"/>
        <v>-</v>
      </c>
      <c r="E2185" s="1318">
        <f t="shared" si="317"/>
        <v>0</v>
      </c>
      <c r="F2185" s="1437">
        <f t="shared" si="313"/>
        <v>1.2</v>
      </c>
      <c r="G2185" s="1437">
        <f t="shared" si="314"/>
        <v>1.2</v>
      </c>
      <c r="H2185" s="1437">
        <f t="shared" si="315"/>
        <v>0</v>
      </c>
      <c r="I2185" s="1437">
        <v>0</v>
      </c>
      <c r="J2185" s="1437">
        <v>0</v>
      </c>
      <c r="K2185" s="1438"/>
      <c r="L2185" s="1438"/>
      <c r="M2185" s="1437">
        <f t="shared" si="312"/>
        <v>0</v>
      </c>
      <c r="N2185" s="1437">
        <f t="shared" si="316"/>
        <v>0</v>
      </c>
    </row>
    <row r="2186" spans="1:14" ht="31" outlineLevel="1">
      <c r="A2186" s="1533">
        <f t="shared" si="317"/>
        <v>20</v>
      </c>
      <c r="B2186" s="1534" t="str">
        <f t="shared" si="317"/>
        <v>DPR on ash handling plant improvement scheme for AHP U-8 NPTPS Parli-V.</v>
      </c>
      <c r="C2186" s="1491" t="str">
        <f t="shared" si="317"/>
        <v>Yet to be approved</v>
      </c>
      <c r="D2186" s="1531" t="str">
        <f t="shared" si="317"/>
        <v>-</v>
      </c>
      <c r="E2186" s="1318">
        <f t="shared" si="317"/>
        <v>0</v>
      </c>
      <c r="F2186" s="1437">
        <f t="shared" si="313"/>
        <v>0</v>
      </c>
      <c r="G2186" s="1437">
        <f t="shared" si="314"/>
        <v>0</v>
      </c>
      <c r="H2186" s="1437">
        <f t="shared" si="315"/>
        <v>0</v>
      </c>
      <c r="I2186" s="1437">
        <v>0</v>
      </c>
      <c r="J2186" s="1437">
        <v>0</v>
      </c>
      <c r="K2186" s="1438"/>
      <c r="L2186" s="1438"/>
      <c r="M2186" s="1437">
        <f t="shared" si="312"/>
        <v>0</v>
      </c>
      <c r="N2186" s="1437">
        <f t="shared" si="316"/>
        <v>0</v>
      </c>
    </row>
    <row r="2187" spans="1:14" ht="29" outlineLevel="1">
      <c r="A2187" s="1491">
        <f t="shared" si="317"/>
        <v>20.100000000000001</v>
      </c>
      <c r="B2187" s="1530" t="str">
        <f t="shared" si="317"/>
        <v xml:space="preserve"> Design, supply, erection, installation &amp; comissioning ESP 1st &amp; 2nd field dry fly ash evacuation &amp; conveying system at AHP U-8.</v>
      </c>
      <c r="C2187" s="1491" t="str">
        <f t="shared" si="317"/>
        <v>Yet to be approved</v>
      </c>
      <c r="D2187" s="1531" t="str">
        <f t="shared" si="317"/>
        <v>-</v>
      </c>
      <c r="E2187" s="1318">
        <f t="shared" si="317"/>
        <v>0</v>
      </c>
      <c r="F2187" s="1437">
        <f t="shared" si="313"/>
        <v>0</v>
      </c>
      <c r="G2187" s="1437">
        <f t="shared" si="314"/>
        <v>0</v>
      </c>
      <c r="H2187" s="1437">
        <f t="shared" si="315"/>
        <v>0</v>
      </c>
      <c r="I2187" s="1437">
        <v>21.25</v>
      </c>
      <c r="J2187" s="1437">
        <v>21.25</v>
      </c>
      <c r="K2187" s="1438"/>
      <c r="L2187" s="1438"/>
      <c r="M2187" s="1437">
        <f t="shared" si="312"/>
        <v>21.25</v>
      </c>
      <c r="N2187" s="1437">
        <f t="shared" si="316"/>
        <v>0</v>
      </c>
    </row>
    <row r="2188" spans="1:14" ht="43.5" outlineLevel="1">
      <c r="A2188" s="1491">
        <f t="shared" si="317"/>
        <v>20.2</v>
      </c>
      <c r="B2188" s="1530" t="str">
        <f t="shared" si="317"/>
        <v>Design, supply, erection, installation &amp; comissioning of dry ash evacuation &amp; conveying system for APH &amp; Economiser ash hoppers at AHP U-8.</v>
      </c>
      <c r="C2188" s="1491" t="str">
        <f t="shared" si="317"/>
        <v>Yet to be approved</v>
      </c>
      <c r="D2188" s="1531" t="str">
        <f t="shared" si="317"/>
        <v>-</v>
      </c>
      <c r="E2188" s="1318">
        <f t="shared" si="317"/>
        <v>0</v>
      </c>
      <c r="F2188" s="1437">
        <f t="shared" si="313"/>
        <v>0</v>
      </c>
      <c r="G2188" s="1437">
        <f t="shared" si="314"/>
        <v>0</v>
      </c>
      <c r="H2188" s="1437">
        <f t="shared" si="315"/>
        <v>0</v>
      </c>
      <c r="I2188" s="1437">
        <v>3</v>
      </c>
      <c r="J2188" s="1437">
        <v>3</v>
      </c>
      <c r="K2188" s="1438"/>
      <c r="L2188" s="1438"/>
      <c r="M2188" s="1437">
        <f t="shared" si="312"/>
        <v>3</v>
      </c>
      <c r="N2188" s="1437">
        <f t="shared" si="316"/>
        <v>0</v>
      </c>
    </row>
    <row r="2189" spans="1:14" ht="15.5" outlineLevel="1">
      <c r="A2189" s="1533">
        <f t="shared" si="317"/>
        <v>21</v>
      </c>
      <c r="B2189" s="1534" t="str">
        <f t="shared" si="317"/>
        <v>Verious Civil schemes in Unit 8 NPTPS  Parli V.</v>
      </c>
      <c r="C2189" s="1491" t="str">
        <f t="shared" si="317"/>
        <v>Yet to be approved</v>
      </c>
      <c r="D2189" s="1531" t="str">
        <f t="shared" si="317"/>
        <v>-</v>
      </c>
      <c r="E2189" s="1318">
        <f t="shared" si="317"/>
        <v>0</v>
      </c>
      <c r="F2189" s="1437">
        <f t="shared" si="313"/>
        <v>0</v>
      </c>
      <c r="G2189" s="1437">
        <f t="shared" si="314"/>
        <v>0</v>
      </c>
      <c r="H2189" s="1437">
        <f t="shared" si="315"/>
        <v>0</v>
      </c>
      <c r="I2189" s="1437">
        <v>0</v>
      </c>
      <c r="J2189" s="1437">
        <v>0</v>
      </c>
      <c r="K2189" s="1438"/>
      <c r="L2189" s="1438"/>
      <c r="M2189" s="1437">
        <f t="shared" si="312"/>
        <v>0</v>
      </c>
      <c r="N2189" s="1437">
        <f t="shared" si="316"/>
        <v>0</v>
      </c>
    </row>
    <row r="2190" spans="1:14" outlineLevel="1">
      <c r="A2190" s="1491">
        <f t="shared" si="317"/>
        <v>21.1</v>
      </c>
      <c r="B2190" s="1530" t="str">
        <f t="shared" si="317"/>
        <v>Construction of chemical laboratory building at Unit 8, NPTPS, Parli V.</v>
      </c>
      <c r="C2190" s="1491" t="str">
        <f t="shared" si="317"/>
        <v>Yet to be approved</v>
      </c>
      <c r="D2190" s="1531" t="str">
        <f t="shared" si="317"/>
        <v>-</v>
      </c>
      <c r="E2190" s="1318">
        <f t="shared" si="317"/>
        <v>0</v>
      </c>
      <c r="F2190" s="1437">
        <f t="shared" si="313"/>
        <v>3.7800000000000002</v>
      </c>
      <c r="G2190" s="1437">
        <f t="shared" si="314"/>
        <v>3.7800000000000002</v>
      </c>
      <c r="H2190" s="1437">
        <f t="shared" si="315"/>
        <v>0</v>
      </c>
      <c r="I2190" s="1437">
        <v>0</v>
      </c>
      <c r="J2190" s="1437">
        <v>0</v>
      </c>
      <c r="K2190" s="1438"/>
      <c r="L2190" s="1438"/>
      <c r="M2190" s="1437">
        <f t="shared" si="312"/>
        <v>0</v>
      </c>
      <c r="N2190" s="1437">
        <f t="shared" si="316"/>
        <v>0</v>
      </c>
    </row>
    <row r="2191" spans="1:14" ht="29" outlineLevel="1">
      <c r="A2191" s="1491">
        <f t="shared" si="317"/>
        <v>21.2</v>
      </c>
      <c r="B2191" s="1530" t="str">
        <f t="shared" si="317"/>
        <v>Construction of Alum/salt storage area at Unit No.8 (1X250MW) NPTPS Parli Vaijnath.</v>
      </c>
      <c r="C2191" s="1491" t="str">
        <f t="shared" si="317"/>
        <v>Yet to be approved</v>
      </c>
      <c r="D2191" s="1531" t="str">
        <f t="shared" si="317"/>
        <v>-</v>
      </c>
      <c r="E2191" s="1318">
        <f t="shared" si="317"/>
        <v>0</v>
      </c>
      <c r="F2191" s="1437">
        <f t="shared" si="313"/>
        <v>3.46</v>
      </c>
      <c r="G2191" s="1437">
        <f t="shared" si="314"/>
        <v>3.46</v>
      </c>
      <c r="H2191" s="1437">
        <f t="shared" si="315"/>
        <v>0</v>
      </c>
      <c r="I2191" s="1437">
        <v>0</v>
      </c>
      <c r="J2191" s="1437">
        <v>0</v>
      </c>
      <c r="K2191" s="1438"/>
      <c r="L2191" s="1438"/>
      <c r="M2191" s="1437">
        <f t="shared" si="312"/>
        <v>0</v>
      </c>
      <c r="N2191" s="1437">
        <f t="shared" si="316"/>
        <v>0</v>
      </c>
    </row>
    <row r="2192" spans="1:14" outlineLevel="1">
      <c r="A2192" s="1491">
        <f t="shared" si="317"/>
        <v>21.3</v>
      </c>
      <c r="B2192" s="1530" t="str">
        <f t="shared" si="317"/>
        <v>Construction of Fire Fighting station  at Unit-8,  NPTPS  Parli V.</v>
      </c>
      <c r="C2192" s="1491" t="str">
        <f t="shared" si="317"/>
        <v>Yet to be approved</v>
      </c>
      <c r="D2192" s="1531" t="str">
        <f t="shared" si="317"/>
        <v>-</v>
      </c>
      <c r="E2192" s="1318">
        <f t="shared" si="317"/>
        <v>0</v>
      </c>
      <c r="F2192" s="1437">
        <f t="shared" si="313"/>
        <v>1.8599999999999999</v>
      </c>
      <c r="G2192" s="1437">
        <f t="shared" si="314"/>
        <v>1.8599999999999999</v>
      </c>
      <c r="H2192" s="1437">
        <f t="shared" si="315"/>
        <v>0</v>
      </c>
      <c r="I2192" s="1437">
        <v>0</v>
      </c>
      <c r="J2192" s="1437">
        <v>0</v>
      </c>
      <c r="K2192" s="1438"/>
      <c r="L2192" s="1438"/>
      <c r="M2192" s="1437">
        <f t="shared" si="312"/>
        <v>0</v>
      </c>
      <c r="N2192" s="1437">
        <f t="shared" si="316"/>
        <v>0</v>
      </c>
    </row>
    <row r="2193" spans="1:14" outlineLevel="1">
      <c r="A2193" s="1491">
        <f t="shared" si="317"/>
        <v>21.4</v>
      </c>
      <c r="B2193" s="1530" t="str">
        <f t="shared" si="317"/>
        <v xml:space="preserve">Construction of workshop building at Unit-8,  NPTPS  Parli V. </v>
      </c>
      <c r="C2193" s="1491" t="str">
        <f t="shared" si="317"/>
        <v>Yet to be approved</v>
      </c>
      <c r="D2193" s="1531" t="str">
        <f t="shared" si="317"/>
        <v>-</v>
      </c>
      <c r="E2193" s="1318">
        <f t="shared" si="317"/>
        <v>0</v>
      </c>
      <c r="F2193" s="1437">
        <f t="shared" si="313"/>
        <v>2.13</v>
      </c>
      <c r="G2193" s="1437">
        <f t="shared" si="314"/>
        <v>2.13</v>
      </c>
      <c r="H2193" s="1437">
        <f t="shared" si="315"/>
        <v>0</v>
      </c>
      <c r="I2193" s="1437">
        <v>0</v>
      </c>
      <c r="J2193" s="1437">
        <v>0</v>
      </c>
      <c r="K2193" s="1438"/>
      <c r="L2193" s="1438"/>
      <c r="M2193" s="1437">
        <f t="shared" si="312"/>
        <v>0</v>
      </c>
      <c r="N2193" s="1437">
        <f t="shared" si="316"/>
        <v>0</v>
      </c>
    </row>
    <row r="2194" spans="1:14" ht="15.5" outlineLevel="1">
      <c r="A2194" s="1533">
        <f t="shared" si="317"/>
        <v>22</v>
      </c>
      <c r="B2194" s="1534" t="str">
        <f t="shared" si="317"/>
        <v>CHP improvement scheme at 250 MW</v>
      </c>
      <c r="C2194" s="1491">
        <f t="shared" si="317"/>
        <v>0</v>
      </c>
      <c r="D2194" s="1531" t="str">
        <f t="shared" si="317"/>
        <v>-</v>
      </c>
      <c r="E2194" s="1318">
        <f t="shared" si="317"/>
        <v>0</v>
      </c>
      <c r="F2194" s="1437">
        <f t="shared" si="313"/>
        <v>0</v>
      </c>
      <c r="G2194" s="1437">
        <f t="shared" si="314"/>
        <v>0</v>
      </c>
      <c r="H2194" s="1437">
        <f t="shared" si="315"/>
        <v>0</v>
      </c>
      <c r="I2194" s="1437">
        <v>0</v>
      </c>
      <c r="J2194" s="1437">
        <v>0</v>
      </c>
      <c r="K2194" s="1438"/>
      <c r="L2194" s="1438"/>
      <c r="M2194" s="1437">
        <f t="shared" si="312"/>
        <v>0</v>
      </c>
      <c r="N2194" s="1437">
        <f t="shared" si="316"/>
        <v>0</v>
      </c>
    </row>
    <row r="2195" spans="1:14" outlineLevel="1">
      <c r="A2195" s="1491">
        <f t="shared" si="317"/>
        <v>22.1</v>
      </c>
      <c r="B2195" s="1530" t="str">
        <f t="shared" si="317"/>
        <v>CHP improvement scheme at 250 MW</v>
      </c>
      <c r="C2195" s="1491">
        <f t="shared" si="317"/>
        <v>0</v>
      </c>
      <c r="D2195" s="1531" t="str">
        <f t="shared" si="317"/>
        <v>-</v>
      </c>
      <c r="E2195" s="1318">
        <f t="shared" si="317"/>
        <v>0</v>
      </c>
      <c r="F2195" s="1437">
        <f t="shared" si="313"/>
        <v>0</v>
      </c>
      <c r="G2195" s="1437">
        <f t="shared" si="314"/>
        <v>0</v>
      </c>
      <c r="H2195" s="1437">
        <f t="shared" si="315"/>
        <v>0</v>
      </c>
      <c r="I2195" s="1437">
        <v>25</v>
      </c>
      <c r="J2195" s="1437">
        <v>25</v>
      </c>
      <c r="K2195" s="1438"/>
      <c r="L2195" s="1438"/>
      <c r="M2195" s="1437">
        <f t="shared" si="312"/>
        <v>25</v>
      </c>
      <c r="N2195" s="1437">
        <f t="shared" si="316"/>
        <v>0</v>
      </c>
    </row>
    <row r="2196" spans="1:14" outlineLevel="1">
      <c r="A2196" s="1420">
        <f t="shared" si="317"/>
        <v>0</v>
      </c>
      <c r="B2196" s="1421" t="str">
        <f t="shared" si="317"/>
        <v>B) Non-DPR</v>
      </c>
      <c r="C2196" s="1491">
        <f t="shared" si="317"/>
        <v>0</v>
      </c>
      <c r="D2196" s="1531" t="str">
        <f t="shared" si="317"/>
        <v>-</v>
      </c>
      <c r="E2196" s="1318">
        <f t="shared" si="317"/>
        <v>0</v>
      </c>
      <c r="F2196" s="1437">
        <f t="shared" si="313"/>
        <v>0</v>
      </c>
      <c r="G2196" s="1437">
        <f t="shared" si="314"/>
        <v>0</v>
      </c>
      <c r="H2196" s="1437">
        <f t="shared" si="315"/>
        <v>0</v>
      </c>
      <c r="I2196" s="1437">
        <v>0</v>
      </c>
      <c r="J2196" s="1437">
        <v>0</v>
      </c>
      <c r="K2196" s="1438"/>
      <c r="L2196" s="1438"/>
      <c r="M2196" s="1437">
        <f t="shared" si="312"/>
        <v>0</v>
      </c>
      <c r="N2196" s="1437">
        <f t="shared" si="316"/>
        <v>0</v>
      </c>
    </row>
    <row r="2197" spans="1:14" ht="15.5" outlineLevel="1">
      <c r="A2197" s="1533">
        <f t="shared" ref="A2197:E2212" si="318">A1804</f>
        <v>0</v>
      </c>
      <c r="B2197" s="1534">
        <f t="shared" si="318"/>
        <v>0</v>
      </c>
      <c r="C2197" s="1491">
        <f t="shared" si="318"/>
        <v>0</v>
      </c>
      <c r="D2197" s="1531" t="str">
        <f t="shared" si="318"/>
        <v>-</v>
      </c>
      <c r="E2197" s="1318">
        <f t="shared" si="318"/>
        <v>0</v>
      </c>
      <c r="F2197" s="1437">
        <f t="shared" si="313"/>
        <v>0.56615120600000002</v>
      </c>
      <c r="G2197" s="1437">
        <f t="shared" si="314"/>
        <v>0.56615120600000002</v>
      </c>
      <c r="H2197" s="1437">
        <f t="shared" si="315"/>
        <v>0</v>
      </c>
      <c r="I2197" s="1437">
        <v>0</v>
      </c>
      <c r="J2197" s="1437">
        <v>0</v>
      </c>
      <c r="K2197" s="1438"/>
      <c r="L2197" s="1438"/>
      <c r="M2197" s="1437">
        <f t="shared" si="312"/>
        <v>0</v>
      </c>
      <c r="N2197" s="1437">
        <f t="shared" si="316"/>
        <v>0</v>
      </c>
    </row>
    <row r="2198" spans="1:14" ht="15.5" outlineLevel="1">
      <c r="A2198" s="1493">
        <f t="shared" si="318"/>
        <v>0</v>
      </c>
      <c r="B2198" s="1494" t="str">
        <f t="shared" si="318"/>
        <v>B) GA</v>
      </c>
      <c r="C2198" s="1491">
        <f t="shared" si="318"/>
        <v>0</v>
      </c>
      <c r="D2198" s="1531" t="str">
        <f t="shared" si="318"/>
        <v>-</v>
      </c>
      <c r="E2198" s="1318">
        <f t="shared" si="318"/>
        <v>0</v>
      </c>
      <c r="F2198" s="1437">
        <f t="shared" si="313"/>
        <v>0.92312365100000005</v>
      </c>
      <c r="G2198" s="1437">
        <f t="shared" si="314"/>
        <v>0.98371165099999991</v>
      </c>
      <c r="H2198" s="1437">
        <f t="shared" si="315"/>
        <v>-6.0587999999999864E-2</v>
      </c>
      <c r="I2198" s="1437">
        <v>0.28999999999999998</v>
      </c>
      <c r="J2198" s="1437">
        <v>0.28999999999999998</v>
      </c>
      <c r="K2198" s="1438"/>
      <c r="L2198" s="1438"/>
      <c r="M2198" s="1437">
        <f t="shared" si="312"/>
        <v>0.28999999999999998</v>
      </c>
      <c r="N2198" s="1437">
        <f t="shared" si="316"/>
        <v>-6.0587999999999864E-2</v>
      </c>
    </row>
    <row r="2199" spans="1:14" outlineLevel="1">
      <c r="A2199" s="1499">
        <f t="shared" si="318"/>
        <v>0</v>
      </c>
      <c r="B2199" s="1539">
        <f t="shared" si="318"/>
        <v>0</v>
      </c>
      <c r="C2199" s="1491">
        <f t="shared" si="318"/>
        <v>0</v>
      </c>
      <c r="D2199" s="1531" t="str">
        <f t="shared" si="318"/>
        <v>-</v>
      </c>
      <c r="E2199" s="1318">
        <f t="shared" si="318"/>
        <v>0</v>
      </c>
      <c r="F2199" s="1437">
        <f t="shared" si="313"/>
        <v>0.28999999999999998</v>
      </c>
      <c r="G2199" s="1437">
        <f t="shared" si="314"/>
        <v>0</v>
      </c>
      <c r="H2199" s="1437">
        <f t="shared" si="315"/>
        <v>0.28999999999999998</v>
      </c>
      <c r="I2199" s="1437">
        <v>0</v>
      </c>
      <c r="J2199" s="1437">
        <v>0</v>
      </c>
      <c r="K2199" s="1438"/>
      <c r="L2199" s="1438"/>
      <c r="M2199" s="1437">
        <f t="shared" si="312"/>
        <v>0</v>
      </c>
      <c r="N2199" s="1437">
        <f t="shared" si="316"/>
        <v>0.28999999999999998</v>
      </c>
    </row>
    <row r="2200" spans="1:14" ht="15.5" outlineLevel="1">
      <c r="A2200" s="1493">
        <f t="shared" si="318"/>
        <v>0</v>
      </c>
      <c r="B2200" s="1494" t="str">
        <f t="shared" si="318"/>
        <v>C) Asset received from Project U#8</v>
      </c>
      <c r="C2200" s="1491">
        <f t="shared" si="318"/>
        <v>0</v>
      </c>
      <c r="D2200" s="1531" t="str">
        <f t="shared" si="318"/>
        <v>-</v>
      </c>
      <c r="E2200" s="1318">
        <f t="shared" si="318"/>
        <v>0</v>
      </c>
      <c r="F2200" s="1437">
        <f t="shared" si="313"/>
        <v>0</v>
      </c>
      <c r="G2200" s="1437">
        <f t="shared" si="314"/>
        <v>0</v>
      </c>
      <c r="H2200" s="1437">
        <f t="shared" si="315"/>
        <v>0</v>
      </c>
      <c r="I2200" s="1437">
        <v>0</v>
      </c>
      <c r="J2200" s="1437">
        <v>0</v>
      </c>
      <c r="K2200" s="1438"/>
      <c r="L2200" s="1438"/>
      <c r="M2200" s="1437">
        <f t="shared" si="312"/>
        <v>0</v>
      </c>
      <c r="N2200" s="1437">
        <f t="shared" si="316"/>
        <v>0</v>
      </c>
    </row>
    <row r="2201" spans="1:14" outlineLevel="1">
      <c r="A2201" s="1499">
        <f t="shared" si="318"/>
        <v>1</v>
      </c>
      <c r="B2201" s="1539" t="str">
        <f t="shared" si="318"/>
        <v>Asset Recived From Civil-U#8-Land-10101</v>
      </c>
      <c r="C2201" s="1491" t="str">
        <f t="shared" si="318"/>
        <v>N.A.</v>
      </c>
      <c r="D2201" s="1531" t="str">
        <f t="shared" si="318"/>
        <v>-</v>
      </c>
      <c r="E2201" s="1318">
        <f t="shared" si="318"/>
        <v>0</v>
      </c>
      <c r="F2201" s="1437">
        <f t="shared" si="313"/>
        <v>3.1293089999999998E-3</v>
      </c>
      <c r="G2201" s="1437">
        <f t="shared" si="314"/>
        <v>0</v>
      </c>
      <c r="H2201" s="1437">
        <f t="shared" si="315"/>
        <v>3.1293089999999998E-3</v>
      </c>
      <c r="I2201" s="1437">
        <v>0</v>
      </c>
      <c r="J2201" s="1437">
        <v>0</v>
      </c>
      <c r="K2201" s="1438"/>
      <c r="L2201" s="1438"/>
      <c r="M2201" s="1437">
        <f t="shared" si="312"/>
        <v>0</v>
      </c>
      <c r="N2201" s="1437">
        <f t="shared" si="316"/>
        <v>3.1293089999999998E-3</v>
      </c>
    </row>
    <row r="2202" spans="1:14" outlineLevel="1">
      <c r="A2202" s="1499">
        <f t="shared" si="318"/>
        <v>2</v>
      </c>
      <c r="B2202" s="1539" t="str">
        <f t="shared" si="318"/>
        <v>Asset Recived From Civil-U#8-T.G. Building-10201</v>
      </c>
      <c r="C2202" s="1491" t="str">
        <f t="shared" si="318"/>
        <v>N.A.</v>
      </c>
      <c r="D2202" s="1531" t="str">
        <f t="shared" si="318"/>
        <v>-</v>
      </c>
      <c r="E2202" s="1318">
        <f t="shared" si="318"/>
        <v>0</v>
      </c>
      <c r="F2202" s="1437">
        <f t="shared" si="313"/>
        <v>1.0037712000000001E-2</v>
      </c>
      <c r="G2202" s="1437">
        <f t="shared" si="314"/>
        <v>0</v>
      </c>
      <c r="H2202" s="1437">
        <f t="shared" si="315"/>
        <v>1.0037712000000001E-2</v>
      </c>
      <c r="I2202" s="1437">
        <v>0</v>
      </c>
      <c r="J2202" s="1437">
        <v>0</v>
      </c>
      <c r="K2202" s="1438"/>
      <c r="L2202" s="1438"/>
      <c r="M2202" s="1437">
        <f t="shared" si="312"/>
        <v>0</v>
      </c>
      <c r="N2202" s="1437">
        <f t="shared" si="316"/>
        <v>1.0037712000000001E-2</v>
      </c>
    </row>
    <row r="2203" spans="1:14" ht="29" outlineLevel="1">
      <c r="A2203" s="1499">
        <f t="shared" si="318"/>
        <v>3</v>
      </c>
      <c r="B2203" s="1539" t="str">
        <f t="shared" si="318"/>
        <v>Asset Recived From Civil-U#8-T.G. Building(BC)bay&amp;control room-10201</v>
      </c>
      <c r="C2203" s="1491" t="str">
        <f t="shared" si="318"/>
        <v>N.A.</v>
      </c>
      <c r="D2203" s="1531" t="str">
        <f t="shared" si="318"/>
        <v>-</v>
      </c>
      <c r="E2203" s="1318">
        <f t="shared" si="318"/>
        <v>0</v>
      </c>
      <c r="F2203" s="1437">
        <f t="shared" si="313"/>
        <v>4.578426E-3</v>
      </c>
      <c r="G2203" s="1437">
        <f t="shared" si="314"/>
        <v>0</v>
      </c>
      <c r="H2203" s="1437">
        <f t="shared" si="315"/>
        <v>4.578426E-3</v>
      </c>
      <c r="I2203" s="1437">
        <v>0</v>
      </c>
      <c r="J2203" s="1437">
        <v>0</v>
      </c>
      <c r="K2203" s="1438"/>
      <c r="L2203" s="1438"/>
      <c r="M2203" s="1437">
        <f t="shared" si="312"/>
        <v>0</v>
      </c>
      <c r="N2203" s="1437">
        <f t="shared" si="316"/>
        <v>4.578426E-3</v>
      </c>
    </row>
    <row r="2204" spans="1:14" ht="29" outlineLevel="1">
      <c r="A2204" s="1499">
        <f t="shared" si="318"/>
        <v>4</v>
      </c>
      <c r="B2204" s="1539" t="str">
        <f t="shared" si="318"/>
        <v>Asset Recived From Civil-U#8-StructuralSteelWorks4TGBldgA2EBays-10201</v>
      </c>
      <c r="C2204" s="1491" t="str">
        <f t="shared" si="318"/>
        <v>N.A.</v>
      </c>
      <c r="D2204" s="1531" t="str">
        <f t="shared" si="318"/>
        <v>-</v>
      </c>
      <c r="E2204" s="1318">
        <f t="shared" si="318"/>
        <v>0</v>
      </c>
      <c r="F2204" s="1437">
        <f t="shared" si="313"/>
        <v>1.397639E-3</v>
      </c>
      <c r="G2204" s="1437">
        <f t="shared" si="314"/>
        <v>0</v>
      </c>
      <c r="H2204" s="1437">
        <f t="shared" si="315"/>
        <v>1.397639E-3</v>
      </c>
      <c r="I2204" s="1437">
        <v>0</v>
      </c>
      <c r="J2204" s="1437">
        <v>0</v>
      </c>
      <c r="K2204" s="1438"/>
      <c r="L2204" s="1438"/>
      <c r="M2204" s="1437">
        <f t="shared" si="312"/>
        <v>0</v>
      </c>
      <c r="N2204" s="1437">
        <f t="shared" si="316"/>
        <v>1.397639E-3</v>
      </c>
    </row>
    <row r="2205" spans="1:14" outlineLevel="1">
      <c r="A2205" s="1499">
        <f t="shared" si="318"/>
        <v>5</v>
      </c>
      <c r="B2205" s="1539" t="str">
        <f t="shared" si="318"/>
        <v>Asset Recived From Civil-U#8-WTP Building-10201</v>
      </c>
      <c r="C2205" s="1491" t="str">
        <f t="shared" si="318"/>
        <v>N.A.</v>
      </c>
      <c r="D2205" s="1531" t="str">
        <f t="shared" si="318"/>
        <v>-</v>
      </c>
      <c r="E2205" s="1318">
        <f t="shared" si="318"/>
        <v>0</v>
      </c>
      <c r="F2205" s="1437">
        <f t="shared" si="313"/>
        <v>1.14825E-4</v>
      </c>
      <c r="G2205" s="1437">
        <f t="shared" si="314"/>
        <v>0</v>
      </c>
      <c r="H2205" s="1437">
        <f t="shared" si="315"/>
        <v>1.14825E-4</v>
      </c>
      <c r="I2205" s="1437">
        <v>0</v>
      </c>
      <c r="J2205" s="1437">
        <v>0</v>
      </c>
      <c r="K2205" s="1438"/>
      <c r="L2205" s="1438"/>
      <c r="M2205" s="1437">
        <f t="shared" si="312"/>
        <v>0</v>
      </c>
      <c r="N2205" s="1437">
        <f t="shared" si="316"/>
        <v>1.14825E-4</v>
      </c>
    </row>
    <row r="2206" spans="1:14" ht="29" outlineLevel="1">
      <c r="A2206" s="1499">
        <f t="shared" si="318"/>
        <v>6</v>
      </c>
      <c r="B2206" s="1539" t="str">
        <f t="shared" si="318"/>
        <v>Asset Recived From Civil-U#8-DG SET ROOM CUM AIR COMP. HOUSE-10201</v>
      </c>
      <c r="C2206" s="1491" t="str">
        <f t="shared" si="318"/>
        <v>N.A.</v>
      </c>
      <c r="D2206" s="1531" t="str">
        <f t="shared" si="318"/>
        <v>-</v>
      </c>
      <c r="E2206" s="1318">
        <f t="shared" si="318"/>
        <v>0</v>
      </c>
      <c r="F2206" s="1437">
        <f t="shared" si="313"/>
        <v>1.05983E-4</v>
      </c>
      <c r="G2206" s="1437">
        <f t="shared" si="314"/>
        <v>0</v>
      </c>
      <c r="H2206" s="1437">
        <f t="shared" si="315"/>
        <v>1.05983E-4</v>
      </c>
      <c r="I2206" s="1437">
        <v>0</v>
      </c>
      <c r="J2206" s="1437">
        <v>0</v>
      </c>
      <c r="K2206" s="1438"/>
      <c r="L2206" s="1438"/>
      <c r="M2206" s="1437">
        <f t="shared" si="312"/>
        <v>0</v>
      </c>
      <c r="N2206" s="1437">
        <f t="shared" si="316"/>
        <v>1.05983E-4</v>
      </c>
    </row>
    <row r="2207" spans="1:14" ht="29" outlineLevel="1">
      <c r="A2207" s="1499">
        <f t="shared" si="318"/>
        <v>7</v>
      </c>
      <c r="B2207" s="1539" t="str">
        <f t="shared" si="318"/>
        <v>Asset Recived From Civil-U#8-WTP-Raw/Fire water pump House-10233</v>
      </c>
      <c r="C2207" s="1491" t="str">
        <f t="shared" si="318"/>
        <v>N.A.</v>
      </c>
      <c r="D2207" s="1531" t="str">
        <f t="shared" si="318"/>
        <v>-</v>
      </c>
      <c r="E2207" s="1318">
        <f t="shared" si="318"/>
        <v>0</v>
      </c>
      <c r="F2207" s="1437">
        <f t="shared" si="313"/>
        <v>6.9018599999999997E-4</v>
      </c>
      <c r="G2207" s="1437">
        <f t="shared" si="314"/>
        <v>0</v>
      </c>
      <c r="H2207" s="1437">
        <f t="shared" si="315"/>
        <v>6.9018599999999997E-4</v>
      </c>
      <c r="I2207" s="1437">
        <v>0</v>
      </c>
      <c r="J2207" s="1437">
        <v>0</v>
      </c>
      <c r="K2207" s="1438"/>
      <c r="L2207" s="1438"/>
      <c r="M2207" s="1437">
        <f t="shared" si="312"/>
        <v>0</v>
      </c>
      <c r="N2207" s="1437">
        <f t="shared" si="316"/>
        <v>6.9018599999999997E-4</v>
      </c>
    </row>
    <row r="2208" spans="1:14" outlineLevel="1">
      <c r="A2208" s="1499">
        <f t="shared" si="318"/>
        <v>8</v>
      </c>
      <c r="B2208" s="1539" t="str">
        <f t="shared" si="318"/>
        <v>Asset Recived From Civil-U#8-SERVICE BUILDING -10211</v>
      </c>
      <c r="C2208" s="1491" t="str">
        <f t="shared" si="318"/>
        <v>N.A.</v>
      </c>
      <c r="D2208" s="1531" t="str">
        <f t="shared" si="318"/>
        <v>-</v>
      </c>
      <c r="E2208" s="1318">
        <f t="shared" si="318"/>
        <v>0</v>
      </c>
      <c r="F2208" s="1437">
        <f t="shared" si="313"/>
        <v>5.51437E-4</v>
      </c>
      <c r="G2208" s="1437">
        <f t="shared" si="314"/>
        <v>0</v>
      </c>
      <c r="H2208" s="1437">
        <f t="shared" si="315"/>
        <v>5.51437E-4</v>
      </c>
      <c r="I2208" s="1437">
        <v>0</v>
      </c>
      <c r="J2208" s="1437">
        <v>0</v>
      </c>
      <c r="K2208" s="1438"/>
      <c r="L2208" s="1438"/>
      <c r="M2208" s="1437">
        <f t="shared" si="312"/>
        <v>0</v>
      </c>
      <c r="N2208" s="1437">
        <f t="shared" si="316"/>
        <v>5.51437E-4</v>
      </c>
    </row>
    <row r="2209" spans="1:14" outlineLevel="1">
      <c r="A2209" s="1499">
        <f t="shared" si="318"/>
        <v>9</v>
      </c>
      <c r="B2209" s="1539" t="str">
        <f t="shared" si="318"/>
        <v>Asset Recived From Civil-U#8-Canteen -10233</v>
      </c>
      <c r="C2209" s="1491" t="str">
        <f t="shared" si="318"/>
        <v>N.A.</v>
      </c>
      <c r="D2209" s="1531" t="str">
        <f t="shared" si="318"/>
        <v>-</v>
      </c>
      <c r="E2209" s="1318">
        <f t="shared" si="318"/>
        <v>0</v>
      </c>
      <c r="F2209" s="1437">
        <f t="shared" si="313"/>
        <v>7.2491400000000001E-4</v>
      </c>
      <c r="G2209" s="1437">
        <f t="shared" si="314"/>
        <v>0</v>
      </c>
      <c r="H2209" s="1437">
        <f t="shared" si="315"/>
        <v>7.2491400000000001E-4</v>
      </c>
      <c r="I2209" s="1437">
        <v>0</v>
      </c>
      <c r="J2209" s="1437">
        <v>0</v>
      </c>
      <c r="K2209" s="1438"/>
      <c r="L2209" s="1438"/>
      <c r="M2209" s="1437">
        <f t="shared" si="312"/>
        <v>0</v>
      </c>
      <c r="N2209" s="1437">
        <f t="shared" si="316"/>
        <v>7.2491400000000001E-4</v>
      </c>
    </row>
    <row r="2210" spans="1:14" outlineLevel="1">
      <c r="A2210" s="1499">
        <f t="shared" si="318"/>
        <v>10</v>
      </c>
      <c r="B2210" s="1539" t="str">
        <f t="shared" si="318"/>
        <v>Asset Recived From Civil-U#8-PARKING SHED -10233</v>
      </c>
      <c r="C2210" s="1491" t="str">
        <f t="shared" si="318"/>
        <v>N.A.</v>
      </c>
      <c r="D2210" s="1531" t="str">
        <f t="shared" si="318"/>
        <v>-</v>
      </c>
      <c r="E2210" s="1318">
        <f t="shared" si="318"/>
        <v>0</v>
      </c>
      <c r="F2210" s="1437">
        <f t="shared" si="313"/>
        <v>6.1109999999999996E-6</v>
      </c>
      <c r="G2210" s="1437">
        <f t="shared" si="314"/>
        <v>0</v>
      </c>
      <c r="H2210" s="1437">
        <f t="shared" si="315"/>
        <v>6.1109999999999996E-6</v>
      </c>
      <c r="I2210" s="1437">
        <v>0</v>
      </c>
      <c r="J2210" s="1437">
        <v>0</v>
      </c>
      <c r="K2210" s="1438"/>
      <c r="L2210" s="1438"/>
      <c r="M2210" s="1437">
        <f t="shared" si="312"/>
        <v>0</v>
      </c>
      <c r="N2210" s="1437">
        <f t="shared" si="316"/>
        <v>6.1109999999999996E-6</v>
      </c>
    </row>
    <row r="2211" spans="1:14" outlineLevel="1">
      <c r="A2211" s="1499">
        <f t="shared" si="318"/>
        <v>11</v>
      </c>
      <c r="B2211" s="1539" t="str">
        <f t="shared" si="318"/>
        <v>Asset Recived From Civil-U#8-Time Security Building -10233</v>
      </c>
      <c r="C2211" s="1491" t="str">
        <f t="shared" si="318"/>
        <v>N.A.</v>
      </c>
      <c r="D2211" s="1531" t="str">
        <f t="shared" si="318"/>
        <v>-</v>
      </c>
      <c r="E2211" s="1318">
        <f t="shared" si="318"/>
        <v>0</v>
      </c>
      <c r="F2211" s="1437">
        <f t="shared" si="313"/>
        <v>3.595E-5</v>
      </c>
      <c r="G2211" s="1437">
        <f t="shared" si="314"/>
        <v>0</v>
      </c>
      <c r="H2211" s="1437">
        <f t="shared" si="315"/>
        <v>3.595E-5</v>
      </c>
      <c r="I2211" s="1437">
        <v>0</v>
      </c>
      <c r="J2211" s="1437">
        <v>0</v>
      </c>
      <c r="K2211" s="1438"/>
      <c r="L2211" s="1438"/>
      <c r="M2211" s="1437">
        <f t="shared" si="312"/>
        <v>0</v>
      </c>
      <c r="N2211" s="1437">
        <f t="shared" si="316"/>
        <v>3.595E-5</v>
      </c>
    </row>
    <row r="2212" spans="1:14" ht="29" outlineLevel="1">
      <c r="A2212" s="1499">
        <f t="shared" si="318"/>
        <v>12</v>
      </c>
      <c r="B2212" s="1539" t="str">
        <f t="shared" si="318"/>
        <v>Asset Recived From Civil-U#8-Misc.Building/structure/Watchtower-10233</v>
      </c>
      <c r="C2212" s="1491" t="str">
        <f t="shared" si="318"/>
        <v>N.A.</v>
      </c>
      <c r="D2212" s="1531" t="str">
        <f t="shared" si="318"/>
        <v>-</v>
      </c>
      <c r="E2212" s="1318">
        <f t="shared" si="318"/>
        <v>0</v>
      </c>
      <c r="F2212" s="1437">
        <f t="shared" si="313"/>
        <v>1.7243E-4</v>
      </c>
      <c r="G2212" s="1437">
        <f t="shared" si="314"/>
        <v>0</v>
      </c>
      <c r="H2212" s="1437">
        <f t="shared" si="315"/>
        <v>1.7243E-4</v>
      </c>
      <c r="I2212" s="1437">
        <v>0</v>
      </c>
      <c r="J2212" s="1437">
        <v>0</v>
      </c>
      <c r="K2212" s="1438"/>
      <c r="L2212" s="1438"/>
      <c r="M2212" s="1437">
        <f t="shared" si="312"/>
        <v>0</v>
      </c>
      <c r="N2212" s="1437">
        <f t="shared" si="316"/>
        <v>1.7243E-4</v>
      </c>
    </row>
    <row r="2213" spans="1:14" outlineLevel="1">
      <c r="A2213" s="1499">
        <f t="shared" ref="A2213:E2228" si="319">A1820</f>
        <v>13</v>
      </c>
      <c r="B2213" s="1539" t="str">
        <f t="shared" si="319"/>
        <v>Asset Recived From Civil-U#8-Boundry compound wall Mall-10233</v>
      </c>
      <c r="C2213" s="1491" t="str">
        <f t="shared" si="319"/>
        <v>N.A.</v>
      </c>
      <c r="D2213" s="1531" t="str">
        <f t="shared" si="319"/>
        <v>-</v>
      </c>
      <c r="E2213" s="1318">
        <f t="shared" si="319"/>
        <v>0</v>
      </c>
      <c r="F2213" s="1437">
        <f t="shared" si="313"/>
        <v>0.15765880700000001</v>
      </c>
      <c r="G2213" s="1437">
        <f t="shared" si="314"/>
        <v>0</v>
      </c>
      <c r="H2213" s="1437">
        <f t="shared" si="315"/>
        <v>0.15765880700000001</v>
      </c>
      <c r="I2213" s="1437">
        <v>0</v>
      </c>
      <c r="J2213" s="1437">
        <v>0</v>
      </c>
      <c r="K2213" s="1438"/>
      <c r="L2213" s="1438"/>
      <c r="M2213" s="1437">
        <f t="shared" si="312"/>
        <v>0</v>
      </c>
      <c r="N2213" s="1437">
        <f t="shared" si="316"/>
        <v>0.15765880700000001</v>
      </c>
    </row>
    <row r="2214" spans="1:14" outlineLevel="1">
      <c r="A2214" s="1499">
        <f t="shared" si="319"/>
        <v>14</v>
      </c>
      <c r="B2214" s="1539" t="str">
        <f t="shared" si="319"/>
        <v>Asset Recived From Civil-U#8-Workshop civil work-10233</v>
      </c>
      <c r="C2214" s="1491" t="str">
        <f t="shared" si="319"/>
        <v>N.A.</v>
      </c>
      <c r="D2214" s="1531" t="str">
        <f t="shared" si="319"/>
        <v>-</v>
      </c>
      <c r="E2214" s="1318">
        <f t="shared" si="319"/>
        <v>0</v>
      </c>
      <c r="F2214" s="1437">
        <f t="shared" si="313"/>
        <v>4.1879999999999999E-5</v>
      </c>
      <c r="G2214" s="1437">
        <f t="shared" si="314"/>
        <v>0</v>
      </c>
      <c r="H2214" s="1437">
        <f t="shared" si="315"/>
        <v>4.1879999999999999E-5</v>
      </c>
      <c r="I2214" s="1437">
        <v>0</v>
      </c>
      <c r="J2214" s="1437">
        <v>0</v>
      </c>
      <c r="K2214" s="1438"/>
      <c r="L2214" s="1438"/>
      <c r="M2214" s="1437">
        <f t="shared" si="312"/>
        <v>0</v>
      </c>
      <c r="N2214" s="1437">
        <f t="shared" si="316"/>
        <v>4.1879999999999999E-5</v>
      </c>
    </row>
    <row r="2215" spans="1:14" outlineLevel="1">
      <c r="A2215" s="1499">
        <f t="shared" si="319"/>
        <v>15</v>
      </c>
      <c r="B2215" s="1539" t="str">
        <f t="shared" si="319"/>
        <v>Asset Recived From Civil-U#8-Interior Work for CEC-I Office-10233</v>
      </c>
      <c r="C2215" s="1491" t="str">
        <f t="shared" si="319"/>
        <v>N.A.</v>
      </c>
      <c r="D2215" s="1531" t="str">
        <f t="shared" si="319"/>
        <v>-</v>
      </c>
      <c r="E2215" s="1318">
        <f t="shared" si="319"/>
        <v>0</v>
      </c>
      <c r="F2215" s="1437">
        <f t="shared" si="313"/>
        <v>5.6437999999999997E-5</v>
      </c>
      <c r="G2215" s="1437">
        <f t="shared" si="314"/>
        <v>0</v>
      </c>
      <c r="H2215" s="1437">
        <f t="shared" si="315"/>
        <v>5.6437999999999997E-5</v>
      </c>
      <c r="I2215" s="1437">
        <v>0</v>
      </c>
      <c r="J2215" s="1437">
        <v>0</v>
      </c>
      <c r="K2215" s="1438"/>
      <c r="L2215" s="1438"/>
      <c r="M2215" s="1437">
        <f t="shared" si="312"/>
        <v>0</v>
      </c>
      <c r="N2215" s="1437">
        <f t="shared" si="316"/>
        <v>5.6437999999999997E-5</v>
      </c>
    </row>
    <row r="2216" spans="1:14" outlineLevel="1">
      <c r="A2216" s="1499">
        <f t="shared" si="319"/>
        <v>16</v>
      </c>
      <c r="B2216" s="1539" t="str">
        <f t="shared" si="319"/>
        <v>Asset Recived From Civil-U#8-WTP-Raw water reservoir -10305</v>
      </c>
      <c r="C2216" s="1491" t="str">
        <f t="shared" si="319"/>
        <v>N.A.</v>
      </c>
      <c r="D2216" s="1531" t="str">
        <f t="shared" si="319"/>
        <v>-</v>
      </c>
      <c r="E2216" s="1318">
        <f t="shared" si="319"/>
        <v>0</v>
      </c>
      <c r="F2216" s="1437">
        <f t="shared" si="313"/>
        <v>1.224798E-3</v>
      </c>
      <c r="G2216" s="1437">
        <f t="shared" si="314"/>
        <v>0</v>
      </c>
      <c r="H2216" s="1437">
        <f t="shared" si="315"/>
        <v>1.224798E-3</v>
      </c>
      <c r="I2216" s="1437">
        <v>0</v>
      </c>
      <c r="J2216" s="1437">
        <v>0</v>
      </c>
      <c r="K2216" s="1438"/>
      <c r="L2216" s="1438"/>
      <c r="M2216" s="1437">
        <f t="shared" si="312"/>
        <v>0</v>
      </c>
      <c r="N2216" s="1437">
        <f t="shared" si="316"/>
        <v>1.224798E-3</v>
      </c>
    </row>
    <row r="2217" spans="1:14" outlineLevel="1">
      <c r="A2217" s="1499">
        <f t="shared" si="319"/>
        <v>17</v>
      </c>
      <c r="B2217" s="1539" t="str">
        <f t="shared" si="319"/>
        <v>Asset Recived From Civil-U#8-WTP-Clarifier -10305</v>
      </c>
      <c r="C2217" s="1491" t="str">
        <f t="shared" si="319"/>
        <v>N.A.</v>
      </c>
      <c r="D2217" s="1531" t="str">
        <f t="shared" si="319"/>
        <v>-</v>
      </c>
      <c r="E2217" s="1318">
        <f t="shared" si="319"/>
        <v>0</v>
      </c>
      <c r="F2217" s="1437">
        <f t="shared" si="313"/>
        <v>1.1651750000000001E-3</v>
      </c>
      <c r="G2217" s="1437">
        <f t="shared" si="314"/>
        <v>0</v>
      </c>
      <c r="H2217" s="1437">
        <f t="shared" si="315"/>
        <v>1.1651750000000001E-3</v>
      </c>
      <c r="I2217" s="1437">
        <v>0</v>
      </c>
      <c r="J2217" s="1437">
        <v>0</v>
      </c>
      <c r="K2217" s="1438"/>
      <c r="L2217" s="1438"/>
      <c r="M2217" s="1437">
        <f t="shared" si="312"/>
        <v>0</v>
      </c>
      <c r="N2217" s="1437">
        <f t="shared" si="316"/>
        <v>1.1651750000000001E-3</v>
      </c>
    </row>
    <row r="2218" spans="1:14" ht="29" outlineLevel="1">
      <c r="A2218" s="1499">
        <f t="shared" si="319"/>
        <v>18</v>
      </c>
      <c r="B2218" s="1539" t="str">
        <f t="shared" si="319"/>
        <v>Asset Recived From Civil-U#8-WTP-Clarifier Water Storage Tank-10305</v>
      </c>
      <c r="C2218" s="1491" t="str">
        <f t="shared" si="319"/>
        <v>N.A.</v>
      </c>
      <c r="D2218" s="1531" t="str">
        <f t="shared" si="319"/>
        <v>-</v>
      </c>
      <c r="E2218" s="1318">
        <f t="shared" si="319"/>
        <v>0</v>
      </c>
      <c r="F2218" s="1437">
        <f t="shared" si="313"/>
        <v>1.9514200000000001E-4</v>
      </c>
      <c r="G2218" s="1437">
        <f t="shared" si="314"/>
        <v>0</v>
      </c>
      <c r="H2218" s="1437">
        <f t="shared" si="315"/>
        <v>1.9514200000000001E-4</v>
      </c>
      <c r="I2218" s="1437">
        <v>0</v>
      </c>
      <c r="J2218" s="1437">
        <v>0</v>
      </c>
      <c r="K2218" s="1438"/>
      <c r="L2218" s="1438"/>
      <c r="M2218" s="1437">
        <f t="shared" si="312"/>
        <v>0</v>
      </c>
      <c r="N2218" s="1437">
        <f t="shared" si="316"/>
        <v>1.9514200000000001E-4</v>
      </c>
    </row>
    <row r="2219" spans="1:14" outlineLevel="1">
      <c r="A2219" s="1499">
        <f t="shared" si="319"/>
        <v>19</v>
      </c>
      <c r="B2219" s="1539" t="str">
        <f t="shared" si="319"/>
        <v>Asset Recived From Civil-U#8-C.W. pump house &amp; forebay-10310</v>
      </c>
      <c r="C2219" s="1491" t="str">
        <f t="shared" si="319"/>
        <v>N.A.</v>
      </c>
      <c r="D2219" s="1531" t="str">
        <f t="shared" si="319"/>
        <v>-</v>
      </c>
      <c r="E2219" s="1318">
        <f t="shared" si="319"/>
        <v>0</v>
      </c>
      <c r="F2219" s="1437">
        <f t="shared" si="313"/>
        <v>5.2946099999999995E-4</v>
      </c>
      <c r="G2219" s="1437">
        <f t="shared" si="314"/>
        <v>0</v>
      </c>
      <c r="H2219" s="1437">
        <f t="shared" si="315"/>
        <v>5.2946099999999995E-4</v>
      </c>
      <c r="I2219" s="1437">
        <v>0</v>
      </c>
      <c r="J2219" s="1437">
        <v>0</v>
      </c>
      <c r="K2219" s="1438"/>
      <c r="L2219" s="1438"/>
      <c r="M2219" s="1437">
        <f t="shared" si="312"/>
        <v>0</v>
      </c>
      <c r="N2219" s="1437">
        <f t="shared" si="316"/>
        <v>5.2946099999999995E-4</v>
      </c>
    </row>
    <row r="2220" spans="1:14" outlineLevel="1">
      <c r="A2220" s="1499">
        <f t="shared" si="319"/>
        <v>20</v>
      </c>
      <c r="B2220" s="1539" t="str">
        <f t="shared" si="319"/>
        <v>Asset Recived From Civil-U#8-Construction of STP for Colony-10322</v>
      </c>
      <c r="C2220" s="1491" t="str">
        <f t="shared" si="319"/>
        <v>N.A.</v>
      </c>
      <c r="D2220" s="1531" t="str">
        <f t="shared" si="319"/>
        <v>-</v>
      </c>
      <c r="E2220" s="1318">
        <f t="shared" si="319"/>
        <v>0</v>
      </c>
      <c r="F2220" s="1437">
        <f t="shared" si="313"/>
        <v>1.79662E-4</v>
      </c>
      <c r="G2220" s="1437">
        <f t="shared" si="314"/>
        <v>0</v>
      </c>
      <c r="H2220" s="1437">
        <f t="shared" si="315"/>
        <v>1.79662E-4</v>
      </c>
      <c r="I2220" s="1437">
        <v>0</v>
      </c>
      <c r="J2220" s="1437">
        <v>0</v>
      </c>
      <c r="K2220" s="1438"/>
      <c r="L2220" s="1438"/>
      <c r="M2220" s="1437">
        <f t="shared" si="312"/>
        <v>0</v>
      </c>
      <c r="N2220" s="1437">
        <f t="shared" si="316"/>
        <v>1.79662E-4</v>
      </c>
    </row>
    <row r="2221" spans="1:14" outlineLevel="1">
      <c r="A2221" s="1499">
        <f t="shared" si="319"/>
        <v>21</v>
      </c>
      <c r="B2221" s="1539" t="str">
        <f t="shared" si="319"/>
        <v>Asset Recived From Civil-U#8-Cooling Towers-10311</v>
      </c>
      <c r="C2221" s="1491" t="str">
        <f t="shared" si="319"/>
        <v>N.A.</v>
      </c>
      <c r="D2221" s="1531" t="str">
        <f t="shared" si="319"/>
        <v>-</v>
      </c>
      <c r="E2221" s="1318">
        <f t="shared" si="319"/>
        <v>0</v>
      </c>
      <c r="F2221" s="1437">
        <f t="shared" si="313"/>
        <v>0.37627639299999999</v>
      </c>
      <c r="G2221" s="1437">
        <f t="shared" si="314"/>
        <v>0</v>
      </c>
      <c r="H2221" s="1437">
        <f t="shared" si="315"/>
        <v>0.37627639299999999</v>
      </c>
      <c r="I2221" s="1437">
        <v>0</v>
      </c>
      <c r="J2221" s="1437">
        <v>0</v>
      </c>
      <c r="K2221" s="1438"/>
      <c r="L2221" s="1438"/>
      <c r="M2221" s="1437">
        <f t="shared" si="312"/>
        <v>0</v>
      </c>
      <c r="N2221" s="1437">
        <f t="shared" si="316"/>
        <v>0.37627639299999999</v>
      </c>
    </row>
    <row r="2222" spans="1:14" outlineLevel="1">
      <c r="A2222" s="1499">
        <f t="shared" si="319"/>
        <v>22</v>
      </c>
      <c r="B2222" s="1539" t="str">
        <f t="shared" si="319"/>
        <v>Asset Recived From Civil-U#8-Railway sidings-10412</v>
      </c>
      <c r="C2222" s="1491" t="str">
        <f t="shared" si="319"/>
        <v>N.A.</v>
      </c>
      <c r="D2222" s="1531" t="str">
        <f t="shared" si="319"/>
        <v>-</v>
      </c>
      <c r="E2222" s="1318">
        <f t="shared" si="319"/>
        <v>0</v>
      </c>
      <c r="F2222" s="1437">
        <f t="shared" si="313"/>
        <v>0.13615478800000003</v>
      </c>
      <c r="G2222" s="1437">
        <f t="shared" si="314"/>
        <v>0</v>
      </c>
      <c r="H2222" s="1437">
        <f t="shared" si="315"/>
        <v>0.13615478800000003</v>
      </c>
      <c r="I2222" s="1437">
        <v>0</v>
      </c>
      <c r="J2222" s="1437">
        <v>0</v>
      </c>
      <c r="K2222" s="1438"/>
      <c r="L2222" s="1438"/>
      <c r="M2222" s="1437">
        <f t="shared" si="312"/>
        <v>0</v>
      </c>
      <c r="N2222" s="1437">
        <f t="shared" si="316"/>
        <v>0.13615478800000003</v>
      </c>
    </row>
    <row r="2223" spans="1:14" outlineLevel="1">
      <c r="A2223" s="1499">
        <f t="shared" si="319"/>
        <v>23</v>
      </c>
      <c r="B2223" s="1539" t="str">
        <f t="shared" si="319"/>
        <v>Asset Recived From Civil-U#8-In plant Roads -10401</v>
      </c>
      <c r="C2223" s="1491" t="str">
        <f t="shared" si="319"/>
        <v>N.A.</v>
      </c>
      <c r="D2223" s="1531" t="str">
        <f t="shared" si="319"/>
        <v>-</v>
      </c>
      <c r="E2223" s="1318">
        <f t="shared" si="319"/>
        <v>0</v>
      </c>
      <c r="F2223" s="1437">
        <f t="shared" si="313"/>
        <v>9.1029900000000005E-4</v>
      </c>
      <c r="G2223" s="1437">
        <f t="shared" si="314"/>
        <v>0</v>
      </c>
      <c r="H2223" s="1437">
        <f t="shared" si="315"/>
        <v>9.1029900000000005E-4</v>
      </c>
      <c r="I2223" s="1437">
        <v>0</v>
      </c>
      <c r="J2223" s="1437">
        <v>0</v>
      </c>
      <c r="K2223" s="1438"/>
      <c r="L2223" s="1438"/>
      <c r="M2223" s="1437">
        <f t="shared" si="312"/>
        <v>0</v>
      </c>
      <c r="N2223" s="1437">
        <f t="shared" si="316"/>
        <v>9.1029900000000005E-4</v>
      </c>
    </row>
    <row r="2224" spans="1:14" outlineLevel="1">
      <c r="A2224" s="1499">
        <f t="shared" si="319"/>
        <v>24</v>
      </c>
      <c r="B2224" s="1539" t="str">
        <f t="shared" si="319"/>
        <v>Asset Recived From Civil-U#8-Pipe Rack -10419</v>
      </c>
      <c r="C2224" s="1491" t="str">
        <f t="shared" si="319"/>
        <v>N.A.</v>
      </c>
      <c r="D2224" s="1531" t="str">
        <f t="shared" si="319"/>
        <v>-</v>
      </c>
      <c r="E2224" s="1318">
        <f t="shared" si="319"/>
        <v>0</v>
      </c>
      <c r="F2224" s="1437">
        <f t="shared" si="313"/>
        <v>4.1823400000000002E-4</v>
      </c>
      <c r="G2224" s="1437">
        <f t="shared" si="314"/>
        <v>0</v>
      </c>
      <c r="H2224" s="1437">
        <f t="shared" si="315"/>
        <v>4.1823400000000002E-4</v>
      </c>
      <c r="I2224" s="1437">
        <v>0</v>
      </c>
      <c r="J2224" s="1437">
        <v>0</v>
      </c>
      <c r="K2224" s="1438"/>
      <c r="L2224" s="1438"/>
      <c r="M2224" s="1437">
        <f t="shared" si="312"/>
        <v>0</v>
      </c>
      <c r="N2224" s="1437">
        <f t="shared" si="316"/>
        <v>4.1823400000000002E-4</v>
      </c>
    </row>
    <row r="2225" spans="1:14" outlineLevel="1">
      <c r="A2225" s="1499">
        <f t="shared" si="319"/>
        <v>25</v>
      </c>
      <c r="B2225" s="1539" t="str">
        <f t="shared" si="319"/>
        <v>Asset Recived From Civil-U#8-Transformar yard area -10541</v>
      </c>
      <c r="C2225" s="1491" t="str">
        <f t="shared" si="319"/>
        <v>N.A.</v>
      </c>
      <c r="D2225" s="1531" t="str">
        <f t="shared" si="319"/>
        <v>-</v>
      </c>
      <c r="E2225" s="1318">
        <f t="shared" si="319"/>
        <v>0</v>
      </c>
      <c r="F2225" s="1437">
        <f t="shared" si="313"/>
        <v>5.31695E-4</v>
      </c>
      <c r="G2225" s="1437">
        <f t="shared" si="314"/>
        <v>0</v>
      </c>
      <c r="H2225" s="1437">
        <f t="shared" si="315"/>
        <v>5.31695E-4</v>
      </c>
      <c r="I2225" s="1437">
        <v>0</v>
      </c>
      <c r="J2225" s="1437">
        <v>0</v>
      </c>
      <c r="K2225" s="1438"/>
      <c r="L2225" s="1438"/>
      <c r="M2225" s="1437">
        <f t="shared" si="312"/>
        <v>0</v>
      </c>
      <c r="N2225" s="1437">
        <f t="shared" si="316"/>
        <v>5.31695E-4</v>
      </c>
    </row>
    <row r="2226" spans="1:14" ht="29" outlineLevel="1">
      <c r="A2226" s="1499">
        <f t="shared" si="319"/>
        <v>26</v>
      </c>
      <c r="B2226" s="1539" t="str">
        <f t="shared" si="319"/>
        <v>Asset Recived From Civil-U#8-BA-Boiler and Auxilary foundation-10501</v>
      </c>
      <c r="C2226" s="1491" t="str">
        <f t="shared" si="319"/>
        <v>N.A.</v>
      </c>
      <c r="D2226" s="1531" t="str">
        <f t="shared" si="319"/>
        <v>-</v>
      </c>
      <c r="E2226" s="1318">
        <f t="shared" si="319"/>
        <v>0</v>
      </c>
      <c r="F2226" s="1437">
        <f t="shared" si="313"/>
        <v>6.1116199999999999E-3</v>
      </c>
      <c r="G2226" s="1437">
        <f t="shared" si="314"/>
        <v>0</v>
      </c>
      <c r="H2226" s="1437">
        <f t="shared" si="315"/>
        <v>6.1116199999999999E-3</v>
      </c>
      <c r="I2226" s="1437">
        <v>0</v>
      </c>
      <c r="J2226" s="1437">
        <v>0</v>
      </c>
      <c r="K2226" s="1438"/>
      <c r="L2226" s="1438"/>
      <c r="M2226" s="1437">
        <f t="shared" si="312"/>
        <v>0</v>
      </c>
      <c r="N2226" s="1437">
        <f t="shared" si="316"/>
        <v>6.1116199999999999E-3</v>
      </c>
    </row>
    <row r="2227" spans="1:14" outlineLevel="1">
      <c r="A2227" s="1499">
        <f t="shared" si="319"/>
        <v>27</v>
      </c>
      <c r="B2227" s="1539" t="str">
        <f t="shared" si="319"/>
        <v>Asset Recived From Civil-U#8-BA-FD FAN FOUNDATIONS -10501</v>
      </c>
      <c r="C2227" s="1491" t="str">
        <f t="shared" si="319"/>
        <v>N.A.</v>
      </c>
      <c r="D2227" s="1531" t="str">
        <f t="shared" si="319"/>
        <v>-</v>
      </c>
      <c r="E2227" s="1318">
        <f t="shared" si="319"/>
        <v>0</v>
      </c>
      <c r="F2227" s="1437">
        <f t="shared" si="313"/>
        <v>1.11659E-4</v>
      </c>
      <c r="G2227" s="1437">
        <f t="shared" si="314"/>
        <v>0</v>
      </c>
      <c r="H2227" s="1437">
        <f t="shared" si="315"/>
        <v>1.11659E-4</v>
      </c>
      <c r="I2227" s="1437">
        <v>0</v>
      </c>
      <c r="J2227" s="1437">
        <v>0</v>
      </c>
      <c r="K2227" s="1438"/>
      <c r="L2227" s="1438"/>
      <c r="M2227" s="1437">
        <f t="shared" si="312"/>
        <v>0</v>
      </c>
      <c r="N2227" s="1437">
        <f t="shared" si="316"/>
        <v>1.11659E-4</v>
      </c>
    </row>
    <row r="2228" spans="1:14" outlineLevel="1">
      <c r="A2228" s="1499">
        <f t="shared" si="319"/>
        <v>28</v>
      </c>
      <c r="B2228" s="1539" t="str">
        <f t="shared" si="319"/>
        <v>Asset Recived From Civil-U#8-BA-PA FAN FOUNDATION -10501</v>
      </c>
      <c r="C2228" s="1491" t="str">
        <f t="shared" si="319"/>
        <v>N.A.</v>
      </c>
      <c r="D2228" s="1531" t="str">
        <f t="shared" si="319"/>
        <v>-</v>
      </c>
      <c r="E2228" s="1318">
        <f t="shared" si="319"/>
        <v>0</v>
      </c>
      <c r="F2228" s="1437">
        <f t="shared" si="313"/>
        <v>1.11659E-4</v>
      </c>
      <c r="G2228" s="1437">
        <f t="shared" si="314"/>
        <v>0</v>
      </c>
      <c r="H2228" s="1437">
        <f t="shared" si="315"/>
        <v>1.11659E-4</v>
      </c>
      <c r="I2228" s="1437">
        <v>0</v>
      </c>
      <c r="J2228" s="1437">
        <v>0</v>
      </c>
      <c r="K2228" s="1438"/>
      <c r="L2228" s="1438"/>
      <c r="M2228" s="1437">
        <f t="shared" si="312"/>
        <v>0</v>
      </c>
      <c r="N2228" s="1437">
        <f t="shared" si="316"/>
        <v>1.11659E-4</v>
      </c>
    </row>
    <row r="2229" spans="1:14" outlineLevel="1">
      <c r="A2229" s="1499">
        <f t="shared" ref="A2229:E2244" si="320">A1836</f>
        <v>29</v>
      </c>
      <c r="B2229" s="1539" t="str">
        <f t="shared" si="320"/>
        <v>Asset Recived From Civil-U#8-BA-I.D. Fan foundation -10501</v>
      </c>
      <c r="C2229" s="1491" t="str">
        <f t="shared" si="320"/>
        <v>N.A.</v>
      </c>
      <c r="D2229" s="1531" t="str">
        <f t="shared" si="320"/>
        <v>-</v>
      </c>
      <c r="E2229" s="1318">
        <f t="shared" si="320"/>
        <v>0</v>
      </c>
      <c r="F2229" s="1437">
        <f t="shared" si="313"/>
        <v>2.23317E-4</v>
      </c>
      <c r="G2229" s="1437">
        <f t="shared" si="314"/>
        <v>0</v>
      </c>
      <c r="H2229" s="1437">
        <f t="shared" si="315"/>
        <v>2.23317E-4</v>
      </c>
      <c r="I2229" s="1437">
        <v>0</v>
      </c>
      <c r="J2229" s="1437">
        <v>0</v>
      </c>
      <c r="K2229" s="1438"/>
      <c r="L2229" s="1438"/>
      <c r="M2229" s="1437">
        <f t="shared" si="312"/>
        <v>0</v>
      </c>
      <c r="N2229" s="1437">
        <f t="shared" si="316"/>
        <v>2.23317E-4</v>
      </c>
    </row>
    <row r="2230" spans="1:14" outlineLevel="1">
      <c r="A2230" s="1499">
        <f t="shared" si="320"/>
        <v>30</v>
      </c>
      <c r="B2230" s="1539" t="str">
        <f t="shared" si="320"/>
        <v>Asset Recived From Civil-U#8-BA-MILL FOUNDATION-10501</v>
      </c>
      <c r="C2230" s="1491" t="str">
        <f t="shared" si="320"/>
        <v>N.A.</v>
      </c>
      <c r="D2230" s="1531" t="str">
        <f t="shared" si="320"/>
        <v>-</v>
      </c>
      <c r="E2230" s="1318">
        <f t="shared" si="320"/>
        <v>0</v>
      </c>
      <c r="F2230" s="1437">
        <f t="shared" si="313"/>
        <v>1.98259E-4</v>
      </c>
      <c r="G2230" s="1437">
        <f t="shared" si="314"/>
        <v>0</v>
      </c>
      <c r="H2230" s="1437">
        <f t="shared" si="315"/>
        <v>1.98259E-4</v>
      </c>
      <c r="I2230" s="1437">
        <v>0</v>
      </c>
      <c r="J2230" s="1437">
        <v>0</v>
      </c>
      <c r="K2230" s="1438"/>
      <c r="L2230" s="1438"/>
      <c r="M2230" s="1437">
        <f t="shared" si="312"/>
        <v>0</v>
      </c>
      <c r="N2230" s="1437">
        <f t="shared" si="316"/>
        <v>1.98259E-4</v>
      </c>
    </row>
    <row r="2231" spans="1:14" ht="29" outlineLevel="1">
      <c r="A2231" s="1499">
        <f t="shared" si="320"/>
        <v>31</v>
      </c>
      <c r="B2231" s="1539" t="str">
        <f t="shared" si="320"/>
        <v>Asset Recived From Civil-U#8-BA-BUNKER FOUNDATION &amp; STRUCTURE-10515</v>
      </c>
      <c r="C2231" s="1491" t="str">
        <f t="shared" si="320"/>
        <v>N.A.</v>
      </c>
      <c r="D2231" s="1531" t="str">
        <f t="shared" si="320"/>
        <v>-</v>
      </c>
      <c r="E2231" s="1318">
        <f t="shared" si="320"/>
        <v>0</v>
      </c>
      <c r="F2231" s="1437">
        <f t="shared" si="313"/>
        <v>1.392536E-3</v>
      </c>
      <c r="G2231" s="1437">
        <f t="shared" si="314"/>
        <v>0</v>
      </c>
      <c r="H2231" s="1437">
        <f t="shared" si="315"/>
        <v>1.392536E-3</v>
      </c>
      <c r="I2231" s="1437">
        <v>0</v>
      </c>
      <c r="J2231" s="1437">
        <v>0</v>
      </c>
      <c r="K2231" s="1438"/>
      <c r="L2231" s="1438"/>
      <c r="M2231" s="1437">
        <f t="shared" ref="M2231:M2294" si="321">SUM(J2231:L2231)</f>
        <v>0</v>
      </c>
      <c r="N2231" s="1437">
        <f t="shared" si="316"/>
        <v>1.392536E-3</v>
      </c>
    </row>
    <row r="2232" spans="1:14" outlineLevel="1">
      <c r="A2232" s="1499">
        <f t="shared" si="320"/>
        <v>32</v>
      </c>
      <c r="B2232" s="1539" t="str">
        <f t="shared" si="320"/>
        <v>Asset Recived From Civil-U#8-ESP-10501</v>
      </c>
      <c r="C2232" s="1491" t="str">
        <f t="shared" si="320"/>
        <v>N.A.</v>
      </c>
      <c r="D2232" s="1531" t="str">
        <f t="shared" si="320"/>
        <v>-</v>
      </c>
      <c r="E2232" s="1318">
        <f t="shared" si="320"/>
        <v>0</v>
      </c>
      <c r="F2232" s="1437">
        <f t="shared" ref="F2232:F2295" si="322">F1839+I1839</f>
        <v>7.0722000000000005E-4</v>
      </c>
      <c r="G2232" s="1437">
        <f t="shared" ref="G2232:G2295" si="323">G1839+M1839</f>
        <v>0</v>
      </c>
      <c r="H2232" s="1437">
        <f t="shared" si="315"/>
        <v>7.0722000000000005E-4</v>
      </c>
      <c r="I2232" s="1437">
        <v>0</v>
      </c>
      <c r="J2232" s="1437">
        <v>0</v>
      </c>
      <c r="K2232" s="1438"/>
      <c r="L2232" s="1438"/>
      <c r="M2232" s="1437">
        <f t="shared" si="321"/>
        <v>0</v>
      </c>
      <c r="N2232" s="1437">
        <f t="shared" si="316"/>
        <v>7.0722000000000005E-4</v>
      </c>
    </row>
    <row r="2233" spans="1:14" outlineLevel="1">
      <c r="A2233" s="1499">
        <f t="shared" si="320"/>
        <v>33</v>
      </c>
      <c r="B2233" s="1539" t="str">
        <f t="shared" si="320"/>
        <v>Asset Recived From Civil-U#8-ESP Control Room-10501</v>
      </c>
      <c r="C2233" s="1491" t="str">
        <f t="shared" si="320"/>
        <v>N.A.</v>
      </c>
      <c r="D2233" s="1531" t="str">
        <f t="shared" si="320"/>
        <v>-</v>
      </c>
      <c r="E2233" s="1318">
        <f t="shared" si="320"/>
        <v>0</v>
      </c>
      <c r="F2233" s="1437">
        <f t="shared" si="322"/>
        <v>4.2763499999999999E-4</v>
      </c>
      <c r="G2233" s="1437">
        <f t="shared" si="323"/>
        <v>0</v>
      </c>
      <c r="H2233" s="1437">
        <f t="shared" ref="H2233:H2296" si="324">F2233-G2233</f>
        <v>4.2763499999999999E-4</v>
      </c>
      <c r="I2233" s="1437">
        <v>0</v>
      </c>
      <c r="J2233" s="1437">
        <v>0</v>
      </c>
      <c r="K2233" s="1438"/>
      <c r="L2233" s="1438"/>
      <c r="M2233" s="1437">
        <f t="shared" si="321"/>
        <v>0</v>
      </c>
      <c r="N2233" s="1437">
        <f t="shared" ref="N2233:N2296" si="325">H2233+I2233-M2233</f>
        <v>4.2763499999999999E-4</v>
      </c>
    </row>
    <row r="2234" spans="1:14" outlineLevel="1">
      <c r="A2234" s="1499">
        <f t="shared" si="320"/>
        <v>34</v>
      </c>
      <c r="B2234" s="1539" t="str">
        <f t="shared" si="320"/>
        <v>Asset Recived From Civil-U#8-RCC Chimney -10501</v>
      </c>
      <c r="C2234" s="1491" t="str">
        <f t="shared" si="320"/>
        <v>N.A.</v>
      </c>
      <c r="D2234" s="1531" t="str">
        <f t="shared" si="320"/>
        <v>-</v>
      </c>
      <c r="E2234" s="1318">
        <f t="shared" si="320"/>
        <v>0</v>
      </c>
      <c r="F2234" s="1437">
        <f t="shared" si="322"/>
        <v>4.612672E-3</v>
      </c>
      <c r="G2234" s="1437">
        <f t="shared" si="323"/>
        <v>0</v>
      </c>
      <c r="H2234" s="1437">
        <f t="shared" si="324"/>
        <v>4.612672E-3</v>
      </c>
      <c r="I2234" s="1437">
        <v>0</v>
      </c>
      <c r="J2234" s="1437">
        <v>0</v>
      </c>
      <c r="K2234" s="1438"/>
      <c r="L2234" s="1438"/>
      <c r="M2234" s="1437">
        <f t="shared" si="321"/>
        <v>0</v>
      </c>
      <c r="N2234" s="1437">
        <f t="shared" si="325"/>
        <v>4.612672E-3</v>
      </c>
    </row>
    <row r="2235" spans="1:14" ht="29" outlineLevel="1">
      <c r="A2235" s="1499">
        <f t="shared" si="320"/>
        <v>35</v>
      </c>
      <c r="B2235" s="1539" t="str">
        <f t="shared" si="320"/>
        <v>Asset Recived From Civil-U#8-WTP-D.M.Plant equipment fdn. etc.-10509</v>
      </c>
      <c r="C2235" s="1491" t="str">
        <f t="shared" si="320"/>
        <v>N.A.</v>
      </c>
      <c r="D2235" s="1531" t="str">
        <f t="shared" si="320"/>
        <v>-</v>
      </c>
      <c r="E2235" s="1318">
        <f t="shared" si="320"/>
        <v>0</v>
      </c>
      <c r="F2235" s="1437">
        <f t="shared" si="322"/>
        <v>6.3898000000000004E-5</v>
      </c>
      <c r="G2235" s="1437">
        <f t="shared" si="323"/>
        <v>0</v>
      </c>
      <c r="H2235" s="1437">
        <f t="shared" si="324"/>
        <v>6.3898000000000004E-5</v>
      </c>
      <c r="I2235" s="1437">
        <v>0</v>
      </c>
      <c r="J2235" s="1437">
        <v>0</v>
      </c>
      <c r="K2235" s="1438"/>
      <c r="L2235" s="1438"/>
      <c r="M2235" s="1437">
        <f t="shared" si="321"/>
        <v>0</v>
      </c>
      <c r="N2235" s="1437">
        <f t="shared" si="325"/>
        <v>6.3898000000000004E-5</v>
      </c>
    </row>
    <row r="2236" spans="1:14" outlineLevel="1">
      <c r="A2236" s="1499">
        <f t="shared" si="320"/>
        <v>36</v>
      </c>
      <c r="B2236" s="1539" t="str">
        <f t="shared" si="320"/>
        <v>Asset Recived From Civil-U#8-CHP-Wagon Tippler-10515</v>
      </c>
      <c r="C2236" s="1491" t="str">
        <f t="shared" si="320"/>
        <v>N.A.</v>
      </c>
      <c r="D2236" s="1531" t="str">
        <f t="shared" si="320"/>
        <v>-</v>
      </c>
      <c r="E2236" s="1318">
        <f t="shared" si="320"/>
        <v>0</v>
      </c>
      <c r="F2236" s="1437">
        <f t="shared" si="322"/>
        <v>9.4041100000000005E-4</v>
      </c>
      <c r="G2236" s="1437">
        <f t="shared" si="323"/>
        <v>0</v>
      </c>
      <c r="H2236" s="1437">
        <f t="shared" si="324"/>
        <v>9.4041100000000005E-4</v>
      </c>
      <c r="I2236" s="1437">
        <v>0</v>
      </c>
      <c r="J2236" s="1437">
        <v>0</v>
      </c>
      <c r="K2236" s="1438"/>
      <c r="L2236" s="1438"/>
      <c r="M2236" s="1437">
        <f t="shared" si="321"/>
        <v>0</v>
      </c>
      <c r="N2236" s="1437">
        <f t="shared" si="325"/>
        <v>9.4041100000000005E-4</v>
      </c>
    </row>
    <row r="2237" spans="1:14" outlineLevel="1">
      <c r="A2237" s="1499">
        <f t="shared" si="320"/>
        <v>37</v>
      </c>
      <c r="B2237" s="1539" t="str">
        <f t="shared" si="320"/>
        <v>Asset Recived From Civil-U#8-CHP-Crusher House -10515</v>
      </c>
      <c r="C2237" s="1491" t="str">
        <f t="shared" si="320"/>
        <v>N.A.</v>
      </c>
      <c r="D2237" s="1531" t="str">
        <f t="shared" si="320"/>
        <v>-</v>
      </c>
      <c r="E2237" s="1318">
        <f t="shared" si="320"/>
        <v>0</v>
      </c>
      <c r="F2237" s="1437">
        <f t="shared" si="322"/>
        <v>7.4704199999999995E-4</v>
      </c>
      <c r="G2237" s="1437">
        <f t="shared" si="323"/>
        <v>0</v>
      </c>
      <c r="H2237" s="1437">
        <f t="shared" si="324"/>
        <v>7.4704199999999995E-4</v>
      </c>
      <c r="I2237" s="1437">
        <v>0</v>
      </c>
      <c r="J2237" s="1437">
        <v>0</v>
      </c>
      <c r="K2237" s="1438"/>
      <c r="L2237" s="1438"/>
      <c r="M2237" s="1437">
        <f t="shared" si="321"/>
        <v>0</v>
      </c>
      <c r="N2237" s="1437">
        <f t="shared" si="325"/>
        <v>7.4704199999999995E-4</v>
      </c>
    </row>
    <row r="2238" spans="1:14" outlineLevel="1">
      <c r="A2238" s="1499">
        <f t="shared" si="320"/>
        <v>38</v>
      </c>
      <c r="B2238" s="1539" t="str">
        <f t="shared" si="320"/>
        <v>Asset Recived From Civil-U#8-CHP-Stacker Reclaimer -10515</v>
      </c>
      <c r="C2238" s="1491" t="str">
        <f t="shared" si="320"/>
        <v>N.A.</v>
      </c>
      <c r="D2238" s="1531" t="str">
        <f t="shared" si="320"/>
        <v>-</v>
      </c>
      <c r="E2238" s="1318">
        <f t="shared" si="320"/>
        <v>0</v>
      </c>
      <c r="F2238" s="1437">
        <f t="shared" si="322"/>
        <v>2.8485300000000001E-4</v>
      </c>
      <c r="G2238" s="1437">
        <f t="shared" si="323"/>
        <v>0</v>
      </c>
      <c r="H2238" s="1437">
        <f t="shared" si="324"/>
        <v>2.8485300000000001E-4</v>
      </c>
      <c r="I2238" s="1437">
        <v>0</v>
      </c>
      <c r="J2238" s="1437">
        <v>0</v>
      </c>
      <c r="K2238" s="1438"/>
      <c r="L2238" s="1438"/>
      <c r="M2238" s="1437">
        <f t="shared" si="321"/>
        <v>0</v>
      </c>
      <c r="N2238" s="1437">
        <f t="shared" si="325"/>
        <v>2.8485300000000001E-4</v>
      </c>
    </row>
    <row r="2239" spans="1:14" outlineLevel="1">
      <c r="A2239" s="1499">
        <f t="shared" si="320"/>
        <v>39</v>
      </c>
      <c r="B2239" s="1539" t="str">
        <f t="shared" si="320"/>
        <v>Asset Recived From Civil-U#8-CHP-Stock Yard-10515</v>
      </c>
      <c r="C2239" s="1491" t="str">
        <f t="shared" si="320"/>
        <v>N.A.</v>
      </c>
      <c r="D2239" s="1531" t="str">
        <f t="shared" si="320"/>
        <v>-</v>
      </c>
      <c r="E2239" s="1318">
        <f t="shared" si="320"/>
        <v>0</v>
      </c>
      <c r="F2239" s="1437">
        <f t="shared" si="322"/>
        <v>1.5851400000000001E-4</v>
      </c>
      <c r="G2239" s="1437">
        <f t="shared" si="323"/>
        <v>0</v>
      </c>
      <c r="H2239" s="1437">
        <f t="shared" si="324"/>
        <v>1.5851400000000001E-4</v>
      </c>
      <c r="I2239" s="1437">
        <v>0</v>
      </c>
      <c r="J2239" s="1437">
        <v>0</v>
      </c>
      <c r="K2239" s="1438"/>
      <c r="L2239" s="1438"/>
      <c r="M2239" s="1437">
        <f t="shared" si="321"/>
        <v>0</v>
      </c>
      <c r="N2239" s="1437">
        <f t="shared" si="325"/>
        <v>1.5851400000000001E-4</v>
      </c>
    </row>
    <row r="2240" spans="1:14" ht="29" outlineLevel="1">
      <c r="A2240" s="1499">
        <f t="shared" si="320"/>
        <v>40</v>
      </c>
      <c r="B2240" s="1539" t="str">
        <f t="shared" si="320"/>
        <v>Asset Recived From Civil-U#8-CHP-ConveyorPedetals&amp;TransferPoint-10515</v>
      </c>
      <c r="C2240" s="1491" t="str">
        <f t="shared" si="320"/>
        <v>N.A.</v>
      </c>
      <c r="D2240" s="1531" t="str">
        <f t="shared" si="320"/>
        <v>-</v>
      </c>
      <c r="E2240" s="1318">
        <f t="shared" si="320"/>
        <v>0</v>
      </c>
      <c r="F2240" s="1437">
        <f t="shared" si="322"/>
        <v>5.5407899999999996E-4</v>
      </c>
      <c r="G2240" s="1437">
        <f t="shared" si="323"/>
        <v>0</v>
      </c>
      <c r="H2240" s="1437">
        <f t="shared" si="324"/>
        <v>5.5407899999999996E-4</v>
      </c>
      <c r="I2240" s="1437">
        <v>0</v>
      </c>
      <c r="J2240" s="1437">
        <v>0</v>
      </c>
      <c r="K2240" s="1438"/>
      <c r="L2240" s="1438"/>
      <c r="M2240" s="1437">
        <f t="shared" si="321"/>
        <v>0</v>
      </c>
      <c r="N2240" s="1437">
        <f t="shared" si="325"/>
        <v>5.5407899999999996E-4</v>
      </c>
    </row>
    <row r="2241" spans="1:14" outlineLevel="1">
      <c r="A2241" s="1499">
        <f t="shared" si="320"/>
        <v>41</v>
      </c>
      <c r="B2241" s="1539" t="str">
        <f t="shared" si="320"/>
        <v>Asset Recived From Civil-U#8-CHP-MCC ROOM -10515</v>
      </c>
      <c r="C2241" s="1491" t="str">
        <f t="shared" si="320"/>
        <v>N.A.</v>
      </c>
      <c r="D2241" s="1531" t="str">
        <f t="shared" si="320"/>
        <v>-</v>
      </c>
      <c r="E2241" s="1318">
        <f t="shared" si="320"/>
        <v>0</v>
      </c>
      <c r="F2241" s="1437">
        <f t="shared" si="322"/>
        <v>2.6945000000000002E-4</v>
      </c>
      <c r="G2241" s="1437">
        <f t="shared" si="323"/>
        <v>0</v>
      </c>
      <c r="H2241" s="1437">
        <f t="shared" si="324"/>
        <v>2.6945000000000002E-4</v>
      </c>
      <c r="I2241" s="1437">
        <v>0</v>
      </c>
      <c r="J2241" s="1437">
        <v>0</v>
      </c>
      <c r="K2241" s="1438"/>
      <c r="L2241" s="1438"/>
      <c r="M2241" s="1437">
        <f t="shared" si="321"/>
        <v>0</v>
      </c>
      <c r="N2241" s="1437">
        <f t="shared" si="325"/>
        <v>2.6945000000000002E-4</v>
      </c>
    </row>
    <row r="2242" spans="1:14" outlineLevel="1">
      <c r="A2242" s="1499">
        <f t="shared" si="320"/>
        <v>42</v>
      </c>
      <c r="B2242" s="1539" t="str">
        <f t="shared" si="320"/>
        <v>Asset Recived From Civil-U#8-AHP-RCC Ash Silo -10501</v>
      </c>
      <c r="C2242" s="1491" t="str">
        <f t="shared" si="320"/>
        <v>N.A.</v>
      </c>
      <c r="D2242" s="1531" t="str">
        <f t="shared" si="320"/>
        <v>-</v>
      </c>
      <c r="E2242" s="1318">
        <f t="shared" si="320"/>
        <v>0</v>
      </c>
      <c r="F2242" s="1437">
        <f t="shared" si="322"/>
        <v>1.64229E-4</v>
      </c>
      <c r="G2242" s="1437">
        <f t="shared" si="323"/>
        <v>0</v>
      </c>
      <c r="H2242" s="1437">
        <f t="shared" si="324"/>
        <v>1.64229E-4</v>
      </c>
      <c r="I2242" s="1437">
        <v>0</v>
      </c>
      <c r="J2242" s="1437">
        <v>0</v>
      </c>
      <c r="K2242" s="1438"/>
      <c r="L2242" s="1438"/>
      <c r="M2242" s="1437">
        <f t="shared" si="321"/>
        <v>0</v>
      </c>
      <c r="N2242" s="1437">
        <f t="shared" si="325"/>
        <v>1.64229E-4</v>
      </c>
    </row>
    <row r="2243" spans="1:14" outlineLevel="1">
      <c r="A2243" s="1499">
        <f t="shared" si="320"/>
        <v>43</v>
      </c>
      <c r="B2243" s="1539" t="str">
        <f t="shared" si="320"/>
        <v>Asset Recived From Civil-U#8-AHP-Staicase near Silo-10501</v>
      </c>
      <c r="C2243" s="1491" t="str">
        <f t="shared" si="320"/>
        <v>N.A.</v>
      </c>
      <c r="D2243" s="1531" t="str">
        <f t="shared" si="320"/>
        <v>-</v>
      </c>
      <c r="E2243" s="1318">
        <f t="shared" si="320"/>
        <v>0</v>
      </c>
      <c r="F2243" s="1437">
        <f t="shared" si="322"/>
        <v>1.7302000000000001E-5</v>
      </c>
      <c r="G2243" s="1437">
        <f t="shared" si="323"/>
        <v>0</v>
      </c>
      <c r="H2243" s="1437">
        <f t="shared" si="324"/>
        <v>1.7302000000000001E-5</v>
      </c>
      <c r="I2243" s="1437">
        <v>0</v>
      </c>
      <c r="J2243" s="1437">
        <v>0</v>
      </c>
      <c r="K2243" s="1438"/>
      <c r="L2243" s="1438"/>
      <c r="M2243" s="1437">
        <f t="shared" si="321"/>
        <v>0</v>
      </c>
      <c r="N2243" s="1437">
        <f t="shared" si="325"/>
        <v>1.7302000000000001E-5</v>
      </c>
    </row>
    <row r="2244" spans="1:14" outlineLevel="1">
      <c r="A2244" s="1499">
        <f t="shared" si="320"/>
        <v>44</v>
      </c>
      <c r="B2244" s="1539" t="str">
        <f t="shared" si="320"/>
        <v>Asset Recived From Civil-U#8-AHP-Drain sump in Silo Area -10501</v>
      </c>
      <c r="C2244" s="1491" t="str">
        <f t="shared" si="320"/>
        <v>N.A.</v>
      </c>
      <c r="D2244" s="1531" t="str">
        <f t="shared" si="320"/>
        <v>-</v>
      </c>
      <c r="E2244" s="1318">
        <f t="shared" si="320"/>
        <v>0</v>
      </c>
      <c r="F2244" s="1437">
        <f t="shared" si="322"/>
        <v>8.551E-6</v>
      </c>
      <c r="G2244" s="1437">
        <f t="shared" si="323"/>
        <v>0</v>
      </c>
      <c r="H2244" s="1437">
        <f t="shared" si="324"/>
        <v>8.551E-6</v>
      </c>
      <c r="I2244" s="1437">
        <v>0</v>
      </c>
      <c r="J2244" s="1437">
        <v>0</v>
      </c>
      <c r="K2244" s="1438"/>
      <c r="L2244" s="1438"/>
      <c r="M2244" s="1437">
        <f t="shared" si="321"/>
        <v>0</v>
      </c>
      <c r="N2244" s="1437">
        <f t="shared" si="325"/>
        <v>8.551E-6</v>
      </c>
    </row>
    <row r="2245" spans="1:14" outlineLevel="1">
      <c r="A2245" s="1499">
        <f t="shared" ref="A2245:E2260" si="326">A1852</f>
        <v>45</v>
      </c>
      <c r="B2245" s="1539" t="str">
        <f t="shared" si="326"/>
        <v>Asset Recived From Civil-U#8-AHP-Slurry Mixing Tank Fdn.-10501</v>
      </c>
      <c r="C2245" s="1491" t="str">
        <f t="shared" si="326"/>
        <v>N.A.</v>
      </c>
      <c r="D2245" s="1531" t="str">
        <f t="shared" si="326"/>
        <v>-</v>
      </c>
      <c r="E2245" s="1318">
        <f t="shared" si="326"/>
        <v>0</v>
      </c>
      <c r="F2245" s="1437">
        <f t="shared" si="322"/>
        <v>1.6923E-5</v>
      </c>
      <c r="G2245" s="1437">
        <f t="shared" si="323"/>
        <v>0</v>
      </c>
      <c r="H2245" s="1437">
        <f t="shared" si="324"/>
        <v>1.6923E-5</v>
      </c>
      <c r="I2245" s="1437">
        <v>0</v>
      </c>
      <c r="J2245" s="1437">
        <v>0</v>
      </c>
      <c r="K2245" s="1438"/>
      <c r="L2245" s="1438"/>
      <c r="M2245" s="1437">
        <f t="shared" si="321"/>
        <v>0</v>
      </c>
      <c r="N2245" s="1437">
        <f t="shared" si="325"/>
        <v>1.6923E-5</v>
      </c>
    </row>
    <row r="2246" spans="1:14" outlineLevel="1">
      <c r="A2246" s="1499">
        <f t="shared" si="326"/>
        <v>46</v>
      </c>
      <c r="B2246" s="1539" t="str">
        <f t="shared" si="326"/>
        <v>Asset Recived From Civil-U#8-AHP-HCSD PUMP HOUSE-10501</v>
      </c>
      <c r="C2246" s="1491" t="str">
        <f t="shared" si="326"/>
        <v>N.A.</v>
      </c>
      <c r="D2246" s="1531" t="str">
        <f t="shared" si="326"/>
        <v>-</v>
      </c>
      <c r="E2246" s="1318">
        <f t="shared" si="326"/>
        <v>0</v>
      </c>
      <c r="F2246" s="1437">
        <f t="shared" si="322"/>
        <v>5.8934000000000002E-5</v>
      </c>
      <c r="G2246" s="1437">
        <f t="shared" si="323"/>
        <v>0</v>
      </c>
      <c r="H2246" s="1437">
        <f t="shared" si="324"/>
        <v>5.8934000000000002E-5</v>
      </c>
      <c r="I2246" s="1437">
        <v>0</v>
      </c>
      <c r="J2246" s="1437">
        <v>0</v>
      </c>
      <c r="K2246" s="1438"/>
      <c r="L2246" s="1438"/>
      <c r="M2246" s="1437">
        <f t="shared" si="321"/>
        <v>0</v>
      </c>
      <c r="N2246" s="1437">
        <f t="shared" si="325"/>
        <v>5.8934000000000002E-5</v>
      </c>
    </row>
    <row r="2247" spans="1:14" outlineLevel="1">
      <c r="A2247" s="1499">
        <f t="shared" si="326"/>
        <v>47</v>
      </c>
      <c r="B2247" s="1539" t="str">
        <f t="shared" si="326"/>
        <v>Asset Recived From Civil-U#8-AHP-Ash Slurry Pump House -10501</v>
      </c>
      <c r="C2247" s="1491" t="str">
        <f t="shared" si="326"/>
        <v>N.A.</v>
      </c>
      <c r="D2247" s="1531" t="str">
        <f t="shared" si="326"/>
        <v>-</v>
      </c>
      <c r="E2247" s="1318">
        <f t="shared" si="326"/>
        <v>0</v>
      </c>
      <c r="F2247" s="1437">
        <f t="shared" si="322"/>
        <v>1.4947300000000001E-4</v>
      </c>
      <c r="G2247" s="1437">
        <f t="shared" si="323"/>
        <v>0</v>
      </c>
      <c r="H2247" s="1437">
        <f t="shared" si="324"/>
        <v>1.4947300000000001E-4</v>
      </c>
      <c r="I2247" s="1437">
        <v>0</v>
      </c>
      <c r="J2247" s="1437">
        <v>0</v>
      </c>
      <c r="K2247" s="1438"/>
      <c r="L2247" s="1438"/>
      <c r="M2247" s="1437">
        <f t="shared" si="321"/>
        <v>0</v>
      </c>
      <c r="N2247" s="1437">
        <f t="shared" si="325"/>
        <v>1.4947300000000001E-4</v>
      </c>
    </row>
    <row r="2248" spans="1:14" outlineLevel="1">
      <c r="A2248" s="1499">
        <f t="shared" si="326"/>
        <v>48</v>
      </c>
      <c r="B2248" s="1539" t="str">
        <f t="shared" si="326"/>
        <v>Asset Recived From Civil-U#8-AHP-Ash Slurry Sump-10501</v>
      </c>
      <c r="C2248" s="1491" t="str">
        <f t="shared" si="326"/>
        <v>N.A.</v>
      </c>
      <c r="D2248" s="1531" t="str">
        <f t="shared" si="326"/>
        <v>-</v>
      </c>
      <c r="E2248" s="1318">
        <f t="shared" si="326"/>
        <v>0</v>
      </c>
      <c r="F2248" s="1437">
        <f t="shared" si="322"/>
        <v>4.5158999999999999E-5</v>
      </c>
      <c r="G2248" s="1437">
        <f t="shared" si="323"/>
        <v>0</v>
      </c>
      <c r="H2248" s="1437">
        <f t="shared" si="324"/>
        <v>4.5158999999999999E-5</v>
      </c>
      <c r="I2248" s="1437">
        <v>0</v>
      </c>
      <c r="J2248" s="1437">
        <v>0</v>
      </c>
      <c r="K2248" s="1438"/>
      <c r="L2248" s="1438"/>
      <c r="M2248" s="1437">
        <f t="shared" si="321"/>
        <v>0</v>
      </c>
      <c r="N2248" s="1437">
        <f t="shared" si="325"/>
        <v>4.5158999999999999E-5</v>
      </c>
    </row>
    <row r="2249" spans="1:14" outlineLevel="1">
      <c r="A2249" s="1499">
        <f t="shared" si="326"/>
        <v>49</v>
      </c>
      <c r="B2249" s="1539" t="str">
        <f t="shared" si="326"/>
        <v>Asset Recived From Civil-U#8-AHP-Ash Water Tank-10501</v>
      </c>
      <c r="C2249" s="1491" t="str">
        <f t="shared" si="326"/>
        <v>N.A.</v>
      </c>
      <c r="D2249" s="1531" t="str">
        <f t="shared" si="326"/>
        <v>-</v>
      </c>
      <c r="E2249" s="1318">
        <f t="shared" si="326"/>
        <v>0</v>
      </c>
      <c r="F2249" s="1437">
        <f t="shared" si="322"/>
        <v>3.4220000000000001E-5</v>
      </c>
      <c r="G2249" s="1437">
        <f t="shared" si="323"/>
        <v>0</v>
      </c>
      <c r="H2249" s="1437">
        <f t="shared" si="324"/>
        <v>3.4220000000000001E-5</v>
      </c>
      <c r="I2249" s="1437">
        <v>0</v>
      </c>
      <c r="J2249" s="1437">
        <v>0</v>
      </c>
      <c r="K2249" s="1438"/>
      <c r="L2249" s="1438"/>
      <c r="M2249" s="1437">
        <f t="shared" si="321"/>
        <v>0</v>
      </c>
      <c r="N2249" s="1437">
        <f t="shared" si="325"/>
        <v>3.4220000000000001E-5</v>
      </c>
    </row>
    <row r="2250" spans="1:14" outlineLevel="1">
      <c r="A2250" s="1499">
        <f t="shared" si="326"/>
        <v>50</v>
      </c>
      <c r="B2250" s="1539" t="str">
        <f t="shared" si="326"/>
        <v>Asset Recived From Civil-U#8-AHP-Bottom Ash Hopper-10501</v>
      </c>
      <c r="C2250" s="1491" t="str">
        <f t="shared" si="326"/>
        <v>N.A.</v>
      </c>
      <c r="D2250" s="1531" t="str">
        <f t="shared" si="326"/>
        <v>-</v>
      </c>
      <c r="E2250" s="1318">
        <f t="shared" si="326"/>
        <v>0</v>
      </c>
      <c r="F2250" s="1437">
        <f t="shared" si="322"/>
        <v>4.409E-5</v>
      </c>
      <c r="G2250" s="1437">
        <f t="shared" si="323"/>
        <v>0</v>
      </c>
      <c r="H2250" s="1437">
        <f t="shared" si="324"/>
        <v>4.409E-5</v>
      </c>
      <c r="I2250" s="1437">
        <v>0</v>
      </c>
      <c r="J2250" s="1437">
        <v>0</v>
      </c>
      <c r="K2250" s="1438"/>
      <c r="L2250" s="1438"/>
      <c r="M2250" s="1437">
        <f t="shared" si="321"/>
        <v>0</v>
      </c>
      <c r="N2250" s="1437">
        <f t="shared" si="325"/>
        <v>4.409E-5</v>
      </c>
    </row>
    <row r="2251" spans="1:14" outlineLevel="1">
      <c r="A2251" s="1499">
        <f t="shared" si="326"/>
        <v>51</v>
      </c>
      <c r="B2251" s="1539" t="str">
        <f t="shared" si="326"/>
        <v>Asset Recived From Civil-U#8-AHP-Drain sump in BAH Area -10501</v>
      </c>
      <c r="C2251" s="1491" t="str">
        <f t="shared" si="326"/>
        <v>N.A.</v>
      </c>
      <c r="D2251" s="1531" t="str">
        <f t="shared" si="326"/>
        <v>-</v>
      </c>
      <c r="E2251" s="1318">
        <f t="shared" si="326"/>
        <v>0</v>
      </c>
      <c r="F2251" s="1437">
        <f t="shared" si="322"/>
        <v>8.5750000000000001E-6</v>
      </c>
      <c r="G2251" s="1437">
        <f t="shared" si="323"/>
        <v>0</v>
      </c>
      <c r="H2251" s="1437">
        <f t="shared" si="324"/>
        <v>8.5750000000000001E-6</v>
      </c>
      <c r="I2251" s="1437">
        <v>0</v>
      </c>
      <c r="J2251" s="1437">
        <v>0</v>
      </c>
      <c r="K2251" s="1438"/>
      <c r="L2251" s="1438"/>
      <c r="M2251" s="1437">
        <f t="shared" si="321"/>
        <v>0</v>
      </c>
      <c r="N2251" s="1437">
        <f t="shared" si="325"/>
        <v>8.5750000000000001E-6</v>
      </c>
    </row>
    <row r="2252" spans="1:14" ht="29" outlineLevel="1">
      <c r="A2252" s="1499">
        <f t="shared" si="326"/>
        <v>52</v>
      </c>
      <c r="B2252" s="1539" t="str">
        <f t="shared" si="326"/>
        <v>Asset Recived From Civil-U#8-Ash Slurry Pipe Line AHP-Pedestals-10501</v>
      </c>
      <c r="C2252" s="1491" t="str">
        <f t="shared" si="326"/>
        <v>N.A.</v>
      </c>
      <c r="D2252" s="1531" t="str">
        <f t="shared" si="326"/>
        <v>-</v>
      </c>
      <c r="E2252" s="1318">
        <f t="shared" si="326"/>
        <v>0</v>
      </c>
      <c r="F2252" s="1437">
        <f t="shared" si="322"/>
        <v>1.38462E-4</v>
      </c>
      <c r="G2252" s="1437">
        <f t="shared" si="323"/>
        <v>0</v>
      </c>
      <c r="H2252" s="1437">
        <f t="shared" si="324"/>
        <v>1.38462E-4</v>
      </c>
      <c r="I2252" s="1437">
        <v>0</v>
      </c>
      <c r="J2252" s="1437">
        <v>0</v>
      </c>
      <c r="K2252" s="1438"/>
      <c r="L2252" s="1438"/>
      <c r="M2252" s="1437">
        <f t="shared" si="321"/>
        <v>0</v>
      </c>
      <c r="N2252" s="1437">
        <f t="shared" si="325"/>
        <v>1.38462E-4</v>
      </c>
    </row>
    <row r="2253" spans="1:14" outlineLevel="1">
      <c r="A2253" s="1499">
        <f t="shared" si="326"/>
        <v>53</v>
      </c>
      <c r="B2253" s="1539" t="str">
        <f t="shared" si="326"/>
        <v>Asset Recived From Civil-U#8-AHP-Buffer Hopper Foundation-10501</v>
      </c>
      <c r="C2253" s="1491" t="str">
        <f t="shared" si="326"/>
        <v>N.A.</v>
      </c>
      <c r="D2253" s="1531" t="str">
        <f t="shared" si="326"/>
        <v>-</v>
      </c>
      <c r="E2253" s="1318">
        <f t="shared" si="326"/>
        <v>0</v>
      </c>
      <c r="F2253" s="1437">
        <f t="shared" si="322"/>
        <v>3.5627999999999998E-5</v>
      </c>
      <c r="G2253" s="1437">
        <f t="shared" si="323"/>
        <v>0</v>
      </c>
      <c r="H2253" s="1437">
        <f t="shared" si="324"/>
        <v>3.5627999999999998E-5</v>
      </c>
      <c r="I2253" s="1437">
        <v>0</v>
      </c>
      <c r="J2253" s="1437">
        <v>0</v>
      </c>
      <c r="K2253" s="1438"/>
      <c r="L2253" s="1438"/>
      <c r="M2253" s="1437">
        <f t="shared" si="321"/>
        <v>0</v>
      </c>
      <c r="N2253" s="1437">
        <f t="shared" si="325"/>
        <v>3.5627999999999998E-5</v>
      </c>
    </row>
    <row r="2254" spans="1:14" ht="29" outlineLevel="1">
      <c r="A2254" s="1499">
        <f t="shared" si="326"/>
        <v>54</v>
      </c>
      <c r="B2254" s="1539" t="str">
        <f t="shared" si="326"/>
        <v>Asset Recived From Civil-U#8-AHP-Mill reject hopper foundation-10501</v>
      </c>
      <c r="C2254" s="1491" t="str">
        <f t="shared" si="326"/>
        <v>N.A.</v>
      </c>
      <c r="D2254" s="1531" t="str">
        <f t="shared" si="326"/>
        <v>-</v>
      </c>
      <c r="E2254" s="1318">
        <f t="shared" si="326"/>
        <v>0</v>
      </c>
      <c r="F2254" s="1437">
        <f t="shared" si="322"/>
        <v>1.7813999999999999E-5</v>
      </c>
      <c r="G2254" s="1437">
        <f t="shared" si="323"/>
        <v>0</v>
      </c>
      <c r="H2254" s="1437">
        <f t="shared" si="324"/>
        <v>1.7813999999999999E-5</v>
      </c>
      <c r="I2254" s="1437">
        <v>0</v>
      </c>
      <c r="J2254" s="1437">
        <v>0</v>
      </c>
      <c r="K2254" s="1438"/>
      <c r="L2254" s="1438"/>
      <c r="M2254" s="1437">
        <f t="shared" si="321"/>
        <v>0</v>
      </c>
      <c r="N2254" s="1437">
        <f t="shared" si="325"/>
        <v>1.7813999999999999E-5</v>
      </c>
    </row>
    <row r="2255" spans="1:14" outlineLevel="1">
      <c r="A2255" s="1499">
        <f t="shared" si="326"/>
        <v>55</v>
      </c>
      <c r="B2255" s="1539" t="str">
        <f t="shared" si="326"/>
        <v>Asset Recived From Civil-U#8-FHP-Fuel Oil pump house-10516</v>
      </c>
      <c r="C2255" s="1491" t="str">
        <f t="shared" si="326"/>
        <v>N.A.</v>
      </c>
      <c r="D2255" s="1531" t="str">
        <f t="shared" si="326"/>
        <v>-</v>
      </c>
      <c r="E2255" s="1318">
        <f t="shared" si="326"/>
        <v>0</v>
      </c>
      <c r="F2255" s="1437">
        <f t="shared" si="322"/>
        <v>6.5769099999999996E-4</v>
      </c>
      <c r="G2255" s="1437">
        <f t="shared" si="323"/>
        <v>0</v>
      </c>
      <c r="H2255" s="1437">
        <f t="shared" si="324"/>
        <v>6.5769099999999996E-4</v>
      </c>
      <c r="I2255" s="1437">
        <v>0</v>
      </c>
      <c r="J2255" s="1437">
        <v>0</v>
      </c>
      <c r="K2255" s="1438"/>
      <c r="L2255" s="1438"/>
      <c r="M2255" s="1437">
        <f t="shared" si="321"/>
        <v>0</v>
      </c>
      <c r="N2255" s="1437">
        <f t="shared" si="325"/>
        <v>6.5769099999999996E-4</v>
      </c>
    </row>
    <row r="2256" spans="1:14" outlineLevel="1">
      <c r="A2256" s="1499">
        <f t="shared" si="326"/>
        <v>56</v>
      </c>
      <c r="B2256" s="1539" t="str">
        <f t="shared" si="326"/>
        <v>Asset Recived From Civil-U#8-FHP-DYKE AREA -10516</v>
      </c>
      <c r="C2256" s="1491" t="str">
        <f t="shared" si="326"/>
        <v>N.A.</v>
      </c>
      <c r="D2256" s="1531" t="str">
        <f t="shared" si="326"/>
        <v>-</v>
      </c>
      <c r="E2256" s="1318">
        <f t="shared" si="326"/>
        <v>0</v>
      </c>
      <c r="F2256" s="1437">
        <f t="shared" si="322"/>
        <v>1.9338999999999999E-5</v>
      </c>
      <c r="G2256" s="1437">
        <f t="shared" si="323"/>
        <v>0</v>
      </c>
      <c r="H2256" s="1437">
        <f t="shared" si="324"/>
        <v>1.9338999999999999E-5</v>
      </c>
      <c r="I2256" s="1437">
        <v>0</v>
      </c>
      <c r="J2256" s="1437">
        <v>0</v>
      </c>
      <c r="K2256" s="1438"/>
      <c r="L2256" s="1438"/>
      <c r="M2256" s="1437">
        <f t="shared" si="321"/>
        <v>0</v>
      </c>
      <c r="N2256" s="1437">
        <f t="shared" si="325"/>
        <v>1.9338999999999999E-5</v>
      </c>
    </row>
    <row r="2257" spans="1:14" outlineLevel="1">
      <c r="A2257" s="1499">
        <f t="shared" si="326"/>
        <v>57</v>
      </c>
      <c r="B2257" s="1539" t="str">
        <f t="shared" si="326"/>
        <v>Asset Recived From Civil-U#8-Effulent Treatment Plant -10509</v>
      </c>
      <c r="C2257" s="1491" t="str">
        <f t="shared" si="326"/>
        <v>N.A.</v>
      </c>
      <c r="D2257" s="1531" t="str">
        <f t="shared" si="326"/>
        <v>-</v>
      </c>
      <c r="E2257" s="1318">
        <f t="shared" si="326"/>
        <v>0</v>
      </c>
      <c r="F2257" s="1437">
        <f t="shared" si="322"/>
        <v>1.4134799999999999E-4</v>
      </c>
      <c r="G2257" s="1437">
        <f t="shared" si="323"/>
        <v>0</v>
      </c>
      <c r="H2257" s="1437">
        <f t="shared" si="324"/>
        <v>1.4134799999999999E-4</v>
      </c>
      <c r="I2257" s="1437">
        <v>0</v>
      </c>
      <c r="J2257" s="1437">
        <v>0</v>
      </c>
      <c r="K2257" s="1438"/>
      <c r="L2257" s="1438"/>
      <c r="M2257" s="1437">
        <f t="shared" si="321"/>
        <v>0</v>
      </c>
      <c r="N2257" s="1437">
        <f t="shared" si="325"/>
        <v>1.4134799999999999E-4</v>
      </c>
    </row>
    <row r="2258" spans="1:14" outlineLevel="1">
      <c r="A2258" s="1499">
        <f t="shared" si="326"/>
        <v>58</v>
      </c>
      <c r="B2258" s="1539" t="str">
        <f t="shared" si="326"/>
        <v>Asset Recived From Project-U#8-Boiler Pressure parts-10501</v>
      </c>
      <c r="C2258" s="1491" t="str">
        <f t="shared" si="326"/>
        <v>N.A.</v>
      </c>
      <c r="D2258" s="1531" t="str">
        <f t="shared" si="326"/>
        <v>-</v>
      </c>
      <c r="E2258" s="1318">
        <f t="shared" si="326"/>
        <v>0</v>
      </c>
      <c r="F2258" s="1437">
        <f t="shared" si="322"/>
        <v>6.5490000000000007E-2</v>
      </c>
      <c r="G2258" s="1437">
        <f t="shared" si="323"/>
        <v>0</v>
      </c>
      <c r="H2258" s="1437">
        <f t="shared" si="324"/>
        <v>6.5490000000000007E-2</v>
      </c>
      <c r="I2258" s="1437">
        <v>0</v>
      </c>
      <c r="J2258" s="1437">
        <v>0</v>
      </c>
      <c r="K2258" s="1438"/>
      <c r="L2258" s="1438"/>
      <c r="M2258" s="1437">
        <f t="shared" si="321"/>
        <v>0</v>
      </c>
      <c r="N2258" s="1437">
        <f t="shared" si="325"/>
        <v>6.5490000000000007E-2</v>
      </c>
    </row>
    <row r="2259" spans="1:14" outlineLevel="1">
      <c r="A2259" s="1499">
        <f t="shared" si="326"/>
        <v>59</v>
      </c>
      <c r="B2259" s="1539" t="str">
        <f t="shared" si="326"/>
        <v>Asset Recived From Project-U#8-Mandatory Spares from BHEL–Trichy</v>
      </c>
      <c r="C2259" s="1491" t="str">
        <f t="shared" si="326"/>
        <v>N.A.</v>
      </c>
      <c r="D2259" s="1531" t="str">
        <f t="shared" si="326"/>
        <v>-</v>
      </c>
      <c r="E2259" s="1318">
        <f t="shared" si="326"/>
        <v>0</v>
      </c>
      <c r="F2259" s="1437">
        <f t="shared" si="322"/>
        <v>7.4618999999999996E-3</v>
      </c>
      <c r="G2259" s="1437">
        <f t="shared" si="323"/>
        <v>0</v>
      </c>
      <c r="H2259" s="1437">
        <f t="shared" si="324"/>
        <v>7.4618999999999996E-3</v>
      </c>
      <c r="I2259" s="1437">
        <v>0</v>
      </c>
      <c r="J2259" s="1437">
        <v>0</v>
      </c>
      <c r="K2259" s="1438"/>
      <c r="L2259" s="1438"/>
      <c r="M2259" s="1437">
        <f t="shared" si="321"/>
        <v>0</v>
      </c>
      <c r="N2259" s="1437">
        <f t="shared" si="325"/>
        <v>7.4618999999999996E-3</v>
      </c>
    </row>
    <row r="2260" spans="1:14" outlineLevel="1">
      <c r="A2260" s="1499">
        <f t="shared" si="326"/>
        <v>60</v>
      </c>
      <c r="B2260" s="1539" t="str">
        <f t="shared" si="326"/>
        <v>Asset Recived From Civil-U#8-Coal mill reject trench at coal mill D&amp;E</v>
      </c>
      <c r="C2260" s="1491" t="str">
        <f t="shared" si="326"/>
        <v>N.A.</v>
      </c>
      <c r="D2260" s="1531" t="str">
        <f t="shared" si="326"/>
        <v>-</v>
      </c>
      <c r="E2260" s="1318">
        <f t="shared" si="326"/>
        <v>0</v>
      </c>
      <c r="F2260" s="1437">
        <f t="shared" si="322"/>
        <v>4.6610299000000001E-2</v>
      </c>
      <c r="G2260" s="1437">
        <f t="shared" si="323"/>
        <v>0</v>
      </c>
      <c r="H2260" s="1437">
        <f t="shared" si="324"/>
        <v>4.6610299000000001E-2</v>
      </c>
      <c r="I2260" s="1437">
        <v>0</v>
      </c>
      <c r="J2260" s="1437">
        <v>0</v>
      </c>
      <c r="K2260" s="1438"/>
      <c r="L2260" s="1438"/>
      <c r="M2260" s="1437">
        <f t="shared" si="321"/>
        <v>0</v>
      </c>
      <c r="N2260" s="1437">
        <f t="shared" si="325"/>
        <v>4.6610299000000001E-2</v>
      </c>
    </row>
    <row r="2261" spans="1:14" ht="29" outlineLevel="1">
      <c r="A2261" s="1499">
        <f t="shared" ref="A2261:E2276" si="327">A1868</f>
        <v>61</v>
      </c>
      <c r="B2261" s="1539" t="str">
        <f t="shared" si="327"/>
        <v>Asset Recived From Project-U#8-Canteen Equipments &amp; kitchen Utensils</v>
      </c>
      <c r="C2261" s="1491" t="str">
        <f t="shared" si="327"/>
        <v>N.A.</v>
      </c>
      <c r="D2261" s="1531" t="str">
        <f t="shared" si="327"/>
        <v>-</v>
      </c>
      <c r="E2261" s="1318">
        <f t="shared" si="327"/>
        <v>0</v>
      </c>
      <c r="F2261" s="1437">
        <f t="shared" si="322"/>
        <v>0.21887515400000002</v>
      </c>
      <c r="G2261" s="1437">
        <f t="shared" si="323"/>
        <v>0</v>
      </c>
      <c r="H2261" s="1437">
        <f t="shared" si="324"/>
        <v>0.21887515400000002</v>
      </c>
      <c r="I2261" s="1437">
        <v>0</v>
      </c>
      <c r="J2261" s="1437">
        <v>0</v>
      </c>
      <c r="K2261" s="1438"/>
      <c r="L2261" s="1438"/>
      <c r="M2261" s="1437">
        <f t="shared" si="321"/>
        <v>0</v>
      </c>
      <c r="N2261" s="1437">
        <f t="shared" si="325"/>
        <v>0.21887515400000002</v>
      </c>
    </row>
    <row r="2262" spans="1:14" ht="29" outlineLevel="1">
      <c r="A2262" s="1499">
        <f t="shared" si="327"/>
        <v>62</v>
      </c>
      <c r="B2262" s="1539" t="str">
        <f t="shared" si="327"/>
        <v>Asset Recived From Project-U#8-Supply &amp; Erection of ACW system-10310</v>
      </c>
      <c r="C2262" s="1491" t="str">
        <f t="shared" si="327"/>
        <v>N.A.</v>
      </c>
      <c r="D2262" s="1531" t="str">
        <f t="shared" si="327"/>
        <v>-</v>
      </c>
      <c r="E2262" s="1318">
        <f t="shared" si="327"/>
        <v>0</v>
      </c>
      <c r="F2262" s="1437">
        <f t="shared" si="322"/>
        <v>8.3684199999999997E-4</v>
      </c>
      <c r="G2262" s="1437">
        <f t="shared" si="323"/>
        <v>0</v>
      </c>
      <c r="H2262" s="1437">
        <f t="shared" si="324"/>
        <v>8.3684199999999997E-4</v>
      </c>
      <c r="I2262" s="1437">
        <v>0</v>
      </c>
      <c r="J2262" s="1437">
        <v>0</v>
      </c>
      <c r="K2262" s="1438"/>
      <c r="L2262" s="1438"/>
      <c r="M2262" s="1437">
        <f t="shared" si="321"/>
        <v>0</v>
      </c>
      <c r="N2262" s="1437">
        <f t="shared" si="325"/>
        <v>8.3684199999999997E-4</v>
      </c>
    </row>
    <row r="2263" spans="1:14" ht="29" outlineLevel="1">
      <c r="A2263" s="1499">
        <f t="shared" si="327"/>
        <v>63</v>
      </c>
      <c r="B2263" s="1539" t="str">
        <f t="shared" si="327"/>
        <v>Asset Recived From Project-U#8-SUPPLY &amp; ERECTION OF CCW SYSTEM-10310</v>
      </c>
      <c r="C2263" s="1491" t="str">
        <f t="shared" si="327"/>
        <v>N.A.</v>
      </c>
      <c r="D2263" s="1531" t="str">
        <f t="shared" si="327"/>
        <v>-</v>
      </c>
      <c r="E2263" s="1318">
        <f t="shared" si="327"/>
        <v>0</v>
      </c>
      <c r="F2263" s="1437">
        <f t="shared" si="322"/>
        <v>4.8560299999999999E-3</v>
      </c>
      <c r="G2263" s="1437">
        <f t="shared" si="323"/>
        <v>0</v>
      </c>
      <c r="H2263" s="1437">
        <f t="shared" si="324"/>
        <v>4.8560299999999999E-3</v>
      </c>
      <c r="I2263" s="1437">
        <v>0</v>
      </c>
      <c r="J2263" s="1437">
        <v>0</v>
      </c>
      <c r="K2263" s="1438"/>
      <c r="L2263" s="1438"/>
      <c r="M2263" s="1437">
        <f t="shared" si="321"/>
        <v>0</v>
      </c>
      <c r="N2263" s="1437">
        <f t="shared" si="325"/>
        <v>4.8560299999999999E-3</v>
      </c>
    </row>
    <row r="2264" spans="1:14" ht="29" outlineLevel="1">
      <c r="A2264" s="1499">
        <f t="shared" si="327"/>
        <v>64</v>
      </c>
      <c r="B2264" s="1539" t="str">
        <f t="shared" si="327"/>
        <v>Asset Recived From Project-U#8-TG set &amp; its auxilleries-HP/LPFeedWate</v>
      </c>
      <c r="C2264" s="1491" t="str">
        <f t="shared" si="327"/>
        <v>N.A.</v>
      </c>
      <c r="D2264" s="1531" t="str">
        <f t="shared" si="327"/>
        <v>-</v>
      </c>
      <c r="E2264" s="1318">
        <f t="shared" si="327"/>
        <v>0</v>
      </c>
      <c r="F2264" s="1437">
        <f t="shared" si="322"/>
        <v>1.6841648000000001E-2</v>
      </c>
      <c r="G2264" s="1437">
        <f t="shared" si="323"/>
        <v>0</v>
      </c>
      <c r="H2264" s="1437">
        <f t="shared" si="324"/>
        <v>1.6841648000000001E-2</v>
      </c>
      <c r="I2264" s="1437">
        <v>0</v>
      </c>
      <c r="J2264" s="1437">
        <v>0</v>
      </c>
      <c r="K2264" s="1438"/>
      <c r="L2264" s="1438"/>
      <c r="M2264" s="1437">
        <f t="shared" si="321"/>
        <v>0</v>
      </c>
      <c r="N2264" s="1437">
        <f t="shared" si="325"/>
        <v>1.6841648000000001E-2</v>
      </c>
    </row>
    <row r="2265" spans="1:14" outlineLevel="1">
      <c r="A2265" s="1499">
        <f t="shared" si="327"/>
        <v>65</v>
      </c>
      <c r="B2265" s="1539" t="str">
        <f t="shared" si="327"/>
        <v>Asset Recived From Project-U#8-TG set and its auxilleries- Boilerfeed</v>
      </c>
      <c r="C2265" s="1491" t="str">
        <f t="shared" si="327"/>
        <v>N.A.</v>
      </c>
      <c r="D2265" s="1531" t="str">
        <f t="shared" si="327"/>
        <v>-</v>
      </c>
      <c r="E2265" s="1318">
        <f t="shared" si="327"/>
        <v>0</v>
      </c>
      <c r="F2265" s="1437">
        <f t="shared" si="322"/>
        <v>1.8479445000000001E-2</v>
      </c>
      <c r="G2265" s="1437">
        <f t="shared" si="323"/>
        <v>0</v>
      </c>
      <c r="H2265" s="1437">
        <f t="shared" si="324"/>
        <v>1.8479445000000001E-2</v>
      </c>
      <c r="I2265" s="1437">
        <v>0</v>
      </c>
      <c r="J2265" s="1437">
        <v>0</v>
      </c>
      <c r="K2265" s="1438"/>
      <c r="L2265" s="1438"/>
      <c r="M2265" s="1437">
        <f t="shared" si="321"/>
        <v>0</v>
      </c>
      <c r="N2265" s="1437">
        <f t="shared" si="325"/>
        <v>1.8479445000000001E-2</v>
      </c>
    </row>
    <row r="2266" spans="1:14" ht="29" outlineLevel="1">
      <c r="A2266" s="1499">
        <f t="shared" si="327"/>
        <v>66</v>
      </c>
      <c r="B2266" s="1539" t="str">
        <f t="shared" si="327"/>
        <v>Asset Recived From Project-U#8-Air Conditioning-MandatorySpares-10576</v>
      </c>
      <c r="C2266" s="1491" t="str">
        <f t="shared" si="327"/>
        <v>N.A.</v>
      </c>
      <c r="D2266" s="1531" t="str">
        <f t="shared" si="327"/>
        <v>-</v>
      </c>
      <c r="E2266" s="1318">
        <f t="shared" si="327"/>
        <v>0</v>
      </c>
      <c r="F2266" s="1437">
        <f t="shared" si="322"/>
        <v>1.7255999999999999E-5</v>
      </c>
      <c r="G2266" s="1437">
        <f t="shared" si="323"/>
        <v>0</v>
      </c>
      <c r="H2266" s="1437">
        <f t="shared" si="324"/>
        <v>1.7255999999999999E-5</v>
      </c>
      <c r="I2266" s="1437">
        <v>0</v>
      </c>
      <c r="J2266" s="1437">
        <v>0</v>
      </c>
      <c r="K2266" s="1438"/>
      <c r="L2266" s="1438"/>
      <c r="M2266" s="1437">
        <f t="shared" si="321"/>
        <v>0</v>
      </c>
      <c r="N2266" s="1437">
        <f t="shared" si="325"/>
        <v>1.7255999999999999E-5</v>
      </c>
    </row>
    <row r="2267" spans="1:14" outlineLevel="1">
      <c r="A2267" s="1499">
        <f t="shared" si="327"/>
        <v>67</v>
      </c>
      <c r="B2267" s="1539" t="str">
        <f t="shared" si="327"/>
        <v>Asset Recived From Project-U#8-Air Conditioning system-10576</v>
      </c>
      <c r="C2267" s="1491" t="str">
        <f t="shared" si="327"/>
        <v>N.A.</v>
      </c>
      <c r="D2267" s="1531" t="str">
        <f t="shared" si="327"/>
        <v>-</v>
      </c>
      <c r="E2267" s="1318">
        <f t="shared" si="327"/>
        <v>0</v>
      </c>
      <c r="F2267" s="1437">
        <f t="shared" si="322"/>
        <v>1.344619E-3</v>
      </c>
      <c r="G2267" s="1437">
        <f t="shared" si="323"/>
        <v>0</v>
      </c>
      <c r="H2267" s="1437">
        <f t="shared" si="324"/>
        <v>1.344619E-3</v>
      </c>
      <c r="I2267" s="1437">
        <v>0</v>
      </c>
      <c r="J2267" s="1437">
        <v>0</v>
      </c>
      <c r="K2267" s="1438"/>
      <c r="L2267" s="1438"/>
      <c r="M2267" s="1437">
        <f t="shared" si="321"/>
        <v>0</v>
      </c>
      <c r="N2267" s="1437">
        <f t="shared" si="325"/>
        <v>1.344619E-3</v>
      </c>
    </row>
    <row r="2268" spans="1:14" outlineLevel="1">
      <c r="A2268" s="1499">
        <f t="shared" si="327"/>
        <v>68</v>
      </c>
      <c r="B2268" s="1539" t="str">
        <f t="shared" si="327"/>
        <v>Asset Recived From Project-U#8-AHP-FLY ASH &amp; HCSD-SYSTEM-10501</v>
      </c>
      <c r="C2268" s="1491" t="str">
        <f t="shared" si="327"/>
        <v>N.A.</v>
      </c>
      <c r="D2268" s="1531" t="str">
        <f t="shared" si="327"/>
        <v>-</v>
      </c>
      <c r="E2268" s="1318">
        <f t="shared" si="327"/>
        <v>0</v>
      </c>
      <c r="F2268" s="1437">
        <f t="shared" si="322"/>
        <v>2.1652109999999998E-3</v>
      </c>
      <c r="G2268" s="1437">
        <f t="shared" si="323"/>
        <v>0</v>
      </c>
      <c r="H2268" s="1437">
        <f t="shared" si="324"/>
        <v>2.1652109999999998E-3</v>
      </c>
      <c r="I2268" s="1437">
        <v>0</v>
      </c>
      <c r="J2268" s="1437">
        <v>0</v>
      </c>
      <c r="K2268" s="1438"/>
      <c r="L2268" s="1438"/>
      <c r="M2268" s="1437">
        <f t="shared" si="321"/>
        <v>0</v>
      </c>
      <c r="N2268" s="1437">
        <f t="shared" si="325"/>
        <v>2.1652109999999998E-3</v>
      </c>
    </row>
    <row r="2269" spans="1:14" ht="29" outlineLevel="1">
      <c r="A2269" s="1499">
        <f t="shared" si="327"/>
        <v>69</v>
      </c>
      <c r="B2269" s="1539" t="str">
        <f t="shared" si="327"/>
        <v>Asset Recived From Project-U#8-AHP-FLYASH&amp;HCSD-SYSTEMBOUGHT OUT-10501</v>
      </c>
      <c r="C2269" s="1491" t="str">
        <f t="shared" si="327"/>
        <v>N.A.</v>
      </c>
      <c r="D2269" s="1531" t="str">
        <f t="shared" si="327"/>
        <v>-</v>
      </c>
      <c r="E2269" s="1318">
        <f t="shared" si="327"/>
        <v>0</v>
      </c>
      <c r="F2269" s="1437">
        <f t="shared" si="322"/>
        <v>7.0969070000000004E-3</v>
      </c>
      <c r="G2269" s="1437">
        <f t="shared" si="323"/>
        <v>0</v>
      </c>
      <c r="H2269" s="1437">
        <f t="shared" si="324"/>
        <v>7.0969070000000004E-3</v>
      </c>
      <c r="I2269" s="1437">
        <v>0</v>
      </c>
      <c r="J2269" s="1437">
        <v>0</v>
      </c>
      <c r="K2269" s="1438"/>
      <c r="L2269" s="1438"/>
      <c r="M2269" s="1437">
        <f t="shared" si="321"/>
        <v>0</v>
      </c>
      <c r="N2269" s="1437">
        <f t="shared" si="325"/>
        <v>7.0969070000000004E-3</v>
      </c>
    </row>
    <row r="2270" spans="1:14" outlineLevel="1">
      <c r="A2270" s="1499">
        <f t="shared" si="327"/>
        <v>70</v>
      </c>
      <c r="B2270" s="1539" t="str">
        <f t="shared" si="327"/>
        <v>Asset Recived From Project-U#8-AHP-BOTTOM ASH SYSTEM-10501</v>
      </c>
      <c r="C2270" s="1491" t="str">
        <f t="shared" si="327"/>
        <v>N.A.</v>
      </c>
      <c r="D2270" s="1531" t="str">
        <f t="shared" si="327"/>
        <v>-</v>
      </c>
      <c r="E2270" s="1318">
        <f t="shared" si="327"/>
        <v>0</v>
      </c>
      <c r="F2270" s="1437">
        <f t="shared" si="322"/>
        <v>1.2125858999999999E-2</v>
      </c>
      <c r="G2270" s="1437">
        <f t="shared" si="323"/>
        <v>0</v>
      </c>
      <c r="H2270" s="1437">
        <f t="shared" si="324"/>
        <v>1.2125858999999999E-2</v>
      </c>
      <c r="I2270" s="1437">
        <v>0</v>
      </c>
      <c r="J2270" s="1437">
        <v>0</v>
      </c>
      <c r="K2270" s="1438"/>
      <c r="L2270" s="1438"/>
      <c r="M2270" s="1437">
        <f t="shared" si="321"/>
        <v>0</v>
      </c>
      <c r="N2270" s="1437">
        <f t="shared" si="325"/>
        <v>1.2125858999999999E-2</v>
      </c>
    </row>
    <row r="2271" spans="1:14" outlineLevel="1">
      <c r="A2271" s="1499">
        <f t="shared" si="327"/>
        <v>71</v>
      </c>
      <c r="B2271" s="1539" t="str">
        <f t="shared" si="327"/>
        <v>Asset Recived From Project-U#8-AHP-ELECTRICAL C &amp; I-10501</v>
      </c>
      <c r="C2271" s="1491" t="str">
        <f t="shared" si="327"/>
        <v>N.A.</v>
      </c>
      <c r="D2271" s="1531" t="str">
        <f t="shared" si="327"/>
        <v>-</v>
      </c>
      <c r="E2271" s="1318">
        <f t="shared" si="327"/>
        <v>0</v>
      </c>
      <c r="F2271" s="1437">
        <f t="shared" si="322"/>
        <v>4.0530039999999998E-3</v>
      </c>
      <c r="G2271" s="1437">
        <f t="shared" si="323"/>
        <v>0</v>
      </c>
      <c r="H2271" s="1437">
        <f t="shared" si="324"/>
        <v>4.0530039999999998E-3</v>
      </c>
      <c r="I2271" s="1437">
        <v>0</v>
      </c>
      <c r="J2271" s="1437">
        <v>0</v>
      </c>
      <c r="K2271" s="1438"/>
      <c r="L2271" s="1438"/>
      <c r="M2271" s="1437">
        <f t="shared" si="321"/>
        <v>0</v>
      </c>
      <c r="N2271" s="1437">
        <f t="shared" si="325"/>
        <v>4.0530039999999998E-3</v>
      </c>
    </row>
    <row r="2272" spans="1:14" outlineLevel="1">
      <c r="A2272" s="1499">
        <f t="shared" si="327"/>
        <v>72</v>
      </c>
      <c r="B2272" s="1539" t="str">
        <f t="shared" si="327"/>
        <v>Asset Recived From Project-U#8-AHP-GEHO PUMP-10501</v>
      </c>
      <c r="C2272" s="1491" t="str">
        <f t="shared" si="327"/>
        <v>N.A.</v>
      </c>
      <c r="D2272" s="1531" t="str">
        <f t="shared" si="327"/>
        <v>-</v>
      </c>
      <c r="E2272" s="1318">
        <f t="shared" si="327"/>
        <v>0</v>
      </c>
      <c r="F2272" s="1437">
        <f t="shared" si="322"/>
        <v>9.5127619999999993E-3</v>
      </c>
      <c r="G2272" s="1437">
        <f t="shared" si="323"/>
        <v>0</v>
      </c>
      <c r="H2272" s="1437">
        <f t="shared" si="324"/>
        <v>9.5127619999999993E-3</v>
      </c>
      <c r="I2272" s="1437">
        <v>0</v>
      </c>
      <c r="J2272" s="1437">
        <v>0</v>
      </c>
      <c r="K2272" s="1438"/>
      <c r="L2272" s="1438"/>
      <c r="M2272" s="1437">
        <f t="shared" si="321"/>
        <v>0</v>
      </c>
      <c r="N2272" s="1437">
        <f t="shared" si="325"/>
        <v>9.5127619999999993E-3</v>
      </c>
    </row>
    <row r="2273" spans="1:14" ht="29" outlineLevel="1">
      <c r="A2273" s="1499">
        <f t="shared" si="327"/>
        <v>73</v>
      </c>
      <c r="B2273" s="1539" t="str">
        <f t="shared" si="327"/>
        <v>Asset Recived FromProject-U#8-Boiler&amp;Aux -Power Cycle Piping-10501</v>
      </c>
      <c r="C2273" s="1491" t="str">
        <f t="shared" si="327"/>
        <v>N.A.</v>
      </c>
      <c r="D2273" s="1531" t="str">
        <f t="shared" si="327"/>
        <v>-</v>
      </c>
      <c r="E2273" s="1318">
        <f t="shared" si="327"/>
        <v>0</v>
      </c>
      <c r="F2273" s="1437">
        <f t="shared" si="322"/>
        <v>4.1004594999999998E-2</v>
      </c>
      <c r="G2273" s="1437">
        <f t="shared" si="323"/>
        <v>0</v>
      </c>
      <c r="H2273" s="1437">
        <f t="shared" si="324"/>
        <v>4.1004594999999998E-2</v>
      </c>
      <c r="I2273" s="1437">
        <v>0</v>
      </c>
      <c r="J2273" s="1437">
        <v>0</v>
      </c>
      <c r="K2273" s="1438"/>
      <c r="L2273" s="1438"/>
      <c r="M2273" s="1437">
        <f t="shared" si="321"/>
        <v>0</v>
      </c>
      <c r="N2273" s="1437">
        <f t="shared" si="325"/>
        <v>4.1004594999999998E-2</v>
      </c>
    </row>
    <row r="2274" spans="1:14" ht="29" outlineLevel="1">
      <c r="A2274" s="1499">
        <f t="shared" si="327"/>
        <v>74</v>
      </c>
      <c r="B2274" s="1539" t="str">
        <f t="shared" si="327"/>
        <v>Asset Recived From Project-U#8-Boiler&amp;Aux-SUIT BLOWER &amp; PIPING-10501</v>
      </c>
      <c r="C2274" s="1491" t="str">
        <f t="shared" si="327"/>
        <v>N.A.</v>
      </c>
      <c r="D2274" s="1531" t="str">
        <f t="shared" si="327"/>
        <v>-</v>
      </c>
      <c r="E2274" s="1318">
        <f t="shared" si="327"/>
        <v>0</v>
      </c>
      <c r="F2274" s="1437">
        <f t="shared" si="322"/>
        <v>8.3837327000000003E-2</v>
      </c>
      <c r="G2274" s="1437">
        <f t="shared" si="323"/>
        <v>0</v>
      </c>
      <c r="H2274" s="1437">
        <f t="shared" si="324"/>
        <v>8.3837327000000003E-2</v>
      </c>
      <c r="I2274" s="1437">
        <v>0</v>
      </c>
      <c r="J2274" s="1437">
        <v>0</v>
      </c>
      <c r="K2274" s="1438"/>
      <c r="L2274" s="1438"/>
      <c r="M2274" s="1437">
        <f t="shared" si="321"/>
        <v>0</v>
      </c>
      <c r="N2274" s="1437">
        <f t="shared" si="325"/>
        <v>8.3837327000000003E-2</v>
      </c>
    </row>
    <row r="2275" spans="1:14" outlineLevel="1">
      <c r="A2275" s="1499">
        <f t="shared" si="327"/>
        <v>75</v>
      </c>
      <c r="B2275" s="1539" t="str">
        <f t="shared" si="327"/>
        <v>Asset Recived From Project-U#8-Boiler &amp; Auxillaries - PA FAN-10501</v>
      </c>
      <c r="C2275" s="1491" t="str">
        <f t="shared" si="327"/>
        <v>N.A.</v>
      </c>
      <c r="D2275" s="1531" t="str">
        <f t="shared" si="327"/>
        <v>-</v>
      </c>
      <c r="E2275" s="1318">
        <f t="shared" si="327"/>
        <v>0</v>
      </c>
      <c r="F2275" s="1437">
        <f t="shared" si="322"/>
        <v>1.022551E-3</v>
      </c>
      <c r="G2275" s="1437">
        <f t="shared" si="323"/>
        <v>0</v>
      </c>
      <c r="H2275" s="1437">
        <f t="shared" si="324"/>
        <v>1.022551E-3</v>
      </c>
      <c r="I2275" s="1437">
        <v>0</v>
      </c>
      <c r="J2275" s="1437">
        <v>0</v>
      </c>
      <c r="K2275" s="1438"/>
      <c r="L2275" s="1438"/>
      <c r="M2275" s="1437">
        <f t="shared" si="321"/>
        <v>0</v>
      </c>
      <c r="N2275" s="1437">
        <f t="shared" si="325"/>
        <v>1.022551E-3</v>
      </c>
    </row>
    <row r="2276" spans="1:14" outlineLevel="1">
      <c r="A2276" s="1499">
        <f t="shared" si="327"/>
        <v>76</v>
      </c>
      <c r="B2276" s="1539" t="str">
        <f t="shared" si="327"/>
        <v>Asset Recived From Project-U#8-Boiler&amp;Aux-Air Preheaters-10501</v>
      </c>
      <c r="C2276" s="1491" t="str">
        <f t="shared" si="327"/>
        <v>N.A.</v>
      </c>
      <c r="D2276" s="1531" t="str">
        <f t="shared" si="327"/>
        <v>-</v>
      </c>
      <c r="E2276" s="1318">
        <f t="shared" si="327"/>
        <v>0</v>
      </c>
      <c r="F2276" s="1437">
        <f t="shared" si="322"/>
        <v>1.3280755999999999E-2</v>
      </c>
      <c r="G2276" s="1437">
        <f t="shared" si="323"/>
        <v>0</v>
      </c>
      <c r="H2276" s="1437">
        <f t="shared" si="324"/>
        <v>1.3280755999999999E-2</v>
      </c>
      <c r="I2276" s="1437">
        <v>0</v>
      </c>
      <c r="J2276" s="1437">
        <v>0</v>
      </c>
      <c r="K2276" s="1438"/>
      <c r="L2276" s="1438"/>
      <c r="M2276" s="1437">
        <f t="shared" si="321"/>
        <v>0</v>
      </c>
      <c r="N2276" s="1437">
        <f t="shared" si="325"/>
        <v>1.3280755999999999E-2</v>
      </c>
    </row>
    <row r="2277" spans="1:14" ht="29" outlineLevel="1">
      <c r="A2277" s="1499">
        <f t="shared" ref="A2277:E2292" si="328">A1884</f>
        <v>77</v>
      </c>
      <c r="B2277" s="1539" t="str">
        <f t="shared" si="328"/>
        <v>Asset Recived From Project-U#8-Boiler &amp; Auxillaries -COAL MILL-10501</v>
      </c>
      <c r="C2277" s="1491" t="str">
        <f t="shared" si="328"/>
        <v>N.A.</v>
      </c>
      <c r="D2277" s="1531" t="str">
        <f t="shared" si="328"/>
        <v>-</v>
      </c>
      <c r="E2277" s="1318">
        <f t="shared" si="328"/>
        <v>0</v>
      </c>
      <c r="F2277" s="1437">
        <f t="shared" si="322"/>
        <v>5.1243500999999997E-2</v>
      </c>
      <c r="G2277" s="1437">
        <f t="shared" si="323"/>
        <v>0</v>
      </c>
      <c r="H2277" s="1437">
        <f t="shared" si="324"/>
        <v>5.1243500999999997E-2</v>
      </c>
      <c r="I2277" s="1437">
        <v>0</v>
      </c>
      <c r="J2277" s="1437">
        <v>0</v>
      </c>
      <c r="K2277" s="1438"/>
      <c r="L2277" s="1438"/>
      <c r="M2277" s="1437">
        <f t="shared" si="321"/>
        <v>0</v>
      </c>
      <c r="N2277" s="1437">
        <f t="shared" si="325"/>
        <v>5.1243500999999997E-2</v>
      </c>
    </row>
    <row r="2278" spans="1:14" outlineLevel="1">
      <c r="A2278" s="1499">
        <f t="shared" si="328"/>
        <v>78</v>
      </c>
      <c r="B2278" s="1539" t="str">
        <f t="shared" si="328"/>
        <v>Asset Recived From Project-U#8-Boiler &amp; Auxillaries -FD FAN-10501</v>
      </c>
      <c r="C2278" s="1491" t="str">
        <f t="shared" si="328"/>
        <v>N.A.</v>
      </c>
      <c r="D2278" s="1531" t="str">
        <f t="shared" si="328"/>
        <v>-</v>
      </c>
      <c r="E2278" s="1318">
        <f t="shared" si="328"/>
        <v>0</v>
      </c>
      <c r="F2278" s="1437">
        <f t="shared" si="322"/>
        <v>6.8170000000000004E-4</v>
      </c>
      <c r="G2278" s="1437">
        <f t="shared" si="323"/>
        <v>0</v>
      </c>
      <c r="H2278" s="1437">
        <f t="shared" si="324"/>
        <v>6.8170000000000004E-4</v>
      </c>
      <c r="I2278" s="1437">
        <v>0</v>
      </c>
      <c r="J2278" s="1437">
        <v>0</v>
      </c>
      <c r="K2278" s="1438"/>
      <c r="L2278" s="1438"/>
      <c r="M2278" s="1437">
        <f t="shared" si="321"/>
        <v>0</v>
      </c>
      <c r="N2278" s="1437">
        <f t="shared" si="325"/>
        <v>6.8170000000000004E-4</v>
      </c>
    </row>
    <row r="2279" spans="1:14" outlineLevel="1">
      <c r="A2279" s="1499">
        <f t="shared" si="328"/>
        <v>79</v>
      </c>
      <c r="B2279" s="1539" t="str">
        <f t="shared" si="328"/>
        <v>Asset Recived From Project-U#8-Boiler &amp; Auxillaries- ID FAN-10501</v>
      </c>
      <c r="C2279" s="1491" t="str">
        <f t="shared" si="328"/>
        <v>N.A.</v>
      </c>
      <c r="D2279" s="1531" t="str">
        <f t="shared" si="328"/>
        <v>-</v>
      </c>
      <c r="E2279" s="1318">
        <f t="shared" si="328"/>
        <v>0</v>
      </c>
      <c r="F2279" s="1437">
        <f t="shared" si="322"/>
        <v>1.7042509999999999E-3</v>
      </c>
      <c r="G2279" s="1437">
        <f t="shared" si="323"/>
        <v>0</v>
      </c>
      <c r="H2279" s="1437">
        <f t="shared" si="324"/>
        <v>1.7042509999999999E-3</v>
      </c>
      <c r="I2279" s="1437">
        <v>0</v>
      </c>
      <c r="J2279" s="1437">
        <v>0</v>
      </c>
      <c r="K2279" s="1438"/>
      <c r="L2279" s="1438"/>
      <c r="M2279" s="1437">
        <f t="shared" si="321"/>
        <v>0</v>
      </c>
      <c r="N2279" s="1437">
        <f t="shared" si="325"/>
        <v>1.7042509999999999E-3</v>
      </c>
    </row>
    <row r="2280" spans="1:14" ht="29" outlineLevel="1">
      <c r="A2280" s="1499">
        <f t="shared" si="328"/>
        <v>80</v>
      </c>
      <c r="B2280" s="1539" t="str">
        <f t="shared" si="328"/>
        <v>Asset Recived From Project-U#8-Boiler&amp;Aux-Mandatory Spares-10501</v>
      </c>
      <c r="C2280" s="1491" t="str">
        <f t="shared" si="328"/>
        <v>N.A.</v>
      </c>
      <c r="D2280" s="1531" t="str">
        <f t="shared" si="328"/>
        <v>-</v>
      </c>
      <c r="E2280" s="1318">
        <f t="shared" si="328"/>
        <v>0</v>
      </c>
      <c r="F2280" s="1437">
        <f t="shared" si="322"/>
        <v>9.7934579999999997E-3</v>
      </c>
      <c r="G2280" s="1437">
        <f t="shared" si="323"/>
        <v>0</v>
      </c>
      <c r="H2280" s="1437">
        <f t="shared" si="324"/>
        <v>9.7934579999999997E-3</v>
      </c>
      <c r="I2280" s="1437">
        <v>0</v>
      </c>
      <c r="J2280" s="1437">
        <v>0</v>
      </c>
      <c r="K2280" s="1438"/>
      <c r="L2280" s="1438"/>
      <c r="M2280" s="1437">
        <f t="shared" si="321"/>
        <v>0</v>
      </c>
      <c r="N2280" s="1437">
        <f t="shared" si="325"/>
        <v>9.7934579999999997E-3</v>
      </c>
    </row>
    <row r="2281" spans="1:14" ht="29" outlineLevel="1">
      <c r="A2281" s="1499">
        <f t="shared" si="328"/>
        <v>81</v>
      </c>
      <c r="B2281" s="1539" t="str">
        <f t="shared" si="328"/>
        <v>Asset Recived From Project-U#8-Boiler&amp;Aux-PLATFORM,STAIRS,GRATINGS,</v>
      </c>
      <c r="C2281" s="1491" t="str">
        <f t="shared" si="328"/>
        <v>N.A.</v>
      </c>
      <c r="D2281" s="1531" t="str">
        <f t="shared" si="328"/>
        <v>-</v>
      </c>
      <c r="E2281" s="1318">
        <f t="shared" si="328"/>
        <v>0</v>
      </c>
      <c r="F2281" s="1437">
        <f t="shared" si="322"/>
        <v>3.0595908000000002E-2</v>
      </c>
      <c r="G2281" s="1437">
        <f t="shared" si="323"/>
        <v>0</v>
      </c>
      <c r="H2281" s="1437">
        <f t="shared" si="324"/>
        <v>3.0595908000000002E-2</v>
      </c>
      <c r="I2281" s="1437">
        <v>0</v>
      </c>
      <c r="J2281" s="1437">
        <v>0</v>
      </c>
      <c r="K2281" s="1438"/>
      <c r="L2281" s="1438"/>
      <c r="M2281" s="1437">
        <f t="shared" si="321"/>
        <v>0</v>
      </c>
      <c r="N2281" s="1437">
        <f t="shared" si="325"/>
        <v>3.0595908000000002E-2</v>
      </c>
    </row>
    <row r="2282" spans="1:14" outlineLevel="1">
      <c r="A2282" s="1499">
        <f t="shared" si="328"/>
        <v>82</v>
      </c>
      <c r="B2282" s="1539" t="str">
        <f t="shared" si="328"/>
        <v>Asset Recived From Project-U#8-Boiler Pressure parts-10501</v>
      </c>
      <c r="C2282" s="1491" t="str">
        <f t="shared" si="328"/>
        <v>N.A.</v>
      </c>
      <c r="D2282" s="1531" t="str">
        <f t="shared" si="328"/>
        <v>-</v>
      </c>
      <c r="E2282" s="1318">
        <f t="shared" si="328"/>
        <v>0</v>
      </c>
      <c r="F2282" s="1437">
        <f t="shared" si="322"/>
        <v>0.17807421000000001</v>
      </c>
      <c r="G2282" s="1437">
        <f t="shared" si="323"/>
        <v>0</v>
      </c>
      <c r="H2282" s="1437">
        <f t="shared" si="324"/>
        <v>0.17807421000000001</v>
      </c>
      <c r="I2282" s="1437">
        <v>0</v>
      </c>
      <c r="J2282" s="1437">
        <v>0</v>
      </c>
      <c r="K2282" s="1438"/>
      <c r="L2282" s="1438"/>
      <c r="M2282" s="1437">
        <f t="shared" si="321"/>
        <v>0</v>
      </c>
      <c r="N2282" s="1437">
        <f t="shared" si="325"/>
        <v>0.17807421000000001</v>
      </c>
    </row>
    <row r="2283" spans="1:14" ht="29" outlineLevel="1">
      <c r="A2283" s="1499">
        <f t="shared" si="328"/>
        <v>83</v>
      </c>
      <c r="B2283" s="1539" t="str">
        <f t="shared" si="328"/>
        <v>Asset Recived From Project-U#8-220V-BATTERY+CHARGERS-MAIN PLANT-10563</v>
      </c>
      <c r="C2283" s="1491" t="str">
        <f t="shared" si="328"/>
        <v>N.A.</v>
      </c>
      <c r="D2283" s="1531" t="str">
        <f t="shared" si="328"/>
        <v>-</v>
      </c>
      <c r="E2283" s="1318">
        <f t="shared" si="328"/>
        <v>0</v>
      </c>
      <c r="F2283" s="1437">
        <f t="shared" si="322"/>
        <v>2.0848189999999999E-3</v>
      </c>
      <c r="G2283" s="1437">
        <f t="shared" si="323"/>
        <v>0</v>
      </c>
      <c r="H2283" s="1437">
        <f t="shared" si="324"/>
        <v>2.0848189999999999E-3</v>
      </c>
      <c r="I2283" s="1437">
        <v>0</v>
      </c>
      <c r="J2283" s="1437">
        <v>0</v>
      </c>
      <c r="K2283" s="1438"/>
      <c r="L2283" s="1438"/>
      <c r="M2283" s="1437">
        <f t="shared" si="321"/>
        <v>0</v>
      </c>
      <c r="N2283" s="1437">
        <f t="shared" si="325"/>
        <v>2.0848189999999999E-3</v>
      </c>
    </row>
    <row r="2284" spans="1:14" ht="29" outlineLevel="1">
      <c r="A2284" s="1499">
        <f t="shared" si="328"/>
        <v>84</v>
      </c>
      <c r="B2284" s="1539" t="str">
        <f t="shared" si="328"/>
        <v>Asset Recived From Project-U#8-220V -BATTERY WITH CHARGERS(CHP)-10563</v>
      </c>
      <c r="C2284" s="1491" t="str">
        <f t="shared" si="328"/>
        <v>N.A.</v>
      </c>
      <c r="D2284" s="1531" t="str">
        <f t="shared" si="328"/>
        <v>-</v>
      </c>
      <c r="E2284" s="1318">
        <f t="shared" si="328"/>
        <v>0</v>
      </c>
      <c r="F2284" s="1437">
        <f t="shared" si="322"/>
        <v>2.0745099999999999E-4</v>
      </c>
      <c r="G2284" s="1437">
        <f t="shared" si="323"/>
        <v>0</v>
      </c>
      <c r="H2284" s="1437">
        <f t="shared" si="324"/>
        <v>2.0745099999999999E-4</v>
      </c>
      <c r="I2284" s="1437">
        <v>0</v>
      </c>
      <c r="J2284" s="1437">
        <v>0</v>
      </c>
      <c r="K2284" s="1438"/>
      <c r="L2284" s="1438"/>
      <c r="M2284" s="1437">
        <f t="shared" si="321"/>
        <v>0</v>
      </c>
      <c r="N2284" s="1437">
        <f t="shared" si="325"/>
        <v>2.0745099999999999E-4</v>
      </c>
    </row>
    <row r="2285" spans="1:14" ht="29" outlineLevel="1">
      <c r="A2285" s="1499">
        <f t="shared" si="328"/>
        <v>85</v>
      </c>
      <c r="B2285" s="1539" t="str">
        <f t="shared" si="328"/>
        <v>Asset Recived From Project-U#8-220V-BATTERY+CHARG-WAGON TRIP-2N-10563</v>
      </c>
      <c r="C2285" s="1491" t="str">
        <f t="shared" si="328"/>
        <v>N.A.</v>
      </c>
      <c r="D2285" s="1531" t="str">
        <f t="shared" si="328"/>
        <v>-</v>
      </c>
      <c r="E2285" s="1318">
        <f t="shared" si="328"/>
        <v>0</v>
      </c>
      <c r="F2285" s="1437">
        <f t="shared" si="322"/>
        <v>8.4673999999999996E-5</v>
      </c>
      <c r="G2285" s="1437">
        <f t="shared" si="323"/>
        <v>0</v>
      </c>
      <c r="H2285" s="1437">
        <f t="shared" si="324"/>
        <v>8.4673999999999996E-5</v>
      </c>
      <c r="I2285" s="1437">
        <v>0</v>
      </c>
      <c r="J2285" s="1437">
        <v>0</v>
      </c>
      <c r="K2285" s="1438"/>
      <c r="L2285" s="1438"/>
      <c r="M2285" s="1437">
        <f t="shared" si="321"/>
        <v>0</v>
      </c>
      <c r="N2285" s="1437">
        <f t="shared" si="325"/>
        <v>8.4673999999999996E-5</v>
      </c>
    </row>
    <row r="2286" spans="1:14" ht="29" outlineLevel="1">
      <c r="A2286" s="1499">
        <f t="shared" si="328"/>
        <v>86</v>
      </c>
      <c r="B2286" s="1539" t="str">
        <f t="shared" si="328"/>
        <v>Asset Recived From Project-U#8-BOP-OTHER C&amp; i INSTRUMENTS-10509</v>
      </c>
      <c r="C2286" s="1491" t="str">
        <f t="shared" si="328"/>
        <v>N.A.</v>
      </c>
      <c r="D2286" s="1531" t="str">
        <f t="shared" si="328"/>
        <v>-</v>
      </c>
      <c r="E2286" s="1318">
        <f t="shared" si="328"/>
        <v>0</v>
      </c>
      <c r="F2286" s="1437">
        <f t="shared" si="322"/>
        <v>1.3440609999999999E-3</v>
      </c>
      <c r="G2286" s="1437">
        <f t="shared" si="323"/>
        <v>0</v>
      </c>
      <c r="H2286" s="1437">
        <f t="shared" si="324"/>
        <v>1.3440609999999999E-3</v>
      </c>
      <c r="I2286" s="1437">
        <v>0</v>
      </c>
      <c r="J2286" s="1437">
        <v>0</v>
      </c>
      <c r="K2286" s="1438"/>
      <c r="L2286" s="1438"/>
      <c r="M2286" s="1437">
        <f t="shared" si="321"/>
        <v>0</v>
      </c>
      <c r="N2286" s="1437">
        <f t="shared" si="325"/>
        <v>1.3440609999999999E-3</v>
      </c>
    </row>
    <row r="2287" spans="1:14" outlineLevel="1">
      <c r="A2287" s="1499">
        <f t="shared" si="328"/>
        <v>87</v>
      </c>
      <c r="B2287" s="1539" t="str">
        <f t="shared" si="328"/>
        <v>Asset Recived From Project-U#8-CHP-CONVEYOR SYSTEM-10515</v>
      </c>
      <c r="C2287" s="1491" t="str">
        <f t="shared" si="328"/>
        <v>N.A.</v>
      </c>
      <c r="D2287" s="1531" t="str">
        <f t="shared" si="328"/>
        <v>-</v>
      </c>
      <c r="E2287" s="1318">
        <f t="shared" si="328"/>
        <v>0</v>
      </c>
      <c r="F2287" s="1437">
        <f t="shared" si="322"/>
        <v>1.540935E-2</v>
      </c>
      <c r="G2287" s="1437">
        <f t="shared" si="323"/>
        <v>0</v>
      </c>
      <c r="H2287" s="1437">
        <f t="shared" si="324"/>
        <v>1.540935E-2</v>
      </c>
      <c r="I2287" s="1437">
        <v>0</v>
      </c>
      <c r="J2287" s="1437">
        <v>0</v>
      </c>
      <c r="K2287" s="1438"/>
      <c r="L2287" s="1438"/>
      <c r="M2287" s="1437">
        <f t="shared" si="321"/>
        <v>0</v>
      </c>
      <c r="N2287" s="1437">
        <f t="shared" si="325"/>
        <v>1.540935E-2</v>
      </c>
    </row>
    <row r="2288" spans="1:14" outlineLevel="1">
      <c r="A2288" s="1499">
        <f t="shared" si="328"/>
        <v>88</v>
      </c>
      <c r="B2288" s="1539" t="str">
        <f t="shared" si="328"/>
        <v>Asset Recived From Project-U#8-CHP-WOBLER FEEDER-10515</v>
      </c>
      <c r="C2288" s="1491" t="str">
        <f t="shared" si="328"/>
        <v>N.A.</v>
      </c>
      <c r="D2288" s="1531" t="str">
        <f t="shared" si="328"/>
        <v>-</v>
      </c>
      <c r="E2288" s="1318">
        <f t="shared" si="328"/>
        <v>0</v>
      </c>
      <c r="F2288" s="1437">
        <f t="shared" si="322"/>
        <v>5.4613100000000005E-4</v>
      </c>
      <c r="G2288" s="1437">
        <f t="shared" si="323"/>
        <v>0</v>
      </c>
      <c r="H2288" s="1437">
        <f t="shared" si="324"/>
        <v>5.4613100000000005E-4</v>
      </c>
      <c r="I2288" s="1437">
        <v>0</v>
      </c>
      <c r="J2288" s="1437">
        <v>0</v>
      </c>
      <c r="K2288" s="1438"/>
      <c r="L2288" s="1438"/>
      <c r="M2288" s="1437">
        <f t="shared" si="321"/>
        <v>0</v>
      </c>
      <c r="N2288" s="1437">
        <f t="shared" si="325"/>
        <v>5.4613100000000005E-4</v>
      </c>
    </row>
    <row r="2289" spans="1:14" outlineLevel="1">
      <c r="A2289" s="1499">
        <f t="shared" si="328"/>
        <v>89</v>
      </c>
      <c r="B2289" s="1539" t="str">
        <f t="shared" si="328"/>
        <v>Asset Recived From Project-U#8-CHP-APRON FEEDER-10515</v>
      </c>
      <c r="C2289" s="1491" t="str">
        <f t="shared" si="328"/>
        <v>N.A.</v>
      </c>
      <c r="D2289" s="1531" t="str">
        <f t="shared" si="328"/>
        <v>-</v>
      </c>
      <c r="E2289" s="1318">
        <f t="shared" si="328"/>
        <v>0</v>
      </c>
      <c r="F2289" s="1437">
        <f t="shared" si="322"/>
        <v>2.8149E-3</v>
      </c>
      <c r="G2289" s="1437">
        <f t="shared" si="323"/>
        <v>0</v>
      </c>
      <c r="H2289" s="1437">
        <f t="shared" si="324"/>
        <v>2.8149E-3</v>
      </c>
      <c r="I2289" s="1437">
        <v>0</v>
      </c>
      <c r="J2289" s="1437">
        <v>0</v>
      </c>
      <c r="K2289" s="1438"/>
      <c r="L2289" s="1438"/>
      <c r="M2289" s="1437">
        <f t="shared" si="321"/>
        <v>0</v>
      </c>
      <c r="N2289" s="1437">
        <f t="shared" si="325"/>
        <v>2.8149E-3</v>
      </c>
    </row>
    <row r="2290" spans="1:14" ht="29" outlineLevel="1">
      <c r="A2290" s="1499">
        <f t="shared" si="328"/>
        <v>90</v>
      </c>
      <c r="B2290" s="1539" t="str">
        <f t="shared" si="328"/>
        <v>Asset Recived From Project-U#8-CHP-ILMS,METAL DETECTOR,BELT WEIGHER</v>
      </c>
      <c r="C2290" s="1491" t="str">
        <f t="shared" si="328"/>
        <v>N.A.</v>
      </c>
      <c r="D2290" s="1531" t="str">
        <f t="shared" si="328"/>
        <v>-</v>
      </c>
      <c r="E2290" s="1318">
        <f t="shared" si="328"/>
        <v>0</v>
      </c>
      <c r="F2290" s="1437">
        <f t="shared" si="322"/>
        <v>1.170412E-3</v>
      </c>
      <c r="G2290" s="1437">
        <f t="shared" si="323"/>
        <v>0</v>
      </c>
      <c r="H2290" s="1437">
        <f t="shared" si="324"/>
        <v>1.170412E-3</v>
      </c>
      <c r="I2290" s="1437">
        <v>0</v>
      </c>
      <c r="J2290" s="1437">
        <v>0</v>
      </c>
      <c r="K2290" s="1438"/>
      <c r="L2290" s="1438"/>
      <c r="M2290" s="1437">
        <f t="shared" si="321"/>
        <v>0</v>
      </c>
      <c r="N2290" s="1437">
        <f t="shared" si="325"/>
        <v>1.170412E-3</v>
      </c>
    </row>
    <row r="2291" spans="1:14" outlineLevel="1">
      <c r="A2291" s="1499">
        <f t="shared" si="328"/>
        <v>91</v>
      </c>
      <c r="B2291" s="1539" t="str">
        <f t="shared" si="328"/>
        <v>Asset Recived From Project-U#8-CHP-IMPACT CRUSHER-10515</v>
      </c>
      <c r="C2291" s="1491" t="str">
        <f t="shared" si="328"/>
        <v>N.A.</v>
      </c>
      <c r="D2291" s="1531" t="str">
        <f t="shared" si="328"/>
        <v>-</v>
      </c>
      <c r="E2291" s="1318">
        <f t="shared" si="328"/>
        <v>0</v>
      </c>
      <c r="F2291" s="1437">
        <f t="shared" si="322"/>
        <v>2.0637770000000001E-3</v>
      </c>
      <c r="G2291" s="1437">
        <f t="shared" si="323"/>
        <v>0</v>
      </c>
      <c r="H2291" s="1437">
        <f t="shared" si="324"/>
        <v>2.0637770000000001E-3</v>
      </c>
      <c r="I2291" s="1437">
        <v>0</v>
      </c>
      <c r="J2291" s="1437">
        <v>0</v>
      </c>
      <c r="K2291" s="1438"/>
      <c r="L2291" s="1438"/>
      <c r="M2291" s="1437">
        <f t="shared" si="321"/>
        <v>0</v>
      </c>
      <c r="N2291" s="1437">
        <f t="shared" si="325"/>
        <v>2.0637770000000001E-3</v>
      </c>
    </row>
    <row r="2292" spans="1:14" outlineLevel="1">
      <c r="A2292" s="1499">
        <f t="shared" si="328"/>
        <v>92</v>
      </c>
      <c r="B2292" s="1539" t="str">
        <f t="shared" si="328"/>
        <v>Project-U#8-CHP-STRACKER CUM RECLAIMER-10515</v>
      </c>
      <c r="C2292" s="1491" t="str">
        <f t="shared" si="328"/>
        <v>N.A.</v>
      </c>
      <c r="D2292" s="1531" t="str">
        <f t="shared" si="328"/>
        <v>-</v>
      </c>
      <c r="E2292" s="1318">
        <f t="shared" si="328"/>
        <v>0</v>
      </c>
      <c r="F2292" s="1437">
        <f t="shared" si="322"/>
        <v>8.2014210000000004E-3</v>
      </c>
      <c r="G2292" s="1437">
        <f t="shared" si="323"/>
        <v>0</v>
      </c>
      <c r="H2292" s="1437">
        <f t="shared" si="324"/>
        <v>8.2014210000000004E-3</v>
      </c>
      <c r="I2292" s="1437">
        <v>0</v>
      </c>
      <c r="J2292" s="1437">
        <v>0</v>
      </c>
      <c r="K2292" s="1438"/>
      <c r="L2292" s="1438"/>
      <c r="M2292" s="1437">
        <f t="shared" si="321"/>
        <v>0</v>
      </c>
      <c r="N2292" s="1437">
        <f t="shared" si="325"/>
        <v>8.2014210000000004E-3</v>
      </c>
    </row>
    <row r="2293" spans="1:14" outlineLevel="1">
      <c r="A2293" s="1499">
        <f t="shared" ref="A2293:E2308" si="329">A1900</f>
        <v>93</v>
      </c>
      <c r="B2293" s="1539" t="str">
        <f t="shared" si="329"/>
        <v>Project-U#8-CHP-SIDE DISCHARGE TYPE WAGON TRIPPLER</v>
      </c>
      <c r="C2293" s="1491" t="str">
        <f t="shared" si="329"/>
        <v>N.A.</v>
      </c>
      <c r="D2293" s="1531" t="str">
        <f t="shared" si="329"/>
        <v>-</v>
      </c>
      <c r="E2293" s="1318">
        <f t="shared" si="329"/>
        <v>0</v>
      </c>
      <c r="F2293" s="1437">
        <f t="shared" si="322"/>
        <v>7.783575E-3</v>
      </c>
      <c r="G2293" s="1437">
        <f t="shared" si="323"/>
        <v>0</v>
      </c>
      <c r="H2293" s="1437">
        <f t="shared" si="324"/>
        <v>7.783575E-3</v>
      </c>
      <c r="I2293" s="1437">
        <v>0</v>
      </c>
      <c r="J2293" s="1437">
        <v>0</v>
      </c>
      <c r="K2293" s="1438"/>
      <c r="L2293" s="1438"/>
      <c r="M2293" s="1437">
        <f t="shared" si="321"/>
        <v>0</v>
      </c>
      <c r="N2293" s="1437">
        <f t="shared" si="325"/>
        <v>7.783575E-3</v>
      </c>
    </row>
    <row r="2294" spans="1:14" outlineLevel="1">
      <c r="A2294" s="1499">
        <f t="shared" si="329"/>
        <v>94</v>
      </c>
      <c r="B2294" s="1539" t="str">
        <f t="shared" si="329"/>
        <v>Project-U#8-Coal Handling Plant-M.S.-10515</v>
      </c>
      <c r="C2294" s="1491" t="str">
        <f t="shared" si="329"/>
        <v>N.A.</v>
      </c>
      <c r="D2294" s="1531" t="str">
        <f t="shared" si="329"/>
        <v>-</v>
      </c>
      <c r="E2294" s="1318">
        <f t="shared" si="329"/>
        <v>0</v>
      </c>
      <c r="F2294" s="1437">
        <f t="shared" si="322"/>
        <v>3.4267400000000001E-4</v>
      </c>
      <c r="G2294" s="1437">
        <f t="shared" si="323"/>
        <v>0</v>
      </c>
      <c r="H2294" s="1437">
        <f t="shared" si="324"/>
        <v>3.4267400000000001E-4</v>
      </c>
      <c r="I2294" s="1437">
        <v>0</v>
      </c>
      <c r="J2294" s="1437">
        <v>0</v>
      </c>
      <c r="K2294" s="1438"/>
      <c r="L2294" s="1438"/>
      <c r="M2294" s="1437">
        <f t="shared" si="321"/>
        <v>0</v>
      </c>
      <c r="N2294" s="1437">
        <f t="shared" si="325"/>
        <v>3.4267400000000001E-4</v>
      </c>
    </row>
    <row r="2295" spans="1:14" outlineLevel="1">
      <c r="A2295" s="1499">
        <f t="shared" si="329"/>
        <v>95</v>
      </c>
      <c r="B2295" s="1539" t="str">
        <f t="shared" si="329"/>
        <v>Project-U#8-communication system-10572</v>
      </c>
      <c r="C2295" s="1491" t="str">
        <f t="shared" si="329"/>
        <v>N.A.</v>
      </c>
      <c r="D2295" s="1531" t="str">
        <f t="shared" si="329"/>
        <v>-</v>
      </c>
      <c r="E2295" s="1318">
        <f t="shared" si="329"/>
        <v>0</v>
      </c>
      <c r="F2295" s="1437">
        <f t="shared" si="322"/>
        <v>1.92531E-3</v>
      </c>
      <c r="G2295" s="1437">
        <f t="shared" si="323"/>
        <v>0</v>
      </c>
      <c r="H2295" s="1437">
        <f t="shared" si="324"/>
        <v>1.92531E-3</v>
      </c>
      <c r="I2295" s="1437">
        <v>0</v>
      </c>
      <c r="J2295" s="1437">
        <v>0</v>
      </c>
      <c r="K2295" s="1438"/>
      <c r="L2295" s="1438"/>
      <c r="M2295" s="1437">
        <f t="shared" ref="M2295:M2358" si="330">SUM(J2295:L2295)</f>
        <v>0</v>
      </c>
      <c r="N2295" s="1437">
        <f t="shared" si="325"/>
        <v>1.92531E-3</v>
      </c>
    </row>
    <row r="2296" spans="1:14" outlineLevel="1">
      <c r="A2296" s="1499">
        <f t="shared" si="329"/>
        <v>96</v>
      </c>
      <c r="B2296" s="1539" t="str">
        <f t="shared" si="329"/>
        <v>Project-U#8-UPS INVERTORS-10563</v>
      </c>
      <c r="C2296" s="1491" t="str">
        <f t="shared" si="329"/>
        <v>N.A.</v>
      </c>
      <c r="D2296" s="1531" t="str">
        <f t="shared" si="329"/>
        <v>-</v>
      </c>
      <c r="E2296" s="1318">
        <f t="shared" si="329"/>
        <v>0</v>
      </c>
      <c r="F2296" s="1437">
        <f t="shared" ref="F2296:F2359" si="331">F1903+I1903</f>
        <v>5.1465199999999999E-4</v>
      </c>
      <c r="G2296" s="1437">
        <f t="shared" ref="G2296:G2359" si="332">G1903+M1903</f>
        <v>0</v>
      </c>
      <c r="H2296" s="1437">
        <f t="shared" si="324"/>
        <v>5.1465199999999999E-4</v>
      </c>
      <c r="I2296" s="1437">
        <v>0</v>
      </c>
      <c r="J2296" s="1437">
        <v>0</v>
      </c>
      <c r="K2296" s="1438"/>
      <c r="L2296" s="1438"/>
      <c r="M2296" s="1437">
        <f t="shared" si="330"/>
        <v>0</v>
      </c>
      <c r="N2296" s="1437">
        <f t="shared" si="325"/>
        <v>5.1465199999999999E-4</v>
      </c>
    </row>
    <row r="2297" spans="1:14" outlineLevel="1">
      <c r="A2297" s="1499">
        <f t="shared" si="329"/>
        <v>97</v>
      </c>
      <c r="B2297" s="1539" t="str">
        <f t="shared" si="329"/>
        <v>Project-U#8-UPS ACDS-10563</v>
      </c>
      <c r="C2297" s="1491" t="str">
        <f t="shared" si="329"/>
        <v>N.A.</v>
      </c>
      <c r="D2297" s="1531" t="str">
        <f t="shared" si="329"/>
        <v>-</v>
      </c>
      <c r="E2297" s="1318">
        <f t="shared" si="329"/>
        <v>0</v>
      </c>
      <c r="F2297" s="1437">
        <f t="shared" si="331"/>
        <v>8.9956000000000004E-5</v>
      </c>
      <c r="G2297" s="1437">
        <f t="shared" si="332"/>
        <v>0</v>
      </c>
      <c r="H2297" s="1437">
        <f t="shared" ref="H2297:H2360" si="333">F2297-G2297</f>
        <v>8.9956000000000004E-5</v>
      </c>
      <c r="I2297" s="1437">
        <v>0</v>
      </c>
      <c r="J2297" s="1437">
        <v>0</v>
      </c>
      <c r="K2297" s="1438"/>
      <c r="L2297" s="1438"/>
      <c r="M2297" s="1437">
        <f t="shared" si="330"/>
        <v>0</v>
      </c>
      <c r="N2297" s="1437">
        <f t="shared" ref="N2297:N2360" si="334">H2297+I2297-M2297</f>
        <v>8.9956000000000004E-5</v>
      </c>
    </row>
    <row r="2298" spans="1:14" outlineLevel="1">
      <c r="A2298" s="1499">
        <f t="shared" si="329"/>
        <v>98</v>
      </c>
      <c r="B2298" s="1539" t="str">
        <f t="shared" si="329"/>
        <v>Project-U#8-UPS BATTERIRERS-10563</v>
      </c>
      <c r="C2298" s="1491" t="str">
        <f t="shared" si="329"/>
        <v>N.A.</v>
      </c>
      <c r="D2298" s="1531" t="str">
        <f t="shared" si="329"/>
        <v>-</v>
      </c>
      <c r="E2298" s="1318">
        <f t="shared" si="329"/>
        <v>0</v>
      </c>
      <c r="F2298" s="1437">
        <f t="shared" si="331"/>
        <v>5.1465199999999999E-4</v>
      </c>
      <c r="G2298" s="1437">
        <f t="shared" si="332"/>
        <v>0</v>
      </c>
      <c r="H2298" s="1437">
        <f t="shared" si="333"/>
        <v>5.1465199999999999E-4</v>
      </c>
      <c r="I2298" s="1437">
        <v>0</v>
      </c>
      <c r="J2298" s="1437">
        <v>0</v>
      </c>
      <c r="K2298" s="1438"/>
      <c r="L2298" s="1438"/>
      <c r="M2298" s="1437">
        <f t="shared" si="330"/>
        <v>0</v>
      </c>
      <c r="N2298" s="1437">
        <f t="shared" si="334"/>
        <v>5.1465199999999999E-4</v>
      </c>
    </row>
    <row r="2299" spans="1:14" outlineLevel="1">
      <c r="A2299" s="1499">
        <f t="shared" si="329"/>
        <v>99</v>
      </c>
      <c r="B2299" s="1539" t="str">
        <f t="shared" si="329"/>
        <v>Project-U#8-24V BATTERY CHARGERS (SGTG)-10563</v>
      </c>
      <c r="C2299" s="1491" t="str">
        <f t="shared" si="329"/>
        <v>N.A.</v>
      </c>
      <c r="D2299" s="1531" t="str">
        <f t="shared" si="329"/>
        <v>-</v>
      </c>
      <c r="E2299" s="1318">
        <f t="shared" si="329"/>
        <v>0</v>
      </c>
      <c r="F2299" s="1437">
        <f t="shared" si="331"/>
        <v>2.28734E-4</v>
      </c>
      <c r="G2299" s="1437">
        <f t="shared" si="332"/>
        <v>0</v>
      </c>
      <c r="H2299" s="1437">
        <f t="shared" si="333"/>
        <v>2.28734E-4</v>
      </c>
      <c r="I2299" s="1437">
        <v>0</v>
      </c>
      <c r="J2299" s="1437">
        <v>0</v>
      </c>
      <c r="K2299" s="1438"/>
      <c r="L2299" s="1438"/>
      <c r="M2299" s="1437">
        <f t="shared" si="330"/>
        <v>0</v>
      </c>
      <c r="N2299" s="1437">
        <f t="shared" si="334"/>
        <v>2.28734E-4</v>
      </c>
    </row>
    <row r="2300" spans="1:14" outlineLevel="1">
      <c r="A2300" s="1499">
        <f t="shared" si="329"/>
        <v>100</v>
      </c>
      <c r="B2300" s="1539" t="str">
        <f t="shared" si="329"/>
        <v>Project-U#8-24V BATTERY CHARGERS (BOP)-10563</v>
      </c>
      <c r="C2300" s="1491" t="str">
        <f t="shared" si="329"/>
        <v>N.A.</v>
      </c>
      <c r="D2300" s="1531" t="str">
        <f t="shared" si="329"/>
        <v>-</v>
      </c>
      <c r="E2300" s="1318">
        <f t="shared" si="329"/>
        <v>0</v>
      </c>
      <c r="F2300" s="1437">
        <f t="shared" si="331"/>
        <v>2.28734E-4</v>
      </c>
      <c r="G2300" s="1437">
        <f t="shared" si="332"/>
        <v>0</v>
      </c>
      <c r="H2300" s="1437">
        <f t="shared" si="333"/>
        <v>2.28734E-4</v>
      </c>
      <c r="I2300" s="1437">
        <v>0</v>
      </c>
      <c r="J2300" s="1437">
        <v>0</v>
      </c>
      <c r="K2300" s="1438"/>
      <c r="L2300" s="1438"/>
      <c r="M2300" s="1437">
        <f t="shared" si="330"/>
        <v>0</v>
      </c>
      <c r="N2300" s="1437">
        <f t="shared" si="334"/>
        <v>2.28734E-4</v>
      </c>
    </row>
    <row r="2301" spans="1:14" outlineLevel="1">
      <c r="A2301" s="1499">
        <f t="shared" si="329"/>
        <v>101</v>
      </c>
      <c r="B2301" s="1539" t="str">
        <f t="shared" si="329"/>
        <v>Project-U#8-BATTERIS FOR (SGTG)-10563</v>
      </c>
      <c r="C2301" s="1491" t="str">
        <f t="shared" si="329"/>
        <v>N.A.</v>
      </c>
      <c r="D2301" s="1531" t="str">
        <f t="shared" si="329"/>
        <v>-</v>
      </c>
      <c r="E2301" s="1318">
        <f t="shared" si="329"/>
        <v>0</v>
      </c>
      <c r="F2301" s="1437">
        <f t="shared" si="331"/>
        <v>2.28734E-4</v>
      </c>
      <c r="G2301" s="1437">
        <f t="shared" si="332"/>
        <v>0</v>
      </c>
      <c r="H2301" s="1437">
        <f t="shared" si="333"/>
        <v>2.28734E-4</v>
      </c>
      <c r="I2301" s="1437">
        <v>0</v>
      </c>
      <c r="J2301" s="1437">
        <v>0</v>
      </c>
      <c r="K2301" s="1438"/>
      <c r="L2301" s="1438"/>
      <c r="M2301" s="1437">
        <f t="shared" si="330"/>
        <v>0</v>
      </c>
      <c r="N2301" s="1437">
        <f t="shared" si="334"/>
        <v>2.28734E-4</v>
      </c>
    </row>
    <row r="2302" spans="1:14" outlineLevel="1">
      <c r="A2302" s="1499">
        <f t="shared" si="329"/>
        <v>102</v>
      </c>
      <c r="B2302" s="1539" t="str">
        <f t="shared" si="329"/>
        <v>Project-U#8-BATTERIS FOR (BOP)-10563</v>
      </c>
      <c r="C2302" s="1491" t="str">
        <f t="shared" si="329"/>
        <v>N.A.</v>
      </c>
      <c r="D2302" s="1531" t="str">
        <f t="shared" si="329"/>
        <v>-</v>
      </c>
      <c r="E2302" s="1318">
        <f t="shared" si="329"/>
        <v>0</v>
      </c>
      <c r="F2302" s="1437">
        <f t="shared" si="331"/>
        <v>2.28734E-4</v>
      </c>
      <c r="G2302" s="1437">
        <f t="shared" si="332"/>
        <v>0</v>
      </c>
      <c r="H2302" s="1437">
        <f t="shared" si="333"/>
        <v>2.28734E-4</v>
      </c>
      <c r="I2302" s="1437">
        <v>0</v>
      </c>
      <c r="J2302" s="1437">
        <v>0</v>
      </c>
      <c r="K2302" s="1438"/>
      <c r="L2302" s="1438"/>
      <c r="M2302" s="1437">
        <f t="shared" si="330"/>
        <v>0</v>
      </c>
      <c r="N2302" s="1437">
        <f t="shared" si="334"/>
        <v>2.28734E-4</v>
      </c>
    </row>
    <row r="2303" spans="1:14" outlineLevel="1">
      <c r="A2303" s="1499">
        <f t="shared" si="329"/>
        <v>103</v>
      </c>
      <c r="B2303" s="1539" t="str">
        <f t="shared" si="329"/>
        <v>Project-U#8-DCDB(SGTG)-10563</v>
      </c>
      <c r="C2303" s="1491" t="str">
        <f t="shared" si="329"/>
        <v>N.A.</v>
      </c>
      <c r="D2303" s="1531" t="str">
        <f t="shared" si="329"/>
        <v>-</v>
      </c>
      <c r="E2303" s="1318">
        <f t="shared" si="329"/>
        <v>0</v>
      </c>
      <c r="F2303" s="1437">
        <f t="shared" si="331"/>
        <v>5.7182999999999998E-5</v>
      </c>
      <c r="G2303" s="1437">
        <f t="shared" si="332"/>
        <v>0</v>
      </c>
      <c r="H2303" s="1437">
        <f t="shared" si="333"/>
        <v>5.7182999999999998E-5</v>
      </c>
      <c r="I2303" s="1437">
        <v>0</v>
      </c>
      <c r="J2303" s="1437">
        <v>0</v>
      </c>
      <c r="K2303" s="1438"/>
      <c r="L2303" s="1438"/>
      <c r="M2303" s="1437">
        <f t="shared" si="330"/>
        <v>0</v>
      </c>
      <c r="N2303" s="1437">
        <f t="shared" si="334"/>
        <v>5.7182999999999998E-5</v>
      </c>
    </row>
    <row r="2304" spans="1:14" outlineLevel="1">
      <c r="A2304" s="1499">
        <f t="shared" si="329"/>
        <v>104</v>
      </c>
      <c r="B2304" s="1539" t="str">
        <f t="shared" si="329"/>
        <v>Project-U#8-DCDB(BOP)-10563</v>
      </c>
      <c r="C2304" s="1491" t="str">
        <f t="shared" si="329"/>
        <v>N.A.</v>
      </c>
      <c r="D2304" s="1531" t="str">
        <f t="shared" si="329"/>
        <v>-</v>
      </c>
      <c r="E2304" s="1318">
        <f t="shared" si="329"/>
        <v>0</v>
      </c>
      <c r="F2304" s="1437">
        <f t="shared" si="331"/>
        <v>5.7182999999999998E-5</v>
      </c>
      <c r="G2304" s="1437">
        <f t="shared" si="332"/>
        <v>0</v>
      </c>
      <c r="H2304" s="1437">
        <f t="shared" si="333"/>
        <v>5.7182999999999998E-5</v>
      </c>
      <c r="I2304" s="1437">
        <v>0</v>
      </c>
      <c r="J2304" s="1437">
        <v>0</v>
      </c>
      <c r="K2304" s="1438"/>
      <c r="L2304" s="1438"/>
      <c r="M2304" s="1437">
        <f t="shared" si="330"/>
        <v>0</v>
      </c>
      <c r="N2304" s="1437">
        <f t="shared" si="334"/>
        <v>5.7182999999999998E-5</v>
      </c>
    </row>
    <row r="2305" spans="1:14" outlineLevel="1">
      <c r="A2305" s="1499">
        <f t="shared" si="329"/>
        <v>105</v>
      </c>
      <c r="B2305" s="1539" t="str">
        <f t="shared" si="329"/>
        <v>Project-U#8-Controls &amp; Instru. for Main Plant(BTG)</v>
      </c>
      <c r="C2305" s="1491" t="str">
        <f t="shared" si="329"/>
        <v>N.A.</v>
      </c>
      <c r="D2305" s="1531" t="str">
        <f t="shared" si="329"/>
        <v>-</v>
      </c>
      <c r="E2305" s="1318">
        <f t="shared" si="329"/>
        <v>0</v>
      </c>
      <c r="F2305" s="1437">
        <f t="shared" si="331"/>
        <v>4.4292073000000001E-2</v>
      </c>
      <c r="G2305" s="1437">
        <f t="shared" si="332"/>
        <v>0</v>
      </c>
      <c r="H2305" s="1437">
        <f t="shared" si="333"/>
        <v>4.4292073000000001E-2</v>
      </c>
      <c r="I2305" s="1437">
        <v>0</v>
      </c>
      <c r="J2305" s="1437">
        <v>0</v>
      </c>
      <c r="K2305" s="1438"/>
      <c r="L2305" s="1438"/>
      <c r="M2305" s="1437">
        <f t="shared" si="330"/>
        <v>0</v>
      </c>
      <c r="N2305" s="1437">
        <f t="shared" si="334"/>
        <v>4.4292073000000001E-2</v>
      </c>
    </row>
    <row r="2306" spans="1:14" outlineLevel="1">
      <c r="A2306" s="1499">
        <f t="shared" si="329"/>
        <v>106</v>
      </c>
      <c r="B2306" s="1539" t="str">
        <f t="shared" si="329"/>
        <v>Project-U#8-CW Chlorination system-10509</v>
      </c>
      <c r="C2306" s="1491" t="str">
        <f t="shared" si="329"/>
        <v>N.A.</v>
      </c>
      <c r="D2306" s="1531" t="str">
        <f t="shared" si="329"/>
        <v>-</v>
      </c>
      <c r="E2306" s="1318">
        <f t="shared" si="329"/>
        <v>0</v>
      </c>
      <c r="F2306" s="1437">
        <f t="shared" si="331"/>
        <v>1.1973800000000001E-3</v>
      </c>
      <c r="G2306" s="1437">
        <f t="shared" si="332"/>
        <v>0</v>
      </c>
      <c r="H2306" s="1437">
        <f t="shared" si="333"/>
        <v>1.1973800000000001E-3</v>
      </c>
      <c r="I2306" s="1437">
        <v>0</v>
      </c>
      <c r="J2306" s="1437">
        <v>0</v>
      </c>
      <c r="K2306" s="1438"/>
      <c r="L2306" s="1438"/>
      <c r="M2306" s="1437">
        <f t="shared" si="330"/>
        <v>0</v>
      </c>
      <c r="N2306" s="1437">
        <f t="shared" si="334"/>
        <v>1.1973800000000001E-3</v>
      </c>
    </row>
    <row r="2307" spans="1:14" outlineLevel="1">
      <c r="A2307" s="1499">
        <f t="shared" si="329"/>
        <v>107</v>
      </c>
      <c r="B2307" s="1539" t="str">
        <f t="shared" si="329"/>
        <v>Project-U#8-D.G.SET-10509</v>
      </c>
      <c r="C2307" s="1491" t="str">
        <f t="shared" si="329"/>
        <v>N.A.</v>
      </c>
      <c r="D2307" s="1531" t="str">
        <f t="shared" si="329"/>
        <v>-</v>
      </c>
      <c r="E2307" s="1318">
        <f t="shared" si="329"/>
        <v>0</v>
      </c>
      <c r="F2307" s="1437">
        <f t="shared" si="331"/>
        <v>3.7894E-5</v>
      </c>
      <c r="G2307" s="1437">
        <f t="shared" si="332"/>
        <v>0</v>
      </c>
      <c r="H2307" s="1437">
        <f t="shared" si="333"/>
        <v>3.7894E-5</v>
      </c>
      <c r="I2307" s="1437">
        <v>0</v>
      </c>
      <c r="J2307" s="1437">
        <v>0</v>
      </c>
      <c r="K2307" s="1438"/>
      <c r="L2307" s="1438"/>
      <c r="M2307" s="1437">
        <f t="shared" si="330"/>
        <v>0</v>
      </c>
      <c r="N2307" s="1437">
        <f t="shared" si="334"/>
        <v>3.7894E-5</v>
      </c>
    </row>
    <row r="2308" spans="1:14" outlineLevel="1">
      <c r="A2308" s="1499">
        <f t="shared" si="329"/>
        <v>108</v>
      </c>
      <c r="B2308" s="1539" t="str">
        <f t="shared" si="329"/>
        <v>Project-U#8-D.M.Water System-10509</v>
      </c>
      <c r="C2308" s="1491" t="str">
        <f t="shared" si="329"/>
        <v>N.A.</v>
      </c>
      <c r="D2308" s="1531" t="str">
        <f t="shared" si="329"/>
        <v>-</v>
      </c>
      <c r="E2308" s="1318">
        <f t="shared" si="329"/>
        <v>0</v>
      </c>
      <c r="F2308" s="1437">
        <f t="shared" si="331"/>
        <v>5.7850250000000001E-3</v>
      </c>
      <c r="G2308" s="1437">
        <f t="shared" si="332"/>
        <v>0</v>
      </c>
      <c r="H2308" s="1437">
        <f t="shared" si="333"/>
        <v>5.7850250000000001E-3</v>
      </c>
      <c r="I2308" s="1437">
        <v>0</v>
      </c>
      <c r="J2308" s="1437">
        <v>0</v>
      </c>
      <c r="K2308" s="1438"/>
      <c r="L2308" s="1438"/>
      <c r="M2308" s="1437">
        <f t="shared" si="330"/>
        <v>0</v>
      </c>
      <c r="N2308" s="1437">
        <f t="shared" si="334"/>
        <v>5.7850250000000001E-3</v>
      </c>
    </row>
    <row r="2309" spans="1:14" outlineLevel="1">
      <c r="A2309" s="1499">
        <f t="shared" ref="A2309:E2324" si="335">A1916</f>
        <v>109</v>
      </c>
      <c r="B2309" s="1539" t="str">
        <f t="shared" si="335"/>
        <v>Project-U#8-DG set- Manadatory Spares-10509</v>
      </c>
      <c r="C2309" s="1491" t="str">
        <f t="shared" si="335"/>
        <v>N.A.</v>
      </c>
      <c r="D2309" s="1531" t="str">
        <f t="shared" si="335"/>
        <v>-</v>
      </c>
      <c r="E2309" s="1318">
        <f t="shared" si="335"/>
        <v>0</v>
      </c>
      <c r="F2309" s="1437">
        <f t="shared" si="331"/>
        <v>2.5003999999999998E-4</v>
      </c>
      <c r="G2309" s="1437">
        <f t="shared" si="332"/>
        <v>0</v>
      </c>
      <c r="H2309" s="1437">
        <f t="shared" si="333"/>
        <v>2.5003999999999998E-4</v>
      </c>
      <c r="I2309" s="1437">
        <v>0</v>
      </c>
      <c r="J2309" s="1437">
        <v>0</v>
      </c>
      <c r="K2309" s="1438"/>
      <c r="L2309" s="1438"/>
      <c r="M2309" s="1437">
        <f t="shared" si="330"/>
        <v>0</v>
      </c>
      <c r="N2309" s="1437">
        <f t="shared" si="334"/>
        <v>2.5003999999999998E-4</v>
      </c>
    </row>
    <row r="2310" spans="1:14" outlineLevel="1">
      <c r="A2310" s="1499">
        <f t="shared" si="335"/>
        <v>110</v>
      </c>
      <c r="B2310" s="1539" t="str">
        <f t="shared" si="335"/>
        <v>Project-U#8-DG Set Room cum Air Compressor House</v>
      </c>
      <c r="C2310" s="1491" t="str">
        <f t="shared" si="335"/>
        <v>N.A.</v>
      </c>
      <c r="D2310" s="1531" t="str">
        <f t="shared" si="335"/>
        <v>-</v>
      </c>
      <c r="E2310" s="1318">
        <f t="shared" si="335"/>
        <v>0</v>
      </c>
      <c r="F2310" s="1437">
        <f t="shared" si="331"/>
        <v>5.5794089999999996E-3</v>
      </c>
      <c r="G2310" s="1437">
        <f t="shared" si="332"/>
        <v>0</v>
      </c>
      <c r="H2310" s="1437">
        <f t="shared" si="333"/>
        <v>5.5794089999999996E-3</v>
      </c>
      <c r="I2310" s="1437">
        <v>0</v>
      </c>
      <c r="J2310" s="1437">
        <v>0</v>
      </c>
      <c r="K2310" s="1438"/>
      <c r="L2310" s="1438"/>
      <c r="M2310" s="1437">
        <f t="shared" si="330"/>
        <v>0</v>
      </c>
      <c r="N2310" s="1437">
        <f t="shared" si="334"/>
        <v>5.5794089999999996E-3</v>
      </c>
    </row>
    <row r="2311" spans="1:14" outlineLevel="1">
      <c r="A2311" s="1499">
        <f t="shared" si="335"/>
        <v>111</v>
      </c>
      <c r="B2311" s="1539" t="str">
        <f t="shared" si="335"/>
        <v>Project-U#8-Steel for TechnologicalStructure-10501</v>
      </c>
      <c r="C2311" s="1491" t="str">
        <f t="shared" si="335"/>
        <v>N.A.</v>
      </c>
      <c r="D2311" s="1531" t="str">
        <f t="shared" si="335"/>
        <v>-</v>
      </c>
      <c r="E2311" s="1318">
        <f t="shared" si="335"/>
        <v>0</v>
      </c>
      <c r="F2311" s="1437">
        <f t="shared" si="331"/>
        <v>0.14835727600000001</v>
      </c>
      <c r="G2311" s="1437">
        <f t="shared" si="332"/>
        <v>0</v>
      </c>
      <c r="H2311" s="1437">
        <f t="shared" si="333"/>
        <v>0.14835727600000001</v>
      </c>
      <c r="I2311" s="1437">
        <v>0</v>
      </c>
      <c r="J2311" s="1437">
        <v>0</v>
      </c>
      <c r="K2311" s="1438"/>
      <c r="L2311" s="1438"/>
      <c r="M2311" s="1437">
        <f t="shared" si="330"/>
        <v>0</v>
      </c>
      <c r="N2311" s="1437">
        <f t="shared" si="334"/>
        <v>0.14835727600000001</v>
      </c>
    </row>
    <row r="2312" spans="1:14" outlineLevel="1">
      <c r="A2312" s="1499">
        <f t="shared" si="335"/>
        <v>112</v>
      </c>
      <c r="B2312" s="1539" t="str">
        <f t="shared" si="335"/>
        <v>Project-U#8-Electrical Package for BOP-10509</v>
      </c>
      <c r="C2312" s="1491" t="str">
        <f t="shared" si="335"/>
        <v>N.A.</v>
      </c>
      <c r="D2312" s="1531" t="str">
        <f t="shared" si="335"/>
        <v>-</v>
      </c>
      <c r="E2312" s="1318">
        <f t="shared" si="335"/>
        <v>0</v>
      </c>
      <c r="F2312" s="1437">
        <f t="shared" si="331"/>
        <v>2.4904469999999998E-3</v>
      </c>
      <c r="G2312" s="1437">
        <f t="shared" si="332"/>
        <v>0</v>
      </c>
      <c r="H2312" s="1437">
        <f t="shared" si="333"/>
        <v>2.4904469999999998E-3</v>
      </c>
      <c r="I2312" s="1437">
        <v>0</v>
      </c>
      <c r="J2312" s="1437">
        <v>0</v>
      </c>
      <c r="K2312" s="1438"/>
      <c r="L2312" s="1438"/>
      <c r="M2312" s="1437">
        <f t="shared" si="330"/>
        <v>0</v>
      </c>
      <c r="N2312" s="1437">
        <f t="shared" si="334"/>
        <v>2.4904469999999998E-3</v>
      </c>
    </row>
    <row r="2313" spans="1:14" outlineLevel="1">
      <c r="A2313" s="1499">
        <f t="shared" si="335"/>
        <v>113</v>
      </c>
      <c r="B2313" s="1539" t="str">
        <f t="shared" si="335"/>
        <v>Project-U#8-Electrical CHARGES-10509</v>
      </c>
      <c r="C2313" s="1491" t="str">
        <f t="shared" si="335"/>
        <v>N.A.</v>
      </c>
      <c r="D2313" s="1531" t="str">
        <f t="shared" si="335"/>
        <v>-</v>
      </c>
      <c r="E2313" s="1318">
        <f t="shared" si="335"/>
        <v>0</v>
      </c>
      <c r="F2313" s="1437">
        <f t="shared" si="331"/>
        <v>4.1155000000000002E-5</v>
      </c>
      <c r="G2313" s="1437">
        <f t="shared" si="332"/>
        <v>0</v>
      </c>
      <c r="H2313" s="1437">
        <f t="shared" si="333"/>
        <v>4.1155000000000002E-5</v>
      </c>
      <c r="I2313" s="1437">
        <v>0</v>
      </c>
      <c r="J2313" s="1437">
        <v>0</v>
      </c>
      <c r="K2313" s="1438"/>
      <c r="L2313" s="1438"/>
      <c r="M2313" s="1437">
        <f t="shared" si="330"/>
        <v>0</v>
      </c>
      <c r="N2313" s="1437">
        <f t="shared" si="334"/>
        <v>4.1155000000000002E-5</v>
      </c>
    </row>
    <row r="2314" spans="1:14" outlineLevel="1">
      <c r="A2314" s="1499">
        <f t="shared" si="335"/>
        <v>114</v>
      </c>
      <c r="B2314" s="1539" t="str">
        <f t="shared" si="335"/>
        <v>Project-U#8-Electrical Package for BOP-Mandatory</v>
      </c>
      <c r="C2314" s="1491" t="str">
        <f t="shared" si="335"/>
        <v>N.A.</v>
      </c>
      <c r="D2314" s="1531" t="str">
        <f t="shared" si="335"/>
        <v>-</v>
      </c>
      <c r="E2314" s="1318">
        <f t="shared" si="335"/>
        <v>0</v>
      </c>
      <c r="F2314" s="1437">
        <f t="shared" si="331"/>
        <v>2.7569600000000002E-4</v>
      </c>
      <c r="G2314" s="1437">
        <f t="shared" si="332"/>
        <v>0</v>
      </c>
      <c r="H2314" s="1437">
        <f t="shared" si="333"/>
        <v>2.7569600000000002E-4</v>
      </c>
      <c r="I2314" s="1437">
        <v>0</v>
      </c>
      <c r="J2314" s="1437">
        <v>0</v>
      </c>
      <c r="K2314" s="1438"/>
      <c r="L2314" s="1438"/>
      <c r="M2314" s="1437">
        <f t="shared" si="330"/>
        <v>0</v>
      </c>
      <c r="N2314" s="1437">
        <f t="shared" si="334"/>
        <v>2.7569600000000002E-4</v>
      </c>
    </row>
    <row r="2315" spans="1:14" outlineLevel="1">
      <c r="A2315" s="1499">
        <f t="shared" si="335"/>
        <v>115</v>
      </c>
      <c r="B2315" s="1539" t="str">
        <f t="shared" si="335"/>
        <v>Project-U#8-Fire Protection, Alarm &amp; Detection</v>
      </c>
      <c r="C2315" s="1491" t="str">
        <f t="shared" si="335"/>
        <v>N.A.</v>
      </c>
      <c r="D2315" s="1531" t="str">
        <f t="shared" si="335"/>
        <v>-</v>
      </c>
      <c r="E2315" s="1318">
        <f t="shared" si="335"/>
        <v>0</v>
      </c>
      <c r="F2315" s="1437">
        <f t="shared" si="331"/>
        <v>7.1787910000000003E-3</v>
      </c>
      <c r="G2315" s="1437">
        <f t="shared" si="332"/>
        <v>0</v>
      </c>
      <c r="H2315" s="1437">
        <f t="shared" si="333"/>
        <v>7.1787910000000003E-3</v>
      </c>
      <c r="I2315" s="1437">
        <v>0</v>
      </c>
      <c r="J2315" s="1437">
        <v>0</v>
      </c>
      <c r="K2315" s="1438"/>
      <c r="L2315" s="1438"/>
      <c r="M2315" s="1437">
        <f t="shared" si="330"/>
        <v>0</v>
      </c>
      <c r="N2315" s="1437">
        <f t="shared" si="334"/>
        <v>7.1787910000000003E-3</v>
      </c>
    </row>
    <row r="2316" spans="1:14" outlineLevel="1">
      <c r="A2316" s="1499">
        <f t="shared" si="335"/>
        <v>116</v>
      </c>
      <c r="B2316" s="1539" t="str">
        <f t="shared" si="335"/>
        <v>Project-U#8-Fuel Oil Pump House-10516</v>
      </c>
      <c r="C2316" s="1491" t="str">
        <f t="shared" si="335"/>
        <v>N.A.</v>
      </c>
      <c r="D2316" s="1531" t="str">
        <f t="shared" si="335"/>
        <v>-</v>
      </c>
      <c r="E2316" s="1318">
        <f t="shared" si="335"/>
        <v>0</v>
      </c>
      <c r="F2316" s="1437">
        <f t="shared" si="331"/>
        <v>4.0925400000000004E-3</v>
      </c>
      <c r="G2316" s="1437">
        <f t="shared" si="332"/>
        <v>0</v>
      </c>
      <c r="H2316" s="1437">
        <f t="shared" si="333"/>
        <v>4.0925400000000004E-3</v>
      </c>
      <c r="I2316" s="1437">
        <v>0</v>
      </c>
      <c r="J2316" s="1437">
        <v>0</v>
      </c>
      <c r="K2316" s="1438"/>
      <c r="L2316" s="1438"/>
      <c r="M2316" s="1437">
        <f t="shared" si="330"/>
        <v>0</v>
      </c>
      <c r="N2316" s="1437">
        <f t="shared" si="334"/>
        <v>4.0925400000000004E-3</v>
      </c>
    </row>
    <row r="2317" spans="1:14" outlineLevel="1">
      <c r="A2317" s="1499">
        <f t="shared" si="335"/>
        <v>117</v>
      </c>
      <c r="B2317" s="1539" t="str">
        <f t="shared" si="335"/>
        <v>Project-U#8-Generator Transformer-10541</v>
      </c>
      <c r="C2317" s="1491" t="str">
        <f t="shared" si="335"/>
        <v>N.A.</v>
      </c>
      <c r="D2317" s="1531" t="str">
        <f t="shared" si="335"/>
        <v>-</v>
      </c>
      <c r="E2317" s="1318">
        <f t="shared" si="335"/>
        <v>0</v>
      </c>
      <c r="F2317" s="1437">
        <f t="shared" si="331"/>
        <v>1.2655415999999999E-2</v>
      </c>
      <c r="G2317" s="1437">
        <f t="shared" si="332"/>
        <v>0</v>
      </c>
      <c r="H2317" s="1437">
        <f t="shared" si="333"/>
        <v>1.2655415999999999E-2</v>
      </c>
      <c r="I2317" s="1437">
        <v>0</v>
      </c>
      <c r="J2317" s="1437">
        <v>0</v>
      </c>
      <c r="K2317" s="1438"/>
      <c r="L2317" s="1438"/>
      <c r="M2317" s="1437">
        <f t="shared" si="330"/>
        <v>0</v>
      </c>
      <c r="N2317" s="1437">
        <f t="shared" si="334"/>
        <v>1.2655415999999999E-2</v>
      </c>
    </row>
    <row r="2318" spans="1:14" outlineLevel="1">
      <c r="A2318" s="1499">
        <f t="shared" si="335"/>
        <v>118</v>
      </c>
      <c r="B2318" s="1539" t="str">
        <f t="shared" si="335"/>
        <v>Project-U#8-Generator/Transformer protection</v>
      </c>
      <c r="C2318" s="1491" t="str">
        <f t="shared" si="335"/>
        <v>N.A.</v>
      </c>
      <c r="D2318" s="1531" t="str">
        <f t="shared" si="335"/>
        <v>-</v>
      </c>
      <c r="E2318" s="1318">
        <f t="shared" si="335"/>
        <v>0</v>
      </c>
      <c r="F2318" s="1437">
        <f t="shared" si="331"/>
        <v>2.45393E-4</v>
      </c>
      <c r="G2318" s="1437">
        <f t="shared" si="332"/>
        <v>0</v>
      </c>
      <c r="H2318" s="1437">
        <f t="shared" si="333"/>
        <v>2.45393E-4</v>
      </c>
      <c r="I2318" s="1437">
        <v>0</v>
      </c>
      <c r="J2318" s="1437">
        <v>0</v>
      </c>
      <c r="K2318" s="1438"/>
      <c r="L2318" s="1438"/>
      <c r="M2318" s="1437">
        <f t="shared" si="330"/>
        <v>0</v>
      </c>
      <c r="N2318" s="1437">
        <f t="shared" si="334"/>
        <v>2.45393E-4</v>
      </c>
    </row>
    <row r="2319" spans="1:14" outlineLevel="1">
      <c r="A2319" s="1499">
        <f t="shared" si="335"/>
        <v>119</v>
      </c>
      <c r="B2319" s="1539" t="str">
        <f t="shared" si="335"/>
        <v>Project-U#8-H.T.Switchgear for main plant-10561</v>
      </c>
      <c r="C2319" s="1491" t="str">
        <f t="shared" si="335"/>
        <v>N.A.</v>
      </c>
      <c r="D2319" s="1531" t="str">
        <f t="shared" si="335"/>
        <v>-</v>
      </c>
      <c r="E2319" s="1318">
        <f t="shared" si="335"/>
        <v>0</v>
      </c>
      <c r="F2319" s="1437">
        <f t="shared" si="331"/>
        <v>2.5188164999999998E-2</v>
      </c>
      <c r="G2319" s="1437">
        <f t="shared" si="332"/>
        <v>0</v>
      </c>
      <c r="H2319" s="1437">
        <f t="shared" si="333"/>
        <v>2.5188164999999998E-2</v>
      </c>
      <c r="I2319" s="1437">
        <v>0</v>
      </c>
      <c r="J2319" s="1437">
        <v>0</v>
      </c>
      <c r="K2319" s="1438"/>
      <c r="L2319" s="1438"/>
      <c r="M2319" s="1437">
        <f t="shared" si="330"/>
        <v>0</v>
      </c>
      <c r="N2319" s="1437">
        <f t="shared" si="334"/>
        <v>2.5188164999999998E-2</v>
      </c>
    </row>
    <row r="2320" spans="1:14" outlineLevel="1">
      <c r="A2320" s="1499">
        <f t="shared" si="335"/>
        <v>120</v>
      </c>
      <c r="B2320" s="1539" t="str">
        <f t="shared" si="335"/>
        <v>Project-U#8-Indoor &amp; Outdoor plant lighting-10599</v>
      </c>
      <c r="C2320" s="1491" t="str">
        <f t="shared" si="335"/>
        <v>N.A.</v>
      </c>
      <c r="D2320" s="1531" t="str">
        <f t="shared" si="335"/>
        <v>-</v>
      </c>
      <c r="E2320" s="1318">
        <f t="shared" si="335"/>
        <v>0</v>
      </c>
      <c r="F2320" s="1437">
        <f t="shared" si="331"/>
        <v>4.0770299999999998E-4</v>
      </c>
      <c r="G2320" s="1437">
        <f t="shared" si="332"/>
        <v>0</v>
      </c>
      <c r="H2320" s="1437">
        <f t="shared" si="333"/>
        <v>4.0770299999999998E-4</v>
      </c>
      <c r="I2320" s="1437">
        <v>0</v>
      </c>
      <c r="J2320" s="1437">
        <v>0</v>
      </c>
      <c r="K2320" s="1438"/>
      <c r="L2320" s="1438"/>
      <c r="M2320" s="1437">
        <f t="shared" si="330"/>
        <v>0</v>
      </c>
      <c r="N2320" s="1437">
        <f t="shared" si="334"/>
        <v>4.0770299999999998E-4</v>
      </c>
    </row>
    <row r="2321" spans="1:14" outlineLevel="1">
      <c r="A2321" s="1499">
        <f t="shared" si="335"/>
        <v>121</v>
      </c>
      <c r="B2321" s="1539" t="str">
        <f t="shared" si="335"/>
        <v>Project-U#8-L.P.Piping including valves-10509</v>
      </c>
      <c r="C2321" s="1491" t="str">
        <f t="shared" si="335"/>
        <v>N.A.</v>
      </c>
      <c r="D2321" s="1531" t="str">
        <f t="shared" si="335"/>
        <v>-</v>
      </c>
      <c r="E2321" s="1318">
        <f t="shared" si="335"/>
        <v>0</v>
      </c>
      <c r="F2321" s="1437">
        <f t="shared" si="331"/>
        <v>3.8246069999999998E-3</v>
      </c>
      <c r="G2321" s="1437">
        <f t="shared" si="332"/>
        <v>0</v>
      </c>
      <c r="H2321" s="1437">
        <f t="shared" si="333"/>
        <v>3.8246069999999998E-3</v>
      </c>
      <c r="I2321" s="1437">
        <v>0</v>
      </c>
      <c r="J2321" s="1437">
        <v>0</v>
      </c>
      <c r="K2321" s="1438"/>
      <c r="L2321" s="1438"/>
      <c r="M2321" s="1437">
        <f t="shared" si="330"/>
        <v>0</v>
      </c>
      <c r="N2321" s="1437">
        <f t="shared" si="334"/>
        <v>3.8246069999999998E-3</v>
      </c>
    </row>
    <row r="2322" spans="1:14" outlineLevel="1">
      <c r="A2322" s="1499">
        <f t="shared" si="335"/>
        <v>122</v>
      </c>
      <c r="B2322" s="1539" t="str">
        <f t="shared" si="335"/>
        <v>Project-U#8-L.T. Electrical for main plant.-10561</v>
      </c>
      <c r="C2322" s="1491" t="str">
        <f t="shared" si="335"/>
        <v>N.A.</v>
      </c>
      <c r="D2322" s="1531" t="str">
        <f t="shared" si="335"/>
        <v>-</v>
      </c>
      <c r="E2322" s="1318">
        <f t="shared" si="335"/>
        <v>0</v>
      </c>
      <c r="F2322" s="1437">
        <f t="shared" si="331"/>
        <v>8.7066999999999998E-5</v>
      </c>
      <c r="G2322" s="1437">
        <f t="shared" si="332"/>
        <v>0</v>
      </c>
      <c r="H2322" s="1437">
        <f t="shared" si="333"/>
        <v>8.7066999999999998E-5</v>
      </c>
      <c r="I2322" s="1437">
        <v>0</v>
      </c>
      <c r="J2322" s="1437">
        <v>0</v>
      </c>
      <c r="K2322" s="1438"/>
      <c r="L2322" s="1438"/>
      <c r="M2322" s="1437">
        <f t="shared" si="330"/>
        <v>0</v>
      </c>
      <c r="N2322" s="1437">
        <f t="shared" si="334"/>
        <v>8.7066999999999998E-5</v>
      </c>
    </row>
    <row r="2323" spans="1:14" outlineLevel="1">
      <c r="A2323" s="1499">
        <f t="shared" si="335"/>
        <v>123</v>
      </c>
      <c r="B2323" s="1539" t="str">
        <f t="shared" si="335"/>
        <v>Project-U#8-Laying&amp;Termination of HT cables-10561</v>
      </c>
      <c r="C2323" s="1491" t="str">
        <f t="shared" si="335"/>
        <v>N.A.</v>
      </c>
      <c r="D2323" s="1531" t="str">
        <f t="shared" si="335"/>
        <v>-</v>
      </c>
      <c r="E2323" s="1318">
        <f t="shared" si="335"/>
        <v>0</v>
      </c>
      <c r="F2323" s="1437">
        <f t="shared" si="331"/>
        <v>8.2310499999999997E-4</v>
      </c>
      <c r="G2323" s="1437">
        <f t="shared" si="332"/>
        <v>0</v>
      </c>
      <c r="H2323" s="1437">
        <f t="shared" si="333"/>
        <v>8.2310499999999997E-4</v>
      </c>
      <c r="I2323" s="1437">
        <v>0</v>
      </c>
      <c r="J2323" s="1437">
        <v>0</v>
      </c>
      <c r="K2323" s="1438"/>
      <c r="L2323" s="1438"/>
      <c r="M2323" s="1437">
        <f t="shared" si="330"/>
        <v>0</v>
      </c>
      <c r="N2323" s="1437">
        <f t="shared" si="334"/>
        <v>8.2310499999999997E-4</v>
      </c>
    </row>
    <row r="2324" spans="1:14" outlineLevel="1">
      <c r="A2324" s="1499">
        <f t="shared" si="335"/>
        <v>124</v>
      </c>
      <c r="B2324" s="1539" t="str">
        <f t="shared" si="335"/>
        <v>Project-U#8-MainBoiler Structure&amp;foundations-10501</v>
      </c>
      <c r="C2324" s="1491" t="str">
        <f t="shared" si="335"/>
        <v>N.A.</v>
      </c>
      <c r="D2324" s="1531" t="str">
        <f t="shared" si="335"/>
        <v>-</v>
      </c>
      <c r="E2324" s="1318">
        <f t="shared" si="335"/>
        <v>0</v>
      </c>
      <c r="F2324" s="1437">
        <f t="shared" si="331"/>
        <v>9.9409977999999996E-2</v>
      </c>
      <c r="G2324" s="1437">
        <f t="shared" si="332"/>
        <v>0</v>
      </c>
      <c r="H2324" s="1437">
        <f t="shared" si="333"/>
        <v>9.9409977999999996E-2</v>
      </c>
      <c r="I2324" s="1437">
        <v>0</v>
      </c>
      <c r="J2324" s="1437">
        <v>0</v>
      </c>
      <c r="K2324" s="1438"/>
      <c r="L2324" s="1438"/>
      <c r="M2324" s="1437">
        <f t="shared" si="330"/>
        <v>0</v>
      </c>
      <c r="N2324" s="1437">
        <f t="shared" si="334"/>
        <v>9.9409977999999996E-2</v>
      </c>
    </row>
    <row r="2325" spans="1:14" outlineLevel="1">
      <c r="A2325" s="1499">
        <f t="shared" ref="A2325:E2340" si="336">A1932</f>
        <v>125</v>
      </c>
      <c r="B2325" s="1539" t="str">
        <f t="shared" si="336"/>
        <v>Project-U#8-Mandatory Spares for Ash HandlingPlant</v>
      </c>
      <c r="C2325" s="1491" t="str">
        <f t="shared" si="336"/>
        <v>N.A.</v>
      </c>
      <c r="D2325" s="1531" t="str">
        <f t="shared" si="336"/>
        <v>-</v>
      </c>
      <c r="E2325" s="1318">
        <f t="shared" si="336"/>
        <v>0</v>
      </c>
      <c r="F2325" s="1437">
        <f t="shared" si="331"/>
        <v>1.561633E-3</v>
      </c>
      <c r="G2325" s="1437">
        <f t="shared" si="332"/>
        <v>0</v>
      </c>
      <c r="H2325" s="1437">
        <f t="shared" si="333"/>
        <v>1.561633E-3</v>
      </c>
      <c r="I2325" s="1437">
        <v>0</v>
      </c>
      <c r="J2325" s="1437">
        <v>0</v>
      </c>
      <c r="K2325" s="1438"/>
      <c r="L2325" s="1438"/>
      <c r="M2325" s="1437">
        <f t="shared" si="330"/>
        <v>0</v>
      </c>
      <c r="N2325" s="1437">
        <f t="shared" si="334"/>
        <v>1.561633E-3</v>
      </c>
    </row>
    <row r="2326" spans="1:14" outlineLevel="1">
      <c r="A2326" s="1499">
        <f t="shared" si="336"/>
        <v>126</v>
      </c>
      <c r="B2326" s="1539" t="str">
        <f t="shared" si="336"/>
        <v>Project-U#8-Mandatory spares for C&amp;I of Main Plant</v>
      </c>
      <c r="C2326" s="1491" t="str">
        <f t="shared" si="336"/>
        <v>N.A.</v>
      </c>
      <c r="D2326" s="1531" t="str">
        <f t="shared" si="336"/>
        <v>-</v>
      </c>
      <c r="E2326" s="1318">
        <f t="shared" si="336"/>
        <v>0</v>
      </c>
      <c r="F2326" s="1437">
        <f t="shared" si="331"/>
        <v>5.0294800000000002E-3</v>
      </c>
      <c r="G2326" s="1437">
        <f t="shared" si="332"/>
        <v>0</v>
      </c>
      <c r="H2326" s="1437">
        <f t="shared" si="333"/>
        <v>5.0294800000000002E-3</v>
      </c>
      <c r="I2326" s="1437">
        <v>0</v>
      </c>
      <c r="J2326" s="1437">
        <v>0</v>
      </c>
      <c r="K2326" s="1438"/>
      <c r="L2326" s="1438"/>
      <c r="M2326" s="1437">
        <f t="shared" si="330"/>
        <v>0</v>
      </c>
      <c r="N2326" s="1437">
        <f t="shared" si="334"/>
        <v>5.0294800000000002E-3</v>
      </c>
    </row>
    <row r="2327" spans="1:14" outlineLevel="1">
      <c r="A2327" s="1499">
        <f t="shared" si="336"/>
        <v>127</v>
      </c>
      <c r="B2327" s="1539" t="str">
        <f t="shared" si="336"/>
        <v>Project-U#8-Mandatory Spares for Electrical MainPa</v>
      </c>
      <c r="C2327" s="1491" t="str">
        <f t="shared" si="336"/>
        <v>N.A.</v>
      </c>
      <c r="D2327" s="1531" t="str">
        <f t="shared" si="336"/>
        <v>-</v>
      </c>
      <c r="E2327" s="1318">
        <f t="shared" si="336"/>
        <v>0</v>
      </c>
      <c r="F2327" s="1437">
        <f t="shared" si="331"/>
        <v>1.5600531000000001E-2</v>
      </c>
      <c r="G2327" s="1437">
        <f t="shared" si="332"/>
        <v>0</v>
      </c>
      <c r="H2327" s="1437">
        <f t="shared" si="333"/>
        <v>1.5600531000000001E-2</v>
      </c>
      <c r="I2327" s="1437">
        <v>0</v>
      </c>
      <c r="J2327" s="1437">
        <v>0</v>
      </c>
      <c r="K2327" s="1438"/>
      <c r="L2327" s="1438"/>
      <c r="M2327" s="1437">
        <f t="shared" si="330"/>
        <v>0</v>
      </c>
      <c r="N2327" s="1437">
        <f t="shared" si="334"/>
        <v>1.5600531000000001E-2</v>
      </c>
    </row>
    <row r="2328" spans="1:14" outlineLevel="1">
      <c r="A2328" s="1499">
        <f t="shared" si="336"/>
        <v>128</v>
      </c>
      <c r="B2328" s="1539" t="str">
        <f t="shared" si="336"/>
        <v>Project-U#8-Mandatory Spares For TG &amp; Auxilliaries</v>
      </c>
      <c r="C2328" s="1491" t="str">
        <f t="shared" si="336"/>
        <v>N.A.</v>
      </c>
      <c r="D2328" s="1531" t="str">
        <f t="shared" si="336"/>
        <v>-</v>
      </c>
      <c r="E2328" s="1318">
        <f t="shared" si="336"/>
        <v>0</v>
      </c>
      <c r="F2328" s="1437">
        <f t="shared" si="331"/>
        <v>6.2588310000000003E-3</v>
      </c>
      <c r="G2328" s="1437">
        <f t="shared" si="332"/>
        <v>0</v>
      </c>
      <c r="H2328" s="1437">
        <f t="shared" si="333"/>
        <v>6.2588310000000003E-3</v>
      </c>
      <c r="I2328" s="1437">
        <v>0</v>
      </c>
      <c r="J2328" s="1437">
        <v>0</v>
      </c>
      <c r="K2328" s="1438"/>
      <c r="L2328" s="1438"/>
      <c r="M2328" s="1437">
        <f t="shared" si="330"/>
        <v>0</v>
      </c>
      <c r="N2328" s="1437">
        <f t="shared" si="334"/>
        <v>6.2588310000000003E-3</v>
      </c>
    </row>
    <row r="2329" spans="1:14" outlineLevel="1">
      <c r="A2329" s="1499">
        <f t="shared" si="336"/>
        <v>129</v>
      </c>
      <c r="B2329" s="1539" t="str">
        <f t="shared" si="336"/>
        <v>Project-U#8-Misc. Cranes &amp; hoists-10553</v>
      </c>
      <c r="C2329" s="1491" t="str">
        <f t="shared" si="336"/>
        <v>N.A.</v>
      </c>
      <c r="D2329" s="1531" t="str">
        <f t="shared" si="336"/>
        <v>-</v>
      </c>
      <c r="E2329" s="1318">
        <f t="shared" si="336"/>
        <v>0</v>
      </c>
      <c r="F2329" s="1437">
        <f t="shared" si="331"/>
        <v>2.353651E-3</v>
      </c>
      <c r="G2329" s="1437">
        <f t="shared" si="332"/>
        <v>0</v>
      </c>
      <c r="H2329" s="1437">
        <f t="shared" si="333"/>
        <v>2.353651E-3</v>
      </c>
      <c r="I2329" s="1437">
        <v>0</v>
      </c>
      <c r="J2329" s="1437">
        <v>0</v>
      </c>
      <c r="K2329" s="1438"/>
      <c r="L2329" s="1438"/>
      <c r="M2329" s="1437">
        <f t="shared" si="330"/>
        <v>0</v>
      </c>
      <c r="N2329" s="1437">
        <f t="shared" si="334"/>
        <v>2.353651E-3</v>
      </c>
    </row>
    <row r="2330" spans="1:14" outlineLevel="1">
      <c r="A2330" s="1499">
        <f t="shared" si="336"/>
        <v>130</v>
      </c>
      <c r="B2330" s="1539" t="str">
        <f t="shared" si="336"/>
        <v>Project-U#8-Miscellaneous Pumps -10599</v>
      </c>
      <c r="C2330" s="1491" t="str">
        <f t="shared" si="336"/>
        <v>N.A.</v>
      </c>
      <c r="D2330" s="1531" t="str">
        <f t="shared" si="336"/>
        <v>-</v>
      </c>
      <c r="E2330" s="1318">
        <f t="shared" si="336"/>
        <v>0</v>
      </c>
      <c r="F2330" s="1437">
        <f t="shared" si="331"/>
        <v>1.5672209999999999E-3</v>
      </c>
      <c r="G2330" s="1437">
        <f t="shared" si="332"/>
        <v>0</v>
      </c>
      <c r="H2330" s="1437">
        <f t="shared" si="333"/>
        <v>1.5672209999999999E-3</v>
      </c>
      <c r="I2330" s="1437">
        <v>0</v>
      </c>
      <c r="J2330" s="1437">
        <v>0</v>
      </c>
      <c r="K2330" s="1438"/>
      <c r="L2330" s="1438"/>
      <c r="M2330" s="1437">
        <f t="shared" si="330"/>
        <v>0</v>
      </c>
      <c r="N2330" s="1437">
        <f t="shared" si="334"/>
        <v>1.5672209999999999E-3</v>
      </c>
    </row>
    <row r="2331" spans="1:14" outlineLevel="1">
      <c r="A2331" s="1499">
        <f t="shared" si="336"/>
        <v>131</v>
      </c>
      <c r="B2331" s="1539" t="str">
        <f t="shared" si="336"/>
        <v>Project-U#8-Passanger lift for TG Building-10599</v>
      </c>
      <c r="C2331" s="1491" t="str">
        <f t="shared" si="336"/>
        <v>N.A.</v>
      </c>
      <c r="D2331" s="1531" t="str">
        <f t="shared" si="336"/>
        <v>-</v>
      </c>
      <c r="E2331" s="1318">
        <f t="shared" si="336"/>
        <v>0</v>
      </c>
      <c r="F2331" s="1437">
        <f t="shared" si="331"/>
        <v>1.635811E-3</v>
      </c>
      <c r="G2331" s="1437">
        <f t="shared" si="332"/>
        <v>0</v>
      </c>
      <c r="H2331" s="1437">
        <f t="shared" si="333"/>
        <v>1.635811E-3</v>
      </c>
      <c r="I2331" s="1437">
        <v>0</v>
      </c>
      <c r="J2331" s="1437">
        <v>0</v>
      </c>
      <c r="K2331" s="1438"/>
      <c r="L2331" s="1438"/>
      <c r="M2331" s="1437">
        <f t="shared" si="330"/>
        <v>0</v>
      </c>
      <c r="N2331" s="1437">
        <f t="shared" si="334"/>
        <v>1.635811E-3</v>
      </c>
    </row>
    <row r="2332" spans="1:14" outlineLevel="1">
      <c r="A2332" s="1499">
        <f t="shared" si="336"/>
        <v>132</v>
      </c>
      <c r="B2332" s="1539" t="str">
        <f t="shared" si="336"/>
        <v>Project-U#8-Passanger/Material Lift at boiler side</v>
      </c>
      <c r="C2332" s="1491" t="str">
        <f t="shared" si="336"/>
        <v>N.A.</v>
      </c>
      <c r="D2332" s="1531" t="str">
        <f t="shared" si="336"/>
        <v>-</v>
      </c>
      <c r="E2332" s="1318">
        <f t="shared" si="336"/>
        <v>0</v>
      </c>
      <c r="F2332" s="1437">
        <f t="shared" si="331"/>
        <v>8.4731499999999996E-4</v>
      </c>
      <c r="G2332" s="1437">
        <f t="shared" si="332"/>
        <v>0</v>
      </c>
      <c r="H2332" s="1437">
        <f t="shared" si="333"/>
        <v>8.4731499999999996E-4</v>
      </c>
      <c r="I2332" s="1437">
        <v>0</v>
      </c>
      <c r="J2332" s="1437">
        <v>0</v>
      </c>
      <c r="K2332" s="1438"/>
      <c r="L2332" s="1438"/>
      <c r="M2332" s="1437">
        <f t="shared" si="330"/>
        <v>0</v>
      </c>
      <c r="N2332" s="1437">
        <f t="shared" si="334"/>
        <v>8.4731499999999996E-4</v>
      </c>
    </row>
    <row r="2333" spans="1:14" outlineLevel="1">
      <c r="A2333" s="1499">
        <f t="shared" si="336"/>
        <v>133</v>
      </c>
      <c r="B2333" s="1539" t="str">
        <f t="shared" si="336"/>
        <v>Project-U#8-Chemical Laboratory -10509</v>
      </c>
      <c r="C2333" s="1491" t="str">
        <f t="shared" si="336"/>
        <v>N.A.</v>
      </c>
      <c r="D2333" s="1531" t="str">
        <f t="shared" si="336"/>
        <v>-</v>
      </c>
      <c r="E2333" s="1318">
        <f t="shared" si="336"/>
        <v>0</v>
      </c>
      <c r="F2333" s="1437">
        <f t="shared" si="331"/>
        <v>1.1647579999999999E-3</v>
      </c>
      <c r="G2333" s="1437">
        <f t="shared" si="332"/>
        <v>0</v>
      </c>
      <c r="H2333" s="1437">
        <f t="shared" si="333"/>
        <v>1.1647579999999999E-3</v>
      </c>
      <c r="I2333" s="1437">
        <v>0</v>
      </c>
      <c r="J2333" s="1437">
        <v>0</v>
      </c>
      <c r="K2333" s="1438"/>
      <c r="L2333" s="1438"/>
      <c r="M2333" s="1437">
        <f t="shared" si="330"/>
        <v>0</v>
      </c>
      <c r="N2333" s="1437">
        <f t="shared" si="334"/>
        <v>1.1647579999999999E-3</v>
      </c>
    </row>
    <row r="2334" spans="1:14" outlineLevel="1">
      <c r="A2334" s="1499">
        <f t="shared" si="336"/>
        <v>134</v>
      </c>
      <c r="B2334" s="1539" t="str">
        <f t="shared" si="336"/>
        <v>Project-U#8-Sewage Treatment Plant-10509</v>
      </c>
      <c r="C2334" s="1491" t="str">
        <f t="shared" si="336"/>
        <v>N.A.</v>
      </c>
      <c r="D2334" s="1531" t="str">
        <f t="shared" si="336"/>
        <v>-</v>
      </c>
      <c r="E2334" s="1318">
        <f t="shared" si="336"/>
        <v>0</v>
      </c>
      <c r="F2334" s="1437">
        <f t="shared" si="331"/>
        <v>1.90058E-3</v>
      </c>
      <c r="G2334" s="1437">
        <f t="shared" si="332"/>
        <v>0</v>
      </c>
      <c r="H2334" s="1437">
        <f t="shared" si="333"/>
        <v>1.90058E-3</v>
      </c>
      <c r="I2334" s="1437">
        <v>0</v>
      </c>
      <c r="J2334" s="1437">
        <v>0</v>
      </c>
      <c r="K2334" s="1438"/>
      <c r="L2334" s="1438"/>
      <c r="M2334" s="1437">
        <f t="shared" si="330"/>
        <v>0</v>
      </c>
      <c r="N2334" s="1437">
        <f t="shared" si="334"/>
        <v>1.90058E-3</v>
      </c>
    </row>
    <row r="2335" spans="1:14" outlineLevel="1">
      <c r="A2335" s="1499">
        <f t="shared" si="336"/>
        <v>135</v>
      </c>
      <c r="B2335" s="1539" t="str">
        <f t="shared" si="336"/>
        <v>Project-U#8-Station Transformer-10541</v>
      </c>
      <c r="C2335" s="1491" t="str">
        <f t="shared" si="336"/>
        <v>N.A.</v>
      </c>
      <c r="D2335" s="1531" t="str">
        <f t="shared" si="336"/>
        <v>-</v>
      </c>
      <c r="E2335" s="1318">
        <f t="shared" si="336"/>
        <v>0</v>
      </c>
      <c r="F2335" s="1437">
        <f t="shared" si="331"/>
        <v>2.6575694E-2</v>
      </c>
      <c r="G2335" s="1437">
        <f t="shared" si="332"/>
        <v>0</v>
      </c>
      <c r="H2335" s="1437">
        <f t="shared" si="333"/>
        <v>2.6575694E-2</v>
      </c>
      <c r="I2335" s="1437">
        <v>0</v>
      </c>
      <c r="J2335" s="1437">
        <v>0</v>
      </c>
      <c r="K2335" s="1438"/>
      <c r="L2335" s="1438"/>
      <c r="M2335" s="1437">
        <f t="shared" si="330"/>
        <v>0</v>
      </c>
      <c r="N2335" s="1437">
        <f t="shared" si="334"/>
        <v>2.6575694E-2</v>
      </c>
    </row>
    <row r="2336" spans="1:14" outlineLevel="1">
      <c r="A2336" s="1499">
        <f t="shared" si="336"/>
        <v>136</v>
      </c>
      <c r="B2336" s="1539" t="str">
        <f t="shared" si="336"/>
        <v>Project-U#8-Steam Turbine set-10503</v>
      </c>
      <c r="C2336" s="1491" t="str">
        <f t="shared" si="336"/>
        <v>N.A.</v>
      </c>
      <c r="D2336" s="1531" t="str">
        <f t="shared" si="336"/>
        <v>-</v>
      </c>
      <c r="E2336" s="1318">
        <f t="shared" si="336"/>
        <v>0</v>
      </c>
      <c r="F2336" s="1437">
        <f t="shared" si="331"/>
        <v>0.138637134</v>
      </c>
      <c r="G2336" s="1437">
        <f t="shared" si="332"/>
        <v>0</v>
      </c>
      <c r="H2336" s="1437">
        <f t="shared" si="333"/>
        <v>0.138637134</v>
      </c>
      <c r="I2336" s="1437">
        <v>0</v>
      </c>
      <c r="J2336" s="1437">
        <v>0</v>
      </c>
      <c r="K2336" s="1438"/>
      <c r="L2336" s="1438"/>
      <c r="M2336" s="1437">
        <f t="shared" si="330"/>
        <v>0</v>
      </c>
      <c r="N2336" s="1437">
        <f t="shared" si="334"/>
        <v>0.138637134</v>
      </c>
    </row>
    <row r="2337" spans="1:14" outlineLevel="1">
      <c r="A2337" s="1499">
        <f t="shared" si="336"/>
        <v>137</v>
      </c>
      <c r="B2337" s="1539" t="str">
        <f t="shared" si="336"/>
        <v>Project-U#8-TG set and its auxilleries- Condensor</v>
      </c>
      <c r="C2337" s="1491" t="str">
        <f t="shared" si="336"/>
        <v>N.A.</v>
      </c>
      <c r="D2337" s="1531" t="str">
        <f t="shared" si="336"/>
        <v>-</v>
      </c>
      <c r="E2337" s="1318">
        <f t="shared" si="336"/>
        <v>0</v>
      </c>
      <c r="F2337" s="1437">
        <f t="shared" si="331"/>
        <v>1.2702985999999999E-2</v>
      </c>
      <c r="G2337" s="1437">
        <f t="shared" si="332"/>
        <v>0</v>
      </c>
      <c r="H2337" s="1437">
        <f t="shared" si="333"/>
        <v>1.2702985999999999E-2</v>
      </c>
      <c r="I2337" s="1437">
        <v>0</v>
      </c>
      <c r="J2337" s="1437">
        <v>0</v>
      </c>
      <c r="K2337" s="1438"/>
      <c r="L2337" s="1438"/>
      <c r="M2337" s="1437">
        <f t="shared" si="330"/>
        <v>0</v>
      </c>
      <c r="N2337" s="1437">
        <f t="shared" si="334"/>
        <v>1.2702985999999999E-2</v>
      </c>
    </row>
    <row r="2338" spans="1:14" outlineLevel="1">
      <c r="A2338" s="1499">
        <f t="shared" si="336"/>
        <v>138</v>
      </c>
      <c r="B2338" s="1539" t="str">
        <f t="shared" si="336"/>
        <v>Project-U#8-TG set and its auxilleries -Generator</v>
      </c>
      <c r="C2338" s="1491" t="str">
        <f t="shared" si="336"/>
        <v>N.A.</v>
      </c>
      <c r="D2338" s="1531" t="str">
        <f t="shared" si="336"/>
        <v>-</v>
      </c>
      <c r="E2338" s="1318">
        <f t="shared" si="336"/>
        <v>0</v>
      </c>
      <c r="F2338" s="1437">
        <f t="shared" si="331"/>
        <v>3.2544958999999998E-2</v>
      </c>
      <c r="G2338" s="1437">
        <f t="shared" si="332"/>
        <v>0</v>
      </c>
      <c r="H2338" s="1437">
        <f t="shared" si="333"/>
        <v>3.2544958999999998E-2</v>
      </c>
      <c r="I2338" s="1437">
        <v>0</v>
      </c>
      <c r="J2338" s="1437">
        <v>0</v>
      </c>
      <c r="K2338" s="1438"/>
      <c r="L2338" s="1438"/>
      <c r="M2338" s="1437">
        <f t="shared" si="330"/>
        <v>0</v>
      </c>
      <c r="N2338" s="1437">
        <f t="shared" si="334"/>
        <v>3.2544958999999998E-2</v>
      </c>
    </row>
    <row r="2339" spans="1:14" outlineLevel="1">
      <c r="A2339" s="1499">
        <f t="shared" si="336"/>
        <v>139</v>
      </c>
      <c r="B2339" s="1539" t="str">
        <f t="shared" si="336"/>
        <v>Project-U#8-TG set and its auxilleries-Condensor</v>
      </c>
      <c r="C2339" s="1491" t="str">
        <f t="shared" si="336"/>
        <v>N.A.</v>
      </c>
      <c r="D2339" s="1531" t="str">
        <f t="shared" si="336"/>
        <v>-</v>
      </c>
      <c r="E2339" s="1318">
        <f t="shared" si="336"/>
        <v>0</v>
      </c>
      <c r="F2339" s="1437">
        <f t="shared" si="331"/>
        <v>2.9272968E-2</v>
      </c>
      <c r="G2339" s="1437">
        <f t="shared" si="332"/>
        <v>0</v>
      </c>
      <c r="H2339" s="1437">
        <f t="shared" si="333"/>
        <v>2.9272968E-2</v>
      </c>
      <c r="I2339" s="1437">
        <v>0</v>
      </c>
      <c r="J2339" s="1437">
        <v>0</v>
      </c>
      <c r="K2339" s="1438"/>
      <c r="L2339" s="1438"/>
      <c r="M2339" s="1437">
        <f t="shared" si="330"/>
        <v>0</v>
      </c>
      <c r="N2339" s="1437">
        <f t="shared" si="334"/>
        <v>2.9272968E-2</v>
      </c>
    </row>
    <row r="2340" spans="1:14" outlineLevel="1">
      <c r="A2340" s="1499">
        <f t="shared" si="336"/>
        <v>140</v>
      </c>
      <c r="B2340" s="1539" t="str">
        <f t="shared" si="336"/>
        <v>Project-U#8-TG set &amp; its auxilleries-Derator-10503</v>
      </c>
      <c r="C2340" s="1491" t="str">
        <f t="shared" si="336"/>
        <v>N.A.</v>
      </c>
      <c r="D2340" s="1531" t="str">
        <f t="shared" si="336"/>
        <v>-</v>
      </c>
      <c r="E2340" s="1318">
        <f t="shared" si="336"/>
        <v>0</v>
      </c>
      <c r="F2340" s="1437">
        <f t="shared" si="331"/>
        <v>2.7579689999999999E-3</v>
      </c>
      <c r="G2340" s="1437">
        <f t="shared" si="332"/>
        <v>0</v>
      </c>
      <c r="H2340" s="1437">
        <f t="shared" si="333"/>
        <v>2.7579689999999999E-3</v>
      </c>
      <c r="I2340" s="1437">
        <v>0</v>
      </c>
      <c r="J2340" s="1437">
        <v>0</v>
      </c>
      <c r="K2340" s="1438"/>
      <c r="L2340" s="1438"/>
      <c r="M2340" s="1437">
        <f t="shared" si="330"/>
        <v>0</v>
      </c>
      <c r="N2340" s="1437">
        <f t="shared" si="334"/>
        <v>2.7579689999999999E-3</v>
      </c>
    </row>
    <row r="2341" spans="1:14" outlineLevel="1">
      <c r="A2341" s="1499">
        <f t="shared" ref="A2341:E2356" si="337">A1948</f>
        <v>141</v>
      </c>
      <c r="B2341" s="1539" t="str">
        <f t="shared" si="337"/>
        <v>Project-U#8-TG set and its auxilleries-DMMakeUpSys</v>
      </c>
      <c r="C2341" s="1491" t="str">
        <f t="shared" si="337"/>
        <v>N.A.</v>
      </c>
      <c r="D2341" s="1531" t="str">
        <f t="shared" si="337"/>
        <v>-</v>
      </c>
      <c r="E2341" s="1318">
        <f t="shared" si="337"/>
        <v>0</v>
      </c>
      <c r="F2341" s="1437">
        <f t="shared" si="331"/>
        <v>1.049073E-3</v>
      </c>
      <c r="G2341" s="1437">
        <f t="shared" si="332"/>
        <v>0</v>
      </c>
      <c r="H2341" s="1437">
        <f t="shared" si="333"/>
        <v>1.049073E-3</v>
      </c>
      <c r="I2341" s="1437">
        <v>0</v>
      </c>
      <c r="J2341" s="1437">
        <v>0</v>
      </c>
      <c r="K2341" s="1438"/>
      <c r="L2341" s="1438"/>
      <c r="M2341" s="1437">
        <f t="shared" si="330"/>
        <v>0</v>
      </c>
      <c r="N2341" s="1437">
        <f t="shared" si="334"/>
        <v>1.049073E-3</v>
      </c>
    </row>
    <row r="2342" spans="1:14" outlineLevel="1">
      <c r="A2342" s="1499">
        <f t="shared" si="337"/>
        <v>142</v>
      </c>
      <c r="B2342" s="1539" t="str">
        <f t="shared" si="337"/>
        <v>Project-U#8-TG set and its auxilleries-Gas System</v>
      </c>
      <c r="C2342" s="1491" t="str">
        <f t="shared" si="337"/>
        <v>N.A.</v>
      </c>
      <c r="D2342" s="1531" t="str">
        <f t="shared" si="337"/>
        <v>-</v>
      </c>
      <c r="E2342" s="1318">
        <f t="shared" si="337"/>
        <v>0</v>
      </c>
      <c r="F2342" s="1437">
        <f t="shared" si="331"/>
        <v>5.6178390000000003E-3</v>
      </c>
      <c r="G2342" s="1437">
        <f t="shared" si="332"/>
        <v>0</v>
      </c>
      <c r="H2342" s="1437">
        <f t="shared" si="333"/>
        <v>5.6178390000000003E-3</v>
      </c>
      <c r="I2342" s="1437">
        <v>0</v>
      </c>
      <c r="J2342" s="1437">
        <v>0</v>
      </c>
      <c r="K2342" s="1438"/>
      <c r="L2342" s="1438"/>
      <c r="M2342" s="1437">
        <f t="shared" si="330"/>
        <v>0</v>
      </c>
      <c r="N2342" s="1437">
        <f t="shared" si="334"/>
        <v>5.6178390000000003E-3</v>
      </c>
    </row>
    <row r="2343" spans="1:14" outlineLevel="1">
      <c r="A2343" s="1499">
        <f t="shared" si="337"/>
        <v>143</v>
      </c>
      <c r="B2343" s="1539" t="str">
        <f t="shared" si="337"/>
        <v>Project-U#8-TG set and its auxilleries-GoveringSys</v>
      </c>
      <c r="C2343" s="1491" t="str">
        <f t="shared" si="337"/>
        <v>N.A.</v>
      </c>
      <c r="D2343" s="1531" t="str">
        <f t="shared" si="337"/>
        <v>-</v>
      </c>
      <c r="E2343" s="1318">
        <f t="shared" si="337"/>
        <v>0</v>
      </c>
      <c r="F2343" s="1437">
        <f t="shared" si="331"/>
        <v>4.9465999999999997E-5</v>
      </c>
      <c r="G2343" s="1437">
        <f t="shared" si="332"/>
        <v>0</v>
      </c>
      <c r="H2343" s="1437">
        <f t="shared" si="333"/>
        <v>4.9465999999999997E-5</v>
      </c>
      <c r="I2343" s="1437">
        <v>0</v>
      </c>
      <c r="J2343" s="1437">
        <v>0</v>
      </c>
      <c r="K2343" s="1438"/>
      <c r="L2343" s="1438"/>
      <c r="M2343" s="1437">
        <f t="shared" si="330"/>
        <v>0</v>
      </c>
      <c r="N2343" s="1437">
        <f t="shared" si="334"/>
        <v>4.9465999999999997E-5</v>
      </c>
    </row>
    <row r="2344" spans="1:14" outlineLevel="1">
      <c r="A2344" s="1499">
        <f t="shared" si="337"/>
        <v>144</v>
      </c>
      <c r="B2344" s="1539" t="str">
        <f t="shared" si="337"/>
        <v>Project-U#8-TG set and its auxilleries-HP/LP By-pa</v>
      </c>
      <c r="C2344" s="1491" t="str">
        <f t="shared" si="337"/>
        <v>N.A.</v>
      </c>
      <c r="D2344" s="1531" t="str">
        <f t="shared" si="337"/>
        <v>-</v>
      </c>
      <c r="E2344" s="1318">
        <f t="shared" si="337"/>
        <v>0</v>
      </c>
      <c r="F2344" s="1437">
        <f t="shared" si="331"/>
        <v>1.0752108999999999E-2</v>
      </c>
      <c r="G2344" s="1437">
        <f t="shared" si="332"/>
        <v>0</v>
      </c>
      <c r="H2344" s="1437">
        <f t="shared" si="333"/>
        <v>1.0752108999999999E-2</v>
      </c>
      <c r="I2344" s="1437">
        <v>0</v>
      </c>
      <c r="J2344" s="1437">
        <v>0</v>
      </c>
      <c r="K2344" s="1438"/>
      <c r="L2344" s="1438"/>
      <c r="M2344" s="1437">
        <f t="shared" si="330"/>
        <v>0</v>
      </c>
      <c r="N2344" s="1437">
        <f t="shared" si="334"/>
        <v>1.0752108999999999E-2</v>
      </c>
    </row>
    <row r="2345" spans="1:14" outlineLevel="1">
      <c r="A2345" s="1499">
        <f t="shared" si="337"/>
        <v>145</v>
      </c>
      <c r="B2345" s="1539" t="str">
        <f t="shared" si="337"/>
        <v>Project-U#8-TG set and its auxilleries-HP/LP Dozin</v>
      </c>
      <c r="C2345" s="1491" t="str">
        <f t="shared" si="337"/>
        <v>N.A.</v>
      </c>
      <c r="D2345" s="1531" t="str">
        <f t="shared" si="337"/>
        <v>-</v>
      </c>
      <c r="E2345" s="1318">
        <f t="shared" si="337"/>
        <v>0</v>
      </c>
      <c r="F2345" s="1437">
        <f t="shared" si="331"/>
        <v>3.9941100000000002E-4</v>
      </c>
      <c r="G2345" s="1437">
        <f t="shared" si="332"/>
        <v>0</v>
      </c>
      <c r="H2345" s="1437">
        <f t="shared" si="333"/>
        <v>3.9941100000000002E-4</v>
      </c>
      <c r="I2345" s="1437">
        <v>0</v>
      </c>
      <c r="J2345" s="1437">
        <v>0</v>
      </c>
      <c r="K2345" s="1438"/>
      <c r="L2345" s="1438"/>
      <c r="M2345" s="1437">
        <f t="shared" si="330"/>
        <v>0</v>
      </c>
      <c r="N2345" s="1437">
        <f t="shared" si="334"/>
        <v>3.9941100000000002E-4</v>
      </c>
    </row>
    <row r="2346" spans="1:14" outlineLevel="1">
      <c r="A2346" s="1499">
        <f t="shared" si="337"/>
        <v>146</v>
      </c>
      <c r="B2346" s="1539" t="str">
        <f t="shared" si="337"/>
        <v>Project-U#8-TG set and its auxilleries-SealOilPump</v>
      </c>
      <c r="C2346" s="1491" t="str">
        <f t="shared" si="337"/>
        <v>N.A.</v>
      </c>
      <c r="D2346" s="1531" t="str">
        <f t="shared" si="337"/>
        <v>-</v>
      </c>
      <c r="E2346" s="1318">
        <f t="shared" si="337"/>
        <v>0</v>
      </c>
      <c r="F2346" s="1437">
        <f t="shared" si="331"/>
        <v>9.8566000000000005E-5</v>
      </c>
      <c r="G2346" s="1437">
        <f t="shared" si="332"/>
        <v>0</v>
      </c>
      <c r="H2346" s="1437">
        <f t="shared" si="333"/>
        <v>9.8566000000000005E-5</v>
      </c>
      <c r="I2346" s="1437">
        <v>0</v>
      </c>
      <c r="J2346" s="1437">
        <v>0</v>
      </c>
      <c r="K2346" s="1438"/>
      <c r="L2346" s="1438"/>
      <c r="M2346" s="1437">
        <f t="shared" si="330"/>
        <v>0</v>
      </c>
      <c r="N2346" s="1437">
        <f t="shared" si="334"/>
        <v>9.8566000000000005E-5</v>
      </c>
    </row>
    <row r="2347" spans="1:14" outlineLevel="1">
      <c r="A2347" s="1499">
        <f t="shared" si="337"/>
        <v>147</v>
      </c>
      <c r="B2347" s="1539" t="str">
        <f t="shared" si="337"/>
        <v>Project-U#8-TG set and its auxilleries-Vaccum Syst</v>
      </c>
      <c r="C2347" s="1491" t="str">
        <f t="shared" si="337"/>
        <v>N.A.</v>
      </c>
      <c r="D2347" s="1531" t="str">
        <f t="shared" si="337"/>
        <v>-</v>
      </c>
      <c r="E2347" s="1318">
        <f t="shared" si="337"/>
        <v>0</v>
      </c>
      <c r="F2347" s="1437">
        <f t="shared" si="331"/>
        <v>1.0304429E-2</v>
      </c>
      <c r="G2347" s="1437">
        <f t="shared" si="332"/>
        <v>0</v>
      </c>
      <c r="H2347" s="1437">
        <f t="shared" si="333"/>
        <v>1.0304429E-2</v>
      </c>
      <c r="I2347" s="1437">
        <v>0</v>
      </c>
      <c r="J2347" s="1437">
        <v>0</v>
      </c>
      <c r="K2347" s="1438"/>
      <c r="L2347" s="1438"/>
      <c r="M2347" s="1437">
        <f t="shared" si="330"/>
        <v>0</v>
      </c>
      <c r="N2347" s="1437">
        <f t="shared" si="334"/>
        <v>1.0304429E-2</v>
      </c>
    </row>
    <row r="2348" spans="1:14" outlineLevel="1">
      <c r="A2348" s="1499">
        <f t="shared" si="337"/>
        <v>148</v>
      </c>
      <c r="B2348" s="1539" t="str">
        <f t="shared" si="337"/>
        <v>Project-U#8-Turbine Lub. Oil System With Purifier</v>
      </c>
      <c r="C2348" s="1491" t="str">
        <f t="shared" si="337"/>
        <v>N.A.</v>
      </c>
      <c r="D2348" s="1531" t="str">
        <f t="shared" si="337"/>
        <v>-</v>
      </c>
      <c r="E2348" s="1318">
        <f t="shared" si="337"/>
        <v>0</v>
      </c>
      <c r="F2348" s="1437">
        <f t="shared" si="331"/>
        <v>2.2363740000000002E-3</v>
      </c>
      <c r="G2348" s="1437">
        <f t="shared" si="332"/>
        <v>0</v>
      </c>
      <c r="H2348" s="1437">
        <f t="shared" si="333"/>
        <v>2.2363740000000002E-3</v>
      </c>
      <c r="I2348" s="1437">
        <v>0</v>
      </c>
      <c r="J2348" s="1437">
        <v>0</v>
      </c>
      <c r="K2348" s="1438"/>
      <c r="L2348" s="1438"/>
      <c r="M2348" s="1437">
        <f t="shared" si="330"/>
        <v>0</v>
      </c>
      <c r="N2348" s="1437">
        <f t="shared" si="334"/>
        <v>2.2363740000000002E-3</v>
      </c>
    </row>
    <row r="2349" spans="1:14" outlineLevel="1">
      <c r="A2349" s="1499">
        <f t="shared" si="337"/>
        <v>149</v>
      </c>
      <c r="B2349" s="1539" t="str">
        <f t="shared" si="337"/>
        <v>Project-U#8-Ventillation system-10599</v>
      </c>
      <c r="C2349" s="1491" t="str">
        <f t="shared" si="337"/>
        <v>N.A.</v>
      </c>
      <c r="D2349" s="1531" t="str">
        <f t="shared" si="337"/>
        <v>-</v>
      </c>
      <c r="E2349" s="1318">
        <f t="shared" si="337"/>
        <v>0</v>
      </c>
      <c r="F2349" s="1437">
        <f t="shared" si="331"/>
        <v>1.438855E-3</v>
      </c>
      <c r="G2349" s="1437">
        <f t="shared" si="332"/>
        <v>0</v>
      </c>
      <c r="H2349" s="1437">
        <f t="shared" si="333"/>
        <v>1.438855E-3</v>
      </c>
      <c r="I2349" s="1437">
        <v>0</v>
      </c>
      <c r="J2349" s="1437">
        <v>0</v>
      </c>
      <c r="K2349" s="1438"/>
      <c r="L2349" s="1438"/>
      <c r="M2349" s="1437">
        <f t="shared" si="330"/>
        <v>0</v>
      </c>
      <c r="N2349" s="1437">
        <f t="shared" si="334"/>
        <v>1.438855E-3</v>
      </c>
    </row>
    <row r="2350" spans="1:14" outlineLevel="1">
      <c r="A2350" s="1499">
        <f t="shared" si="337"/>
        <v>150</v>
      </c>
      <c r="B2350" s="1539" t="str">
        <f t="shared" si="337"/>
        <v>Asset Recived From Project-U#8-M.SPARE_Ventillation system-10599</v>
      </c>
      <c r="C2350" s="1491" t="str">
        <f t="shared" si="337"/>
        <v>N.A.</v>
      </c>
      <c r="D2350" s="1531" t="str">
        <f t="shared" si="337"/>
        <v>-</v>
      </c>
      <c r="E2350" s="1318">
        <f t="shared" si="337"/>
        <v>0</v>
      </c>
      <c r="F2350" s="1437">
        <f t="shared" si="331"/>
        <v>8.5482000000000006E-5</v>
      </c>
      <c r="G2350" s="1437">
        <f t="shared" si="332"/>
        <v>0</v>
      </c>
      <c r="H2350" s="1437">
        <f t="shared" si="333"/>
        <v>8.5482000000000006E-5</v>
      </c>
      <c r="I2350" s="1437">
        <v>0</v>
      </c>
      <c r="J2350" s="1437">
        <v>0</v>
      </c>
      <c r="K2350" s="1438"/>
      <c r="L2350" s="1438"/>
      <c r="M2350" s="1437">
        <f t="shared" si="330"/>
        <v>0</v>
      </c>
      <c r="N2350" s="1437">
        <f t="shared" si="334"/>
        <v>8.5482000000000006E-5</v>
      </c>
    </row>
    <row r="2351" spans="1:14" outlineLevel="1">
      <c r="A2351" s="1499">
        <f t="shared" si="337"/>
        <v>151</v>
      </c>
      <c r="B2351" s="1539" t="str">
        <f t="shared" si="337"/>
        <v>Asset Recived From Project-U#8-Water Treatment Plant-10509</v>
      </c>
      <c r="C2351" s="1491" t="str">
        <f t="shared" si="337"/>
        <v>N.A.</v>
      </c>
      <c r="D2351" s="1531" t="str">
        <f t="shared" si="337"/>
        <v>-</v>
      </c>
      <c r="E2351" s="1318">
        <f t="shared" si="337"/>
        <v>0</v>
      </c>
      <c r="F2351" s="1437">
        <f t="shared" si="331"/>
        <v>4.2384409999999999E-3</v>
      </c>
      <c r="G2351" s="1437">
        <f t="shared" si="332"/>
        <v>0</v>
      </c>
      <c r="H2351" s="1437">
        <f t="shared" si="333"/>
        <v>4.2384409999999999E-3</v>
      </c>
      <c r="I2351" s="1437">
        <v>0</v>
      </c>
      <c r="J2351" s="1437">
        <v>0</v>
      </c>
      <c r="K2351" s="1438"/>
      <c r="L2351" s="1438"/>
      <c r="M2351" s="1437">
        <f t="shared" si="330"/>
        <v>0</v>
      </c>
      <c r="N2351" s="1437">
        <f t="shared" si="334"/>
        <v>4.2384409999999999E-3</v>
      </c>
    </row>
    <row r="2352" spans="1:14" outlineLevel="1">
      <c r="A2352" s="1499">
        <f t="shared" si="337"/>
        <v>152</v>
      </c>
      <c r="B2352" s="1539" t="str">
        <f t="shared" si="337"/>
        <v>Asset Recived From Project-U#8-WORK SHOP MAD_SPARE-10565</v>
      </c>
      <c r="C2352" s="1491" t="str">
        <f t="shared" si="337"/>
        <v>N.A.</v>
      </c>
      <c r="D2352" s="1531" t="str">
        <f t="shared" si="337"/>
        <v>-</v>
      </c>
      <c r="E2352" s="1318">
        <f t="shared" si="337"/>
        <v>0</v>
      </c>
      <c r="F2352" s="1437">
        <f t="shared" si="331"/>
        <v>3.0444899999999998E-4</v>
      </c>
      <c r="G2352" s="1437">
        <f t="shared" si="332"/>
        <v>0</v>
      </c>
      <c r="H2352" s="1437">
        <f t="shared" si="333"/>
        <v>3.0444899999999998E-4</v>
      </c>
      <c r="I2352" s="1437">
        <v>0</v>
      </c>
      <c r="J2352" s="1437">
        <v>0</v>
      </c>
      <c r="K2352" s="1438"/>
      <c r="L2352" s="1438"/>
      <c r="M2352" s="1437">
        <f t="shared" si="330"/>
        <v>0</v>
      </c>
      <c r="N2352" s="1437">
        <f t="shared" si="334"/>
        <v>3.0444899999999998E-4</v>
      </c>
    </row>
    <row r="2353" spans="1:14" outlineLevel="1">
      <c r="A2353" s="1499">
        <f t="shared" si="337"/>
        <v>153</v>
      </c>
      <c r="B2353" s="1539" t="str">
        <f t="shared" si="337"/>
        <v>Asset Recived From Project-U#8-Workshop-10565</v>
      </c>
      <c r="C2353" s="1491" t="str">
        <f t="shared" si="337"/>
        <v>N.A.</v>
      </c>
      <c r="D2353" s="1531" t="str">
        <f t="shared" si="337"/>
        <v>-</v>
      </c>
      <c r="E2353" s="1318">
        <f t="shared" si="337"/>
        <v>0</v>
      </c>
      <c r="F2353" s="1437">
        <f t="shared" si="331"/>
        <v>1.3285770000000001E-3</v>
      </c>
      <c r="G2353" s="1437">
        <f t="shared" si="332"/>
        <v>0</v>
      </c>
      <c r="H2353" s="1437">
        <f t="shared" si="333"/>
        <v>1.3285770000000001E-3</v>
      </c>
      <c r="I2353" s="1437">
        <v>0</v>
      </c>
      <c r="J2353" s="1437">
        <v>0</v>
      </c>
      <c r="K2353" s="1438"/>
      <c r="L2353" s="1438"/>
      <c r="M2353" s="1437">
        <f t="shared" si="330"/>
        <v>0</v>
      </c>
      <c r="N2353" s="1437">
        <f t="shared" si="334"/>
        <v>1.3285770000000001E-3</v>
      </c>
    </row>
    <row r="2354" spans="1:14" outlineLevel="1">
      <c r="A2354" s="1499">
        <f t="shared" si="337"/>
        <v>154</v>
      </c>
      <c r="B2354" s="1539" t="str">
        <f t="shared" si="337"/>
        <v>Asset Recived From Project-U#8-CMR SYSTEM-10501</v>
      </c>
      <c r="C2354" s="1491" t="str">
        <f t="shared" si="337"/>
        <v>N.A.</v>
      </c>
      <c r="D2354" s="1531" t="str">
        <f t="shared" si="337"/>
        <v>-</v>
      </c>
      <c r="E2354" s="1318">
        <f t="shared" si="337"/>
        <v>0</v>
      </c>
      <c r="F2354" s="1437">
        <f t="shared" si="331"/>
        <v>2.0736180000000002E-3</v>
      </c>
      <c r="G2354" s="1437">
        <f t="shared" si="332"/>
        <v>0</v>
      </c>
      <c r="H2354" s="1437">
        <f t="shared" si="333"/>
        <v>2.0736180000000002E-3</v>
      </c>
      <c r="I2354" s="1437">
        <v>0</v>
      </c>
      <c r="J2354" s="1437">
        <v>0</v>
      </c>
      <c r="K2354" s="1438"/>
      <c r="L2354" s="1438"/>
      <c r="M2354" s="1437">
        <f t="shared" si="330"/>
        <v>0</v>
      </c>
      <c r="N2354" s="1437">
        <f t="shared" si="334"/>
        <v>2.0736180000000002E-3</v>
      </c>
    </row>
    <row r="2355" spans="1:14" outlineLevel="1">
      <c r="A2355" s="1499">
        <f t="shared" si="337"/>
        <v>155</v>
      </c>
      <c r="B2355" s="1539" t="str">
        <f t="shared" si="337"/>
        <v>Asset Recived From Project-U#8-MandatorySpares-WTP-10.509</v>
      </c>
      <c r="C2355" s="1491" t="str">
        <f t="shared" si="337"/>
        <v>N.A.</v>
      </c>
      <c r="D2355" s="1531" t="str">
        <f t="shared" si="337"/>
        <v>-</v>
      </c>
      <c r="E2355" s="1318">
        <f t="shared" si="337"/>
        <v>0</v>
      </c>
      <c r="F2355" s="1437">
        <f t="shared" si="331"/>
        <v>8.1516999999999999E-5</v>
      </c>
      <c r="G2355" s="1437">
        <f t="shared" si="332"/>
        <v>0</v>
      </c>
      <c r="H2355" s="1437">
        <f t="shared" si="333"/>
        <v>8.1516999999999999E-5</v>
      </c>
      <c r="I2355" s="1437">
        <v>0</v>
      </c>
      <c r="J2355" s="1437">
        <v>0</v>
      </c>
      <c r="K2355" s="1438"/>
      <c r="L2355" s="1438"/>
      <c r="M2355" s="1437">
        <f t="shared" si="330"/>
        <v>0</v>
      </c>
      <c r="N2355" s="1437">
        <f t="shared" si="334"/>
        <v>8.1516999999999999E-5</v>
      </c>
    </row>
    <row r="2356" spans="1:14" ht="29" outlineLevel="1">
      <c r="A2356" s="1499">
        <f t="shared" si="337"/>
        <v>156</v>
      </c>
      <c r="B2356" s="1539" t="str">
        <f t="shared" si="337"/>
        <v>Asset Recived From Project-U#8-E.1.07_MandSpar 4 C&amp;I MS 4MeasuringIns E.1.07_M S for C&amp;I_ MS For Measuring Ins</v>
      </c>
      <c r="C2356" s="1491" t="str">
        <f t="shared" si="337"/>
        <v>N.A.</v>
      </c>
      <c r="D2356" s="1531" t="str">
        <f t="shared" si="337"/>
        <v>-</v>
      </c>
      <c r="E2356" s="1318">
        <f t="shared" si="337"/>
        <v>0</v>
      </c>
      <c r="F2356" s="1437">
        <f t="shared" si="331"/>
        <v>7.8696799999999997E-2</v>
      </c>
      <c r="G2356" s="1437">
        <f t="shared" si="332"/>
        <v>0</v>
      </c>
      <c r="H2356" s="1437">
        <f t="shared" si="333"/>
        <v>7.8696799999999997E-2</v>
      </c>
      <c r="I2356" s="1437">
        <v>0</v>
      </c>
      <c r="J2356" s="1437">
        <v>0</v>
      </c>
      <c r="K2356" s="1438"/>
      <c r="L2356" s="1438"/>
      <c r="M2356" s="1437">
        <f t="shared" si="330"/>
        <v>0</v>
      </c>
      <c r="N2356" s="1437">
        <f t="shared" si="334"/>
        <v>7.8696799999999997E-2</v>
      </c>
    </row>
    <row r="2357" spans="1:14" outlineLevel="1">
      <c r="A2357" s="1499">
        <f t="shared" ref="A2357:E2362" si="338">A1964</f>
        <v>157</v>
      </c>
      <c r="B2357" s="1539" t="str">
        <f t="shared" si="338"/>
        <v>Asset Recived From Project-U#8-BOP_ELECTRICAL-10612</v>
      </c>
      <c r="C2357" s="1491" t="str">
        <f t="shared" si="338"/>
        <v>N.A.</v>
      </c>
      <c r="D2357" s="1531" t="str">
        <f t="shared" si="338"/>
        <v>-</v>
      </c>
      <c r="E2357" s="1318">
        <f t="shared" si="338"/>
        <v>0</v>
      </c>
      <c r="F2357" s="1437">
        <f t="shared" si="331"/>
        <v>1.6370498000000001E-2</v>
      </c>
      <c r="G2357" s="1437">
        <f t="shared" si="332"/>
        <v>0</v>
      </c>
      <c r="H2357" s="1437">
        <f t="shared" si="333"/>
        <v>1.6370498000000001E-2</v>
      </c>
      <c r="I2357" s="1437">
        <v>0</v>
      </c>
      <c r="J2357" s="1437">
        <v>0</v>
      </c>
      <c r="K2357" s="1438"/>
      <c r="L2357" s="1438"/>
      <c r="M2357" s="1437">
        <f t="shared" si="330"/>
        <v>0</v>
      </c>
      <c r="N2357" s="1437">
        <f t="shared" si="334"/>
        <v>1.6370498000000001E-2</v>
      </c>
    </row>
    <row r="2358" spans="1:14" outlineLevel="1">
      <c r="A2358" s="1499">
        <f t="shared" si="338"/>
        <v>158</v>
      </c>
      <c r="B2358" s="1539" t="str">
        <f t="shared" si="338"/>
        <v>Asset Recived From Project-U#8-Bus Ducts-10612</v>
      </c>
      <c r="C2358" s="1491" t="str">
        <f t="shared" si="338"/>
        <v>N.A.</v>
      </c>
      <c r="D2358" s="1531" t="str">
        <f t="shared" si="338"/>
        <v>-</v>
      </c>
      <c r="E2358" s="1318">
        <f t="shared" si="338"/>
        <v>0</v>
      </c>
      <c r="F2358" s="1437">
        <f t="shared" si="331"/>
        <v>1.2547599E-2</v>
      </c>
      <c r="G2358" s="1437">
        <f t="shared" si="332"/>
        <v>0</v>
      </c>
      <c r="H2358" s="1437">
        <f t="shared" si="333"/>
        <v>1.2547599E-2</v>
      </c>
      <c r="I2358" s="1437">
        <v>0</v>
      </c>
      <c r="J2358" s="1437">
        <v>0</v>
      </c>
      <c r="K2358" s="1438"/>
      <c r="L2358" s="1438"/>
      <c r="M2358" s="1437">
        <f t="shared" si="330"/>
        <v>0</v>
      </c>
      <c r="N2358" s="1437">
        <f t="shared" si="334"/>
        <v>1.2547599E-2</v>
      </c>
    </row>
    <row r="2359" spans="1:14" outlineLevel="1">
      <c r="A2359" s="1499">
        <f t="shared" si="338"/>
        <v>159</v>
      </c>
      <c r="B2359" s="1539" t="str">
        <f t="shared" si="338"/>
        <v>Asset Recived From Project-U#8-Cable trays &amp; supports-10612</v>
      </c>
      <c r="C2359" s="1491" t="str">
        <f t="shared" si="338"/>
        <v>N.A.</v>
      </c>
      <c r="D2359" s="1531" t="str">
        <f t="shared" si="338"/>
        <v>-</v>
      </c>
      <c r="E2359" s="1318">
        <f t="shared" si="338"/>
        <v>0</v>
      </c>
      <c r="F2359" s="1437">
        <f t="shared" si="331"/>
        <v>3.6008699999999998E-4</v>
      </c>
      <c r="G2359" s="1437">
        <f t="shared" si="332"/>
        <v>0</v>
      </c>
      <c r="H2359" s="1437">
        <f t="shared" si="333"/>
        <v>3.6008699999999998E-4</v>
      </c>
      <c r="I2359" s="1437">
        <v>0</v>
      </c>
      <c r="J2359" s="1437">
        <v>0</v>
      </c>
      <c r="K2359" s="1438"/>
      <c r="L2359" s="1438"/>
      <c r="M2359" s="1437">
        <f t="shared" ref="M2359:M2362" si="339">SUM(J2359:L2359)</f>
        <v>0</v>
      </c>
      <c r="N2359" s="1437">
        <f t="shared" si="334"/>
        <v>3.6008699999999998E-4</v>
      </c>
    </row>
    <row r="2360" spans="1:14" outlineLevel="1">
      <c r="A2360" s="1499">
        <f t="shared" si="338"/>
        <v>160</v>
      </c>
      <c r="B2360" s="1539" t="str">
        <f t="shared" si="338"/>
        <v>Project-U#8-PCR FURNITURE-10810</v>
      </c>
      <c r="C2360" s="1491" t="str">
        <f t="shared" si="338"/>
        <v>N.A.</v>
      </c>
      <c r="D2360" s="1531" t="str">
        <f t="shared" si="338"/>
        <v>-</v>
      </c>
      <c r="E2360" s="1318">
        <f t="shared" si="338"/>
        <v>0</v>
      </c>
      <c r="F2360" s="1437">
        <f t="shared" ref="F2360:F2362" si="340">F1967+I1967</f>
        <v>3.0684199999999999E-4</v>
      </c>
      <c r="G2360" s="1437">
        <f t="shared" ref="G2360:G2362" si="341">G1967+M1967</f>
        <v>0</v>
      </c>
      <c r="H2360" s="1437">
        <f t="shared" si="333"/>
        <v>3.0684199999999999E-4</v>
      </c>
      <c r="I2360" s="1437">
        <v>0</v>
      </c>
      <c r="J2360" s="1437">
        <v>0</v>
      </c>
      <c r="K2360" s="1438"/>
      <c r="L2360" s="1438"/>
      <c r="M2360" s="1437">
        <f t="shared" si="339"/>
        <v>0</v>
      </c>
      <c r="N2360" s="1437">
        <f t="shared" si="334"/>
        <v>3.0684199999999999E-4</v>
      </c>
    </row>
    <row r="2361" spans="1:14" outlineLevel="1">
      <c r="A2361" s="1499">
        <f t="shared" si="338"/>
        <v>161</v>
      </c>
      <c r="B2361" s="1539" t="str">
        <f t="shared" si="338"/>
        <v>Project-U#8 Server Intel QUAD CORE 02No. HP Office Server</v>
      </c>
      <c r="C2361" s="1491" t="str">
        <f t="shared" si="338"/>
        <v>N.A.</v>
      </c>
      <c r="D2361" s="1531" t="str">
        <f t="shared" si="338"/>
        <v>-</v>
      </c>
      <c r="E2361" s="1318">
        <f t="shared" si="338"/>
        <v>0</v>
      </c>
      <c r="F2361" s="1437">
        <f t="shared" si="340"/>
        <v>0.11917999999999999</v>
      </c>
      <c r="G2361" s="1437">
        <f t="shared" si="341"/>
        <v>0.11917999999999999</v>
      </c>
      <c r="H2361" s="1437">
        <f t="shared" ref="H2361:H2362" si="342">F2361-G2361</f>
        <v>0</v>
      </c>
      <c r="I2361" s="1437">
        <v>0</v>
      </c>
      <c r="J2361" s="1437">
        <v>0</v>
      </c>
      <c r="K2361" s="1438"/>
      <c r="L2361" s="1438"/>
      <c r="M2361" s="1437">
        <f t="shared" si="339"/>
        <v>0</v>
      </c>
      <c r="N2361" s="1437">
        <f t="shared" ref="N2361:N2362" si="343">H2361+I2361-M2361</f>
        <v>0</v>
      </c>
    </row>
    <row r="2362" spans="1:14" ht="15" outlineLevel="1" thickBot="1">
      <c r="A2362" s="1499">
        <f t="shared" si="338"/>
        <v>162</v>
      </c>
      <c r="B2362" s="1539" t="str">
        <f t="shared" si="338"/>
        <v>Supply Erection testing and commissining of 1000 m3 ETP Civil works</v>
      </c>
      <c r="C2362" s="1491" t="str">
        <f t="shared" si="338"/>
        <v>N.A.</v>
      </c>
      <c r="D2362" s="1531" t="str">
        <f t="shared" si="338"/>
        <v>-</v>
      </c>
      <c r="E2362" s="1318">
        <f t="shared" si="338"/>
        <v>0</v>
      </c>
      <c r="F2362" s="1437">
        <f t="shared" si="340"/>
        <v>0.68323680199999992</v>
      </c>
      <c r="G2362" s="1437">
        <f t="shared" si="341"/>
        <v>0.68323680199999992</v>
      </c>
      <c r="H2362" s="1437">
        <f t="shared" si="342"/>
        <v>0</v>
      </c>
      <c r="I2362" s="1437">
        <v>0</v>
      </c>
      <c r="J2362" s="1437">
        <v>0</v>
      </c>
      <c r="K2362" s="1438"/>
      <c r="L2362" s="1438"/>
      <c r="M2362" s="1437">
        <f t="shared" si="339"/>
        <v>0</v>
      </c>
      <c r="N2362" s="1437">
        <f t="shared" si="343"/>
        <v>0</v>
      </c>
    </row>
    <row r="2363" spans="1:14" ht="15" thickBot="1">
      <c r="A2363" s="1311"/>
      <c r="B2363" s="1431" t="s">
        <v>271</v>
      </c>
      <c r="C2363" s="1311"/>
      <c r="D2363" s="1432"/>
      <c r="E2363" s="1431"/>
      <c r="F2363" s="1543">
        <f>SUM(F1976:F2362)</f>
        <v>664.82354515099883</v>
      </c>
      <c r="G2363" s="1543">
        <f t="shared" ref="G2363:N2363" si="344">SUM(G1976:G2362)</f>
        <v>671.10262843100008</v>
      </c>
      <c r="H2363" s="1543">
        <f t="shared" si="344"/>
        <v>-6.279083280000016</v>
      </c>
      <c r="I2363" s="1543">
        <f t="shared" si="344"/>
        <v>161.54</v>
      </c>
      <c r="J2363" s="1543">
        <f t="shared" si="344"/>
        <v>161.54</v>
      </c>
      <c r="K2363" s="1543">
        <f t="shared" si="344"/>
        <v>0</v>
      </c>
      <c r="L2363" s="1543">
        <f t="shared" si="344"/>
        <v>0</v>
      </c>
      <c r="M2363" s="1543">
        <f t="shared" si="344"/>
        <v>161.54</v>
      </c>
      <c r="N2363" s="1543">
        <f t="shared" si="344"/>
        <v>-6.279083280000016</v>
      </c>
    </row>
    <row r="2365" spans="1:14">
      <c r="A2365" s="1486"/>
      <c r="B2365" s="1433" t="s">
        <v>961</v>
      </c>
      <c r="C2365" s="1309"/>
      <c r="D2365" s="1432"/>
      <c r="E2365" s="1309"/>
      <c r="F2365" s="1433"/>
      <c r="G2365" s="1433"/>
      <c r="H2365" s="1433"/>
      <c r="I2365" s="1433"/>
      <c r="J2365" s="1433"/>
      <c r="K2365" s="1433"/>
      <c r="L2365" s="1433"/>
      <c r="M2365" s="1433"/>
      <c r="N2365" s="1433"/>
    </row>
    <row r="2366" spans="1:14" outlineLevel="1">
      <c r="A2366" s="1487">
        <f t="shared" ref="A2366:E2381" si="345">A1973</f>
        <v>0</v>
      </c>
      <c r="B2366" s="1332" t="str">
        <f t="shared" si="345"/>
        <v>Add Cap (As per 296 of 2019)</v>
      </c>
      <c r="C2366" s="1488"/>
      <c r="D2366" s="1489"/>
      <c r="E2366" s="1490"/>
      <c r="F2366" s="1437"/>
      <c r="G2366" s="1437"/>
      <c r="H2366" s="1437"/>
      <c r="I2366" s="1437"/>
      <c r="J2366" s="1437"/>
      <c r="K2366" s="1438"/>
      <c r="L2366" s="1438"/>
      <c r="M2366" s="1437"/>
      <c r="N2366" s="1437"/>
    </row>
    <row r="2367" spans="1:14" ht="17.5" outlineLevel="1">
      <c r="A2367" s="1491" t="str">
        <f t="shared" si="345"/>
        <v>A</v>
      </c>
      <c r="B2367" s="1333" t="str">
        <f t="shared" si="345"/>
        <v xml:space="preserve">Initial spares </v>
      </c>
      <c r="C2367" s="1492" t="str">
        <f t="shared" si="345"/>
        <v>Add Cap (As per 296 of 2019)</v>
      </c>
      <c r="D2367" s="1334" t="str">
        <f t="shared" si="345"/>
        <v>-</v>
      </c>
      <c r="E2367" s="1335">
        <f t="shared" si="345"/>
        <v>0</v>
      </c>
      <c r="F2367" s="1437"/>
      <c r="G2367" s="1437"/>
      <c r="H2367" s="1437"/>
      <c r="I2367" s="1437"/>
      <c r="J2367" s="1437"/>
      <c r="K2367" s="1438"/>
      <c r="L2367" s="1438"/>
      <c r="M2367" s="1437"/>
      <c r="N2367" s="1437"/>
    </row>
    <row r="2368" spans="1:14" ht="15.5" outlineLevel="1">
      <c r="A2368" s="1493">
        <f t="shared" si="345"/>
        <v>1</v>
      </c>
      <c r="B2368" s="1494" t="str">
        <f t="shared" si="345"/>
        <v>Boiler and Auxiliaries</v>
      </c>
      <c r="C2368" s="1495" t="str">
        <f t="shared" si="345"/>
        <v>Add Cap (As per 296 of 2019)</v>
      </c>
      <c r="D2368" s="1341" t="str">
        <f t="shared" si="345"/>
        <v>-</v>
      </c>
      <c r="E2368" s="1496">
        <f t="shared" si="345"/>
        <v>7.2</v>
      </c>
      <c r="F2368" s="1437"/>
      <c r="G2368" s="1437"/>
      <c r="H2368" s="1437"/>
      <c r="I2368" s="1437"/>
      <c r="J2368" s="1437"/>
      <c r="K2368" s="1438"/>
      <c r="L2368" s="1438"/>
      <c r="M2368" s="1437"/>
      <c r="N2368" s="1437"/>
    </row>
    <row r="2369" spans="1:14" ht="31" outlineLevel="1">
      <c r="A2369" s="1491">
        <f t="shared" si="345"/>
        <v>1</v>
      </c>
      <c r="B2369" s="1497" t="str">
        <f t="shared" si="345"/>
        <v>Procurement of Coal Mill XRP-903 Gear Box Type KMP-280 Spares of Unit # 8 at BM-NPTPS Parli-Vaijnath</v>
      </c>
      <c r="C2369" s="1492" t="str">
        <f t="shared" si="345"/>
        <v>Add Cap (As per 296 of 2019)</v>
      </c>
      <c r="D2369" s="1334" t="str">
        <f t="shared" si="345"/>
        <v>-</v>
      </c>
      <c r="E2369" s="1498">
        <f t="shared" si="345"/>
        <v>0</v>
      </c>
      <c r="F2369" s="1437">
        <f t="shared" ref="F2369:F2432" si="346">F1976+I1976</f>
        <v>1.35</v>
      </c>
      <c r="G2369" s="1437">
        <f t="shared" ref="G2369:G2432" si="347">G1976+M1976</f>
        <v>1.35</v>
      </c>
      <c r="H2369" s="1437">
        <f t="shared" ref="H2369:H2432" si="348">F2369-G2369</f>
        <v>0</v>
      </c>
      <c r="I2369" s="1437">
        <v>0</v>
      </c>
      <c r="J2369" s="1437">
        <v>0</v>
      </c>
      <c r="K2369" s="1438"/>
      <c r="L2369" s="1438"/>
      <c r="M2369" s="1437">
        <f t="shared" ref="M2369:M2432" si="349">SUM(J2369:L2369)</f>
        <v>0</v>
      </c>
      <c r="N2369" s="1437">
        <f t="shared" ref="N2369:N2432" si="350">H2369+I2369-M2369</f>
        <v>0</v>
      </c>
    </row>
    <row r="2370" spans="1:14" ht="31" outlineLevel="1">
      <c r="A2370" s="1491">
        <f t="shared" si="345"/>
        <v>2</v>
      </c>
      <c r="B2370" s="1497" t="str">
        <f t="shared" si="345"/>
        <v>Supply of Labyrinth Seal Rings with replaceable Inner liners for Coal Mill XRP-903 required for BM Unit-8, NPTPS, Parli-V.</v>
      </c>
      <c r="C2370" s="1492" t="str">
        <f t="shared" si="345"/>
        <v>Add Cap (As per 296 of 2019)</v>
      </c>
      <c r="D2370" s="1334" t="str">
        <f t="shared" si="345"/>
        <v>-</v>
      </c>
      <c r="E2370" s="1498">
        <f t="shared" si="345"/>
        <v>0</v>
      </c>
      <c r="F2370" s="1437">
        <f t="shared" si="346"/>
        <v>0.33134400000000003</v>
      </c>
      <c r="G2370" s="1437">
        <f t="shared" si="347"/>
        <v>0.33134400000000003</v>
      </c>
      <c r="H2370" s="1437">
        <f t="shared" si="348"/>
        <v>0</v>
      </c>
      <c r="I2370" s="1437">
        <v>0</v>
      </c>
      <c r="J2370" s="1437">
        <v>0</v>
      </c>
      <c r="K2370" s="1438"/>
      <c r="L2370" s="1438"/>
      <c r="M2370" s="1437">
        <f t="shared" si="349"/>
        <v>0</v>
      </c>
      <c r="N2370" s="1437">
        <f t="shared" si="350"/>
        <v>0</v>
      </c>
    </row>
    <row r="2371" spans="1:14" ht="31" outlineLevel="1">
      <c r="A2371" s="1491">
        <f t="shared" si="345"/>
        <v>3</v>
      </c>
      <c r="B2371" s="1497" t="str">
        <f t="shared" si="345"/>
        <v>Supply and Installation of coal mill  liners(weld overlay) of XRP-903 Coal Mill in BM U-8, NPTPS,Parli-V.</v>
      </c>
      <c r="C2371" s="1492" t="str">
        <f t="shared" si="345"/>
        <v>Add Cap (As per 296 of 2019)</v>
      </c>
      <c r="D2371" s="1334" t="str">
        <f t="shared" si="345"/>
        <v>-</v>
      </c>
      <c r="E2371" s="1498">
        <f t="shared" si="345"/>
        <v>0</v>
      </c>
      <c r="F2371" s="1437">
        <f t="shared" si="346"/>
        <v>0.33134400000000003</v>
      </c>
      <c r="G2371" s="1437">
        <f t="shared" si="347"/>
        <v>0.33134400000000003</v>
      </c>
      <c r="H2371" s="1437">
        <f t="shared" si="348"/>
        <v>0</v>
      </c>
      <c r="I2371" s="1437">
        <v>0</v>
      </c>
      <c r="J2371" s="1437">
        <v>0</v>
      </c>
      <c r="K2371" s="1438"/>
      <c r="L2371" s="1438"/>
      <c r="M2371" s="1437">
        <f t="shared" si="349"/>
        <v>0</v>
      </c>
      <c r="N2371" s="1437">
        <f t="shared" si="350"/>
        <v>0</v>
      </c>
    </row>
    <row r="2372" spans="1:14" ht="31" outlineLevel="1">
      <c r="A2372" s="1491">
        <f t="shared" si="345"/>
        <v>4</v>
      </c>
      <c r="B2372" s="1497" t="str">
        <f t="shared" si="345"/>
        <v>Procurement of Coal Mill XRP-903 Bowl &amp; Bowl Hub of Unit # 8 at BM-NPTPS Parli-Vaijnath</v>
      </c>
      <c r="C2372" s="1492" t="str">
        <f t="shared" si="345"/>
        <v>Add Cap (As per 296 of 2019)</v>
      </c>
      <c r="D2372" s="1334" t="str">
        <f t="shared" si="345"/>
        <v>-</v>
      </c>
      <c r="E2372" s="1498">
        <f t="shared" si="345"/>
        <v>0</v>
      </c>
      <c r="F2372" s="1437">
        <f t="shared" si="346"/>
        <v>0.73326380000000002</v>
      </c>
      <c r="G2372" s="1437">
        <f t="shared" si="347"/>
        <v>0.73326380000000002</v>
      </c>
      <c r="H2372" s="1437">
        <f t="shared" si="348"/>
        <v>0</v>
      </c>
      <c r="I2372" s="1437">
        <v>0</v>
      </c>
      <c r="J2372" s="1437">
        <v>0</v>
      </c>
      <c r="K2372" s="1438"/>
      <c r="L2372" s="1438"/>
      <c r="M2372" s="1437">
        <f t="shared" si="349"/>
        <v>0</v>
      </c>
      <c r="N2372" s="1437">
        <f t="shared" si="350"/>
        <v>0</v>
      </c>
    </row>
    <row r="2373" spans="1:14" ht="15.5" outlineLevel="1">
      <c r="A2373" s="1491">
        <f t="shared" si="345"/>
        <v>5</v>
      </c>
      <c r="B2373" s="1497" t="str">
        <f t="shared" si="345"/>
        <v>Supply of impeller assembly for ID fan</v>
      </c>
      <c r="C2373" s="1492" t="str">
        <f t="shared" si="345"/>
        <v>Add Cap (As per 296 of 2019)</v>
      </c>
      <c r="D2373" s="1334" t="str">
        <f t="shared" si="345"/>
        <v>-</v>
      </c>
      <c r="E2373" s="1358">
        <f t="shared" si="345"/>
        <v>0</v>
      </c>
      <c r="F2373" s="1437">
        <f t="shared" si="346"/>
        <v>0.52329999999999999</v>
      </c>
      <c r="G2373" s="1437">
        <f t="shared" si="347"/>
        <v>0.52329999999999999</v>
      </c>
      <c r="H2373" s="1437">
        <f t="shared" si="348"/>
        <v>0</v>
      </c>
      <c r="I2373" s="1437">
        <v>0</v>
      </c>
      <c r="J2373" s="1437">
        <v>0</v>
      </c>
      <c r="K2373" s="1438"/>
      <c r="L2373" s="1438"/>
      <c r="M2373" s="1437">
        <f t="shared" si="349"/>
        <v>0</v>
      </c>
      <c r="N2373" s="1437">
        <f t="shared" si="350"/>
        <v>0</v>
      </c>
    </row>
    <row r="2374" spans="1:14" ht="31" outlineLevel="1">
      <c r="A2374" s="1491">
        <f t="shared" si="345"/>
        <v>6</v>
      </c>
      <c r="B2374" s="1497" t="str">
        <f t="shared" si="345"/>
        <v>Procurement of Primary Air Fan &amp; Forced Draught Fan Drive Coupling on OEM basis required at BM U-8, NPTPS, Parli-V</v>
      </c>
      <c r="C2374" s="1492" t="str">
        <f t="shared" si="345"/>
        <v>Add Cap (As per 296 of 2019)</v>
      </c>
      <c r="D2374" s="1334" t="str">
        <f t="shared" si="345"/>
        <v>-</v>
      </c>
      <c r="E2374" s="1358">
        <f t="shared" si="345"/>
        <v>0</v>
      </c>
      <c r="F2374" s="1437">
        <f t="shared" si="346"/>
        <v>0.19409999999999999</v>
      </c>
      <c r="G2374" s="1437">
        <f t="shared" si="347"/>
        <v>0.19409999999999999</v>
      </c>
      <c r="H2374" s="1437">
        <f t="shared" si="348"/>
        <v>0</v>
      </c>
      <c r="I2374" s="1437">
        <v>0</v>
      </c>
      <c r="J2374" s="1437">
        <v>0</v>
      </c>
      <c r="K2374" s="1438"/>
      <c r="L2374" s="1438"/>
      <c r="M2374" s="1437">
        <f t="shared" si="349"/>
        <v>0</v>
      </c>
      <c r="N2374" s="1437">
        <f t="shared" si="350"/>
        <v>0</v>
      </c>
    </row>
    <row r="2375" spans="1:14" ht="46.5" outlineLevel="1">
      <c r="A2375" s="1491">
        <f t="shared" si="345"/>
        <v>7</v>
      </c>
      <c r="B2375" s="1497" t="str">
        <f t="shared" si="345"/>
        <v>Procurement of  Primary Air Fan PAF 17/11.8-2 Hydraulic Adjustment Device on OEM basis required at BM U-8 NPTPS Parli-V</v>
      </c>
      <c r="C2375" s="1492" t="str">
        <f t="shared" si="345"/>
        <v>Add Cap (As per 296 of 2019)</v>
      </c>
      <c r="D2375" s="1334" t="str">
        <f t="shared" si="345"/>
        <v>-</v>
      </c>
      <c r="E2375" s="1359">
        <f t="shared" si="345"/>
        <v>0</v>
      </c>
      <c r="F2375" s="1437">
        <f t="shared" si="346"/>
        <v>0.53521083000000003</v>
      </c>
      <c r="G2375" s="1437">
        <f t="shared" si="347"/>
        <v>0.53521083000000003</v>
      </c>
      <c r="H2375" s="1437">
        <f t="shared" si="348"/>
        <v>0</v>
      </c>
      <c r="I2375" s="1437">
        <v>0</v>
      </c>
      <c r="J2375" s="1437">
        <v>0</v>
      </c>
      <c r="K2375" s="1438"/>
      <c r="L2375" s="1438"/>
      <c r="M2375" s="1437">
        <f t="shared" si="349"/>
        <v>0</v>
      </c>
      <c r="N2375" s="1437">
        <f t="shared" si="350"/>
        <v>0</v>
      </c>
    </row>
    <row r="2376" spans="1:14" ht="31" outlineLevel="1">
      <c r="A2376" s="1491">
        <f t="shared" si="345"/>
        <v>8</v>
      </c>
      <c r="B2376" s="1497" t="str">
        <f t="shared" si="345"/>
        <v>Proc of spares for fabric expansion joints required at BM U-8, NPTPS, Parli-V.</v>
      </c>
      <c r="C2376" s="1492" t="str">
        <f t="shared" si="345"/>
        <v>Add Cap (As per 296 of 2019)</v>
      </c>
      <c r="D2376" s="1334" t="str">
        <f t="shared" si="345"/>
        <v>-</v>
      </c>
      <c r="E2376" s="1358">
        <f t="shared" si="345"/>
        <v>0</v>
      </c>
      <c r="F2376" s="1437">
        <f t="shared" si="346"/>
        <v>0.56971689999999997</v>
      </c>
      <c r="G2376" s="1437">
        <f t="shared" si="347"/>
        <v>0.56971689999999997</v>
      </c>
      <c r="H2376" s="1437">
        <f t="shared" si="348"/>
        <v>0</v>
      </c>
      <c r="I2376" s="1437">
        <v>0</v>
      </c>
      <c r="J2376" s="1437">
        <v>0</v>
      </c>
      <c r="K2376" s="1438"/>
      <c r="L2376" s="1438"/>
      <c r="M2376" s="1437">
        <f t="shared" si="349"/>
        <v>0</v>
      </c>
      <c r="N2376" s="1437">
        <f t="shared" si="350"/>
        <v>0</v>
      </c>
    </row>
    <row r="2377" spans="1:14" ht="31" outlineLevel="1">
      <c r="A2377" s="1491">
        <f t="shared" si="345"/>
        <v>9</v>
      </c>
      <c r="B2377" s="1497" t="str">
        <f t="shared" si="345"/>
        <v>Proc of separator body and seperator top spares for coal mill XRP-903 at BM U-8, NPTPS Parli-V.</v>
      </c>
      <c r="C2377" s="1492" t="str">
        <f t="shared" si="345"/>
        <v>Add Cap (As per 296 of 2019)</v>
      </c>
      <c r="D2377" s="1334" t="str">
        <f t="shared" si="345"/>
        <v>-</v>
      </c>
      <c r="E2377" s="1358">
        <f t="shared" si="345"/>
        <v>0</v>
      </c>
      <c r="F2377" s="1437">
        <f t="shared" si="346"/>
        <v>0.42568995599999998</v>
      </c>
      <c r="G2377" s="1437">
        <f t="shared" si="347"/>
        <v>0.42568995599999998</v>
      </c>
      <c r="H2377" s="1437">
        <f t="shared" si="348"/>
        <v>0</v>
      </c>
      <c r="I2377" s="1437">
        <v>0</v>
      </c>
      <c r="J2377" s="1437">
        <v>0</v>
      </c>
      <c r="K2377" s="1438"/>
      <c r="L2377" s="1438"/>
      <c r="M2377" s="1437">
        <f t="shared" si="349"/>
        <v>0</v>
      </c>
      <c r="N2377" s="1437">
        <f t="shared" si="350"/>
        <v>0</v>
      </c>
    </row>
    <row r="2378" spans="1:14" ht="31" outlineLevel="1">
      <c r="A2378" s="1491">
        <f t="shared" si="345"/>
        <v>10</v>
      </c>
      <c r="B2378" s="1497" t="str">
        <f t="shared" si="345"/>
        <v>Proc of scrapper area &amp; reject system spares for coal mill XRP-903 at BM U-8, NPTPS Parli-V.</v>
      </c>
      <c r="C2378" s="1492" t="str">
        <f t="shared" si="345"/>
        <v>Add Cap (As per 296 of 2019)</v>
      </c>
      <c r="D2378" s="1334" t="str">
        <f t="shared" si="345"/>
        <v>-</v>
      </c>
      <c r="E2378" s="1358">
        <f t="shared" si="345"/>
        <v>0</v>
      </c>
      <c r="F2378" s="1437">
        <f t="shared" si="346"/>
        <v>0.27832896000000001</v>
      </c>
      <c r="G2378" s="1437">
        <f t="shared" si="347"/>
        <v>0.27832896000000001</v>
      </c>
      <c r="H2378" s="1437">
        <f t="shared" si="348"/>
        <v>0</v>
      </c>
      <c r="I2378" s="1437">
        <v>0</v>
      </c>
      <c r="J2378" s="1437">
        <v>0</v>
      </c>
      <c r="K2378" s="1438"/>
      <c r="L2378" s="1438"/>
      <c r="M2378" s="1437">
        <f t="shared" si="349"/>
        <v>0</v>
      </c>
      <c r="N2378" s="1437">
        <f t="shared" si="350"/>
        <v>0</v>
      </c>
    </row>
    <row r="2379" spans="1:14" ht="15.5" outlineLevel="1">
      <c r="A2379" s="1491">
        <f t="shared" si="345"/>
        <v>11</v>
      </c>
      <c r="B2379" s="1497" t="str">
        <f t="shared" si="345"/>
        <v>Proc of seal air fan spares at BM-8 NPTPS, Parli-V.</v>
      </c>
      <c r="C2379" s="1492" t="str">
        <f t="shared" si="345"/>
        <v>Add Cap (As per 296 of 2019)</v>
      </c>
      <c r="D2379" s="1334" t="str">
        <f t="shared" si="345"/>
        <v>-</v>
      </c>
      <c r="E2379" s="1359">
        <f t="shared" si="345"/>
        <v>0</v>
      </c>
      <c r="F2379" s="1437">
        <f t="shared" si="346"/>
        <v>0.26431690000000002</v>
      </c>
      <c r="G2379" s="1437">
        <f t="shared" si="347"/>
        <v>0.26431690000000002</v>
      </c>
      <c r="H2379" s="1437">
        <f t="shared" si="348"/>
        <v>0</v>
      </c>
      <c r="I2379" s="1437">
        <v>0</v>
      </c>
      <c r="J2379" s="1437">
        <v>0</v>
      </c>
      <c r="K2379" s="1438"/>
      <c r="L2379" s="1438"/>
      <c r="M2379" s="1437">
        <f t="shared" si="349"/>
        <v>0</v>
      </c>
      <c r="N2379" s="1437">
        <f t="shared" si="350"/>
        <v>0</v>
      </c>
    </row>
    <row r="2380" spans="1:14" ht="31" outlineLevel="1">
      <c r="A2380" s="1491">
        <f t="shared" si="345"/>
        <v>12</v>
      </c>
      <c r="B2380" s="1497" t="str">
        <f t="shared" si="345"/>
        <v>Procurement of  FD Fan Type FAF 17/9.5-1 Drive Coupling required at BM U-8 NPTPS Parli-V</v>
      </c>
      <c r="C2380" s="1492" t="str">
        <f t="shared" si="345"/>
        <v>Add Cap (As per 296 of 2019)</v>
      </c>
      <c r="D2380" s="1334" t="str">
        <f t="shared" si="345"/>
        <v>-</v>
      </c>
      <c r="E2380" s="1358">
        <f t="shared" si="345"/>
        <v>0</v>
      </c>
      <c r="F2380" s="1437">
        <f t="shared" si="346"/>
        <v>0</v>
      </c>
      <c r="G2380" s="1437">
        <f t="shared" si="347"/>
        <v>0</v>
      </c>
      <c r="H2380" s="1437">
        <f t="shared" si="348"/>
        <v>0</v>
      </c>
      <c r="I2380" s="1437">
        <v>0</v>
      </c>
      <c r="J2380" s="1437">
        <v>0</v>
      </c>
      <c r="K2380" s="1438"/>
      <c r="L2380" s="1438"/>
      <c r="M2380" s="1437">
        <f t="shared" si="349"/>
        <v>0</v>
      </c>
      <c r="N2380" s="1437">
        <f t="shared" si="350"/>
        <v>0</v>
      </c>
    </row>
    <row r="2381" spans="1:14" ht="31" outlineLevel="1">
      <c r="A2381" s="1491">
        <f t="shared" si="345"/>
        <v>13</v>
      </c>
      <c r="B2381" s="1497" t="str">
        <f t="shared" si="345"/>
        <v>Procurement of complete planatary gear box-KMP -280/300 for coal mill XRP-903 at BM U-8 NPTPS Parli-V</v>
      </c>
      <c r="C2381" s="1492" t="str">
        <f t="shared" si="345"/>
        <v>Add Cap (As per 296 of 2019)</v>
      </c>
      <c r="D2381" s="1334" t="str">
        <f t="shared" si="345"/>
        <v>-</v>
      </c>
      <c r="E2381" s="1358">
        <f t="shared" si="345"/>
        <v>0</v>
      </c>
      <c r="F2381" s="1437">
        <f t="shared" si="346"/>
        <v>0</v>
      </c>
      <c r="G2381" s="1437">
        <f t="shared" si="347"/>
        <v>0</v>
      </c>
      <c r="H2381" s="1437">
        <f t="shared" si="348"/>
        <v>0</v>
      </c>
      <c r="I2381" s="1437">
        <v>0</v>
      </c>
      <c r="J2381" s="1437">
        <v>0</v>
      </c>
      <c r="K2381" s="1438"/>
      <c r="L2381" s="1438"/>
      <c r="M2381" s="1437">
        <f t="shared" si="349"/>
        <v>0</v>
      </c>
      <c r="N2381" s="1437">
        <f t="shared" si="350"/>
        <v>0</v>
      </c>
    </row>
    <row r="2382" spans="1:14" ht="15.5" outlineLevel="1">
      <c r="A2382" s="1493">
        <f t="shared" ref="A2382:E2397" si="351">A1989</f>
        <v>2</v>
      </c>
      <c r="B2382" s="1494" t="str">
        <f t="shared" si="351"/>
        <v>Turbine and Auxiliaries</v>
      </c>
      <c r="C2382" s="1495" t="str">
        <f t="shared" si="351"/>
        <v>Add Cap (As per 296 of 2019)</v>
      </c>
      <c r="D2382" s="1341" t="str">
        <f t="shared" si="351"/>
        <v>-</v>
      </c>
      <c r="E2382" s="1496">
        <f t="shared" si="351"/>
        <v>4.3</v>
      </c>
      <c r="F2382" s="1437">
        <f t="shared" si="346"/>
        <v>0</v>
      </c>
      <c r="G2382" s="1437">
        <f t="shared" si="347"/>
        <v>0</v>
      </c>
      <c r="H2382" s="1437">
        <f t="shared" si="348"/>
        <v>0</v>
      </c>
      <c r="I2382" s="1437">
        <v>0</v>
      </c>
      <c r="J2382" s="1437">
        <v>0</v>
      </c>
      <c r="K2382" s="1438"/>
      <c r="L2382" s="1438"/>
      <c r="M2382" s="1437">
        <f t="shared" si="349"/>
        <v>0</v>
      </c>
      <c r="N2382" s="1437">
        <f t="shared" si="350"/>
        <v>0</v>
      </c>
    </row>
    <row r="2383" spans="1:14" ht="46.5" outlineLevel="1">
      <c r="A2383" s="1499">
        <f t="shared" si="351"/>
        <v>1</v>
      </c>
      <c r="B2383" s="1497" t="str">
        <f t="shared" si="351"/>
        <v>Procurement of spares for Equipment Cooling Water Pumps (Make-FLOWMORE) of model FIG-5824 (SG Side) and FIG-5822 (TG side) at Unit-8 NPTPS Parli-V</v>
      </c>
      <c r="C2383" s="1492" t="str">
        <f t="shared" si="351"/>
        <v>Add Cap (As per 296 of 2019)</v>
      </c>
      <c r="D2383" s="1334" t="str">
        <f t="shared" si="351"/>
        <v>-</v>
      </c>
      <c r="E2383" s="1358">
        <f t="shared" si="351"/>
        <v>0</v>
      </c>
      <c r="F2383" s="1437">
        <f t="shared" si="346"/>
        <v>0.51811829399999998</v>
      </c>
      <c r="G2383" s="1437">
        <f t="shared" si="347"/>
        <v>0.51811829399999998</v>
      </c>
      <c r="H2383" s="1437">
        <f t="shared" si="348"/>
        <v>0</v>
      </c>
      <c r="I2383" s="1437">
        <v>0</v>
      </c>
      <c r="J2383" s="1437">
        <v>0</v>
      </c>
      <c r="K2383" s="1438"/>
      <c r="L2383" s="1438"/>
      <c r="M2383" s="1437">
        <f t="shared" si="349"/>
        <v>0</v>
      </c>
      <c r="N2383" s="1437">
        <f t="shared" si="350"/>
        <v>0</v>
      </c>
    </row>
    <row r="2384" spans="1:14" ht="15.5" outlineLevel="1">
      <c r="A2384" s="1499">
        <f t="shared" si="351"/>
        <v>2</v>
      </c>
      <c r="B2384" s="1497" t="str">
        <f t="shared" si="351"/>
        <v>Supply of spars for recovery &amp; FF Pumps along with work  at U#8</v>
      </c>
      <c r="C2384" s="1492" t="str">
        <f t="shared" si="351"/>
        <v>Add Cap (As per 296 of 2019)</v>
      </c>
      <c r="D2384" s="1334" t="str">
        <f t="shared" si="351"/>
        <v>-</v>
      </c>
      <c r="E2384" s="1359">
        <f t="shared" si="351"/>
        <v>0</v>
      </c>
      <c r="F2384" s="1437">
        <f t="shared" si="346"/>
        <v>0.37712800000000002</v>
      </c>
      <c r="G2384" s="1437">
        <f t="shared" si="347"/>
        <v>0.37712800000000002</v>
      </c>
      <c r="H2384" s="1437">
        <f t="shared" si="348"/>
        <v>0</v>
      </c>
      <c r="I2384" s="1437">
        <v>0</v>
      </c>
      <c r="J2384" s="1437">
        <v>0</v>
      </c>
      <c r="K2384" s="1438"/>
      <c r="L2384" s="1438"/>
      <c r="M2384" s="1437">
        <f t="shared" si="349"/>
        <v>0</v>
      </c>
      <c r="N2384" s="1437">
        <f t="shared" si="350"/>
        <v>0</v>
      </c>
    </row>
    <row r="2385" spans="1:14" ht="15.5" outlineLevel="1">
      <c r="A2385" s="1499">
        <f t="shared" si="351"/>
        <v>3</v>
      </c>
      <c r="B2385" s="1497" t="str">
        <f t="shared" si="351"/>
        <v>Supply of seal oil vacuum pump  in unit 08</v>
      </c>
      <c r="C2385" s="1492" t="str">
        <f t="shared" si="351"/>
        <v>Add Cap (As per 296 of 2019)</v>
      </c>
      <c r="D2385" s="1334" t="str">
        <f t="shared" si="351"/>
        <v>-</v>
      </c>
      <c r="E2385" s="1358">
        <f t="shared" si="351"/>
        <v>0</v>
      </c>
      <c r="F2385" s="1437">
        <f t="shared" si="346"/>
        <v>0.27501740000000002</v>
      </c>
      <c r="G2385" s="1437">
        <f t="shared" si="347"/>
        <v>0.27501740000000002</v>
      </c>
      <c r="H2385" s="1437">
        <f t="shared" si="348"/>
        <v>0</v>
      </c>
      <c r="I2385" s="1437">
        <v>0</v>
      </c>
      <c r="J2385" s="1437">
        <v>0</v>
      </c>
      <c r="K2385" s="1438"/>
      <c r="L2385" s="1438"/>
      <c r="M2385" s="1437">
        <f t="shared" si="349"/>
        <v>0</v>
      </c>
      <c r="N2385" s="1437">
        <f t="shared" si="350"/>
        <v>0</v>
      </c>
    </row>
    <row r="2386" spans="1:14" ht="46.5" outlineLevel="1">
      <c r="A2386" s="1499">
        <f t="shared" si="351"/>
        <v>4</v>
      </c>
      <c r="B2386" s="1497" t="str">
        <f t="shared" si="351"/>
        <v>Procurement of AC pressure pipes (235MM OD, 200MM ID, 4.5M Length) for NDCT hot spray water distribution system in Unit-8 NPTPS Parli-Vaijnath</v>
      </c>
      <c r="C2386" s="1492" t="str">
        <f t="shared" si="351"/>
        <v>Add Cap (As per 296 of 2019)</v>
      </c>
      <c r="D2386" s="1334" t="str">
        <f t="shared" si="351"/>
        <v>-</v>
      </c>
      <c r="E2386" s="1358">
        <f t="shared" si="351"/>
        <v>0</v>
      </c>
      <c r="F2386" s="1437">
        <f t="shared" si="346"/>
        <v>0.42522480000000001</v>
      </c>
      <c r="G2386" s="1437">
        <f t="shared" si="347"/>
        <v>0.42522480000000001</v>
      </c>
      <c r="H2386" s="1437">
        <f t="shared" si="348"/>
        <v>0</v>
      </c>
      <c r="I2386" s="1437">
        <v>0</v>
      </c>
      <c r="J2386" s="1437">
        <v>0</v>
      </c>
      <c r="K2386" s="1438"/>
      <c r="L2386" s="1438"/>
      <c r="M2386" s="1437">
        <f t="shared" si="349"/>
        <v>0</v>
      </c>
      <c r="N2386" s="1437">
        <f t="shared" si="350"/>
        <v>0</v>
      </c>
    </row>
    <row r="2387" spans="1:14" ht="31" outlineLevel="1">
      <c r="A2387" s="1499">
        <f t="shared" si="351"/>
        <v>5</v>
      </c>
      <c r="B2387" s="1497" t="str">
        <f t="shared" si="351"/>
        <v>Supply of M/s Summits make Instrument Air Dryer &amp; spares at U # 8 TM, Parli-V</v>
      </c>
      <c r="C2387" s="1492" t="str">
        <f t="shared" si="351"/>
        <v>Add Cap (As per 296 of 2019)</v>
      </c>
      <c r="D2387" s="1334" t="str">
        <f t="shared" si="351"/>
        <v>-</v>
      </c>
      <c r="E2387" s="1358">
        <f t="shared" si="351"/>
        <v>0</v>
      </c>
      <c r="F2387" s="1437">
        <f t="shared" si="346"/>
        <v>0.54787163999999999</v>
      </c>
      <c r="G2387" s="1437">
        <f t="shared" si="347"/>
        <v>0.54787163999999999</v>
      </c>
      <c r="H2387" s="1437">
        <f t="shared" si="348"/>
        <v>0</v>
      </c>
      <c r="I2387" s="1437">
        <v>0</v>
      </c>
      <c r="J2387" s="1437">
        <v>0</v>
      </c>
      <c r="K2387" s="1438"/>
      <c r="L2387" s="1438"/>
      <c r="M2387" s="1437">
        <f t="shared" si="349"/>
        <v>0</v>
      </c>
      <c r="N2387" s="1437">
        <f t="shared" si="350"/>
        <v>0</v>
      </c>
    </row>
    <row r="2388" spans="1:14" ht="15.5" outlineLevel="1">
      <c r="A2388" s="1499">
        <f t="shared" si="351"/>
        <v>6</v>
      </c>
      <c r="B2388" s="1497" t="str">
        <f t="shared" si="351"/>
        <v>Supply of PVC fills for NDCTs at U # 8 TM, Parli-V</v>
      </c>
      <c r="C2388" s="1492" t="str">
        <f t="shared" si="351"/>
        <v>Add Cap (As per 296 of 2019)</v>
      </c>
      <c r="D2388" s="1334" t="str">
        <f t="shared" si="351"/>
        <v>-</v>
      </c>
      <c r="E2388" s="1358">
        <f t="shared" si="351"/>
        <v>0</v>
      </c>
      <c r="F2388" s="1437">
        <f t="shared" si="346"/>
        <v>0.58244799999999997</v>
      </c>
      <c r="G2388" s="1437">
        <f t="shared" si="347"/>
        <v>0.58244799999999997</v>
      </c>
      <c r="H2388" s="1437">
        <f t="shared" si="348"/>
        <v>0</v>
      </c>
      <c r="I2388" s="1437">
        <v>0</v>
      </c>
      <c r="J2388" s="1437">
        <v>0</v>
      </c>
      <c r="K2388" s="1438"/>
      <c r="L2388" s="1438"/>
      <c r="M2388" s="1437">
        <f t="shared" si="349"/>
        <v>0</v>
      </c>
      <c r="N2388" s="1437">
        <f t="shared" si="350"/>
        <v>0</v>
      </c>
    </row>
    <row r="2389" spans="1:14" ht="31" outlineLevel="1">
      <c r="A2389" s="1499">
        <f t="shared" si="351"/>
        <v>7</v>
      </c>
      <c r="B2389" s="1497" t="str">
        <f t="shared" si="351"/>
        <v>Procurement of NB 600MM Gate valves for ACW self cleaning strainers in U#8 TM NPTPS Parli-V</v>
      </c>
      <c r="C2389" s="1492" t="str">
        <f t="shared" si="351"/>
        <v>Add Cap (As per 296 of 2019)</v>
      </c>
      <c r="D2389" s="1334" t="str">
        <f t="shared" si="351"/>
        <v>-</v>
      </c>
      <c r="E2389" s="1358">
        <f t="shared" si="351"/>
        <v>0</v>
      </c>
      <c r="F2389" s="1437">
        <f t="shared" si="346"/>
        <v>0.42338399999999998</v>
      </c>
      <c r="G2389" s="1437">
        <f t="shared" si="347"/>
        <v>0.42338399999999998</v>
      </c>
      <c r="H2389" s="1437">
        <f t="shared" si="348"/>
        <v>0</v>
      </c>
      <c r="I2389" s="1437">
        <v>0</v>
      </c>
      <c r="J2389" s="1437">
        <v>0</v>
      </c>
      <c r="K2389" s="1438"/>
      <c r="L2389" s="1438"/>
      <c r="M2389" s="1437">
        <f t="shared" si="349"/>
        <v>0</v>
      </c>
      <c r="N2389" s="1437">
        <f t="shared" si="350"/>
        <v>0</v>
      </c>
    </row>
    <row r="2390" spans="1:14" ht="31" outlineLevel="1">
      <c r="A2390" s="1499">
        <f t="shared" si="351"/>
        <v>8</v>
      </c>
      <c r="B2390" s="1497" t="str">
        <f t="shared" si="351"/>
        <v>Procurement of Mechanical seals ( Make Leak-Proof) for various pumps in TM Unit-8 NPTPS Parli.</v>
      </c>
      <c r="C2390" s="1492" t="str">
        <f t="shared" si="351"/>
        <v>Add Cap (As per 296 of 2019)</v>
      </c>
      <c r="D2390" s="1334" t="str">
        <f t="shared" si="351"/>
        <v>-</v>
      </c>
      <c r="E2390" s="1359">
        <f t="shared" si="351"/>
        <v>0</v>
      </c>
      <c r="F2390" s="1437">
        <f t="shared" si="346"/>
        <v>0.49233139999999997</v>
      </c>
      <c r="G2390" s="1437">
        <f t="shared" si="347"/>
        <v>0.49233139999999997</v>
      </c>
      <c r="H2390" s="1437">
        <f t="shared" si="348"/>
        <v>0</v>
      </c>
      <c r="I2390" s="1437">
        <v>0</v>
      </c>
      <c r="J2390" s="1437">
        <v>0</v>
      </c>
      <c r="K2390" s="1438"/>
      <c r="L2390" s="1438"/>
      <c r="M2390" s="1437">
        <f t="shared" si="349"/>
        <v>0</v>
      </c>
      <c r="N2390" s="1437">
        <f t="shared" si="350"/>
        <v>0</v>
      </c>
    </row>
    <row r="2391" spans="1:14" ht="15.5" outlineLevel="1">
      <c r="A2391" s="1499">
        <f t="shared" si="351"/>
        <v>9</v>
      </c>
      <c r="B2391" s="1497" t="str">
        <f t="shared" si="351"/>
        <v>Supply of SS 304 pipes &amp; others at U # 8 TM, Parli-V.</v>
      </c>
      <c r="C2391" s="1492" t="str">
        <f t="shared" si="351"/>
        <v>Add Cap (As per 296 of 2019)</v>
      </c>
      <c r="D2391" s="1334" t="str">
        <f t="shared" si="351"/>
        <v>-</v>
      </c>
      <c r="E2391" s="1366">
        <f t="shared" si="351"/>
        <v>0</v>
      </c>
      <c r="F2391" s="1437">
        <f t="shared" si="346"/>
        <v>0.52905441600000003</v>
      </c>
      <c r="G2391" s="1437">
        <f t="shared" si="347"/>
        <v>0.52905441600000003</v>
      </c>
      <c r="H2391" s="1437">
        <f t="shared" si="348"/>
        <v>0</v>
      </c>
      <c r="I2391" s="1437">
        <v>0</v>
      </c>
      <c r="J2391" s="1437">
        <v>0</v>
      </c>
      <c r="K2391" s="1438"/>
      <c r="L2391" s="1438"/>
      <c r="M2391" s="1437">
        <f t="shared" si="349"/>
        <v>0</v>
      </c>
      <c r="N2391" s="1437">
        <f t="shared" si="350"/>
        <v>0</v>
      </c>
    </row>
    <row r="2392" spans="1:14" ht="15.5" outlineLevel="1">
      <c r="A2392" s="1493">
        <f t="shared" si="351"/>
        <v>3</v>
      </c>
      <c r="B2392" s="1494" t="str">
        <f t="shared" si="351"/>
        <v xml:space="preserve">Electrical and Instrumentation </v>
      </c>
      <c r="C2392" s="1495" t="str">
        <f t="shared" si="351"/>
        <v>Add Cap (As per 296 of 2019)</v>
      </c>
      <c r="D2392" s="1341" t="str">
        <f t="shared" si="351"/>
        <v>-</v>
      </c>
      <c r="E2392" s="1496">
        <f t="shared" si="351"/>
        <v>6.1</v>
      </c>
      <c r="F2392" s="1437">
        <f t="shared" si="346"/>
        <v>0</v>
      </c>
      <c r="G2392" s="1437">
        <f t="shared" si="347"/>
        <v>0</v>
      </c>
      <c r="H2392" s="1437">
        <f t="shared" si="348"/>
        <v>0</v>
      </c>
      <c r="I2392" s="1437">
        <v>0</v>
      </c>
      <c r="J2392" s="1437">
        <v>0</v>
      </c>
      <c r="K2392" s="1438"/>
      <c r="L2392" s="1438"/>
      <c r="M2392" s="1437">
        <f t="shared" si="349"/>
        <v>0</v>
      </c>
      <c r="N2392" s="1437">
        <f t="shared" si="350"/>
        <v>0</v>
      </c>
    </row>
    <row r="2393" spans="1:14" ht="31" outlineLevel="1">
      <c r="A2393" s="1499">
        <f t="shared" si="351"/>
        <v>1</v>
      </c>
      <c r="B2393" s="1500" t="str">
        <f t="shared" si="351"/>
        <v>Supply of Instrumentation Spares of LP Bypass System at Unit-8.</v>
      </c>
      <c r="C2393" s="1492" t="str">
        <f t="shared" si="351"/>
        <v>Add Cap (As per 296 of 2019)</v>
      </c>
      <c r="D2393" s="1334" t="str">
        <f t="shared" si="351"/>
        <v>-</v>
      </c>
      <c r="E2393" s="1366">
        <f t="shared" si="351"/>
        <v>0</v>
      </c>
      <c r="F2393" s="1437">
        <f t="shared" si="346"/>
        <v>1.9614571240000001</v>
      </c>
      <c r="G2393" s="1437">
        <f t="shared" si="347"/>
        <v>1.9614571240000001</v>
      </c>
      <c r="H2393" s="1437">
        <f t="shared" si="348"/>
        <v>0</v>
      </c>
      <c r="I2393" s="1437">
        <v>0</v>
      </c>
      <c r="J2393" s="1437">
        <v>0</v>
      </c>
      <c r="K2393" s="1438"/>
      <c r="L2393" s="1438"/>
      <c r="M2393" s="1437">
        <f t="shared" si="349"/>
        <v>0</v>
      </c>
      <c r="N2393" s="1437">
        <f t="shared" si="350"/>
        <v>0</v>
      </c>
    </row>
    <row r="2394" spans="1:14" ht="31" outlineLevel="1">
      <c r="A2394" s="1499">
        <f t="shared" si="351"/>
        <v>2</v>
      </c>
      <c r="B2394" s="1501" t="str">
        <f t="shared" si="351"/>
        <v>Procurement of Schneider MICOM Numerical Relays for GRP and STPR swithcgear at NPTPS Unit-8 Testing</v>
      </c>
      <c r="C2394" s="1492" t="str">
        <f t="shared" si="351"/>
        <v>Add Cap (As per 296 of 2019)</v>
      </c>
      <c r="D2394" s="1334" t="str">
        <f t="shared" si="351"/>
        <v>-</v>
      </c>
      <c r="E2394" s="1366">
        <f t="shared" si="351"/>
        <v>0</v>
      </c>
      <c r="F2394" s="1437">
        <f t="shared" si="346"/>
        <v>0.47613</v>
      </c>
      <c r="G2394" s="1437">
        <f t="shared" si="347"/>
        <v>0.47613</v>
      </c>
      <c r="H2394" s="1437">
        <f t="shared" si="348"/>
        <v>0</v>
      </c>
      <c r="I2394" s="1437">
        <v>0</v>
      </c>
      <c r="J2394" s="1437">
        <v>0</v>
      </c>
      <c r="K2394" s="1438"/>
      <c r="L2394" s="1438"/>
      <c r="M2394" s="1437">
        <f t="shared" si="349"/>
        <v>0</v>
      </c>
      <c r="N2394" s="1437">
        <f t="shared" si="350"/>
        <v>0</v>
      </c>
    </row>
    <row r="2395" spans="1:14" ht="31" outlineLevel="1">
      <c r="A2395" s="1502">
        <f t="shared" si="351"/>
        <v>3</v>
      </c>
      <c r="B2395" s="1501" t="str">
        <f t="shared" si="351"/>
        <v xml:space="preserve">Procurement of 220V DC Chloride make (formally caldyne) make battery chargers Spre of Unit 8 NPTPS Parli-V                           </v>
      </c>
      <c r="C2395" s="1492" t="str">
        <f t="shared" si="351"/>
        <v>Add Cap (As per 296 of 2019)</v>
      </c>
      <c r="D2395" s="1334" t="str">
        <f t="shared" si="351"/>
        <v>-</v>
      </c>
      <c r="E2395" s="1359">
        <f t="shared" si="351"/>
        <v>0</v>
      </c>
      <c r="F2395" s="1437">
        <f t="shared" si="346"/>
        <v>0.23365298000000001</v>
      </c>
      <c r="G2395" s="1437">
        <f t="shared" si="347"/>
        <v>0.23365298000000001</v>
      </c>
      <c r="H2395" s="1437">
        <f t="shared" si="348"/>
        <v>0</v>
      </c>
      <c r="I2395" s="1437">
        <v>0</v>
      </c>
      <c r="J2395" s="1437">
        <v>0</v>
      </c>
      <c r="K2395" s="1438"/>
      <c r="L2395" s="1438"/>
      <c r="M2395" s="1437">
        <f t="shared" si="349"/>
        <v>0</v>
      </c>
      <c r="N2395" s="1437">
        <f t="shared" si="350"/>
        <v>0</v>
      </c>
    </row>
    <row r="2396" spans="1:14" ht="31" outlineLevel="1">
      <c r="A2396" s="1502">
        <f t="shared" si="351"/>
        <v>4</v>
      </c>
      <c r="B2396" s="1501" t="str">
        <f t="shared" si="351"/>
        <v>Procurement of 24V DC Chhabi make make battery chargers Spare of Unit 8 NPTPS Parli-V</v>
      </c>
      <c r="C2396" s="1492" t="str">
        <f t="shared" si="351"/>
        <v>Add Cap (As per 296 of 2019)</v>
      </c>
      <c r="D2396" s="1334" t="str">
        <f t="shared" si="351"/>
        <v>-</v>
      </c>
      <c r="E2396" s="1358">
        <f t="shared" si="351"/>
        <v>0</v>
      </c>
      <c r="F2396" s="1437">
        <f t="shared" si="346"/>
        <v>0.22464893999999999</v>
      </c>
      <c r="G2396" s="1437">
        <f t="shared" si="347"/>
        <v>0.22464893999999999</v>
      </c>
      <c r="H2396" s="1437">
        <f t="shared" si="348"/>
        <v>0</v>
      </c>
      <c r="I2396" s="1437">
        <v>0</v>
      </c>
      <c r="J2396" s="1437">
        <v>0</v>
      </c>
      <c r="K2396" s="1438"/>
      <c r="L2396" s="1438"/>
      <c r="M2396" s="1437">
        <f t="shared" si="349"/>
        <v>0</v>
      </c>
      <c r="N2396" s="1437">
        <f t="shared" si="350"/>
        <v>0</v>
      </c>
    </row>
    <row r="2397" spans="1:14" ht="31" outlineLevel="1">
      <c r="A2397" s="1499">
        <f t="shared" si="351"/>
        <v>5</v>
      </c>
      <c r="B2397" s="1501" t="str">
        <f t="shared" si="351"/>
        <v xml:space="preserve"> Procurement of Spare for Hitachi Hi-Rel make UPS systems installed at Unit-8 NPTPS Parli Vaijnath.</v>
      </c>
      <c r="C2397" s="1492" t="str">
        <f t="shared" si="351"/>
        <v>Add Cap (As per 296 of 2019)</v>
      </c>
      <c r="D2397" s="1334" t="str">
        <f t="shared" si="351"/>
        <v>-</v>
      </c>
      <c r="E2397" s="1358">
        <f t="shared" si="351"/>
        <v>0</v>
      </c>
      <c r="F2397" s="1437">
        <f t="shared" si="346"/>
        <v>0.19186271399999999</v>
      </c>
      <c r="G2397" s="1437">
        <f t="shared" si="347"/>
        <v>0.19186271399999999</v>
      </c>
      <c r="H2397" s="1437">
        <f t="shared" si="348"/>
        <v>0</v>
      </c>
      <c r="I2397" s="1437">
        <v>0</v>
      </c>
      <c r="J2397" s="1437">
        <v>0</v>
      </c>
      <c r="K2397" s="1438"/>
      <c r="L2397" s="1438"/>
      <c r="M2397" s="1437">
        <f t="shared" si="349"/>
        <v>0</v>
      </c>
      <c r="N2397" s="1437">
        <f t="shared" si="350"/>
        <v>0</v>
      </c>
    </row>
    <row r="2398" spans="1:14" ht="62" outlineLevel="1">
      <c r="A2398" s="1502">
        <f t="shared" ref="A2398:E2413" si="352">A2005</f>
        <v>6</v>
      </c>
      <c r="B2398" s="1501" t="str">
        <f t="shared" si="352"/>
        <v>Procurement of various test kit for testing U#8 such as energy meter calibration kit, DC earth faulth locator kit, promary current injection kit, breaker time measurement kit, numeric relay test kit and other testing instruments.</v>
      </c>
      <c r="C2398" s="1492" t="str">
        <f t="shared" si="352"/>
        <v>Add Cap (As per 296 of 2019)</v>
      </c>
      <c r="D2398" s="1334" t="str">
        <f t="shared" si="352"/>
        <v>-</v>
      </c>
      <c r="E2398" s="1359">
        <f t="shared" si="352"/>
        <v>0</v>
      </c>
      <c r="F2398" s="1437">
        <f t="shared" si="346"/>
        <v>0.6734502</v>
      </c>
      <c r="G2398" s="1437">
        <f t="shared" si="347"/>
        <v>0.6734502</v>
      </c>
      <c r="H2398" s="1437">
        <f t="shared" si="348"/>
        <v>0</v>
      </c>
      <c r="I2398" s="1437">
        <v>0</v>
      </c>
      <c r="J2398" s="1437">
        <v>0</v>
      </c>
      <c r="K2398" s="1438"/>
      <c r="L2398" s="1438"/>
      <c r="M2398" s="1437">
        <f t="shared" si="349"/>
        <v>0</v>
      </c>
      <c r="N2398" s="1437">
        <f t="shared" si="350"/>
        <v>0</v>
      </c>
    </row>
    <row r="2399" spans="1:14" ht="46.5" outlineLevel="1">
      <c r="A2399" s="1499">
        <f t="shared" si="352"/>
        <v>7</v>
      </c>
      <c r="B2399" s="1501" t="str">
        <f t="shared" si="352"/>
        <v>Procurement of   Energymeter Caliberation Software Module and hardware for upgrading Numeric Relay Test kit at Unit -8 Testing.</v>
      </c>
      <c r="C2399" s="1492" t="str">
        <f t="shared" si="352"/>
        <v>Add Cap (As per 296 of 2019)</v>
      </c>
      <c r="D2399" s="1334" t="str">
        <f t="shared" si="352"/>
        <v>-</v>
      </c>
      <c r="E2399" s="1367">
        <f t="shared" si="352"/>
        <v>0</v>
      </c>
      <c r="F2399" s="1437">
        <f t="shared" si="346"/>
        <v>0.118629766</v>
      </c>
      <c r="G2399" s="1437">
        <f t="shared" si="347"/>
        <v>0.118629766</v>
      </c>
      <c r="H2399" s="1437">
        <f t="shared" si="348"/>
        <v>0</v>
      </c>
      <c r="I2399" s="1437">
        <v>0</v>
      </c>
      <c r="J2399" s="1437">
        <v>0</v>
      </c>
      <c r="K2399" s="1438"/>
      <c r="L2399" s="1438"/>
      <c r="M2399" s="1437">
        <f t="shared" si="349"/>
        <v>0</v>
      </c>
      <c r="N2399" s="1437">
        <f t="shared" si="350"/>
        <v>0</v>
      </c>
    </row>
    <row r="2400" spans="1:14" ht="15.5" outlineLevel="1">
      <c r="A2400" s="1502">
        <f t="shared" si="352"/>
        <v>8</v>
      </c>
      <c r="B2400" s="1503" t="str">
        <f t="shared" si="352"/>
        <v>Procurement of H T Motors.</v>
      </c>
      <c r="C2400" s="1492" t="str">
        <f t="shared" si="352"/>
        <v>Add Cap (As per 296 of 2019)</v>
      </c>
      <c r="D2400" s="1334" t="str">
        <f t="shared" si="352"/>
        <v>-</v>
      </c>
      <c r="E2400" s="1359">
        <f t="shared" si="352"/>
        <v>0</v>
      </c>
      <c r="F2400" s="1437">
        <f t="shared" si="346"/>
        <v>0</v>
      </c>
      <c r="G2400" s="1437">
        <f t="shared" si="347"/>
        <v>0</v>
      </c>
      <c r="H2400" s="1437">
        <f t="shared" si="348"/>
        <v>0</v>
      </c>
      <c r="I2400" s="1437">
        <v>0</v>
      </c>
      <c r="J2400" s="1437">
        <v>0</v>
      </c>
      <c r="K2400" s="1438"/>
      <c r="L2400" s="1438"/>
      <c r="M2400" s="1437">
        <f t="shared" si="349"/>
        <v>0</v>
      </c>
      <c r="N2400" s="1437">
        <f t="shared" si="350"/>
        <v>0</v>
      </c>
    </row>
    <row r="2401" spans="1:14" ht="15.5" outlineLevel="1">
      <c r="A2401" s="1499">
        <f t="shared" si="352"/>
        <v>9</v>
      </c>
      <c r="B2401" s="1503" t="str">
        <f t="shared" si="352"/>
        <v>Procurement of critical L T Motors</v>
      </c>
      <c r="C2401" s="1492" t="str">
        <f t="shared" si="352"/>
        <v>Add Cap (As per 296 of 2019)</v>
      </c>
      <c r="D2401" s="1334" t="str">
        <f t="shared" si="352"/>
        <v>-</v>
      </c>
      <c r="E2401" s="1368">
        <f t="shared" si="352"/>
        <v>0</v>
      </c>
      <c r="F2401" s="1437">
        <f t="shared" si="346"/>
        <v>0</v>
      </c>
      <c r="G2401" s="1437">
        <f t="shared" si="347"/>
        <v>0</v>
      </c>
      <c r="H2401" s="1437">
        <f t="shared" si="348"/>
        <v>0</v>
      </c>
      <c r="I2401" s="1437">
        <v>0</v>
      </c>
      <c r="J2401" s="1437">
        <v>0</v>
      </c>
      <c r="K2401" s="1438"/>
      <c r="L2401" s="1438"/>
      <c r="M2401" s="1437">
        <f t="shared" si="349"/>
        <v>0</v>
      </c>
      <c r="N2401" s="1437">
        <f t="shared" si="350"/>
        <v>0</v>
      </c>
    </row>
    <row r="2402" spans="1:14" ht="62" outlineLevel="1">
      <c r="A2402" s="1502">
        <f t="shared" si="352"/>
        <v>10</v>
      </c>
      <c r="B2402" s="1501" t="str">
        <f t="shared" si="352"/>
        <v xml:space="preserve">Procurement  of ESP Hopper heaters (As a initial spares) Installed at EM U-8, NPTPS, Parli-Vaijnath under add cap scheme.
</v>
      </c>
      <c r="C2402" s="1492" t="str">
        <f t="shared" si="352"/>
        <v>Add Cap (As per 296 of 2019)</v>
      </c>
      <c r="D2402" s="1334" t="str">
        <f t="shared" si="352"/>
        <v>-</v>
      </c>
      <c r="E2402" s="1359">
        <f t="shared" si="352"/>
        <v>0</v>
      </c>
      <c r="F2402" s="1437">
        <f t="shared" si="346"/>
        <v>0.38585999999999998</v>
      </c>
      <c r="G2402" s="1437">
        <f t="shared" si="347"/>
        <v>0.38585999999999998</v>
      </c>
      <c r="H2402" s="1437">
        <f t="shared" si="348"/>
        <v>0</v>
      </c>
      <c r="I2402" s="1437">
        <v>0</v>
      </c>
      <c r="J2402" s="1437">
        <v>0</v>
      </c>
      <c r="K2402" s="1438"/>
      <c r="L2402" s="1438"/>
      <c r="M2402" s="1437">
        <f t="shared" si="349"/>
        <v>0</v>
      </c>
      <c r="N2402" s="1437">
        <f t="shared" si="350"/>
        <v>0</v>
      </c>
    </row>
    <row r="2403" spans="1:14" ht="15.5" outlineLevel="1">
      <c r="A2403" s="1493">
        <f t="shared" si="352"/>
        <v>4</v>
      </c>
      <c r="B2403" s="1494" t="str">
        <f t="shared" si="352"/>
        <v>Outdoor Plant(CHP/AHP/WTP)</v>
      </c>
      <c r="C2403" s="1495" t="str">
        <f t="shared" si="352"/>
        <v>Add Cap (As per 296 of 2019)</v>
      </c>
      <c r="D2403" s="1341" t="str">
        <f t="shared" si="352"/>
        <v>-</v>
      </c>
      <c r="E2403" s="1496">
        <f t="shared" si="352"/>
        <v>6.64</v>
      </c>
      <c r="F2403" s="1437">
        <f t="shared" si="346"/>
        <v>0</v>
      </c>
      <c r="G2403" s="1437">
        <f t="shared" si="347"/>
        <v>0</v>
      </c>
      <c r="H2403" s="1437">
        <f t="shared" si="348"/>
        <v>0</v>
      </c>
      <c r="I2403" s="1437">
        <v>0</v>
      </c>
      <c r="J2403" s="1437">
        <v>0</v>
      </c>
      <c r="K2403" s="1438"/>
      <c r="L2403" s="1438"/>
      <c r="M2403" s="1437">
        <f t="shared" si="349"/>
        <v>0</v>
      </c>
      <c r="N2403" s="1437">
        <f t="shared" si="350"/>
        <v>0</v>
      </c>
    </row>
    <row r="2404" spans="1:14" ht="15.5" outlineLevel="1">
      <c r="A2404" s="1504">
        <f t="shared" si="352"/>
        <v>1</v>
      </c>
      <c r="B2404" s="1497" t="str">
        <f t="shared" si="352"/>
        <v>Supply of Apron Feeder spares installed at CHP NPTPS Parli-V</v>
      </c>
      <c r="C2404" s="1492" t="str">
        <f t="shared" si="352"/>
        <v>Add Cap (As per 296 of 2019)</v>
      </c>
      <c r="D2404" s="1334" t="str">
        <f t="shared" si="352"/>
        <v>-</v>
      </c>
      <c r="E2404" s="1359">
        <f t="shared" si="352"/>
        <v>0</v>
      </c>
      <c r="F2404" s="1437">
        <f t="shared" si="346"/>
        <v>1.6232788</v>
      </c>
      <c r="G2404" s="1437">
        <f t="shared" si="347"/>
        <v>1.6232788</v>
      </c>
      <c r="H2404" s="1437">
        <f t="shared" si="348"/>
        <v>0</v>
      </c>
      <c r="I2404" s="1437">
        <v>0</v>
      </c>
      <c r="J2404" s="1437">
        <v>0</v>
      </c>
      <c r="K2404" s="1438"/>
      <c r="L2404" s="1438"/>
      <c r="M2404" s="1437">
        <f t="shared" si="349"/>
        <v>0</v>
      </c>
      <c r="N2404" s="1437">
        <f t="shared" si="350"/>
        <v>0</v>
      </c>
    </row>
    <row r="2405" spans="1:14" ht="15.5" outlineLevel="1">
      <c r="A2405" s="1504">
        <f t="shared" si="352"/>
        <v>2</v>
      </c>
      <c r="B2405" s="1497" t="str">
        <f t="shared" si="352"/>
        <v>Supply of various drive and non drive pulleys for CHP U-8.</v>
      </c>
      <c r="C2405" s="1492" t="str">
        <f t="shared" si="352"/>
        <v>Add Cap (As per 296 of 2019)</v>
      </c>
      <c r="D2405" s="1334" t="str">
        <f t="shared" si="352"/>
        <v>-</v>
      </c>
      <c r="E2405" s="1368">
        <f t="shared" si="352"/>
        <v>0</v>
      </c>
      <c r="F2405" s="1437">
        <f t="shared" si="346"/>
        <v>0.54529209999999995</v>
      </c>
      <c r="G2405" s="1437">
        <f t="shared" si="347"/>
        <v>0.54529209999999995</v>
      </c>
      <c r="H2405" s="1437">
        <f t="shared" si="348"/>
        <v>0</v>
      </c>
      <c r="I2405" s="1437">
        <v>0</v>
      </c>
      <c r="J2405" s="1437">
        <v>0</v>
      </c>
      <c r="K2405" s="1438"/>
      <c r="L2405" s="1438"/>
      <c r="M2405" s="1437">
        <f t="shared" si="349"/>
        <v>0</v>
      </c>
      <c r="N2405" s="1437">
        <f t="shared" si="350"/>
        <v>0</v>
      </c>
    </row>
    <row r="2406" spans="1:14" ht="31" outlineLevel="1">
      <c r="A2406" s="1504">
        <f t="shared" si="352"/>
        <v>3</v>
      </c>
      <c r="B2406" s="1497" t="str">
        <f t="shared" si="352"/>
        <v>Supply and installation of clamp pads &amp; resting pads for Side Beam of Wagon Tippler for CHP U-8</v>
      </c>
      <c r="C2406" s="1492" t="str">
        <f t="shared" si="352"/>
        <v>Add Cap (As per 296 of 2019)</v>
      </c>
      <c r="D2406" s="1334" t="str">
        <f t="shared" si="352"/>
        <v>-</v>
      </c>
      <c r="E2406" s="1368">
        <f t="shared" si="352"/>
        <v>0</v>
      </c>
      <c r="F2406" s="1437">
        <f t="shared" si="346"/>
        <v>0.54801796000000003</v>
      </c>
      <c r="G2406" s="1437">
        <f t="shared" si="347"/>
        <v>0.54801796000000003</v>
      </c>
      <c r="H2406" s="1437">
        <f t="shared" si="348"/>
        <v>0</v>
      </c>
      <c r="I2406" s="1437">
        <v>0</v>
      </c>
      <c r="J2406" s="1437">
        <v>0</v>
      </c>
      <c r="K2406" s="1438"/>
      <c r="L2406" s="1438"/>
      <c r="M2406" s="1437">
        <f t="shared" si="349"/>
        <v>0</v>
      </c>
      <c r="N2406" s="1437">
        <f t="shared" si="350"/>
        <v>0</v>
      </c>
    </row>
    <row r="2407" spans="1:14" ht="31" outlineLevel="1">
      <c r="A2407" s="1504">
        <f t="shared" si="352"/>
        <v>4</v>
      </c>
      <c r="B2407" s="1497" t="str">
        <f t="shared" si="352"/>
        <v>Supply of unbalance motorozied vibrating feeder for S/R of U-7/8 CHP NPTPS Parli-V.</v>
      </c>
      <c r="C2407" s="1492" t="str">
        <f t="shared" si="352"/>
        <v>Add Cap (As per 296 of 2019)</v>
      </c>
      <c r="D2407" s="1334" t="str">
        <f t="shared" si="352"/>
        <v>-</v>
      </c>
      <c r="E2407" s="1318">
        <f t="shared" si="352"/>
        <v>0</v>
      </c>
      <c r="F2407" s="1437">
        <f t="shared" si="346"/>
        <v>0.39579560000000003</v>
      </c>
      <c r="G2407" s="1437">
        <f t="shared" si="347"/>
        <v>0.39579560000000003</v>
      </c>
      <c r="H2407" s="1437">
        <f t="shared" si="348"/>
        <v>0</v>
      </c>
      <c r="I2407" s="1437">
        <v>0</v>
      </c>
      <c r="J2407" s="1437">
        <v>0</v>
      </c>
      <c r="K2407" s="1438"/>
      <c r="L2407" s="1438"/>
      <c r="M2407" s="1437">
        <f t="shared" si="349"/>
        <v>0</v>
      </c>
      <c r="N2407" s="1437">
        <f t="shared" si="350"/>
        <v>0</v>
      </c>
    </row>
    <row r="2408" spans="1:14" ht="31" outlineLevel="1">
      <c r="A2408" s="1504">
        <f t="shared" si="352"/>
        <v>5</v>
      </c>
      <c r="B2408" s="1501" t="str">
        <f t="shared" si="352"/>
        <v>Procurement of conveying and Instrument air compressor spares at AHP U#8</v>
      </c>
      <c r="C2408" s="1492" t="str">
        <f t="shared" si="352"/>
        <v>Add Cap (As per 296 of 2019)</v>
      </c>
      <c r="D2408" s="1334" t="str">
        <f t="shared" si="352"/>
        <v>-</v>
      </c>
      <c r="E2408" s="1359">
        <f t="shared" si="352"/>
        <v>0</v>
      </c>
      <c r="F2408" s="1437">
        <f t="shared" si="346"/>
        <v>1.769983804</v>
      </c>
      <c r="G2408" s="1437">
        <f t="shared" si="347"/>
        <v>1.769983804</v>
      </c>
      <c r="H2408" s="1437">
        <f t="shared" si="348"/>
        <v>0</v>
      </c>
      <c r="I2408" s="1437">
        <v>0</v>
      </c>
      <c r="J2408" s="1437">
        <v>0</v>
      </c>
      <c r="K2408" s="1438"/>
      <c r="L2408" s="1438"/>
      <c r="M2408" s="1437">
        <f t="shared" si="349"/>
        <v>0</v>
      </c>
      <c r="N2408" s="1437">
        <f t="shared" si="350"/>
        <v>0</v>
      </c>
    </row>
    <row r="2409" spans="1:14" ht="15.5" outlineLevel="1">
      <c r="A2409" s="1504">
        <f t="shared" si="352"/>
        <v>6</v>
      </c>
      <c r="B2409" s="1501" t="str">
        <f t="shared" si="352"/>
        <v>Procurement of vacuum pump spares at AHP U#8</v>
      </c>
      <c r="C2409" s="1492" t="str">
        <f t="shared" si="352"/>
        <v>Add Cap (As per 296 of 2019)</v>
      </c>
      <c r="D2409" s="1334" t="str">
        <f t="shared" si="352"/>
        <v>-</v>
      </c>
      <c r="E2409" s="1368">
        <f t="shared" si="352"/>
        <v>0</v>
      </c>
      <c r="F2409" s="1437">
        <f t="shared" si="346"/>
        <v>0.229104904</v>
      </c>
      <c r="G2409" s="1437">
        <f t="shared" si="347"/>
        <v>0.229104904</v>
      </c>
      <c r="H2409" s="1437">
        <f t="shared" si="348"/>
        <v>0</v>
      </c>
      <c r="I2409" s="1437">
        <v>0</v>
      </c>
      <c r="J2409" s="1437">
        <v>0</v>
      </c>
      <c r="K2409" s="1438"/>
      <c r="L2409" s="1438"/>
      <c r="M2409" s="1437">
        <f t="shared" si="349"/>
        <v>0</v>
      </c>
      <c r="N2409" s="1437">
        <f t="shared" si="350"/>
        <v>0</v>
      </c>
    </row>
    <row r="2410" spans="1:14" ht="15.5" outlineLevel="1">
      <c r="A2410" s="1504">
        <f t="shared" si="352"/>
        <v>7</v>
      </c>
      <c r="B2410" s="1501" t="str">
        <f t="shared" si="352"/>
        <v>Procurement of fluidizing blower spares at AHP U#8</v>
      </c>
      <c r="C2410" s="1492" t="str">
        <f t="shared" si="352"/>
        <v>Add Cap (As per 296 of 2019)</v>
      </c>
      <c r="D2410" s="1334" t="str">
        <f t="shared" si="352"/>
        <v>-</v>
      </c>
      <c r="E2410" s="1359">
        <f t="shared" si="352"/>
        <v>0</v>
      </c>
      <c r="F2410" s="1437">
        <f t="shared" si="346"/>
        <v>0.11795988</v>
      </c>
      <c r="G2410" s="1437">
        <f t="shared" si="347"/>
        <v>0.11795988</v>
      </c>
      <c r="H2410" s="1437">
        <f t="shared" si="348"/>
        <v>0</v>
      </c>
      <c r="I2410" s="1437">
        <v>0</v>
      </c>
      <c r="J2410" s="1437">
        <v>0</v>
      </c>
      <c r="K2410" s="1438"/>
      <c r="L2410" s="1438"/>
      <c r="M2410" s="1437">
        <f t="shared" si="349"/>
        <v>0</v>
      </c>
      <c r="N2410" s="1437">
        <f t="shared" si="350"/>
        <v>0</v>
      </c>
    </row>
    <row r="2411" spans="1:14" ht="15.5" outlineLevel="1">
      <c r="A2411" s="1504">
        <f t="shared" si="352"/>
        <v>8</v>
      </c>
      <c r="B2411" s="1501" t="str">
        <f t="shared" si="352"/>
        <v>Procurement of slurry pump spares at AHP U#8</v>
      </c>
      <c r="C2411" s="1492" t="str">
        <f t="shared" si="352"/>
        <v>Add Cap (As per 296 of 2019)</v>
      </c>
      <c r="D2411" s="1334" t="str">
        <f t="shared" si="352"/>
        <v>-</v>
      </c>
      <c r="E2411" s="1368">
        <f t="shared" si="352"/>
        <v>0</v>
      </c>
      <c r="F2411" s="1437">
        <f t="shared" si="346"/>
        <v>0</v>
      </c>
      <c r="G2411" s="1437">
        <f t="shared" si="347"/>
        <v>0</v>
      </c>
      <c r="H2411" s="1437">
        <f t="shared" si="348"/>
        <v>0</v>
      </c>
      <c r="I2411" s="1437">
        <v>0</v>
      </c>
      <c r="J2411" s="1437">
        <v>0</v>
      </c>
      <c r="K2411" s="1438"/>
      <c r="L2411" s="1438"/>
      <c r="M2411" s="1437">
        <f t="shared" si="349"/>
        <v>0</v>
      </c>
      <c r="N2411" s="1437">
        <f t="shared" si="350"/>
        <v>0</v>
      </c>
    </row>
    <row r="2412" spans="1:14" ht="15.5" outlineLevel="1">
      <c r="A2412" s="1504">
        <f t="shared" si="352"/>
        <v>9</v>
      </c>
      <c r="B2412" s="1501" t="str">
        <f t="shared" si="352"/>
        <v>Procurement of Clinker grinder spares at AHP U#8</v>
      </c>
      <c r="C2412" s="1492" t="str">
        <f t="shared" si="352"/>
        <v>Add Cap (As per 296 of 2019)</v>
      </c>
      <c r="D2412" s="1334" t="str">
        <f t="shared" si="352"/>
        <v>-</v>
      </c>
      <c r="E2412" s="1368">
        <f t="shared" si="352"/>
        <v>0</v>
      </c>
      <c r="F2412" s="1437">
        <f t="shared" si="346"/>
        <v>0.1233369</v>
      </c>
      <c r="G2412" s="1437">
        <f t="shared" si="347"/>
        <v>0.1233369</v>
      </c>
      <c r="H2412" s="1437">
        <f t="shared" si="348"/>
        <v>0</v>
      </c>
      <c r="I2412" s="1437">
        <v>0</v>
      </c>
      <c r="J2412" s="1437">
        <v>0</v>
      </c>
      <c r="K2412" s="1438"/>
      <c r="L2412" s="1438"/>
      <c r="M2412" s="1437">
        <f t="shared" si="349"/>
        <v>0</v>
      </c>
      <c r="N2412" s="1437">
        <f t="shared" si="350"/>
        <v>0</v>
      </c>
    </row>
    <row r="2413" spans="1:14" outlineLevel="1">
      <c r="A2413" s="1505">
        <f t="shared" si="352"/>
        <v>0</v>
      </c>
      <c r="B2413" s="1506">
        <f t="shared" si="352"/>
        <v>0</v>
      </c>
      <c r="C2413" s="1507">
        <f t="shared" si="352"/>
        <v>0</v>
      </c>
      <c r="D2413" s="1508" t="str">
        <f t="shared" si="352"/>
        <v>-</v>
      </c>
      <c r="E2413" s="1359">
        <f t="shared" si="352"/>
        <v>0</v>
      </c>
      <c r="F2413" s="1437">
        <f t="shared" si="346"/>
        <v>0</v>
      </c>
      <c r="G2413" s="1437">
        <f t="shared" si="347"/>
        <v>0</v>
      </c>
      <c r="H2413" s="1437">
        <f t="shared" si="348"/>
        <v>0</v>
      </c>
      <c r="I2413" s="1437">
        <v>0</v>
      </c>
      <c r="J2413" s="1437">
        <v>0</v>
      </c>
      <c r="K2413" s="1438"/>
      <c r="L2413" s="1438"/>
      <c r="M2413" s="1437">
        <f t="shared" si="349"/>
        <v>0</v>
      </c>
      <c r="N2413" s="1437">
        <f t="shared" si="350"/>
        <v>0</v>
      </c>
    </row>
    <row r="2414" spans="1:14" ht="31" outlineLevel="1">
      <c r="A2414" s="1493" t="str">
        <f t="shared" ref="A2414:E2429" si="353">A2021</f>
        <v>B</v>
      </c>
      <c r="B2414" s="1494" t="str">
        <f t="shared" si="353"/>
        <v>Reassessment of remaining BOP work after insolvency of M/s Sunil Hi-Tech</v>
      </c>
      <c r="C2414" s="1495">
        <f t="shared" si="353"/>
        <v>0</v>
      </c>
      <c r="D2414" s="1341" t="str">
        <f t="shared" si="353"/>
        <v>-</v>
      </c>
      <c r="E2414" s="1496">
        <f t="shared" si="353"/>
        <v>0</v>
      </c>
      <c r="F2414" s="1437">
        <f t="shared" si="346"/>
        <v>0</v>
      </c>
      <c r="G2414" s="1437">
        <f t="shared" si="347"/>
        <v>0</v>
      </c>
      <c r="H2414" s="1437">
        <f t="shared" si="348"/>
        <v>0</v>
      </c>
      <c r="I2414" s="1437">
        <v>0</v>
      </c>
      <c r="J2414" s="1437">
        <v>0</v>
      </c>
      <c r="K2414" s="1438"/>
      <c r="L2414" s="1438"/>
      <c r="M2414" s="1437">
        <f t="shared" si="349"/>
        <v>0</v>
      </c>
      <c r="N2414" s="1437">
        <f t="shared" si="350"/>
        <v>0</v>
      </c>
    </row>
    <row r="2415" spans="1:14" ht="31" outlineLevel="1">
      <c r="A2415" s="1493">
        <f t="shared" si="353"/>
        <v>0</v>
      </c>
      <c r="B2415" s="1494" t="str">
        <f t="shared" si="353"/>
        <v>Project balance E&amp;M  and procurement of mandetory spares</v>
      </c>
      <c r="C2415" s="1495" t="str">
        <f t="shared" si="353"/>
        <v>MERC CAPEX Approval in MTR Order 296 of 2019</v>
      </c>
      <c r="D2415" s="1341" t="str">
        <f t="shared" si="353"/>
        <v>Order 296 of 2019</v>
      </c>
      <c r="E2415" s="1509">
        <f t="shared" si="353"/>
        <v>41.453400000000002</v>
      </c>
      <c r="F2415" s="1437">
        <f t="shared" si="346"/>
        <v>0</v>
      </c>
      <c r="G2415" s="1437">
        <f t="shared" si="347"/>
        <v>0</v>
      </c>
      <c r="H2415" s="1437">
        <f t="shared" si="348"/>
        <v>0</v>
      </c>
      <c r="I2415" s="1437">
        <v>0</v>
      </c>
      <c r="J2415" s="1437">
        <v>0</v>
      </c>
      <c r="K2415" s="1438"/>
      <c r="L2415" s="1438"/>
      <c r="M2415" s="1437">
        <f t="shared" si="349"/>
        <v>0</v>
      </c>
      <c r="N2415" s="1437">
        <f t="shared" si="350"/>
        <v>0</v>
      </c>
    </row>
    <row r="2416" spans="1:14" ht="43.5" outlineLevel="1">
      <c r="A2416" s="1499">
        <f t="shared" si="353"/>
        <v>1</v>
      </c>
      <c r="B2416" s="1510" t="str">
        <f t="shared" si="353"/>
        <v>Work order for Contract of Supply and application of Fire Stop Mortar Seal and Fire Retardant Cable Coating Compound at NPTP U-8 Parli Project</v>
      </c>
      <c r="C2416" s="1511" t="str">
        <f t="shared" si="353"/>
        <v>MERC CAPEX Approval in MTR Order 296 of 2019</v>
      </c>
      <c r="D2416" s="1334" t="str">
        <f t="shared" si="353"/>
        <v>-</v>
      </c>
      <c r="E2416" s="1430">
        <f t="shared" si="353"/>
        <v>0</v>
      </c>
      <c r="F2416" s="1437">
        <f t="shared" si="346"/>
        <v>3.4589155919999999</v>
      </c>
      <c r="G2416" s="1437">
        <f t="shared" si="347"/>
        <v>3.4589155919999999</v>
      </c>
      <c r="H2416" s="1437">
        <f t="shared" si="348"/>
        <v>0</v>
      </c>
      <c r="I2416" s="1437">
        <v>0</v>
      </c>
      <c r="J2416" s="1437">
        <v>0</v>
      </c>
      <c r="K2416" s="1438"/>
      <c r="L2416" s="1438"/>
      <c r="M2416" s="1437">
        <f t="shared" si="349"/>
        <v>0</v>
      </c>
      <c r="N2416" s="1437">
        <f t="shared" si="350"/>
        <v>0</v>
      </c>
    </row>
    <row r="2417" spans="1:14" ht="29" outlineLevel="1">
      <c r="A2417" s="1499">
        <f t="shared" si="353"/>
        <v>2</v>
      </c>
      <c r="B2417" s="1510" t="str">
        <f t="shared" si="353"/>
        <v>Work order for contract for Supply Installaion Testing &amp; Commissioning Smoke Detection &amp; alaram system</v>
      </c>
      <c r="C2417" s="1511" t="str">
        <f t="shared" si="353"/>
        <v>MERC CAPEX Approval in MTR Order 296 of 2019</v>
      </c>
      <c r="D2417" s="1334" t="str">
        <f t="shared" si="353"/>
        <v>-</v>
      </c>
      <c r="E2417" s="1430">
        <f t="shared" si="353"/>
        <v>0</v>
      </c>
      <c r="F2417" s="1437">
        <f t="shared" si="346"/>
        <v>2.5606</v>
      </c>
      <c r="G2417" s="1437">
        <f t="shared" si="347"/>
        <v>2.5606</v>
      </c>
      <c r="H2417" s="1437">
        <f t="shared" si="348"/>
        <v>0</v>
      </c>
      <c r="I2417" s="1437">
        <v>0</v>
      </c>
      <c r="J2417" s="1437">
        <v>0</v>
      </c>
      <c r="K2417" s="1438"/>
      <c r="L2417" s="1438"/>
      <c r="M2417" s="1437">
        <f t="shared" si="349"/>
        <v>0</v>
      </c>
      <c r="N2417" s="1437">
        <f t="shared" si="350"/>
        <v>0</v>
      </c>
    </row>
    <row r="2418" spans="1:14" ht="43.5" outlineLevel="1">
      <c r="A2418" s="1499">
        <f t="shared" si="353"/>
        <v>3</v>
      </c>
      <c r="B2418" s="1510" t="str">
        <f t="shared" si="353"/>
        <v>Work order for contract for Supply Installaion Testing &amp; Commissioning of Balance Fire Fighting System at NPTP U-8 Parli Project</v>
      </c>
      <c r="C2418" s="1511" t="str">
        <f t="shared" si="353"/>
        <v>MERC CAPEX Approval in MTR Order 296 of 2019</v>
      </c>
      <c r="D2418" s="1334" t="str">
        <f t="shared" si="353"/>
        <v>-</v>
      </c>
      <c r="E2418" s="1430">
        <f t="shared" si="353"/>
        <v>0</v>
      </c>
      <c r="F2418" s="1437">
        <f t="shared" si="346"/>
        <v>1.0502</v>
      </c>
      <c r="G2418" s="1437">
        <f t="shared" si="347"/>
        <v>1.0502</v>
      </c>
      <c r="H2418" s="1437">
        <f t="shared" si="348"/>
        <v>0</v>
      </c>
      <c r="I2418" s="1437">
        <v>0</v>
      </c>
      <c r="J2418" s="1437">
        <v>0</v>
      </c>
      <c r="K2418" s="1438"/>
      <c r="L2418" s="1438"/>
      <c r="M2418" s="1437">
        <f t="shared" si="349"/>
        <v>0</v>
      </c>
      <c r="N2418" s="1437">
        <f t="shared" si="350"/>
        <v>0</v>
      </c>
    </row>
    <row r="2419" spans="1:14" ht="58" outlineLevel="1">
      <c r="A2419" s="1499">
        <f t="shared" si="353"/>
        <v>4</v>
      </c>
      <c r="B2419" s="1510" t="str">
        <f t="shared" si="353"/>
        <v>Supply, Errection, testing &amp; commissioning works of RWP, PT potable chlorination system, ETP system control panel, automation of LDO, HFO tank foam system Hose boxes with RRL hoses and branch pipe and allied system at NPTP</v>
      </c>
      <c r="C2419" s="1511" t="str">
        <f t="shared" si="353"/>
        <v>MERC CAPEX Approval in MTR Order 296 of 2019</v>
      </c>
      <c r="D2419" s="1334" t="str">
        <f t="shared" si="353"/>
        <v>-</v>
      </c>
      <c r="E2419" s="1430">
        <f t="shared" si="353"/>
        <v>0</v>
      </c>
      <c r="F2419" s="1437">
        <f t="shared" si="346"/>
        <v>0.84960000000000002</v>
      </c>
      <c r="G2419" s="1437">
        <f t="shared" si="347"/>
        <v>0.84960000000000002</v>
      </c>
      <c r="H2419" s="1437">
        <f t="shared" si="348"/>
        <v>0</v>
      </c>
      <c r="I2419" s="1437">
        <v>0</v>
      </c>
      <c r="J2419" s="1437">
        <v>0</v>
      </c>
      <c r="K2419" s="1438"/>
      <c r="L2419" s="1438"/>
      <c r="M2419" s="1437">
        <f t="shared" si="349"/>
        <v>0</v>
      </c>
      <c r="N2419" s="1437">
        <f t="shared" si="350"/>
        <v>0</v>
      </c>
    </row>
    <row r="2420" spans="1:14" ht="43.5" outlineLevel="1">
      <c r="A2420" s="1499">
        <f t="shared" si="353"/>
        <v>5</v>
      </c>
      <c r="B2420" s="1510" t="str">
        <f t="shared" si="353"/>
        <v xml:space="preserve">Work Order contract for supply, installation Testing &amp; Commissioning of telephone exchange (EPBAX) &amp; Telephone System at NPTP U-8 Parli project  </v>
      </c>
      <c r="C2420" s="1511" t="str">
        <f t="shared" si="353"/>
        <v>MERC CAPEX Approval in MTR Order 296 of 2019</v>
      </c>
      <c r="D2420" s="1334" t="str">
        <f t="shared" si="353"/>
        <v>-</v>
      </c>
      <c r="E2420" s="1430">
        <f t="shared" si="353"/>
        <v>0</v>
      </c>
      <c r="F2420" s="1437">
        <f t="shared" si="346"/>
        <v>0.91256150000000003</v>
      </c>
      <c r="G2420" s="1437">
        <f t="shared" si="347"/>
        <v>0.91256150000000003</v>
      </c>
      <c r="H2420" s="1437">
        <f t="shared" si="348"/>
        <v>0</v>
      </c>
      <c r="I2420" s="1437">
        <v>0</v>
      </c>
      <c r="J2420" s="1437">
        <v>0</v>
      </c>
      <c r="K2420" s="1438"/>
      <c r="L2420" s="1438"/>
      <c r="M2420" s="1437">
        <f t="shared" si="349"/>
        <v>0</v>
      </c>
      <c r="N2420" s="1437">
        <f t="shared" si="350"/>
        <v>0</v>
      </c>
    </row>
    <row r="2421" spans="1:14" ht="29" outlineLevel="1">
      <c r="A2421" s="1499">
        <f t="shared" si="353"/>
        <v>6</v>
      </c>
      <c r="B2421" s="1510" t="str">
        <f t="shared" si="353"/>
        <v>Balance Supply of Electrical Lab Equipment  at NPTP parli-V</v>
      </c>
      <c r="C2421" s="1511" t="str">
        <f t="shared" si="353"/>
        <v>MERC CAPEX Approval in MTR Order 296 of 2019</v>
      </c>
      <c r="D2421" s="1334" t="str">
        <f t="shared" si="353"/>
        <v>-</v>
      </c>
      <c r="E2421" s="1430">
        <f t="shared" si="353"/>
        <v>0</v>
      </c>
      <c r="F2421" s="1437">
        <f t="shared" si="346"/>
        <v>0.60826469999999999</v>
      </c>
      <c r="G2421" s="1437">
        <f t="shared" si="347"/>
        <v>0.60826469999999999</v>
      </c>
      <c r="H2421" s="1437">
        <f t="shared" si="348"/>
        <v>0</v>
      </c>
      <c r="I2421" s="1437">
        <v>0</v>
      </c>
      <c r="J2421" s="1437">
        <v>0</v>
      </c>
      <c r="K2421" s="1438"/>
      <c r="L2421" s="1438"/>
      <c r="M2421" s="1437">
        <f t="shared" si="349"/>
        <v>0</v>
      </c>
      <c r="N2421" s="1437">
        <f t="shared" si="350"/>
        <v>0</v>
      </c>
    </row>
    <row r="2422" spans="1:14" ht="43.5" outlineLevel="1">
      <c r="A2422" s="1499">
        <f t="shared" si="353"/>
        <v>7</v>
      </c>
      <c r="B2422" s="1510" t="str">
        <f t="shared" si="353"/>
        <v>Work order for contract for Supply Installaion Testing &amp; Commissioning with required material to complete  Balance CHP work at NPTP U-8 Parli Project</v>
      </c>
      <c r="C2422" s="1511" t="str">
        <f t="shared" si="353"/>
        <v>MERC CAPEX Approval in MTR Order 296 of 2019</v>
      </c>
      <c r="D2422" s="1334" t="str">
        <f t="shared" si="353"/>
        <v>-</v>
      </c>
      <c r="E2422" s="1430">
        <f t="shared" si="353"/>
        <v>0</v>
      </c>
      <c r="F2422" s="1437">
        <f t="shared" si="346"/>
        <v>0.41</v>
      </c>
      <c r="G2422" s="1437">
        <f t="shared" si="347"/>
        <v>0.41</v>
      </c>
      <c r="H2422" s="1437">
        <f t="shared" si="348"/>
        <v>0</v>
      </c>
      <c r="I2422" s="1437">
        <v>0</v>
      </c>
      <c r="J2422" s="1437">
        <v>0</v>
      </c>
      <c r="K2422" s="1438"/>
      <c r="L2422" s="1438"/>
      <c r="M2422" s="1437">
        <f t="shared" si="349"/>
        <v>0</v>
      </c>
      <c r="N2422" s="1437">
        <f t="shared" si="350"/>
        <v>0</v>
      </c>
    </row>
    <row r="2423" spans="1:14" ht="43.5" outlineLevel="1">
      <c r="A2423" s="1499">
        <f t="shared" si="353"/>
        <v>8</v>
      </c>
      <c r="B2423" s="1510" t="str">
        <f t="shared" si="353"/>
        <v>Supply, Errection, testing &amp; commissioning of Interconnecting Conveyor no.9 &amp; 10 from U-8 to U-6&amp;7 of CHP at NPTP U-8, Parli-V</v>
      </c>
      <c r="C2423" s="1511" t="str">
        <f t="shared" si="353"/>
        <v>MERC CAPEX Approval in MTR Order 296 of 2019</v>
      </c>
      <c r="D2423" s="1334" t="str">
        <f t="shared" si="353"/>
        <v>-</v>
      </c>
      <c r="E2423" s="1430">
        <f t="shared" si="353"/>
        <v>0</v>
      </c>
      <c r="F2423" s="1437">
        <f t="shared" si="346"/>
        <v>5.3318899999999996</v>
      </c>
      <c r="G2423" s="1437">
        <f t="shared" si="347"/>
        <v>5.3262307</v>
      </c>
      <c r="H2423" s="1437">
        <f t="shared" si="348"/>
        <v>5.6592999999995897E-3</v>
      </c>
      <c r="I2423" s="1437">
        <v>0</v>
      </c>
      <c r="J2423" s="1437">
        <v>0</v>
      </c>
      <c r="K2423" s="1438"/>
      <c r="L2423" s="1438"/>
      <c r="M2423" s="1437">
        <f t="shared" si="349"/>
        <v>0</v>
      </c>
      <c r="N2423" s="1437">
        <f t="shared" si="350"/>
        <v>5.6592999999995897E-3</v>
      </c>
    </row>
    <row r="2424" spans="1:14" ht="29" outlineLevel="1">
      <c r="A2424" s="1499">
        <f t="shared" si="353"/>
        <v>9</v>
      </c>
      <c r="B2424" s="1510" t="str">
        <f t="shared" si="353"/>
        <v>SUPPLY ,INSTA,TEST ,COMM ELECTRICAL SYS</v>
      </c>
      <c r="C2424" s="1511" t="str">
        <f t="shared" si="353"/>
        <v>MERC CAPEX Approval in MTR Order 296 of 2019</v>
      </c>
      <c r="D2424" s="1334" t="str">
        <f t="shared" si="353"/>
        <v>-</v>
      </c>
      <c r="E2424" s="1430">
        <f t="shared" si="353"/>
        <v>0</v>
      </c>
      <c r="F2424" s="1437">
        <f t="shared" si="346"/>
        <v>0</v>
      </c>
      <c r="G2424" s="1437">
        <f t="shared" si="347"/>
        <v>0</v>
      </c>
      <c r="H2424" s="1437">
        <f t="shared" si="348"/>
        <v>0</v>
      </c>
      <c r="I2424" s="1437">
        <v>0</v>
      </c>
      <c r="J2424" s="1437">
        <v>0</v>
      </c>
      <c r="K2424" s="1438"/>
      <c r="L2424" s="1438"/>
      <c r="M2424" s="1437">
        <f t="shared" si="349"/>
        <v>0</v>
      </c>
      <c r="N2424" s="1437">
        <f t="shared" si="350"/>
        <v>0</v>
      </c>
    </row>
    <row r="2425" spans="1:14" ht="29" outlineLevel="1">
      <c r="A2425" s="1499">
        <f t="shared" si="353"/>
        <v>10</v>
      </c>
      <c r="B2425" s="1510" t="str">
        <f t="shared" si="353"/>
        <v>SUPPLY,INSTAL,TEST,COMM OF  CRANS&amp;HOIST</v>
      </c>
      <c r="C2425" s="1511" t="str">
        <f t="shared" si="353"/>
        <v>MERC CAPEX Approval in MTR Order 296 of 2019</v>
      </c>
      <c r="D2425" s="1334" t="str">
        <f t="shared" si="353"/>
        <v>-</v>
      </c>
      <c r="E2425" s="1430">
        <f t="shared" si="353"/>
        <v>0</v>
      </c>
      <c r="F2425" s="1437">
        <f t="shared" si="346"/>
        <v>1.8104819999999999</v>
      </c>
      <c r="G2425" s="1437">
        <f t="shared" si="347"/>
        <v>3.6223049999999999</v>
      </c>
      <c r="H2425" s="1437">
        <f t="shared" si="348"/>
        <v>-1.811823</v>
      </c>
      <c r="I2425" s="1437">
        <v>0</v>
      </c>
      <c r="J2425" s="1437">
        <v>0</v>
      </c>
      <c r="K2425" s="1438"/>
      <c r="L2425" s="1438"/>
      <c r="M2425" s="1437">
        <f t="shared" si="349"/>
        <v>0</v>
      </c>
      <c r="N2425" s="1437">
        <f t="shared" si="350"/>
        <v>-1.811823</v>
      </c>
    </row>
    <row r="2426" spans="1:14" ht="29" outlineLevel="1">
      <c r="A2426" s="1499">
        <f t="shared" si="353"/>
        <v>11</v>
      </c>
      <c r="B2426" s="1510" t="str">
        <f t="shared" si="353"/>
        <v>Supply, Errection, testing &amp; commissioning of Dust Extraction system at NPTP U-8, Parli-V</v>
      </c>
      <c r="C2426" s="1511" t="str">
        <f t="shared" si="353"/>
        <v>MERC CAPEX Approval in MTR Order 296 of 2019</v>
      </c>
      <c r="D2426" s="1334" t="str">
        <f t="shared" si="353"/>
        <v>-</v>
      </c>
      <c r="E2426" s="1430">
        <f t="shared" si="353"/>
        <v>0</v>
      </c>
      <c r="F2426" s="1437">
        <f t="shared" si="346"/>
        <v>1.8060844</v>
      </c>
      <c r="G2426" s="1437">
        <f t="shared" si="347"/>
        <v>0</v>
      </c>
      <c r="H2426" s="1437">
        <f t="shared" si="348"/>
        <v>1.8060844</v>
      </c>
      <c r="I2426" s="1437">
        <v>0</v>
      </c>
      <c r="J2426" s="1437">
        <v>0</v>
      </c>
      <c r="K2426" s="1438"/>
      <c r="L2426" s="1438"/>
      <c r="M2426" s="1437">
        <f t="shared" si="349"/>
        <v>0</v>
      </c>
      <c r="N2426" s="1437">
        <f t="shared" si="350"/>
        <v>1.8060844</v>
      </c>
    </row>
    <row r="2427" spans="1:14" ht="29" outlineLevel="1">
      <c r="A2427" s="1499">
        <f t="shared" si="353"/>
        <v>12</v>
      </c>
      <c r="B2427" s="1510" t="str">
        <f t="shared" si="353"/>
        <v>Supply, Errection, testing &amp; commissioning of DSS &amp; DFDS at NPTP U-8, Parli-V</v>
      </c>
      <c r="C2427" s="1511" t="str">
        <f t="shared" si="353"/>
        <v>MERC CAPEX Approval in MTR Order 296 of 2019</v>
      </c>
      <c r="D2427" s="1334" t="str">
        <f t="shared" si="353"/>
        <v>-</v>
      </c>
      <c r="E2427" s="1430">
        <f t="shared" si="353"/>
        <v>0</v>
      </c>
      <c r="F2427" s="1437">
        <f t="shared" si="346"/>
        <v>4.3391143999999997</v>
      </c>
      <c r="G2427" s="1437">
        <f t="shared" si="347"/>
        <v>4.34</v>
      </c>
      <c r="H2427" s="1437">
        <f t="shared" si="348"/>
        <v>-8.8560000000015293E-4</v>
      </c>
      <c r="I2427" s="1437">
        <v>0</v>
      </c>
      <c r="J2427" s="1437">
        <v>0</v>
      </c>
      <c r="K2427" s="1438"/>
      <c r="L2427" s="1438"/>
      <c r="M2427" s="1437">
        <f t="shared" si="349"/>
        <v>0</v>
      </c>
      <c r="N2427" s="1437">
        <f t="shared" si="350"/>
        <v>-8.8560000000015293E-4</v>
      </c>
    </row>
    <row r="2428" spans="1:14" ht="29" outlineLevel="1">
      <c r="A2428" s="1499">
        <f t="shared" si="353"/>
        <v>13</v>
      </c>
      <c r="B2428" s="1510" t="str">
        <f t="shared" si="353"/>
        <v>Supply, Errection, testing &amp; commissioning of Monorail at NPTP U-8, Parli-V</v>
      </c>
      <c r="C2428" s="1511" t="str">
        <f t="shared" si="353"/>
        <v>MERC CAPEX Approval in MTR Order 296 of 2019</v>
      </c>
      <c r="D2428" s="1334" t="str">
        <f t="shared" si="353"/>
        <v>-</v>
      </c>
      <c r="E2428" s="1430">
        <f t="shared" si="353"/>
        <v>0</v>
      </c>
      <c r="F2428" s="1437">
        <f t="shared" si="346"/>
        <v>1.1891777000000001</v>
      </c>
      <c r="G2428" s="1437">
        <f t="shared" si="347"/>
        <v>1.1891</v>
      </c>
      <c r="H2428" s="1437">
        <f t="shared" si="348"/>
        <v>7.770000000006938E-5</v>
      </c>
      <c r="I2428" s="1437">
        <v>0</v>
      </c>
      <c r="J2428" s="1437">
        <v>0</v>
      </c>
      <c r="K2428" s="1438"/>
      <c r="L2428" s="1438"/>
      <c r="M2428" s="1437">
        <f t="shared" si="349"/>
        <v>0</v>
      </c>
      <c r="N2428" s="1437">
        <f t="shared" si="350"/>
        <v>7.770000000006938E-5</v>
      </c>
    </row>
    <row r="2429" spans="1:14" ht="29" outlineLevel="1">
      <c r="A2429" s="1499">
        <f t="shared" si="353"/>
        <v>14</v>
      </c>
      <c r="B2429" s="1510" t="str">
        <f t="shared" si="353"/>
        <v>Supply, Errection, testing &amp; commissioning of various Control &amp; Instrumentation equipments at NPTP U-8, Parli-V</v>
      </c>
      <c r="C2429" s="1511" t="str">
        <f t="shared" si="353"/>
        <v>MERC CAPEX Approval in MTR Order 296 of 2019</v>
      </c>
      <c r="D2429" s="1334" t="str">
        <f t="shared" si="353"/>
        <v>-</v>
      </c>
      <c r="E2429" s="1430">
        <f t="shared" si="353"/>
        <v>0</v>
      </c>
      <c r="F2429" s="1437">
        <f t="shared" si="346"/>
        <v>0.72225269999999997</v>
      </c>
      <c r="G2429" s="1437">
        <f t="shared" si="347"/>
        <v>0.72225269999999997</v>
      </c>
      <c r="H2429" s="1437">
        <f t="shared" si="348"/>
        <v>0</v>
      </c>
      <c r="I2429" s="1437">
        <v>0</v>
      </c>
      <c r="J2429" s="1437">
        <v>0</v>
      </c>
      <c r="K2429" s="1438"/>
      <c r="L2429" s="1438"/>
      <c r="M2429" s="1437">
        <f t="shared" si="349"/>
        <v>0</v>
      </c>
      <c r="N2429" s="1437">
        <f t="shared" si="350"/>
        <v>0</v>
      </c>
    </row>
    <row r="2430" spans="1:14" ht="29" outlineLevel="1">
      <c r="A2430" s="1499">
        <f t="shared" ref="A2430:E2445" si="354">A2037</f>
        <v>15</v>
      </c>
      <c r="B2430" s="1510" t="str">
        <f t="shared" si="354"/>
        <v>Supply, Errection, testing &amp; commissioning of Air Conditioning System at NPTP U-8, Parli-V</v>
      </c>
      <c r="C2430" s="1511" t="str">
        <f t="shared" si="354"/>
        <v>MERC CAPEX Approval in MTR Order 296 of 2019</v>
      </c>
      <c r="D2430" s="1334" t="str">
        <f t="shared" si="354"/>
        <v>-</v>
      </c>
      <c r="E2430" s="1430">
        <f t="shared" si="354"/>
        <v>0</v>
      </c>
      <c r="F2430" s="1437">
        <f t="shared" si="346"/>
        <v>0.15304309999999999</v>
      </c>
      <c r="G2430" s="1437">
        <f t="shared" si="347"/>
        <v>0.44729429999999998</v>
      </c>
      <c r="H2430" s="1437">
        <f t="shared" si="348"/>
        <v>-0.29425119999999999</v>
      </c>
      <c r="I2430" s="1437">
        <v>0</v>
      </c>
      <c r="J2430" s="1437">
        <v>0</v>
      </c>
      <c r="K2430" s="1438"/>
      <c r="L2430" s="1438"/>
      <c r="M2430" s="1437">
        <f t="shared" si="349"/>
        <v>0</v>
      </c>
      <c r="N2430" s="1437">
        <f t="shared" si="350"/>
        <v>-0.29425119999999999</v>
      </c>
    </row>
    <row r="2431" spans="1:14" ht="29" outlineLevel="1">
      <c r="A2431" s="1499">
        <f t="shared" si="354"/>
        <v>16</v>
      </c>
      <c r="B2431" s="1510" t="str">
        <f t="shared" si="354"/>
        <v>Supply, Errection, testing &amp; commissioning of Ventilation  System at NPTP U-8, Parli-V</v>
      </c>
      <c r="C2431" s="1511" t="str">
        <f t="shared" si="354"/>
        <v>MERC CAPEX Approval in MTR Order 296 of 2019</v>
      </c>
      <c r="D2431" s="1334" t="str">
        <f t="shared" si="354"/>
        <v>-</v>
      </c>
      <c r="E2431" s="1430">
        <f t="shared" si="354"/>
        <v>0</v>
      </c>
      <c r="F2431" s="1437">
        <f t="shared" si="346"/>
        <v>2.1135999999999999</v>
      </c>
      <c r="G2431" s="1437">
        <f t="shared" si="347"/>
        <v>1.2036</v>
      </c>
      <c r="H2431" s="1437">
        <f t="shared" si="348"/>
        <v>0.90999999999999992</v>
      </c>
      <c r="I2431" s="1437">
        <v>0</v>
      </c>
      <c r="J2431" s="1437">
        <v>0</v>
      </c>
      <c r="K2431" s="1438"/>
      <c r="L2431" s="1438"/>
      <c r="M2431" s="1437">
        <f t="shared" si="349"/>
        <v>0</v>
      </c>
      <c r="N2431" s="1437">
        <f t="shared" si="350"/>
        <v>0.90999999999999992</v>
      </c>
    </row>
    <row r="2432" spans="1:14" ht="29" outlineLevel="1">
      <c r="A2432" s="1499">
        <f t="shared" si="354"/>
        <v>17</v>
      </c>
      <c r="B2432" s="1510" t="str">
        <f t="shared" si="354"/>
        <v>Supply, Errection, testing &amp; commissioning of Elevator works.</v>
      </c>
      <c r="C2432" s="1511" t="str">
        <f t="shared" si="354"/>
        <v>MERC CAPEX Approval in MTR Order 296 of 2019</v>
      </c>
      <c r="D2432" s="1334" t="str">
        <f t="shared" si="354"/>
        <v>-</v>
      </c>
      <c r="E2432" s="1430">
        <f t="shared" si="354"/>
        <v>0</v>
      </c>
      <c r="F2432" s="1437">
        <f t="shared" si="346"/>
        <v>3.5173187000000001</v>
      </c>
      <c r="G2432" s="1437">
        <f t="shared" si="347"/>
        <v>4.4273186999999998</v>
      </c>
      <c r="H2432" s="1437">
        <f t="shared" si="348"/>
        <v>-0.9099999999999997</v>
      </c>
      <c r="I2432" s="1437">
        <v>0</v>
      </c>
      <c r="J2432" s="1437">
        <v>0</v>
      </c>
      <c r="K2432" s="1438"/>
      <c r="L2432" s="1438"/>
      <c r="M2432" s="1437">
        <f t="shared" si="349"/>
        <v>0</v>
      </c>
      <c r="N2432" s="1437">
        <f t="shared" si="350"/>
        <v>-0.9099999999999997</v>
      </c>
    </row>
    <row r="2433" spans="1:14" ht="29" outlineLevel="1">
      <c r="A2433" s="1499">
        <f t="shared" si="354"/>
        <v>18</v>
      </c>
      <c r="B2433" s="1510" t="str">
        <f t="shared" si="354"/>
        <v>Work contract for dismentaling, supply, erection &amp; commissioning of MRHS</v>
      </c>
      <c r="C2433" s="1511" t="str">
        <f t="shared" si="354"/>
        <v>MERC CAPEX Approval in MTR Order 296 of 2019</v>
      </c>
      <c r="D2433" s="1334" t="str">
        <f t="shared" si="354"/>
        <v>-</v>
      </c>
      <c r="E2433" s="1430">
        <f t="shared" si="354"/>
        <v>0</v>
      </c>
      <c r="F2433" s="1437">
        <f t="shared" ref="F2433:F2496" si="355">F2040+I2040</f>
        <v>2.2335039999999999</v>
      </c>
      <c r="G2433" s="1437">
        <f t="shared" ref="G2433:G2496" si="356">G2040+M2040</f>
        <v>2.2335039999999999</v>
      </c>
      <c r="H2433" s="1437">
        <f t="shared" ref="H2433:H2496" si="357">F2433-G2433</f>
        <v>0</v>
      </c>
      <c r="I2433" s="1437">
        <v>0</v>
      </c>
      <c r="J2433" s="1437">
        <v>0</v>
      </c>
      <c r="K2433" s="1438"/>
      <c r="L2433" s="1438"/>
      <c r="M2433" s="1437">
        <f t="shared" ref="M2433:M2493" si="358">SUM(J2433:L2433)</f>
        <v>0</v>
      </c>
      <c r="N2433" s="1437">
        <f t="shared" ref="N2433:N2496" si="359">H2433+I2433-M2433</f>
        <v>0</v>
      </c>
    </row>
    <row r="2434" spans="1:14" ht="43.5" outlineLevel="1">
      <c r="A2434" s="1499">
        <f t="shared" si="354"/>
        <v>19</v>
      </c>
      <c r="B2434" s="1510" t="str">
        <f t="shared" si="354"/>
        <v>Supply, Errection, testing &amp; commissioning of FF System, Smoke detection &amp; Fire stop mortar &amp; Fire retradant cable coating for conveyor 09 &amp; 10</v>
      </c>
      <c r="C2434" s="1511" t="str">
        <f t="shared" si="354"/>
        <v>MERC CAPEX Approval in MTR Order 296 of 2019</v>
      </c>
      <c r="D2434" s="1334" t="str">
        <f t="shared" si="354"/>
        <v>-</v>
      </c>
      <c r="E2434" s="1430">
        <f t="shared" si="354"/>
        <v>0</v>
      </c>
      <c r="F2434" s="1437">
        <f t="shared" si="355"/>
        <v>0.22170519999999999</v>
      </c>
      <c r="G2434" s="1437">
        <f t="shared" si="356"/>
        <v>0.51866310000000004</v>
      </c>
      <c r="H2434" s="1437">
        <f t="shared" si="357"/>
        <v>-0.29695790000000005</v>
      </c>
      <c r="I2434" s="1437">
        <v>0</v>
      </c>
      <c r="J2434" s="1437">
        <v>0</v>
      </c>
      <c r="K2434" s="1438"/>
      <c r="L2434" s="1438"/>
      <c r="M2434" s="1437">
        <f t="shared" si="358"/>
        <v>0</v>
      </c>
      <c r="N2434" s="1437">
        <f t="shared" si="359"/>
        <v>-0.29695790000000005</v>
      </c>
    </row>
    <row r="2435" spans="1:14" ht="29" outlineLevel="1">
      <c r="A2435" s="1499">
        <f t="shared" si="354"/>
        <v>20</v>
      </c>
      <c r="B2435" s="1510" t="str">
        <f t="shared" si="354"/>
        <v>Supply, Errection, testing &amp; commissioning of Chimney Elevator</v>
      </c>
      <c r="C2435" s="1511" t="str">
        <f t="shared" si="354"/>
        <v>MERC CAPEX Approval in MTR Order 296 of 2019</v>
      </c>
      <c r="D2435" s="1334" t="str">
        <f t="shared" si="354"/>
        <v>-</v>
      </c>
      <c r="E2435" s="1430">
        <f t="shared" si="354"/>
        <v>0</v>
      </c>
      <c r="F2435" s="1437">
        <f t="shared" si="355"/>
        <v>1.060802</v>
      </c>
      <c r="G2435" s="1437">
        <f t="shared" si="356"/>
        <v>0</v>
      </c>
      <c r="H2435" s="1437">
        <f t="shared" si="357"/>
        <v>1.060802</v>
      </c>
      <c r="I2435" s="1437">
        <v>0</v>
      </c>
      <c r="J2435" s="1437">
        <v>0</v>
      </c>
      <c r="K2435" s="1438"/>
      <c r="L2435" s="1438"/>
      <c r="M2435" s="1437">
        <f t="shared" si="358"/>
        <v>0</v>
      </c>
      <c r="N2435" s="1437">
        <f t="shared" si="359"/>
        <v>1.060802</v>
      </c>
    </row>
    <row r="2436" spans="1:14" ht="29" outlineLevel="1">
      <c r="A2436" s="1499">
        <f t="shared" si="354"/>
        <v>21</v>
      </c>
      <c r="B2436" s="1510" t="str">
        <f t="shared" si="354"/>
        <v>Supply, Errection, testing &amp; commissioning work of GEHO Pumps.</v>
      </c>
      <c r="C2436" s="1511" t="str">
        <f t="shared" si="354"/>
        <v>MERC CAPEX Approval in MTR Order 296 of 2019</v>
      </c>
      <c r="D2436" s="1334" t="str">
        <f t="shared" si="354"/>
        <v>-</v>
      </c>
      <c r="E2436" s="1430">
        <f t="shared" si="354"/>
        <v>0</v>
      </c>
      <c r="F2436" s="1437">
        <f t="shared" si="355"/>
        <v>0</v>
      </c>
      <c r="G2436" s="1437">
        <f t="shared" si="356"/>
        <v>1.06</v>
      </c>
      <c r="H2436" s="1437">
        <f t="shared" si="357"/>
        <v>-1.06</v>
      </c>
      <c r="I2436" s="1437">
        <v>0</v>
      </c>
      <c r="J2436" s="1437">
        <v>0</v>
      </c>
      <c r="K2436" s="1438"/>
      <c r="L2436" s="1438"/>
      <c r="M2436" s="1437">
        <f t="shared" si="358"/>
        <v>0</v>
      </c>
      <c r="N2436" s="1437">
        <f t="shared" si="359"/>
        <v>-1.06</v>
      </c>
    </row>
    <row r="2437" spans="1:14" ht="29" outlineLevel="1">
      <c r="A2437" s="1499">
        <f t="shared" si="354"/>
        <v>22</v>
      </c>
      <c r="B2437" s="1510" t="str">
        <f t="shared" si="354"/>
        <v>Procurement of various Mandetory spares of BOP packages</v>
      </c>
      <c r="C2437" s="1511" t="str">
        <f t="shared" si="354"/>
        <v>MERC CAPEX Approval in MTR Order 296 of 2019</v>
      </c>
      <c r="D2437" s="1334" t="str">
        <f t="shared" si="354"/>
        <v>-</v>
      </c>
      <c r="E2437" s="1430">
        <f t="shared" si="354"/>
        <v>0</v>
      </c>
      <c r="F2437" s="1437">
        <f t="shared" si="355"/>
        <v>5.47</v>
      </c>
      <c r="G2437" s="1437">
        <f t="shared" si="356"/>
        <v>6.54</v>
      </c>
      <c r="H2437" s="1437">
        <f t="shared" si="357"/>
        <v>-1.0700000000000003</v>
      </c>
      <c r="I2437" s="1437">
        <v>0</v>
      </c>
      <c r="J2437" s="1437">
        <v>0</v>
      </c>
      <c r="K2437" s="1438"/>
      <c r="L2437" s="1438"/>
      <c r="M2437" s="1437">
        <f t="shared" si="358"/>
        <v>0</v>
      </c>
      <c r="N2437" s="1437">
        <f t="shared" si="359"/>
        <v>-1.0700000000000003</v>
      </c>
    </row>
    <row r="2438" spans="1:14" ht="31" outlineLevel="1">
      <c r="A2438" s="1493">
        <f t="shared" si="354"/>
        <v>0</v>
      </c>
      <c r="B2438" s="1494" t="str">
        <f t="shared" si="354"/>
        <v>Balance civil work of BOP scope at 250 MW Parli-V</v>
      </c>
      <c r="C2438" s="1495" t="str">
        <f t="shared" si="354"/>
        <v>MERC CAPEX Approval in MTR Order 296 of 2019</v>
      </c>
      <c r="D2438" s="1341" t="str">
        <f t="shared" si="354"/>
        <v>-</v>
      </c>
      <c r="E2438" s="1509">
        <f t="shared" si="354"/>
        <v>45.323799999999991</v>
      </c>
      <c r="F2438" s="1437">
        <f t="shared" si="355"/>
        <v>0.55711806000000097</v>
      </c>
      <c r="G2438" s="1437">
        <f t="shared" si="356"/>
        <v>16.720000000000002</v>
      </c>
      <c r="H2438" s="1437">
        <f t="shared" si="357"/>
        <v>-16.162881940000002</v>
      </c>
      <c r="I2438" s="1437">
        <v>0</v>
      </c>
      <c r="J2438" s="1437">
        <v>0</v>
      </c>
      <c r="K2438" s="1438"/>
      <c r="L2438" s="1438"/>
      <c r="M2438" s="1437">
        <f t="shared" si="358"/>
        <v>0</v>
      </c>
      <c r="N2438" s="1437">
        <f t="shared" si="359"/>
        <v>-16.162881940000002</v>
      </c>
    </row>
    <row r="2439" spans="1:14" ht="29" outlineLevel="1">
      <c r="A2439" s="1499">
        <f t="shared" si="354"/>
        <v>1</v>
      </c>
      <c r="B2439" s="1512" t="str">
        <f t="shared" si="354"/>
        <v>Area grading</v>
      </c>
      <c r="C2439" s="1511" t="str">
        <f t="shared" si="354"/>
        <v>MERC CAPEX Approval in MTR Order 296 of 2019</v>
      </c>
      <c r="D2439" s="1334" t="str">
        <f t="shared" si="354"/>
        <v>-</v>
      </c>
      <c r="E2439" s="1430">
        <f t="shared" si="354"/>
        <v>0</v>
      </c>
      <c r="F2439" s="1437">
        <f t="shared" si="355"/>
        <v>6.9866406799999998</v>
      </c>
      <c r="G2439" s="1437">
        <f t="shared" si="356"/>
        <v>0.89</v>
      </c>
      <c r="H2439" s="1437">
        <f t="shared" si="357"/>
        <v>6.0966406800000001</v>
      </c>
      <c r="I2439" s="1437">
        <v>0</v>
      </c>
      <c r="J2439" s="1437">
        <v>0</v>
      </c>
      <c r="K2439" s="1438"/>
      <c r="L2439" s="1438"/>
      <c r="M2439" s="1437">
        <f t="shared" si="358"/>
        <v>0</v>
      </c>
      <c r="N2439" s="1437">
        <f t="shared" si="359"/>
        <v>6.0966406800000001</v>
      </c>
    </row>
    <row r="2440" spans="1:14" ht="29" outlineLevel="1">
      <c r="A2440" s="1499">
        <f t="shared" si="354"/>
        <v>2</v>
      </c>
      <c r="B2440" s="1512" t="str">
        <f t="shared" si="354"/>
        <v>CMD</v>
      </c>
      <c r="C2440" s="1511" t="str">
        <f t="shared" si="354"/>
        <v>MERC CAPEX Approval in MTR Order 296 of 2019</v>
      </c>
      <c r="D2440" s="1334" t="str">
        <f t="shared" si="354"/>
        <v>-</v>
      </c>
      <c r="E2440" s="1430">
        <f t="shared" si="354"/>
        <v>0</v>
      </c>
      <c r="F2440" s="1437">
        <f t="shared" si="355"/>
        <v>1.2410745000000012</v>
      </c>
      <c r="G2440" s="1437">
        <f t="shared" si="356"/>
        <v>1.3549000000000009</v>
      </c>
      <c r="H2440" s="1437">
        <f t="shared" si="357"/>
        <v>-0.11382549999999969</v>
      </c>
      <c r="I2440" s="1437">
        <v>0</v>
      </c>
      <c r="J2440" s="1437">
        <v>0</v>
      </c>
      <c r="K2440" s="1438"/>
      <c r="L2440" s="1438"/>
      <c r="M2440" s="1437">
        <f t="shared" si="358"/>
        <v>0</v>
      </c>
      <c r="N2440" s="1437">
        <f t="shared" si="359"/>
        <v>-0.11382549999999969</v>
      </c>
    </row>
    <row r="2441" spans="1:14" ht="29" outlineLevel="1">
      <c r="A2441" s="1499">
        <f t="shared" si="354"/>
        <v>3</v>
      </c>
      <c r="B2441" s="1512" t="str">
        <f t="shared" si="354"/>
        <v>Conveyor 09, 10 &amp; TP 06</v>
      </c>
      <c r="C2441" s="1511" t="str">
        <f t="shared" si="354"/>
        <v>MERC CAPEX Approval in MTR Order 296 of 2019</v>
      </c>
      <c r="D2441" s="1334" t="str">
        <f t="shared" si="354"/>
        <v>-</v>
      </c>
      <c r="E2441" s="1430">
        <f t="shared" si="354"/>
        <v>0</v>
      </c>
      <c r="F2441" s="1437">
        <f t="shared" si="355"/>
        <v>14.560539259999999</v>
      </c>
      <c r="G2441" s="1437">
        <f t="shared" si="356"/>
        <v>12.129999999999999</v>
      </c>
      <c r="H2441" s="1437">
        <f t="shared" si="357"/>
        <v>2.4305392599999998</v>
      </c>
      <c r="I2441" s="1437">
        <v>0</v>
      </c>
      <c r="J2441" s="1437">
        <v>0</v>
      </c>
      <c r="K2441" s="1438"/>
      <c r="L2441" s="1438"/>
      <c r="M2441" s="1437">
        <f t="shared" si="358"/>
        <v>0</v>
      </c>
      <c r="N2441" s="1437">
        <f t="shared" si="359"/>
        <v>2.4305392599999998</v>
      </c>
    </row>
    <row r="2442" spans="1:14" ht="29" outlineLevel="1">
      <c r="A2442" s="1499">
        <f t="shared" si="354"/>
        <v>4</v>
      </c>
      <c r="B2442" s="1512" t="str">
        <f t="shared" si="354"/>
        <v>Finishing item</v>
      </c>
      <c r="C2442" s="1511" t="str">
        <f t="shared" si="354"/>
        <v>MERC CAPEX Approval in MTR Order 296 of 2019</v>
      </c>
      <c r="D2442" s="1334" t="str">
        <f t="shared" si="354"/>
        <v>-</v>
      </c>
      <c r="E2442" s="1430">
        <f t="shared" si="354"/>
        <v>0</v>
      </c>
      <c r="F2442" s="1437">
        <f t="shared" si="355"/>
        <v>8.0849650400000002</v>
      </c>
      <c r="G2442" s="1437">
        <f t="shared" si="356"/>
        <v>4.6505999999999998</v>
      </c>
      <c r="H2442" s="1437">
        <f t="shared" si="357"/>
        <v>3.4343650400000003</v>
      </c>
      <c r="I2442" s="1437">
        <v>0</v>
      </c>
      <c r="J2442" s="1437">
        <v>0</v>
      </c>
      <c r="K2442" s="1438"/>
      <c r="L2442" s="1438"/>
      <c r="M2442" s="1437">
        <f t="shared" si="358"/>
        <v>0</v>
      </c>
      <c r="N2442" s="1437">
        <f t="shared" si="359"/>
        <v>3.4343650400000003</v>
      </c>
    </row>
    <row r="2443" spans="1:14" ht="29" outlineLevel="1">
      <c r="A2443" s="1499">
        <f t="shared" si="354"/>
        <v>5</v>
      </c>
      <c r="B2443" s="1512" t="str">
        <f t="shared" si="354"/>
        <v>Drain &amp; nala</v>
      </c>
      <c r="C2443" s="1511" t="str">
        <f t="shared" si="354"/>
        <v>MERC CAPEX Approval in MTR Order 296 of 2019</v>
      </c>
      <c r="D2443" s="1334" t="str">
        <f t="shared" si="354"/>
        <v>-</v>
      </c>
      <c r="E2443" s="1430">
        <f t="shared" si="354"/>
        <v>0</v>
      </c>
      <c r="F2443" s="1437">
        <f t="shared" si="355"/>
        <v>5.08483324</v>
      </c>
      <c r="G2443" s="1437">
        <f t="shared" si="356"/>
        <v>11.79</v>
      </c>
      <c r="H2443" s="1437">
        <f t="shared" si="357"/>
        <v>-6.7051667599999991</v>
      </c>
      <c r="I2443" s="1437">
        <v>0</v>
      </c>
      <c r="J2443" s="1437">
        <v>0</v>
      </c>
      <c r="K2443" s="1438"/>
      <c r="L2443" s="1438"/>
      <c r="M2443" s="1437">
        <f t="shared" si="358"/>
        <v>0</v>
      </c>
      <c r="N2443" s="1437">
        <f t="shared" si="359"/>
        <v>-6.7051667599999991</v>
      </c>
    </row>
    <row r="2444" spans="1:14" ht="29" outlineLevel="1">
      <c r="A2444" s="1499">
        <f t="shared" si="354"/>
        <v>6</v>
      </c>
      <c r="B2444" s="1512" t="str">
        <f t="shared" si="354"/>
        <v>Internal roads</v>
      </c>
      <c r="C2444" s="1511" t="str">
        <f t="shared" si="354"/>
        <v>MERC CAPEX Approval in MTR Order 296 of 2019</v>
      </c>
      <c r="D2444" s="1334" t="str">
        <f t="shared" si="354"/>
        <v>-</v>
      </c>
      <c r="E2444" s="1430">
        <f t="shared" si="354"/>
        <v>0</v>
      </c>
      <c r="F2444" s="1437">
        <f t="shared" si="355"/>
        <v>9.7521449799999989</v>
      </c>
      <c r="G2444" s="1437">
        <f t="shared" si="356"/>
        <v>1.5</v>
      </c>
      <c r="H2444" s="1437">
        <f t="shared" si="357"/>
        <v>8.2521449799999989</v>
      </c>
      <c r="I2444" s="1437">
        <v>0</v>
      </c>
      <c r="J2444" s="1437">
        <v>0</v>
      </c>
      <c r="K2444" s="1438"/>
      <c r="L2444" s="1438"/>
      <c r="M2444" s="1437">
        <f t="shared" si="358"/>
        <v>0</v>
      </c>
      <c r="N2444" s="1437">
        <f t="shared" si="359"/>
        <v>8.2521449799999989</v>
      </c>
    </row>
    <row r="2445" spans="1:14" ht="29" outlineLevel="1">
      <c r="A2445" s="1499">
        <f t="shared" si="354"/>
        <v>7</v>
      </c>
      <c r="B2445" s="1512" t="str">
        <f t="shared" si="354"/>
        <v>Stacker &amp; reclaimer</v>
      </c>
      <c r="C2445" s="1511" t="str">
        <f t="shared" si="354"/>
        <v>MERC CAPEX Approval in MTR Order 296 of 2019</v>
      </c>
      <c r="D2445" s="1334" t="str">
        <f t="shared" si="354"/>
        <v>-</v>
      </c>
      <c r="E2445" s="1430">
        <f t="shared" si="354"/>
        <v>0</v>
      </c>
      <c r="F2445" s="1437">
        <f t="shared" si="355"/>
        <v>1.1626842399999999</v>
      </c>
      <c r="G2445" s="1437">
        <f t="shared" si="356"/>
        <v>0</v>
      </c>
      <c r="H2445" s="1437">
        <f t="shared" si="357"/>
        <v>1.1626842399999999</v>
      </c>
      <c r="I2445" s="1437">
        <v>0</v>
      </c>
      <c r="J2445" s="1437">
        <v>0</v>
      </c>
      <c r="K2445" s="1438"/>
      <c r="L2445" s="1438"/>
      <c r="M2445" s="1437">
        <f t="shared" si="358"/>
        <v>0</v>
      </c>
      <c r="N2445" s="1437">
        <f t="shared" si="359"/>
        <v>1.1626842399999999</v>
      </c>
    </row>
    <row r="2446" spans="1:14" ht="15.5" outlineLevel="1">
      <c r="A2446" s="1493">
        <f t="shared" ref="A2446:E2461" si="360">A2053</f>
        <v>0</v>
      </c>
      <c r="B2446" s="1494" t="str">
        <f t="shared" si="360"/>
        <v>Other Add Cap</v>
      </c>
      <c r="C2446" s="1495">
        <f t="shared" si="360"/>
        <v>0</v>
      </c>
      <c r="D2446" s="1341" t="str">
        <f t="shared" si="360"/>
        <v>-</v>
      </c>
      <c r="E2446" s="1496">
        <f t="shared" si="360"/>
        <v>0</v>
      </c>
      <c r="F2446" s="1437">
        <f t="shared" si="355"/>
        <v>0</v>
      </c>
      <c r="G2446" s="1437">
        <f t="shared" si="356"/>
        <v>0</v>
      </c>
      <c r="H2446" s="1437">
        <f t="shared" si="357"/>
        <v>0</v>
      </c>
      <c r="I2446" s="1437">
        <v>0</v>
      </c>
      <c r="J2446" s="1437">
        <v>0</v>
      </c>
      <c r="K2446" s="1438"/>
      <c r="L2446" s="1438"/>
      <c r="M2446" s="1437">
        <f t="shared" si="358"/>
        <v>0</v>
      </c>
      <c r="N2446" s="1437">
        <f t="shared" si="359"/>
        <v>0</v>
      </c>
    </row>
    <row r="2447" spans="1:14" ht="15.5" outlineLevel="1">
      <c r="A2447" s="1491">
        <f t="shared" si="360"/>
        <v>0</v>
      </c>
      <c r="B2447" s="1377" t="str">
        <f t="shared" si="360"/>
        <v>Laboratory set up</v>
      </c>
      <c r="C2447" s="1492" t="str">
        <f t="shared" si="360"/>
        <v>Add Cap (As per 296 of 2019)</v>
      </c>
      <c r="D2447" s="1334" t="str">
        <f t="shared" si="360"/>
        <v>-</v>
      </c>
      <c r="E2447" s="1378">
        <f t="shared" si="360"/>
        <v>0</v>
      </c>
      <c r="F2447" s="1437">
        <f t="shared" si="355"/>
        <v>0</v>
      </c>
      <c r="G2447" s="1437">
        <f t="shared" si="356"/>
        <v>0</v>
      </c>
      <c r="H2447" s="1437">
        <f t="shared" si="357"/>
        <v>0</v>
      </c>
      <c r="I2447" s="1437">
        <v>0</v>
      </c>
      <c r="J2447" s="1437">
        <v>0</v>
      </c>
      <c r="K2447" s="1438"/>
      <c r="L2447" s="1438"/>
      <c r="M2447" s="1437">
        <f t="shared" si="358"/>
        <v>0</v>
      </c>
      <c r="N2447" s="1437">
        <f t="shared" si="359"/>
        <v>0</v>
      </c>
    </row>
    <row r="2448" spans="1:14" ht="31" outlineLevel="1">
      <c r="A2448" s="1491">
        <f t="shared" si="360"/>
        <v>1</v>
      </c>
      <c r="B2448" s="1513" t="str">
        <f t="shared" si="360"/>
        <v>Supply of Analytical Instruments for condition monitoring Laboratory for 1X250 MW of   NPTPS, Parli-V.</v>
      </c>
      <c r="C2448" s="1492" t="str">
        <f t="shared" si="360"/>
        <v>Add Cap (As per 296 of 2019)</v>
      </c>
      <c r="D2448" s="1514" t="str">
        <f t="shared" si="360"/>
        <v>-</v>
      </c>
      <c r="E2448" s="1382">
        <f t="shared" si="360"/>
        <v>0.5</v>
      </c>
      <c r="F2448" s="1437">
        <f t="shared" si="355"/>
        <v>0.49655460000000001</v>
      </c>
      <c r="G2448" s="1437">
        <f t="shared" si="356"/>
        <v>0.49655460000000001</v>
      </c>
      <c r="H2448" s="1437">
        <f t="shared" si="357"/>
        <v>0</v>
      </c>
      <c r="I2448" s="1437">
        <v>0</v>
      </c>
      <c r="J2448" s="1437">
        <v>0</v>
      </c>
      <c r="K2448" s="1438"/>
      <c r="L2448" s="1438"/>
      <c r="M2448" s="1437">
        <f t="shared" si="358"/>
        <v>0</v>
      </c>
      <c r="N2448" s="1437">
        <f t="shared" si="359"/>
        <v>0</v>
      </c>
    </row>
    <row r="2449" spans="1:16" ht="31" outlineLevel="1">
      <c r="A2449" s="1491">
        <f t="shared" si="360"/>
        <v>2</v>
      </c>
      <c r="B2449" s="1513" t="str">
        <f t="shared" si="360"/>
        <v>Supply of Analytical Instruments for Water Analysis Laboratory for 1X250 MW of   NPTPS, Parli-V</v>
      </c>
      <c r="C2449" s="1492" t="str">
        <f t="shared" si="360"/>
        <v>Add Cap (As per 296 of 2019)</v>
      </c>
      <c r="D2449" s="1334" t="str">
        <f t="shared" si="360"/>
        <v>-</v>
      </c>
      <c r="E2449" s="1382">
        <f t="shared" si="360"/>
        <v>1.23</v>
      </c>
      <c r="F2449" s="1437">
        <f t="shared" si="355"/>
        <v>0.29846889999999998</v>
      </c>
      <c r="G2449" s="1437">
        <f t="shared" si="356"/>
        <v>0.29846889999999998</v>
      </c>
      <c r="H2449" s="1437">
        <f t="shared" si="357"/>
        <v>0</v>
      </c>
      <c r="I2449" s="1437">
        <v>0</v>
      </c>
      <c r="J2449" s="1437">
        <v>0</v>
      </c>
      <c r="K2449" s="1438"/>
      <c r="L2449" s="1438"/>
      <c r="M2449" s="1437">
        <f t="shared" si="358"/>
        <v>0</v>
      </c>
      <c r="N2449" s="1437">
        <f t="shared" si="359"/>
        <v>0</v>
      </c>
    </row>
    <row r="2450" spans="1:16" ht="31" outlineLevel="1">
      <c r="A2450" s="1491">
        <f t="shared" si="360"/>
        <v>3</v>
      </c>
      <c r="B2450" s="1513" t="str">
        <f t="shared" si="360"/>
        <v>Supply of Analytical Instruments for Environment Laboratory for 1 x 250 MW, NPTPS, Parli-V.</v>
      </c>
      <c r="C2450" s="1492" t="str">
        <f t="shared" si="360"/>
        <v>Add Cap (As per 296 of 2019)</v>
      </c>
      <c r="D2450" s="1514" t="str">
        <f t="shared" si="360"/>
        <v>-</v>
      </c>
      <c r="E2450" s="1382">
        <f t="shared" si="360"/>
        <v>0.39</v>
      </c>
      <c r="F2450" s="1437">
        <f t="shared" si="355"/>
        <v>0.36579919999999999</v>
      </c>
      <c r="G2450" s="1437">
        <f t="shared" si="356"/>
        <v>0.36579919999999999</v>
      </c>
      <c r="H2450" s="1437">
        <f t="shared" si="357"/>
        <v>0</v>
      </c>
      <c r="I2450" s="1437">
        <v>0</v>
      </c>
      <c r="J2450" s="1437">
        <v>0</v>
      </c>
      <c r="K2450" s="1438"/>
      <c r="L2450" s="1438"/>
      <c r="M2450" s="1437">
        <f t="shared" si="358"/>
        <v>0</v>
      </c>
      <c r="N2450" s="1437">
        <f t="shared" si="359"/>
        <v>0</v>
      </c>
    </row>
    <row r="2451" spans="1:16" ht="31" outlineLevel="1">
      <c r="A2451" s="1491">
        <f t="shared" si="360"/>
        <v>4</v>
      </c>
      <c r="B2451" s="1513" t="str">
        <f t="shared" si="360"/>
        <v>Supply of Analytical Instruments for Precision Laboratory for 1 x 250 MW, NPTPS, Parli-V.</v>
      </c>
      <c r="C2451" s="1492" t="str">
        <f t="shared" si="360"/>
        <v>Add Cap (As per 296 of 2019)</v>
      </c>
      <c r="D2451" s="1334" t="str">
        <f t="shared" si="360"/>
        <v>-</v>
      </c>
      <c r="E2451" s="1382">
        <f t="shared" si="360"/>
        <v>1</v>
      </c>
      <c r="F2451" s="1437">
        <f t="shared" si="355"/>
        <v>0</v>
      </c>
      <c r="G2451" s="1437">
        <f t="shared" si="356"/>
        <v>0</v>
      </c>
      <c r="H2451" s="1437">
        <f t="shared" si="357"/>
        <v>0</v>
      </c>
      <c r="I2451" s="1437">
        <v>0</v>
      </c>
      <c r="J2451" s="1437">
        <v>0</v>
      </c>
      <c r="K2451" s="1438"/>
      <c r="L2451" s="1438"/>
      <c r="M2451" s="1437">
        <f t="shared" si="358"/>
        <v>0</v>
      </c>
      <c r="N2451" s="1437">
        <f t="shared" si="359"/>
        <v>0</v>
      </c>
    </row>
    <row r="2452" spans="1:16" ht="31" outlineLevel="1">
      <c r="A2452" s="1491">
        <f t="shared" si="360"/>
        <v>5</v>
      </c>
      <c r="B2452" s="1513" t="str">
        <f t="shared" si="360"/>
        <v>Supply of Analytical Instruments for General Laboratory of Water Treatment Plant of 1 x 250 MW, NPTPS, Parli-V.</v>
      </c>
      <c r="C2452" s="1492" t="str">
        <f t="shared" si="360"/>
        <v>Add Cap (As per 296 of 2019)</v>
      </c>
      <c r="D2452" s="1334" t="str">
        <f t="shared" si="360"/>
        <v>-</v>
      </c>
      <c r="E2452" s="1382">
        <f t="shared" si="360"/>
        <v>0.93</v>
      </c>
      <c r="F2452" s="1437">
        <f t="shared" si="355"/>
        <v>0</v>
      </c>
      <c r="G2452" s="1437">
        <f t="shared" si="356"/>
        <v>0</v>
      </c>
      <c r="H2452" s="1437">
        <f t="shared" si="357"/>
        <v>0</v>
      </c>
      <c r="I2452" s="1437">
        <v>0</v>
      </c>
      <c r="J2452" s="1437">
        <v>0</v>
      </c>
      <c r="K2452" s="1438"/>
      <c r="L2452" s="1438"/>
      <c r="M2452" s="1437">
        <f t="shared" si="358"/>
        <v>0</v>
      </c>
      <c r="N2452" s="1437">
        <f t="shared" si="359"/>
        <v>0</v>
      </c>
    </row>
    <row r="2453" spans="1:16" ht="31" outlineLevel="1">
      <c r="A2453" s="1491">
        <f t="shared" si="360"/>
        <v>6</v>
      </c>
      <c r="B2453" s="1513" t="str">
        <f t="shared" si="360"/>
        <v>Supply of Corrosion Monitor/Meter, Corrosion Coupon &amp; Coupon Rack for 1X250 MW of   NPTPS, Parli-V.</v>
      </c>
      <c r="C2453" s="1492" t="str">
        <f t="shared" si="360"/>
        <v>Add Cap (As per 296 of 2019)</v>
      </c>
      <c r="D2453" s="1334" t="str">
        <f t="shared" si="360"/>
        <v>-</v>
      </c>
      <c r="E2453" s="1382">
        <f t="shared" si="360"/>
        <v>0.34</v>
      </c>
      <c r="F2453" s="1437">
        <f t="shared" si="355"/>
        <v>0.347356836</v>
      </c>
      <c r="G2453" s="1437">
        <f t="shared" si="356"/>
        <v>0.347356836</v>
      </c>
      <c r="H2453" s="1437">
        <f t="shared" si="357"/>
        <v>0</v>
      </c>
      <c r="I2453" s="1437">
        <v>0</v>
      </c>
      <c r="J2453" s="1437">
        <v>0</v>
      </c>
      <c r="K2453" s="1438"/>
      <c r="L2453" s="1438"/>
      <c r="M2453" s="1437">
        <f t="shared" si="358"/>
        <v>0</v>
      </c>
      <c r="N2453" s="1437">
        <f t="shared" si="359"/>
        <v>0</v>
      </c>
    </row>
    <row r="2454" spans="1:16" ht="31" outlineLevel="1">
      <c r="A2454" s="1491">
        <f t="shared" si="360"/>
        <v>7</v>
      </c>
      <c r="B2454" s="1515" t="str">
        <f t="shared" si="360"/>
        <v>Supply of Analytical Instruments for Coal Analysis Laboratory for 1X250 MW of   NPTPS, Parli-V</v>
      </c>
      <c r="C2454" s="1492" t="str">
        <f t="shared" si="360"/>
        <v>Add Cap (As per 296 of 2019)</v>
      </c>
      <c r="D2454" s="1334" t="str">
        <f t="shared" si="360"/>
        <v>-</v>
      </c>
      <c r="E2454" s="1382">
        <f t="shared" si="360"/>
        <v>1.65</v>
      </c>
      <c r="F2454" s="1437">
        <f t="shared" si="355"/>
        <v>0.39444410000000002</v>
      </c>
      <c r="G2454" s="1437">
        <f t="shared" si="356"/>
        <v>0.39444410000000002</v>
      </c>
      <c r="H2454" s="1437">
        <f t="shared" si="357"/>
        <v>0</v>
      </c>
      <c r="I2454" s="1437">
        <v>0</v>
      </c>
      <c r="J2454" s="1437">
        <v>0</v>
      </c>
      <c r="K2454" s="1438"/>
      <c r="L2454" s="1438"/>
      <c r="M2454" s="1437">
        <f t="shared" si="358"/>
        <v>0</v>
      </c>
      <c r="N2454" s="1437">
        <f t="shared" si="359"/>
        <v>0</v>
      </c>
      <c r="O2454" s="1529">
        <f t="shared" ref="O2454:O2456" si="361">MAX(0,IF(M2454=0,0,IF(G2454+M2454&lt;E2454,M2454,E2454-G2454)))</f>
        <v>0</v>
      </c>
      <c r="P2454" s="1439">
        <f t="shared" ref="P2454:P2456" si="362">M2454-O2454</f>
        <v>0</v>
      </c>
    </row>
    <row r="2455" spans="1:16" ht="15.5" outlineLevel="1">
      <c r="A2455" s="1491">
        <f t="shared" si="360"/>
        <v>9</v>
      </c>
      <c r="B2455" s="1377" t="str">
        <f t="shared" si="360"/>
        <v>Grade slab (WTP Area)</v>
      </c>
      <c r="C2455" s="1492" t="str">
        <f t="shared" si="360"/>
        <v>Add Cap (As per 296 of 2019)</v>
      </c>
      <c r="D2455" s="1334" t="str">
        <f t="shared" si="360"/>
        <v>-</v>
      </c>
      <c r="E2455" s="1378">
        <f t="shared" si="360"/>
        <v>1</v>
      </c>
      <c r="F2455" s="1437">
        <f t="shared" si="355"/>
        <v>0.99752063400000002</v>
      </c>
      <c r="G2455" s="1437">
        <f t="shared" si="356"/>
        <v>0.99752063400000002</v>
      </c>
      <c r="H2455" s="1437">
        <f t="shared" si="357"/>
        <v>0</v>
      </c>
      <c r="I2455" s="1437">
        <v>0</v>
      </c>
      <c r="J2455" s="1437">
        <v>0</v>
      </c>
      <c r="K2455" s="1438"/>
      <c r="L2455" s="1438"/>
      <c r="M2455" s="1437">
        <f t="shared" si="358"/>
        <v>0</v>
      </c>
      <c r="N2455" s="1437">
        <f t="shared" si="359"/>
        <v>0</v>
      </c>
      <c r="O2455" s="1529">
        <f t="shared" si="361"/>
        <v>0</v>
      </c>
      <c r="P2455" s="1439">
        <f t="shared" si="362"/>
        <v>0</v>
      </c>
    </row>
    <row r="2456" spans="1:16" ht="15.5" outlineLevel="1">
      <c r="A2456" s="1491">
        <f t="shared" si="360"/>
        <v>10</v>
      </c>
      <c r="B2456" s="1377" t="str">
        <f t="shared" si="360"/>
        <v>Grade slab (Near AHP Building)</v>
      </c>
      <c r="C2456" s="1492" t="str">
        <f t="shared" si="360"/>
        <v>Add Cap (As per 296 of 2019)</v>
      </c>
      <c r="D2456" s="1334" t="str">
        <f t="shared" si="360"/>
        <v>-</v>
      </c>
      <c r="E2456" s="1384">
        <f t="shared" si="360"/>
        <v>0.75</v>
      </c>
      <c r="F2456" s="1437">
        <f t="shared" si="355"/>
        <v>0.74556261000000001</v>
      </c>
      <c r="G2456" s="1437">
        <f t="shared" si="356"/>
        <v>0.74556261000000001</v>
      </c>
      <c r="H2456" s="1437">
        <f t="shared" si="357"/>
        <v>0</v>
      </c>
      <c r="I2456" s="1437">
        <v>0</v>
      </c>
      <c r="J2456" s="1437">
        <v>0</v>
      </c>
      <c r="K2456" s="1438"/>
      <c r="L2456" s="1438"/>
      <c r="M2456" s="1437">
        <f t="shared" si="358"/>
        <v>0</v>
      </c>
      <c r="N2456" s="1437">
        <f t="shared" si="359"/>
        <v>0</v>
      </c>
      <c r="O2456" s="1529">
        <f t="shared" si="361"/>
        <v>0</v>
      </c>
      <c r="P2456" s="1439">
        <f t="shared" si="362"/>
        <v>0</v>
      </c>
    </row>
    <row r="2457" spans="1:16" ht="15.5" outlineLevel="1">
      <c r="A2457" s="1516">
        <f t="shared" si="360"/>
        <v>11</v>
      </c>
      <c r="B2457" s="1385" t="str">
        <f t="shared" si="360"/>
        <v>Temporary shed for empty barrles &amp; filled barrles</v>
      </c>
      <c r="C2457" s="1492" t="str">
        <f t="shared" si="360"/>
        <v>Add Cap (As per 296 of 2019)</v>
      </c>
      <c r="D2457" s="1514" t="str">
        <f t="shared" si="360"/>
        <v>-</v>
      </c>
      <c r="E2457" s="1384">
        <f t="shared" si="360"/>
        <v>0.5</v>
      </c>
      <c r="F2457" s="1437">
        <f t="shared" si="355"/>
        <v>0.45635233799999997</v>
      </c>
      <c r="G2457" s="1437">
        <f t="shared" si="356"/>
        <v>0.45635233799999997</v>
      </c>
      <c r="H2457" s="1437">
        <f t="shared" si="357"/>
        <v>0</v>
      </c>
      <c r="I2457" s="1437">
        <v>0</v>
      </c>
      <c r="J2457" s="1437">
        <v>0</v>
      </c>
      <c r="K2457" s="1438"/>
      <c r="L2457" s="1438"/>
      <c r="M2457" s="1437">
        <f t="shared" si="358"/>
        <v>0</v>
      </c>
      <c r="N2457" s="1437">
        <f t="shared" si="359"/>
        <v>0</v>
      </c>
    </row>
    <row r="2458" spans="1:16" ht="15.5" outlineLevel="1">
      <c r="A2458" s="1491">
        <f t="shared" si="360"/>
        <v>12</v>
      </c>
      <c r="B2458" s="1386" t="str">
        <f t="shared" si="360"/>
        <v>Cabins for operators at TP.</v>
      </c>
      <c r="C2458" s="1492" t="str">
        <f t="shared" si="360"/>
        <v>Add Cap (As per 296 of 2019)</v>
      </c>
      <c r="D2458" s="1334" t="str">
        <f t="shared" si="360"/>
        <v>-</v>
      </c>
      <c r="E2458" s="1384">
        <f t="shared" si="360"/>
        <v>0.2</v>
      </c>
      <c r="F2458" s="1437">
        <f t="shared" si="355"/>
        <v>0.18583111099999999</v>
      </c>
      <c r="G2458" s="1437">
        <f t="shared" si="356"/>
        <v>0.18583111099999999</v>
      </c>
      <c r="H2458" s="1437">
        <f t="shared" si="357"/>
        <v>0</v>
      </c>
      <c r="I2458" s="1437">
        <v>0</v>
      </c>
      <c r="J2458" s="1437">
        <v>0</v>
      </c>
      <c r="K2458" s="1438"/>
      <c r="L2458" s="1438"/>
      <c r="M2458" s="1437">
        <f t="shared" si="358"/>
        <v>0</v>
      </c>
      <c r="N2458" s="1437">
        <f t="shared" si="359"/>
        <v>0</v>
      </c>
    </row>
    <row r="2459" spans="1:16" ht="15.5" outlineLevel="1">
      <c r="A2459" s="1491">
        <f t="shared" si="360"/>
        <v>13</v>
      </c>
      <c r="B2459" s="1385" t="str">
        <f t="shared" si="360"/>
        <v>Compound wall for isolation of administrative building.</v>
      </c>
      <c r="C2459" s="1492" t="str">
        <f t="shared" si="360"/>
        <v>Add Cap (As per 296 of 2019)</v>
      </c>
      <c r="D2459" s="1334" t="str">
        <f t="shared" si="360"/>
        <v>-</v>
      </c>
      <c r="E2459" s="1384">
        <f t="shared" si="360"/>
        <v>0.5</v>
      </c>
      <c r="F2459" s="1437">
        <f t="shared" si="355"/>
        <v>0</v>
      </c>
      <c r="G2459" s="1437">
        <f t="shared" si="356"/>
        <v>0</v>
      </c>
      <c r="H2459" s="1437">
        <f t="shared" si="357"/>
        <v>0</v>
      </c>
      <c r="I2459" s="1437">
        <v>0</v>
      </c>
      <c r="J2459" s="1437">
        <v>0</v>
      </c>
      <c r="K2459" s="1438"/>
      <c r="L2459" s="1438"/>
      <c r="M2459" s="1437">
        <f t="shared" si="358"/>
        <v>0</v>
      </c>
      <c r="N2459" s="1437">
        <f t="shared" si="359"/>
        <v>0</v>
      </c>
    </row>
    <row r="2460" spans="1:16" ht="46.5" outlineLevel="1">
      <c r="A2460" s="1491">
        <f t="shared" si="360"/>
        <v>14</v>
      </c>
      <c r="B2460" s="1386" t="str">
        <f t="shared" si="360"/>
        <v>Work of providing/ fixing of internal partitions of aluminium/Nova palm/glass/wooden for Unit 8 service building &amp; other allied builings in the premises.</v>
      </c>
      <c r="C2460" s="1492" t="str">
        <f t="shared" si="360"/>
        <v>Add Cap (As per 296 of 2019)</v>
      </c>
      <c r="D2460" s="1334" t="str">
        <f t="shared" si="360"/>
        <v>-</v>
      </c>
      <c r="E2460" s="1378">
        <f t="shared" si="360"/>
        <v>0.7</v>
      </c>
      <c r="F2460" s="1437">
        <f t="shared" si="355"/>
        <v>0.67356391299999996</v>
      </c>
      <c r="G2460" s="1437">
        <f t="shared" si="356"/>
        <v>0.67356391299999996</v>
      </c>
      <c r="H2460" s="1437">
        <f t="shared" si="357"/>
        <v>0</v>
      </c>
      <c r="I2460" s="1437">
        <v>0</v>
      </c>
      <c r="J2460" s="1437">
        <v>0</v>
      </c>
      <c r="K2460" s="1438"/>
      <c r="L2460" s="1438"/>
      <c r="M2460" s="1437">
        <f t="shared" si="358"/>
        <v>0</v>
      </c>
      <c r="N2460" s="1437">
        <f t="shared" si="359"/>
        <v>0</v>
      </c>
    </row>
    <row r="2461" spans="1:16" ht="46.5" outlineLevel="1">
      <c r="A2461" s="1517">
        <f t="shared" si="360"/>
        <v>15</v>
      </c>
      <c r="B2461" s="1518" t="str">
        <f t="shared" si="360"/>
        <v>Provision of DM and softening water line interconnection from u-6,7 to u-8 &amp; Provision of recovery of waste water from sandava pump house,NDCT.</v>
      </c>
      <c r="C2461" s="1492" t="str">
        <f t="shared" si="360"/>
        <v>Add Cap (As per 296 of 2019)</v>
      </c>
      <c r="D2461" s="1334" t="str">
        <f t="shared" si="360"/>
        <v>-</v>
      </c>
      <c r="E2461" s="1378">
        <f t="shared" si="360"/>
        <v>3</v>
      </c>
      <c r="F2461" s="1437">
        <f t="shared" si="355"/>
        <v>1.0266339840000001</v>
      </c>
      <c r="G2461" s="1437">
        <f t="shared" si="356"/>
        <v>1.0266339840000001</v>
      </c>
      <c r="H2461" s="1437">
        <f t="shared" si="357"/>
        <v>0</v>
      </c>
      <c r="I2461" s="1437">
        <v>0</v>
      </c>
      <c r="J2461" s="1437">
        <v>0</v>
      </c>
      <c r="K2461" s="1438"/>
      <c r="L2461" s="1438"/>
      <c r="M2461" s="1437">
        <f t="shared" si="358"/>
        <v>0</v>
      </c>
      <c r="N2461" s="1437">
        <f t="shared" si="359"/>
        <v>0</v>
      </c>
    </row>
    <row r="2462" spans="1:16" ht="15.5" outlineLevel="1">
      <c r="A2462" s="1519">
        <f t="shared" ref="A2462:E2477" si="363">A2069</f>
        <v>0</v>
      </c>
      <c r="B2462" s="1520">
        <f t="shared" si="363"/>
        <v>0</v>
      </c>
      <c r="C2462" s="1492" t="str">
        <f t="shared" si="363"/>
        <v>Add Cap (As per 296 of 2019)</v>
      </c>
      <c r="D2462" s="1334" t="str">
        <f t="shared" si="363"/>
        <v>-</v>
      </c>
      <c r="E2462" s="1378">
        <f t="shared" si="363"/>
        <v>0</v>
      </c>
      <c r="F2462" s="1437">
        <f t="shared" si="355"/>
        <v>1.8371300820000001</v>
      </c>
      <c r="G2462" s="1437">
        <f t="shared" si="356"/>
        <v>1.8371300820000001</v>
      </c>
      <c r="H2462" s="1437">
        <f t="shared" si="357"/>
        <v>0</v>
      </c>
      <c r="I2462" s="1437">
        <v>0</v>
      </c>
      <c r="J2462" s="1437">
        <v>0</v>
      </c>
      <c r="K2462" s="1438"/>
      <c r="L2462" s="1438"/>
      <c r="M2462" s="1437">
        <f t="shared" si="358"/>
        <v>0</v>
      </c>
      <c r="N2462" s="1437">
        <f t="shared" si="359"/>
        <v>0</v>
      </c>
    </row>
    <row r="2463" spans="1:16" ht="15.5" outlineLevel="1">
      <c r="A2463" s="1491">
        <f t="shared" si="363"/>
        <v>16</v>
      </c>
      <c r="B2463" s="1513" t="str">
        <f t="shared" si="363"/>
        <v xml:space="preserve"> Hydraulic drive system modification.    </v>
      </c>
      <c r="C2463" s="1492" t="str">
        <f t="shared" si="363"/>
        <v>Add Cap (As per 296 of 2019)</v>
      </c>
      <c r="D2463" s="1334" t="str">
        <f t="shared" si="363"/>
        <v>-</v>
      </c>
      <c r="E2463" s="1521">
        <f t="shared" si="363"/>
        <v>2.5</v>
      </c>
      <c r="F2463" s="1437">
        <f t="shared" si="355"/>
        <v>2.4383865259999999</v>
      </c>
      <c r="G2463" s="1437">
        <f t="shared" si="356"/>
        <v>2.4383865259999999</v>
      </c>
      <c r="H2463" s="1437">
        <f t="shared" si="357"/>
        <v>0</v>
      </c>
      <c r="I2463" s="1437">
        <v>0</v>
      </c>
      <c r="J2463" s="1437">
        <v>0</v>
      </c>
      <c r="K2463" s="1438"/>
      <c r="L2463" s="1438"/>
      <c r="M2463" s="1437">
        <f t="shared" si="358"/>
        <v>0</v>
      </c>
      <c r="N2463" s="1437">
        <f t="shared" si="359"/>
        <v>0</v>
      </c>
    </row>
    <row r="2464" spans="1:16" ht="15.5" outlineLevel="1">
      <c r="A2464" s="1491">
        <f t="shared" si="363"/>
        <v>17</v>
      </c>
      <c r="B2464" s="1513" t="str">
        <f t="shared" si="363"/>
        <v xml:space="preserve">Link conveyor from Con-2 of U-6/7 to Con.-2AB of U-8. </v>
      </c>
      <c r="C2464" s="1492" t="str">
        <f t="shared" si="363"/>
        <v>Add Cap (As per 296 of 2019)</v>
      </c>
      <c r="D2464" s="1334" t="str">
        <f t="shared" si="363"/>
        <v>-</v>
      </c>
      <c r="E2464" s="1521">
        <f t="shared" si="363"/>
        <v>3.7</v>
      </c>
      <c r="F2464" s="1437">
        <f t="shared" si="355"/>
        <v>4.6434434319999998</v>
      </c>
      <c r="G2464" s="1437">
        <f t="shared" si="356"/>
        <v>22.656371991</v>
      </c>
      <c r="H2464" s="1437">
        <f t="shared" si="357"/>
        <v>-18.012928559000002</v>
      </c>
      <c r="I2464" s="1437">
        <v>0</v>
      </c>
      <c r="J2464" s="1437">
        <v>0</v>
      </c>
      <c r="K2464" s="1438"/>
      <c r="L2464" s="1438"/>
      <c r="M2464" s="1437">
        <f t="shared" si="358"/>
        <v>0</v>
      </c>
      <c r="N2464" s="1437">
        <f t="shared" si="359"/>
        <v>-18.012928559000002</v>
      </c>
    </row>
    <row r="2465" spans="1:14" ht="15.5" outlineLevel="1">
      <c r="A2465" s="1491">
        <f t="shared" si="363"/>
        <v>18</v>
      </c>
      <c r="B2465" s="1513" t="str">
        <f t="shared" si="363"/>
        <v>Ozone plant for Unit -8</v>
      </c>
      <c r="C2465" s="1492" t="str">
        <f t="shared" si="363"/>
        <v>Add Cap (As per 296 of 2019)</v>
      </c>
      <c r="D2465" s="1334" t="str">
        <f t="shared" si="363"/>
        <v>-</v>
      </c>
      <c r="E2465" s="1521">
        <f t="shared" si="363"/>
        <v>20</v>
      </c>
      <c r="F2465" s="1437">
        <f t="shared" si="355"/>
        <v>20.094708300000001</v>
      </c>
      <c r="G2465" s="1437">
        <f t="shared" si="356"/>
        <v>2.1929439999999998</v>
      </c>
      <c r="H2465" s="1437">
        <f t="shared" si="357"/>
        <v>17.9017643</v>
      </c>
      <c r="I2465" s="1437">
        <v>0</v>
      </c>
      <c r="J2465" s="1437">
        <v>0</v>
      </c>
      <c r="K2465" s="1438"/>
      <c r="L2465" s="1438"/>
      <c r="M2465" s="1437">
        <f t="shared" si="358"/>
        <v>0</v>
      </c>
      <c r="N2465" s="1437">
        <f t="shared" si="359"/>
        <v>17.9017643</v>
      </c>
    </row>
    <row r="2466" spans="1:14" ht="15.5" outlineLevel="1">
      <c r="A2466" s="1499">
        <f t="shared" si="363"/>
        <v>0</v>
      </c>
      <c r="B2466" s="1522" t="str">
        <f t="shared" si="363"/>
        <v>IDC</v>
      </c>
      <c r="C2466" s="1492">
        <f t="shared" si="363"/>
        <v>0</v>
      </c>
      <c r="D2466" s="1334" t="str">
        <f t="shared" si="363"/>
        <v>-</v>
      </c>
      <c r="E2466" s="1521">
        <f t="shared" si="363"/>
        <v>0</v>
      </c>
      <c r="F2466" s="1437">
        <f t="shared" si="355"/>
        <v>0</v>
      </c>
      <c r="G2466" s="1437">
        <f t="shared" si="356"/>
        <v>0</v>
      </c>
      <c r="H2466" s="1437">
        <f t="shared" si="357"/>
        <v>0</v>
      </c>
      <c r="I2466" s="1437">
        <v>0</v>
      </c>
      <c r="J2466" s="1437">
        <v>0</v>
      </c>
      <c r="K2466" s="1438"/>
      <c r="L2466" s="1438"/>
      <c r="M2466" s="1437">
        <f t="shared" si="358"/>
        <v>0</v>
      </c>
      <c r="N2466" s="1437">
        <f t="shared" si="359"/>
        <v>0</v>
      </c>
    </row>
    <row r="2467" spans="1:14" ht="15.5" outlineLevel="1">
      <c r="A2467" s="1491">
        <f t="shared" si="363"/>
        <v>19</v>
      </c>
      <c r="B2467" s="1377" t="str">
        <f t="shared" si="363"/>
        <v>Water management system</v>
      </c>
      <c r="C2467" s="1492" t="str">
        <f t="shared" si="363"/>
        <v>Add Cap (As per 296 of 2019)</v>
      </c>
      <c r="D2467" s="1334" t="str">
        <f t="shared" si="363"/>
        <v>-</v>
      </c>
      <c r="E2467" s="1378">
        <f t="shared" si="363"/>
        <v>2</v>
      </c>
      <c r="F2467" s="1437">
        <f t="shared" si="355"/>
        <v>0</v>
      </c>
      <c r="G2467" s="1437">
        <f t="shared" si="356"/>
        <v>0</v>
      </c>
      <c r="H2467" s="1437">
        <f t="shared" si="357"/>
        <v>0</v>
      </c>
      <c r="I2467" s="1437">
        <v>0</v>
      </c>
      <c r="J2467" s="1437">
        <v>0</v>
      </c>
      <c r="K2467" s="1438"/>
      <c r="L2467" s="1438"/>
      <c r="M2467" s="1437">
        <f t="shared" si="358"/>
        <v>0</v>
      </c>
      <c r="N2467" s="1437">
        <f t="shared" si="359"/>
        <v>0</v>
      </c>
    </row>
    <row r="2468" spans="1:14" ht="31" outlineLevel="1">
      <c r="A2468" s="1491" t="str">
        <f t="shared" si="363"/>
        <v>8, 20</v>
      </c>
      <c r="B2468" s="1523" t="str">
        <f t="shared" si="363"/>
        <v>Procurement &amp; Installation of EMS system at Unit-8 NPTPS Parli-Vaijnath</v>
      </c>
      <c r="C2468" s="1492" t="str">
        <f t="shared" si="363"/>
        <v>Add Cap (As per 296 of 2019)</v>
      </c>
      <c r="D2468" s="1514" t="str">
        <f t="shared" si="363"/>
        <v>-</v>
      </c>
      <c r="E2468" s="1394">
        <f t="shared" si="363"/>
        <v>1</v>
      </c>
      <c r="F2468" s="1437">
        <f t="shared" si="355"/>
        <v>0.144170512</v>
      </c>
      <c r="G2468" s="1437">
        <f t="shared" si="356"/>
        <v>0.144170512</v>
      </c>
      <c r="H2468" s="1437">
        <f t="shared" si="357"/>
        <v>0</v>
      </c>
      <c r="I2468" s="1437">
        <v>0</v>
      </c>
      <c r="J2468" s="1437">
        <v>0</v>
      </c>
      <c r="K2468" s="1438"/>
      <c r="L2468" s="1438"/>
      <c r="M2468" s="1437">
        <f t="shared" si="358"/>
        <v>0</v>
      </c>
      <c r="N2468" s="1437">
        <f t="shared" si="359"/>
        <v>0</v>
      </c>
    </row>
    <row r="2469" spans="1:14" ht="31" outlineLevel="1">
      <c r="A2469" s="1491">
        <f t="shared" si="363"/>
        <v>21</v>
      </c>
      <c r="B2469" s="1515" t="str">
        <f t="shared" si="363"/>
        <v>Conveyor-5 of  stacking/reclaiming belt double drive arrangement.</v>
      </c>
      <c r="C2469" s="1492" t="str">
        <f t="shared" si="363"/>
        <v>Add Cap (As per 296 of 2019)</v>
      </c>
      <c r="D2469" s="1334" t="str">
        <f t="shared" si="363"/>
        <v>-</v>
      </c>
      <c r="E2469" s="1524">
        <f t="shared" si="363"/>
        <v>2</v>
      </c>
      <c r="F2469" s="1437">
        <f t="shared" si="355"/>
        <v>2.0431699999999999</v>
      </c>
      <c r="G2469" s="1437">
        <f t="shared" si="356"/>
        <v>2.0431699999999999</v>
      </c>
      <c r="H2469" s="1437">
        <f t="shared" si="357"/>
        <v>0</v>
      </c>
      <c r="I2469" s="1437">
        <v>0</v>
      </c>
      <c r="J2469" s="1437">
        <v>0</v>
      </c>
      <c r="K2469" s="1438"/>
      <c r="L2469" s="1438"/>
      <c r="M2469" s="1437">
        <f t="shared" si="358"/>
        <v>0</v>
      </c>
      <c r="N2469" s="1437">
        <f t="shared" si="359"/>
        <v>0</v>
      </c>
    </row>
    <row r="2470" spans="1:14" ht="15.5" outlineLevel="1">
      <c r="A2470" s="1491">
        <f t="shared" si="363"/>
        <v>22</v>
      </c>
      <c r="B2470" s="1377" t="str">
        <f t="shared" si="363"/>
        <v>Chemical lab building</v>
      </c>
      <c r="C2470" s="1492" t="str">
        <f t="shared" si="363"/>
        <v>Add Cap (As per 296 of 2019)</v>
      </c>
      <c r="D2470" s="1334" t="str">
        <f t="shared" si="363"/>
        <v>-</v>
      </c>
      <c r="E2470" s="1384">
        <f t="shared" si="363"/>
        <v>1.5</v>
      </c>
      <c r="F2470" s="1437">
        <f t="shared" si="355"/>
        <v>0</v>
      </c>
      <c r="G2470" s="1437">
        <f t="shared" si="356"/>
        <v>0</v>
      </c>
      <c r="H2470" s="1437">
        <f t="shared" si="357"/>
        <v>0</v>
      </c>
      <c r="I2470" s="1437">
        <v>0</v>
      </c>
      <c r="J2470" s="1437">
        <v>0</v>
      </c>
      <c r="K2470" s="1438"/>
      <c r="L2470" s="1438"/>
      <c r="M2470" s="1437">
        <f t="shared" si="358"/>
        <v>0</v>
      </c>
      <c r="N2470" s="1437">
        <f t="shared" si="359"/>
        <v>0</v>
      </c>
    </row>
    <row r="2471" spans="1:14" ht="15.5" outlineLevel="1">
      <c r="A2471" s="1491">
        <f t="shared" si="363"/>
        <v>23</v>
      </c>
      <c r="B2471" s="1377" t="str">
        <f t="shared" si="363"/>
        <v>Chemical store</v>
      </c>
      <c r="C2471" s="1492" t="str">
        <f t="shared" si="363"/>
        <v>Add Cap (As per 296 of 2019)</v>
      </c>
      <c r="D2471" s="1334" t="str">
        <f t="shared" si="363"/>
        <v>-</v>
      </c>
      <c r="E2471" s="1384">
        <f t="shared" si="363"/>
        <v>2.5</v>
      </c>
      <c r="F2471" s="1437">
        <f t="shared" si="355"/>
        <v>0</v>
      </c>
      <c r="G2471" s="1437">
        <f t="shared" si="356"/>
        <v>0</v>
      </c>
      <c r="H2471" s="1437">
        <f t="shared" si="357"/>
        <v>0</v>
      </c>
      <c r="I2471" s="1437">
        <v>0</v>
      </c>
      <c r="J2471" s="1437">
        <v>0</v>
      </c>
      <c r="K2471" s="1438"/>
      <c r="L2471" s="1438"/>
      <c r="M2471" s="1437">
        <f t="shared" si="358"/>
        <v>0</v>
      </c>
      <c r="N2471" s="1437">
        <f t="shared" si="359"/>
        <v>0</v>
      </c>
    </row>
    <row r="2472" spans="1:14" outlineLevel="1">
      <c r="A2472" s="1491">
        <f t="shared" si="363"/>
        <v>24</v>
      </c>
      <c r="B2472" s="1397" t="str">
        <f t="shared" si="363"/>
        <v xml:space="preserve"> Lawn development around NDCT.</v>
      </c>
      <c r="C2472" s="1492" t="str">
        <f t="shared" si="363"/>
        <v>Add Cap (As per 296 of 2019)</v>
      </c>
      <c r="D2472" s="1514" t="str">
        <f t="shared" si="363"/>
        <v>-</v>
      </c>
      <c r="E2472" s="1398">
        <f t="shared" si="363"/>
        <v>0.75</v>
      </c>
      <c r="F2472" s="1437">
        <f t="shared" si="355"/>
        <v>0</v>
      </c>
      <c r="G2472" s="1437">
        <f t="shared" si="356"/>
        <v>0</v>
      </c>
      <c r="H2472" s="1437">
        <f t="shared" si="357"/>
        <v>0</v>
      </c>
      <c r="I2472" s="1437">
        <v>0</v>
      </c>
      <c r="J2472" s="1437">
        <v>0</v>
      </c>
      <c r="K2472" s="1438"/>
      <c r="L2472" s="1438"/>
      <c r="M2472" s="1437">
        <f t="shared" si="358"/>
        <v>0</v>
      </c>
      <c r="N2472" s="1437">
        <f t="shared" si="359"/>
        <v>0</v>
      </c>
    </row>
    <row r="2473" spans="1:14" outlineLevel="1">
      <c r="A2473" s="1491">
        <f t="shared" si="363"/>
        <v>25</v>
      </c>
      <c r="B2473" s="1399" t="str">
        <f t="shared" si="363"/>
        <v>Tree plantation &amp; greenery along road side.</v>
      </c>
      <c r="C2473" s="1492" t="str">
        <f t="shared" si="363"/>
        <v>Add Cap (As per 296 of 2019)</v>
      </c>
      <c r="D2473" s="1334" t="str">
        <f t="shared" si="363"/>
        <v>-</v>
      </c>
      <c r="E2473" s="1400">
        <f t="shared" si="363"/>
        <v>0.5</v>
      </c>
      <c r="F2473" s="1437">
        <f t="shared" si="355"/>
        <v>0</v>
      </c>
      <c r="G2473" s="1437">
        <f t="shared" si="356"/>
        <v>0</v>
      </c>
      <c r="H2473" s="1437">
        <f t="shared" si="357"/>
        <v>0</v>
      </c>
      <c r="I2473" s="1437">
        <v>0</v>
      </c>
      <c r="J2473" s="1437">
        <v>0</v>
      </c>
      <c r="K2473" s="1438"/>
      <c r="L2473" s="1438"/>
      <c r="M2473" s="1437">
        <f t="shared" si="358"/>
        <v>0</v>
      </c>
      <c r="N2473" s="1437">
        <f t="shared" si="359"/>
        <v>0</v>
      </c>
    </row>
    <row r="2474" spans="1:14" outlineLevel="1">
      <c r="A2474" s="1491">
        <f t="shared" si="363"/>
        <v>26</v>
      </c>
      <c r="B2474" s="1399" t="str">
        <f t="shared" si="363"/>
        <v>Greenery development in area between  WTP &amp; main plant.</v>
      </c>
      <c r="C2474" s="1492" t="str">
        <f t="shared" si="363"/>
        <v>Add Cap (As per 296 of 2019)</v>
      </c>
      <c r="D2474" s="1334" t="str">
        <f t="shared" si="363"/>
        <v>-</v>
      </c>
      <c r="E2474" s="1400">
        <f t="shared" si="363"/>
        <v>1.25</v>
      </c>
      <c r="F2474" s="1437">
        <f t="shared" si="355"/>
        <v>0</v>
      </c>
      <c r="G2474" s="1437">
        <f t="shared" si="356"/>
        <v>0</v>
      </c>
      <c r="H2474" s="1437">
        <f t="shared" si="357"/>
        <v>0</v>
      </c>
      <c r="I2474" s="1437">
        <v>0</v>
      </c>
      <c r="J2474" s="1437">
        <v>0</v>
      </c>
      <c r="K2474" s="1438"/>
      <c r="L2474" s="1438"/>
      <c r="M2474" s="1437">
        <f t="shared" si="358"/>
        <v>0</v>
      </c>
      <c r="N2474" s="1437">
        <f t="shared" si="359"/>
        <v>0</v>
      </c>
    </row>
    <row r="2475" spans="1:14" ht="15.5" outlineLevel="1">
      <c r="A2475" s="1491">
        <f t="shared" si="363"/>
        <v>27</v>
      </c>
      <c r="B2475" s="1385" t="str">
        <f t="shared" si="363"/>
        <v>Construction of staff rooms &amp; store for CHP maint..</v>
      </c>
      <c r="C2475" s="1492" t="str">
        <f t="shared" si="363"/>
        <v>Add Cap (As per 296 of 2019)</v>
      </c>
      <c r="D2475" s="1334" t="str">
        <f t="shared" si="363"/>
        <v>-</v>
      </c>
      <c r="E2475" s="1378">
        <f t="shared" si="363"/>
        <v>1</v>
      </c>
      <c r="F2475" s="1437">
        <f t="shared" si="355"/>
        <v>0.90702717499999985</v>
      </c>
      <c r="G2475" s="1437">
        <f t="shared" si="356"/>
        <v>0.90702717499999996</v>
      </c>
      <c r="H2475" s="1437">
        <f t="shared" si="357"/>
        <v>0</v>
      </c>
      <c r="I2475" s="1437">
        <v>0</v>
      </c>
      <c r="J2475" s="1437">
        <v>0</v>
      </c>
      <c r="K2475" s="1438"/>
      <c r="L2475" s="1438"/>
      <c r="M2475" s="1437">
        <f t="shared" si="358"/>
        <v>0</v>
      </c>
      <c r="N2475" s="1437">
        <f t="shared" si="359"/>
        <v>0</v>
      </c>
    </row>
    <row r="2476" spans="1:14" ht="15.5" outlineLevel="1">
      <c r="A2476" s="1491">
        <f t="shared" si="363"/>
        <v>28</v>
      </c>
      <c r="B2476" s="1377" t="str">
        <f t="shared" si="363"/>
        <v xml:space="preserve">Dsludg filteration for raw water </v>
      </c>
      <c r="C2476" s="1492" t="str">
        <f t="shared" si="363"/>
        <v>Add Cap (As per 296 of 2019)</v>
      </c>
      <c r="D2476" s="1334" t="str">
        <f t="shared" si="363"/>
        <v>-</v>
      </c>
      <c r="E2476" s="1401">
        <f t="shared" si="363"/>
        <v>17</v>
      </c>
      <c r="F2476" s="1437">
        <f t="shared" si="355"/>
        <v>0</v>
      </c>
      <c r="G2476" s="1437">
        <f t="shared" si="356"/>
        <v>0</v>
      </c>
      <c r="H2476" s="1437">
        <f t="shared" si="357"/>
        <v>0</v>
      </c>
      <c r="I2476" s="1437">
        <v>0</v>
      </c>
      <c r="J2476" s="1437">
        <v>0</v>
      </c>
      <c r="K2476" s="1438"/>
      <c r="L2476" s="1438"/>
      <c r="M2476" s="1437">
        <f t="shared" si="358"/>
        <v>0</v>
      </c>
      <c r="N2476" s="1437">
        <f t="shared" si="359"/>
        <v>0</v>
      </c>
    </row>
    <row r="2477" spans="1:14" ht="15.5" outlineLevel="1">
      <c r="A2477" s="1491">
        <f t="shared" si="363"/>
        <v>29</v>
      </c>
      <c r="B2477" s="1525" t="str">
        <f t="shared" si="363"/>
        <v>PLC/UPS system  upgradation</v>
      </c>
      <c r="C2477" s="1492" t="str">
        <f t="shared" si="363"/>
        <v>Add Cap (As per 296 of 2019)</v>
      </c>
      <c r="D2477" s="1514" t="str">
        <f t="shared" si="363"/>
        <v>-</v>
      </c>
      <c r="E2477" s="1498">
        <f t="shared" si="363"/>
        <v>0.5</v>
      </c>
      <c r="F2477" s="1437">
        <f t="shared" si="355"/>
        <v>0.40149499999999999</v>
      </c>
      <c r="G2477" s="1437">
        <f t="shared" si="356"/>
        <v>0.40149499999999999</v>
      </c>
      <c r="H2477" s="1437">
        <f t="shared" si="357"/>
        <v>0</v>
      </c>
      <c r="I2477" s="1437">
        <v>0</v>
      </c>
      <c r="J2477" s="1437">
        <v>0</v>
      </c>
      <c r="K2477" s="1438"/>
      <c r="L2477" s="1438"/>
      <c r="M2477" s="1437">
        <f t="shared" si="358"/>
        <v>0</v>
      </c>
      <c r="N2477" s="1437">
        <f t="shared" si="359"/>
        <v>0</v>
      </c>
    </row>
    <row r="2478" spans="1:14" outlineLevel="1">
      <c r="A2478" s="1392">
        <f t="shared" ref="A2478:E2493" si="364">A2085</f>
        <v>0</v>
      </c>
      <c r="B2478" s="1332" t="str">
        <f t="shared" si="364"/>
        <v>DPR Schemes</v>
      </c>
      <c r="C2478" s="1338">
        <f t="shared" si="364"/>
        <v>0</v>
      </c>
      <c r="D2478" s="1334" t="str">
        <f t="shared" si="364"/>
        <v>-</v>
      </c>
      <c r="E2478" s="1336">
        <f t="shared" si="364"/>
        <v>0</v>
      </c>
      <c r="F2478" s="1437">
        <f t="shared" si="355"/>
        <v>0</v>
      </c>
      <c r="G2478" s="1437">
        <f t="shared" si="356"/>
        <v>0</v>
      </c>
      <c r="H2478" s="1437">
        <f t="shared" si="357"/>
        <v>0</v>
      </c>
      <c r="I2478" s="1437">
        <v>0</v>
      </c>
      <c r="J2478" s="1437">
        <v>0</v>
      </c>
      <c r="K2478" s="1438"/>
      <c r="L2478" s="1438"/>
      <c r="M2478" s="1437">
        <f t="shared" si="358"/>
        <v>0</v>
      </c>
      <c r="N2478" s="1437">
        <f t="shared" si="359"/>
        <v>0</v>
      </c>
    </row>
    <row r="2479" spans="1:14" outlineLevel="1">
      <c r="A2479" s="1526">
        <f t="shared" si="364"/>
        <v>22</v>
      </c>
      <c r="B2479" s="1527" t="str">
        <f t="shared" si="364"/>
        <v>FGD at Parli Unit # 8</v>
      </c>
      <c r="C2479" s="1526" t="str">
        <f t="shared" si="364"/>
        <v>MERC/CAPEX/2021-2022/0284</v>
      </c>
      <c r="D2479" s="1528">
        <f t="shared" si="364"/>
        <v>44739</v>
      </c>
      <c r="E2479" s="1405">
        <f t="shared" si="364"/>
        <v>89.240000000000009</v>
      </c>
      <c r="F2479" s="1437">
        <f t="shared" si="355"/>
        <v>4.0999999999999996</v>
      </c>
      <c r="G2479" s="1437">
        <f t="shared" si="356"/>
        <v>0</v>
      </c>
      <c r="H2479" s="1437">
        <f t="shared" si="357"/>
        <v>4.0999999999999996</v>
      </c>
      <c r="I2479" s="1437">
        <v>0</v>
      </c>
      <c r="J2479" s="1437">
        <v>0</v>
      </c>
      <c r="K2479" s="1438"/>
      <c r="L2479" s="1438"/>
      <c r="M2479" s="1437">
        <f t="shared" si="358"/>
        <v>0</v>
      </c>
      <c r="N2479" s="1437">
        <f t="shared" si="359"/>
        <v>4.0999999999999996</v>
      </c>
    </row>
    <row r="2480" spans="1:14" outlineLevel="1">
      <c r="A2480" s="1499">
        <f t="shared" si="364"/>
        <v>22.1</v>
      </c>
      <c r="B2480" s="1530" t="str">
        <f t="shared" si="364"/>
        <v>FGD at Parli Unit # 8</v>
      </c>
      <c r="C2480" s="1491" t="str">
        <f t="shared" si="364"/>
        <v>MERC/CAPEX/2021-2022/0284</v>
      </c>
      <c r="D2480" s="1531">
        <f t="shared" si="364"/>
        <v>44739</v>
      </c>
      <c r="E2480" s="1318">
        <f t="shared" si="364"/>
        <v>85.2</v>
      </c>
      <c r="F2480" s="1437">
        <f t="shared" si="355"/>
        <v>95.21</v>
      </c>
      <c r="G2480" s="1437">
        <f t="shared" si="356"/>
        <v>108.86</v>
      </c>
      <c r="H2480" s="1437">
        <f t="shared" si="357"/>
        <v>-13.650000000000006</v>
      </c>
      <c r="I2480" s="1437">
        <v>0</v>
      </c>
      <c r="J2480" s="1437">
        <v>0</v>
      </c>
      <c r="K2480" s="1438"/>
      <c r="L2480" s="1438"/>
      <c r="M2480" s="1437">
        <f t="shared" si="358"/>
        <v>0</v>
      </c>
      <c r="N2480" s="1437">
        <f t="shared" si="359"/>
        <v>-13.650000000000006</v>
      </c>
    </row>
    <row r="2481" spans="1:14" outlineLevel="1">
      <c r="A2481" s="1511">
        <f t="shared" si="364"/>
        <v>0</v>
      </c>
      <c r="B2481" s="1532" t="str">
        <f t="shared" si="364"/>
        <v>IDC</v>
      </c>
      <c r="C2481" s="1491" t="str">
        <f t="shared" si="364"/>
        <v>MERC/CAPEX/2021-2022/0284</v>
      </c>
      <c r="D2481" s="1531">
        <f t="shared" si="364"/>
        <v>44739</v>
      </c>
      <c r="E2481" s="1318">
        <f t="shared" si="364"/>
        <v>4.04</v>
      </c>
      <c r="F2481" s="1437">
        <f t="shared" si="355"/>
        <v>4.04</v>
      </c>
      <c r="G2481" s="1437">
        <f t="shared" si="356"/>
        <v>0</v>
      </c>
      <c r="H2481" s="1437">
        <f t="shared" si="357"/>
        <v>4.04</v>
      </c>
      <c r="I2481" s="1437">
        <v>0</v>
      </c>
      <c r="J2481" s="1437">
        <v>0</v>
      </c>
      <c r="K2481" s="1438"/>
      <c r="L2481" s="1438"/>
      <c r="M2481" s="1437">
        <f t="shared" si="358"/>
        <v>0</v>
      </c>
      <c r="N2481" s="1437">
        <f t="shared" si="359"/>
        <v>4.04</v>
      </c>
    </row>
    <row r="2482" spans="1:14" ht="31" outlineLevel="1">
      <c r="A2482" s="1533" t="str">
        <f t="shared" si="364"/>
        <v>HO
DPR 16</v>
      </c>
      <c r="B2482" s="1534" t="str">
        <f t="shared" si="364"/>
        <v>Construction of new Administrative Building for Mahagenco at Vidyut Bhawan, Katol Road, Nagpur</v>
      </c>
      <c r="C2482" s="1526" t="str">
        <f t="shared" si="364"/>
        <v>MERC/CAPEX/2021-2022/MSPGCL/063</v>
      </c>
      <c r="D2482" s="1528">
        <f t="shared" si="364"/>
        <v>44604</v>
      </c>
      <c r="E2482" s="1405">
        <f t="shared" si="364"/>
        <v>57</v>
      </c>
      <c r="F2482" s="1437">
        <f t="shared" si="355"/>
        <v>0</v>
      </c>
      <c r="G2482" s="1437">
        <f t="shared" si="356"/>
        <v>0</v>
      </c>
      <c r="H2482" s="1437">
        <f t="shared" si="357"/>
        <v>0</v>
      </c>
      <c r="I2482" s="1437">
        <v>0</v>
      </c>
      <c r="J2482" s="1437">
        <v>0</v>
      </c>
      <c r="K2482" s="1438"/>
      <c r="L2482" s="1438"/>
      <c r="M2482" s="1437">
        <f t="shared" si="358"/>
        <v>0</v>
      </c>
      <c r="N2482" s="1437">
        <f t="shared" si="359"/>
        <v>0</v>
      </c>
    </row>
    <row r="2483" spans="1:14" ht="46.5" outlineLevel="1">
      <c r="A2483" s="1535" t="str">
        <f t="shared" si="364"/>
        <v>HO
DPR 16.1</v>
      </c>
      <c r="B2483" s="1536" t="str">
        <f t="shared" si="364"/>
        <v>Construction of new Administrative Building for Mahagenco at Vidyut Bhawan, Katol Road, Nagpur</v>
      </c>
      <c r="C2483" s="1491" t="str">
        <f t="shared" si="364"/>
        <v>MERC/CAPEX/2021-2022/MSPGCL/063</v>
      </c>
      <c r="D2483" s="1531">
        <f t="shared" si="364"/>
        <v>44604</v>
      </c>
      <c r="E2483" s="1318">
        <f t="shared" si="364"/>
        <v>54.24</v>
      </c>
      <c r="F2483" s="1437">
        <f t="shared" si="355"/>
        <v>0</v>
      </c>
      <c r="G2483" s="1437">
        <f t="shared" si="356"/>
        <v>0</v>
      </c>
      <c r="H2483" s="1437">
        <f t="shared" si="357"/>
        <v>0</v>
      </c>
      <c r="I2483" s="1437">
        <v>0</v>
      </c>
      <c r="J2483" s="1437">
        <v>0</v>
      </c>
      <c r="K2483" s="1438"/>
      <c r="L2483" s="1438"/>
      <c r="M2483" s="1437">
        <f t="shared" si="358"/>
        <v>0</v>
      </c>
      <c r="N2483" s="1437">
        <f t="shared" si="359"/>
        <v>0</v>
      </c>
    </row>
    <row r="2484" spans="1:14" ht="15.5" outlineLevel="1">
      <c r="A2484" s="1537">
        <f t="shared" si="364"/>
        <v>0</v>
      </c>
      <c r="B2484" s="1536" t="str">
        <f t="shared" si="364"/>
        <v>IDC</v>
      </c>
      <c r="C2484" s="1491" t="str">
        <f t="shared" si="364"/>
        <v>MERC/CAPEX/2021-2022/MSPGCL/063</v>
      </c>
      <c r="D2484" s="1531">
        <f t="shared" si="364"/>
        <v>44604</v>
      </c>
      <c r="E2484" s="1318">
        <f t="shared" si="364"/>
        <v>2.76</v>
      </c>
      <c r="F2484" s="1437">
        <f t="shared" si="355"/>
        <v>0</v>
      </c>
      <c r="G2484" s="1437">
        <f t="shared" si="356"/>
        <v>0</v>
      </c>
      <c r="H2484" s="1437">
        <f t="shared" si="357"/>
        <v>0</v>
      </c>
      <c r="I2484" s="1437">
        <v>0</v>
      </c>
      <c r="J2484" s="1437">
        <v>0</v>
      </c>
      <c r="K2484" s="1438"/>
      <c r="L2484" s="1438"/>
      <c r="M2484" s="1437">
        <f t="shared" si="358"/>
        <v>0</v>
      </c>
      <c r="N2484" s="1437">
        <f t="shared" si="359"/>
        <v>0</v>
      </c>
    </row>
    <row r="2485" spans="1:14" ht="31" outlineLevel="1">
      <c r="A2485" s="1533" t="str">
        <f t="shared" si="364"/>
        <v>HO
DPR 17</v>
      </c>
      <c r="B2485" s="1534" t="str">
        <f t="shared" si="364"/>
        <v>Centralized Monitoring Solution</v>
      </c>
      <c r="C2485" s="1526" t="str">
        <f t="shared" si="364"/>
        <v>MERC/CAPEX/MSPGCL/2023-24/0576</v>
      </c>
      <c r="D2485" s="1528">
        <f t="shared" si="364"/>
        <v>45232</v>
      </c>
      <c r="E2485" s="1405">
        <f t="shared" si="364"/>
        <v>69.308999999999997</v>
      </c>
      <c r="F2485" s="1437">
        <f t="shared" si="355"/>
        <v>0</v>
      </c>
      <c r="G2485" s="1437">
        <f t="shared" si="356"/>
        <v>0</v>
      </c>
      <c r="H2485" s="1437">
        <f t="shared" si="357"/>
        <v>0</v>
      </c>
      <c r="I2485" s="1437">
        <v>0</v>
      </c>
      <c r="J2485" s="1437">
        <v>0</v>
      </c>
      <c r="K2485" s="1438"/>
      <c r="L2485" s="1438"/>
      <c r="M2485" s="1437">
        <f t="shared" si="358"/>
        <v>0</v>
      </c>
      <c r="N2485" s="1437">
        <f t="shared" si="359"/>
        <v>0</v>
      </c>
    </row>
    <row r="2486" spans="1:14" ht="46.5" outlineLevel="1">
      <c r="A2486" s="1535" t="str">
        <f t="shared" si="364"/>
        <v>HO
DPR 17.1</v>
      </c>
      <c r="B2486" s="1536" t="str">
        <f t="shared" si="364"/>
        <v>Centralized Monitoring Solution</v>
      </c>
      <c r="C2486" s="1491" t="str">
        <f t="shared" si="364"/>
        <v>MERC/CAPEX/MSPGCL/2023-24/0576</v>
      </c>
      <c r="D2486" s="1531">
        <f t="shared" si="364"/>
        <v>45232</v>
      </c>
      <c r="E2486" s="1318">
        <f t="shared" si="364"/>
        <v>66.009</v>
      </c>
      <c r="F2486" s="1437">
        <f t="shared" si="355"/>
        <v>2.23</v>
      </c>
      <c r="G2486" s="1437">
        <f t="shared" si="356"/>
        <v>2.23</v>
      </c>
      <c r="H2486" s="1437">
        <f t="shared" si="357"/>
        <v>0</v>
      </c>
      <c r="I2486" s="1437">
        <v>0</v>
      </c>
      <c r="J2486" s="1437">
        <v>0</v>
      </c>
      <c r="K2486" s="1438"/>
      <c r="L2486" s="1438"/>
      <c r="M2486" s="1437">
        <f t="shared" si="358"/>
        <v>0</v>
      </c>
      <c r="N2486" s="1437">
        <f t="shared" si="359"/>
        <v>0</v>
      </c>
    </row>
    <row r="2487" spans="1:14" ht="15.5" outlineLevel="1">
      <c r="A2487" s="1537">
        <f t="shared" si="364"/>
        <v>0</v>
      </c>
      <c r="B2487" s="1536" t="str">
        <f t="shared" si="364"/>
        <v>IDC</v>
      </c>
      <c r="C2487" s="1491" t="str">
        <f t="shared" si="364"/>
        <v>MERC/CAPEX/MSPGCL/2023-24/0576</v>
      </c>
      <c r="D2487" s="1531">
        <f t="shared" si="364"/>
        <v>45232</v>
      </c>
      <c r="E2487" s="1318">
        <f t="shared" si="364"/>
        <v>3.3</v>
      </c>
      <c r="F2487" s="1437">
        <f t="shared" si="355"/>
        <v>0</v>
      </c>
      <c r="G2487" s="1437">
        <f t="shared" si="356"/>
        <v>0</v>
      </c>
      <c r="H2487" s="1437">
        <f t="shared" si="357"/>
        <v>0</v>
      </c>
      <c r="I2487" s="1437">
        <v>0</v>
      </c>
      <c r="J2487" s="1437">
        <v>0</v>
      </c>
      <c r="K2487" s="1438"/>
      <c r="L2487" s="1438"/>
      <c r="M2487" s="1437">
        <f t="shared" si="358"/>
        <v>0</v>
      </c>
      <c r="N2487" s="1437">
        <f t="shared" si="359"/>
        <v>0</v>
      </c>
    </row>
    <row r="2488" spans="1:14" outlineLevel="1">
      <c r="A2488" s="1505">
        <f t="shared" si="364"/>
        <v>0</v>
      </c>
      <c r="B2488" s="1332" t="str">
        <f t="shared" si="364"/>
        <v>(ii) Yet to be submitted to MERC</v>
      </c>
      <c r="C2488" s="1491">
        <f t="shared" si="364"/>
        <v>0</v>
      </c>
      <c r="D2488" s="1531" t="str">
        <f t="shared" si="364"/>
        <v>-</v>
      </c>
      <c r="E2488" s="1318">
        <f t="shared" si="364"/>
        <v>0</v>
      </c>
      <c r="F2488" s="1437">
        <f t="shared" si="355"/>
        <v>0</v>
      </c>
      <c r="G2488" s="1437">
        <f t="shared" si="356"/>
        <v>0</v>
      </c>
      <c r="H2488" s="1437">
        <f t="shared" si="357"/>
        <v>0</v>
      </c>
      <c r="I2488" s="1437">
        <v>0</v>
      </c>
      <c r="J2488" s="1437">
        <v>0</v>
      </c>
      <c r="K2488" s="1438"/>
      <c r="L2488" s="1438"/>
      <c r="M2488" s="1437">
        <f t="shared" si="358"/>
        <v>0</v>
      </c>
      <c r="N2488" s="1437">
        <f t="shared" si="359"/>
        <v>0</v>
      </c>
    </row>
    <row r="2489" spans="1:14" ht="46.5" outlineLevel="1">
      <c r="A2489" s="1533">
        <f t="shared" si="364"/>
        <v>1</v>
      </c>
      <c r="B2489" s="1534" t="str">
        <f t="shared" si="364"/>
        <v xml:space="preserve">Detailed Project Report on  Boiler plant performance improvement and availability improvement schemes at Boiler Maintenance 1x250MW Unit-8 TPS Parli-V </v>
      </c>
      <c r="C2489" s="1526" t="str">
        <f t="shared" si="364"/>
        <v>Yet to be approved</v>
      </c>
      <c r="D2489" s="1528" t="str">
        <f t="shared" si="364"/>
        <v>-</v>
      </c>
      <c r="E2489" s="1405">
        <f t="shared" si="364"/>
        <v>0</v>
      </c>
      <c r="F2489" s="1437">
        <f t="shared" si="355"/>
        <v>0</v>
      </c>
      <c r="G2489" s="1437">
        <f t="shared" si="356"/>
        <v>0</v>
      </c>
      <c r="H2489" s="1437">
        <f t="shared" si="357"/>
        <v>0</v>
      </c>
      <c r="I2489" s="1437">
        <v>0</v>
      </c>
      <c r="J2489" s="1437">
        <v>0</v>
      </c>
      <c r="K2489" s="1438"/>
      <c r="L2489" s="1438"/>
      <c r="M2489" s="1437">
        <f t="shared" si="358"/>
        <v>0</v>
      </c>
      <c r="N2489" s="1437">
        <f t="shared" si="359"/>
        <v>0</v>
      </c>
    </row>
    <row r="2490" spans="1:14" ht="29" outlineLevel="1">
      <c r="A2490" s="1491">
        <f t="shared" si="364"/>
        <v>1.1000000000000001</v>
      </c>
      <c r="B2490" s="1530" t="str">
        <f t="shared" si="364"/>
        <v>Procurement &amp; Replacement of Complete Economizer Upper &amp; Lower Bank Coil Assemblies at Unit-8, NPTPS Parli-V</v>
      </c>
      <c r="C2490" s="1491" t="str">
        <f t="shared" si="364"/>
        <v>Yet to be approved</v>
      </c>
      <c r="D2490" s="1531" t="str">
        <f t="shared" si="364"/>
        <v>-</v>
      </c>
      <c r="E2490" s="1318">
        <f t="shared" si="364"/>
        <v>0</v>
      </c>
      <c r="F2490" s="1437">
        <f t="shared" si="355"/>
        <v>5.68</v>
      </c>
      <c r="G2490" s="1437">
        <f t="shared" si="356"/>
        <v>5.68</v>
      </c>
      <c r="H2490" s="1437">
        <f t="shared" si="357"/>
        <v>0</v>
      </c>
      <c r="I2490" s="1437">
        <v>0</v>
      </c>
      <c r="J2490" s="1437">
        <v>0</v>
      </c>
      <c r="K2490" s="1438"/>
      <c r="L2490" s="1438"/>
      <c r="M2490" s="1437">
        <f t="shared" si="358"/>
        <v>0</v>
      </c>
      <c r="N2490" s="1437">
        <f t="shared" si="359"/>
        <v>0</v>
      </c>
    </row>
    <row r="2491" spans="1:14" ht="29" outlineLevel="1">
      <c r="A2491" s="1491">
        <f t="shared" si="364"/>
        <v>1.2</v>
      </c>
      <c r="B2491" s="1530" t="str">
        <f t="shared" si="364"/>
        <v>Procurement &amp; Replacement of Two complete set of APH Baskets at 250 MW Unit-8, Parli TPS.</v>
      </c>
      <c r="C2491" s="1491" t="str">
        <f t="shared" si="364"/>
        <v>Yet to be approved</v>
      </c>
      <c r="D2491" s="1531" t="str">
        <f t="shared" si="364"/>
        <v>-</v>
      </c>
      <c r="E2491" s="1318">
        <f t="shared" si="364"/>
        <v>0</v>
      </c>
      <c r="F2491" s="1437">
        <f t="shared" si="355"/>
        <v>4.5</v>
      </c>
      <c r="G2491" s="1437">
        <f t="shared" si="356"/>
        <v>4.5</v>
      </c>
      <c r="H2491" s="1437">
        <f t="shared" si="357"/>
        <v>0</v>
      </c>
      <c r="I2491" s="1437">
        <v>0</v>
      </c>
      <c r="J2491" s="1437">
        <v>0</v>
      </c>
      <c r="K2491" s="1438"/>
      <c r="L2491" s="1438"/>
      <c r="M2491" s="1437">
        <f t="shared" si="358"/>
        <v>0</v>
      </c>
      <c r="N2491" s="1437">
        <f t="shared" si="359"/>
        <v>0</v>
      </c>
    </row>
    <row r="2492" spans="1:14" ht="29" outlineLevel="1">
      <c r="A2492" s="1491">
        <f t="shared" si="364"/>
        <v>1.3</v>
      </c>
      <c r="B2492" s="1530" t="str">
        <f t="shared" si="364"/>
        <v>Procurement &amp; replacement of  PA Fan PAF 17/11.8-2 and FD Fan FAF 17/9.5-1 Complete Blade set required at BM U-8 NPTPS Parli-V.</v>
      </c>
      <c r="C2492" s="1491" t="str">
        <f t="shared" si="364"/>
        <v>Yet to be approved</v>
      </c>
      <c r="D2492" s="1531" t="str">
        <f t="shared" si="364"/>
        <v>-</v>
      </c>
      <c r="E2492" s="1318">
        <f t="shared" si="364"/>
        <v>0</v>
      </c>
      <c r="F2492" s="1437">
        <f t="shared" si="355"/>
        <v>5.45</v>
      </c>
      <c r="G2492" s="1437">
        <f t="shared" si="356"/>
        <v>5.45</v>
      </c>
      <c r="H2492" s="1437">
        <f t="shared" si="357"/>
        <v>0</v>
      </c>
      <c r="I2492" s="1437">
        <v>0</v>
      </c>
      <c r="J2492" s="1437">
        <v>0</v>
      </c>
      <c r="K2492" s="1438"/>
      <c r="L2492" s="1438"/>
      <c r="M2492" s="1437">
        <f t="shared" si="358"/>
        <v>0</v>
      </c>
      <c r="N2492" s="1437">
        <f t="shared" si="359"/>
        <v>0</v>
      </c>
    </row>
    <row r="2493" spans="1:14" ht="29" outlineLevel="1">
      <c r="A2493" s="1491">
        <f t="shared" si="364"/>
        <v>1.4</v>
      </c>
      <c r="B2493" s="1530" t="str">
        <f t="shared" si="364"/>
        <v>Procurement &amp; Replacement of  Coal Mill Gear Box Type KMP 280 at 250 MW Unit-8, Parli TPS.</v>
      </c>
      <c r="C2493" s="1491" t="str">
        <f t="shared" si="364"/>
        <v>Yet to be approved</v>
      </c>
      <c r="D2493" s="1531" t="str">
        <f t="shared" si="364"/>
        <v>-</v>
      </c>
      <c r="E2493" s="1318">
        <f t="shared" si="364"/>
        <v>0</v>
      </c>
      <c r="F2493" s="1437">
        <f t="shared" si="355"/>
        <v>7.43</v>
      </c>
      <c r="G2493" s="1437">
        <f t="shared" si="356"/>
        <v>7.43</v>
      </c>
      <c r="H2493" s="1437">
        <f t="shared" si="357"/>
        <v>0</v>
      </c>
      <c r="I2493" s="1437">
        <v>0</v>
      </c>
      <c r="J2493" s="1437">
        <v>0</v>
      </c>
      <c r="K2493" s="1438"/>
      <c r="L2493" s="1438"/>
      <c r="M2493" s="1437">
        <f t="shared" si="358"/>
        <v>0</v>
      </c>
      <c r="N2493" s="1437">
        <f t="shared" si="359"/>
        <v>0</v>
      </c>
    </row>
    <row r="2494" spans="1:14" ht="29" outlineLevel="1">
      <c r="A2494" s="1491">
        <f t="shared" ref="A2494:E2509" si="365">A2101</f>
        <v>1.5</v>
      </c>
      <c r="B2494" s="1530" t="str">
        <f t="shared" si="365"/>
        <v>Procurement &amp; replacement of Bowl &amp; Bowl Hub Assembly of Coal Mill XRP-903 required at BM U-8 NPTPS Parli-V.</v>
      </c>
      <c r="C2494" s="1491" t="str">
        <f t="shared" si="365"/>
        <v>Yet to be approved</v>
      </c>
      <c r="D2494" s="1531" t="str">
        <f t="shared" si="365"/>
        <v>-</v>
      </c>
      <c r="E2494" s="1318">
        <f t="shared" si="365"/>
        <v>0</v>
      </c>
      <c r="F2494" s="1437">
        <f t="shared" si="355"/>
        <v>3.1</v>
      </c>
      <c r="G2494" s="1437">
        <f t="shared" si="356"/>
        <v>3.1</v>
      </c>
      <c r="H2494" s="1437">
        <f t="shared" si="357"/>
        <v>0</v>
      </c>
      <c r="I2494" s="1437">
        <v>0</v>
      </c>
      <c r="J2494" s="1437">
        <v>0</v>
      </c>
      <c r="K2494" s="1438"/>
      <c r="L2494" s="1438"/>
      <c r="M2494" s="1437">
        <f t="shared" ref="M2494" si="366">SUM(J2494:L2494)</f>
        <v>0</v>
      </c>
      <c r="N2494" s="1437">
        <f t="shared" si="359"/>
        <v>0</v>
      </c>
    </row>
    <row r="2495" spans="1:14" ht="29" outlineLevel="1">
      <c r="A2495" s="1491">
        <f t="shared" si="365"/>
        <v>1.6</v>
      </c>
      <c r="B2495" s="1530" t="str">
        <f t="shared" si="365"/>
        <v>Procurement of Complete Journal Assembly without Grinding roll for Coal Mill XRP-903  required at BM U-8 NPTPS Parli-V</v>
      </c>
      <c r="C2495" s="1491" t="str">
        <f t="shared" si="365"/>
        <v>Yet to be approved</v>
      </c>
      <c r="D2495" s="1531" t="str">
        <f t="shared" si="365"/>
        <v>-</v>
      </c>
      <c r="E2495" s="1318">
        <f t="shared" si="365"/>
        <v>0</v>
      </c>
      <c r="F2495" s="1437">
        <f t="shared" si="355"/>
        <v>1.29</v>
      </c>
      <c r="G2495" s="1437">
        <f t="shared" si="356"/>
        <v>1.29</v>
      </c>
      <c r="H2495" s="1437">
        <f t="shared" si="357"/>
        <v>0</v>
      </c>
      <c r="I2495" s="1437">
        <v>0</v>
      </c>
      <c r="J2495" s="1437">
        <v>0</v>
      </c>
      <c r="K2495" s="1438"/>
      <c r="L2495" s="1438"/>
      <c r="M2495" s="1437">
        <f t="shared" ref="M2495:M2559" si="367">SUM(J2495:L2495)</f>
        <v>0</v>
      </c>
      <c r="N2495" s="1437">
        <f t="shared" si="359"/>
        <v>0</v>
      </c>
    </row>
    <row r="2496" spans="1:14" ht="29" outlineLevel="1">
      <c r="A2496" s="1491">
        <f t="shared" si="365"/>
        <v>1.7</v>
      </c>
      <c r="B2496" s="1530" t="str">
        <f t="shared" si="365"/>
        <v>Procurement of  Hydraulic Adjustment Device for FD Fan FAF 17/9.5-1 at BM U-8 NPTPS Parli-V.</v>
      </c>
      <c r="C2496" s="1491" t="str">
        <f t="shared" si="365"/>
        <v>Yet to be approved</v>
      </c>
      <c r="D2496" s="1531" t="str">
        <f t="shared" si="365"/>
        <v>-</v>
      </c>
      <c r="E2496" s="1318">
        <f t="shared" si="365"/>
        <v>0</v>
      </c>
      <c r="F2496" s="1437">
        <f t="shared" si="355"/>
        <v>1.4</v>
      </c>
      <c r="G2496" s="1437">
        <f t="shared" si="356"/>
        <v>1.4</v>
      </c>
      <c r="H2496" s="1437">
        <f t="shared" si="357"/>
        <v>0</v>
      </c>
      <c r="I2496" s="1437">
        <v>0</v>
      </c>
      <c r="J2496" s="1437">
        <v>0</v>
      </c>
      <c r="K2496" s="1438"/>
      <c r="L2496" s="1438"/>
      <c r="M2496" s="1437">
        <f t="shared" si="367"/>
        <v>0</v>
      </c>
      <c r="N2496" s="1437">
        <f t="shared" si="359"/>
        <v>0</v>
      </c>
    </row>
    <row r="2497" spans="1:14" outlineLevel="1">
      <c r="A2497" s="1491">
        <f t="shared" si="365"/>
        <v>1.8</v>
      </c>
      <c r="B2497" s="1530" t="str">
        <f t="shared" si="365"/>
        <v>SWAS upgradation at U#8</v>
      </c>
      <c r="C2497" s="1491" t="str">
        <f t="shared" si="365"/>
        <v>Yet to be approved</v>
      </c>
      <c r="D2497" s="1531" t="str">
        <f t="shared" si="365"/>
        <v>-</v>
      </c>
      <c r="E2497" s="1318">
        <f t="shared" si="365"/>
        <v>0</v>
      </c>
      <c r="F2497" s="1437">
        <f t="shared" ref="F2497:F2560" si="368">F2104+I2104</f>
        <v>4.8</v>
      </c>
      <c r="G2497" s="1437">
        <f t="shared" ref="G2497:G2560" si="369">G2104+M2104</f>
        <v>4.8</v>
      </c>
      <c r="H2497" s="1437">
        <f t="shared" ref="H2497:H2561" si="370">F2497-G2497</f>
        <v>0</v>
      </c>
      <c r="I2497" s="1437">
        <v>0</v>
      </c>
      <c r="J2497" s="1437">
        <v>0</v>
      </c>
      <c r="K2497" s="1438"/>
      <c r="L2497" s="1438"/>
      <c r="M2497" s="1437">
        <f t="shared" si="367"/>
        <v>0</v>
      </c>
      <c r="N2497" s="1437">
        <f t="shared" ref="N2497:N2561" si="371">H2497+I2497-M2497</f>
        <v>0</v>
      </c>
    </row>
    <row r="2498" spans="1:14" ht="21" outlineLevel="1">
      <c r="A2498" s="1538">
        <f t="shared" si="365"/>
        <v>0</v>
      </c>
      <c r="B2498" s="1410" t="str">
        <f t="shared" si="365"/>
        <v>(ii) Yet to be submitted to MERC</v>
      </c>
      <c r="C2498" s="1491">
        <f t="shared" si="365"/>
        <v>0</v>
      </c>
      <c r="D2498" s="1531" t="str">
        <f t="shared" si="365"/>
        <v>-</v>
      </c>
      <c r="E2498" s="1318">
        <f t="shared" si="365"/>
        <v>0</v>
      </c>
      <c r="F2498" s="1437">
        <f t="shared" si="368"/>
        <v>0</v>
      </c>
      <c r="G2498" s="1437">
        <f t="shared" si="369"/>
        <v>0</v>
      </c>
      <c r="H2498" s="1437">
        <f t="shared" si="370"/>
        <v>0</v>
      </c>
      <c r="I2498" s="1437">
        <v>0</v>
      </c>
      <c r="J2498" s="1437">
        <v>0</v>
      </c>
      <c r="K2498" s="1438"/>
      <c r="L2498" s="1438"/>
      <c r="M2498" s="1437">
        <f t="shared" si="367"/>
        <v>0</v>
      </c>
      <c r="N2498" s="1437">
        <f t="shared" si="371"/>
        <v>0</v>
      </c>
    </row>
    <row r="2499" spans="1:14" ht="77.5" outlineLevel="1">
      <c r="A2499" s="1533">
        <f t="shared" si="365"/>
        <v>2</v>
      </c>
      <c r="B2499" s="1534" t="str">
        <f t="shared" si="365"/>
        <v xml:space="preserve"> Procurement &amp; Replacement of Complete Platen super heater coils  Coil Assemblies at Unit-8, TPS Parli-V,  Procurement &amp; Replacement of Complete LTSH upper &amp; lower bank Coil Assemblies at Unit-8, TPS Parli-V &amp;  Procurement &amp; Replacement of  Coal Mill Gear Box Type KMP 280 at 250 MW Unit-8, Parli TPS.</v>
      </c>
      <c r="C2499" s="1491" t="str">
        <f t="shared" si="365"/>
        <v>Yet to be approved</v>
      </c>
      <c r="D2499" s="1531" t="str">
        <f t="shared" si="365"/>
        <v>-</v>
      </c>
      <c r="E2499" s="1318">
        <f t="shared" si="365"/>
        <v>0</v>
      </c>
      <c r="F2499" s="1437">
        <f t="shared" si="368"/>
        <v>0</v>
      </c>
      <c r="G2499" s="1437">
        <f t="shared" si="369"/>
        <v>0</v>
      </c>
      <c r="H2499" s="1437">
        <f t="shared" si="370"/>
        <v>0</v>
      </c>
      <c r="I2499" s="1437">
        <v>0</v>
      </c>
      <c r="J2499" s="1437">
        <v>0</v>
      </c>
      <c r="K2499" s="1438"/>
      <c r="L2499" s="1438"/>
      <c r="M2499" s="1437">
        <f t="shared" si="367"/>
        <v>0</v>
      </c>
      <c r="N2499" s="1437">
        <f t="shared" si="371"/>
        <v>0</v>
      </c>
    </row>
    <row r="2500" spans="1:14" ht="29" outlineLevel="1">
      <c r="A2500" s="1491">
        <f t="shared" si="365"/>
        <v>2.1</v>
      </c>
      <c r="B2500" s="1530" t="str">
        <f t="shared" si="365"/>
        <v>Procurement &amp; Replacement of Complete Platen super heater coils  Coil Assemblies at Unit-8, TPS Parli-V</v>
      </c>
      <c r="C2500" s="1491" t="str">
        <f t="shared" si="365"/>
        <v>Yet to be approved</v>
      </c>
      <c r="D2500" s="1531" t="str">
        <f t="shared" si="365"/>
        <v>-</v>
      </c>
      <c r="E2500" s="1318">
        <f t="shared" si="365"/>
        <v>0</v>
      </c>
      <c r="F2500" s="1437">
        <f t="shared" si="368"/>
        <v>12</v>
      </c>
      <c r="G2500" s="1437">
        <f t="shared" si="369"/>
        <v>12</v>
      </c>
      <c r="H2500" s="1437">
        <f t="shared" si="370"/>
        <v>0</v>
      </c>
      <c r="I2500" s="1437">
        <v>0</v>
      </c>
      <c r="J2500" s="1437">
        <v>0</v>
      </c>
      <c r="K2500" s="1438"/>
      <c r="L2500" s="1438"/>
      <c r="M2500" s="1437">
        <f t="shared" si="367"/>
        <v>0</v>
      </c>
      <c r="N2500" s="1437">
        <f t="shared" si="371"/>
        <v>0</v>
      </c>
    </row>
    <row r="2501" spans="1:14" ht="29" outlineLevel="1">
      <c r="A2501" s="1491">
        <f t="shared" si="365"/>
        <v>2.2000000000000002</v>
      </c>
      <c r="B2501" s="1530" t="str">
        <f t="shared" si="365"/>
        <v>Procurement &amp; Replacement of Complete LTSH upper &amp; lower bank Coil Assemblies at Unit-8, TPS Parli-V</v>
      </c>
      <c r="C2501" s="1491" t="str">
        <f t="shared" si="365"/>
        <v>Yet to be approved</v>
      </c>
      <c r="D2501" s="1531" t="str">
        <f t="shared" si="365"/>
        <v>-</v>
      </c>
      <c r="E2501" s="1318">
        <f t="shared" si="365"/>
        <v>0</v>
      </c>
      <c r="F2501" s="1437">
        <f t="shared" si="368"/>
        <v>9.35</v>
      </c>
      <c r="G2501" s="1437">
        <f t="shared" si="369"/>
        <v>9.35</v>
      </c>
      <c r="H2501" s="1437">
        <f t="shared" si="370"/>
        <v>0</v>
      </c>
      <c r="I2501" s="1437">
        <v>0</v>
      </c>
      <c r="J2501" s="1437">
        <v>0</v>
      </c>
      <c r="K2501" s="1438"/>
      <c r="L2501" s="1438"/>
      <c r="M2501" s="1437">
        <f t="shared" si="367"/>
        <v>0</v>
      </c>
      <c r="N2501" s="1437">
        <f t="shared" si="371"/>
        <v>0</v>
      </c>
    </row>
    <row r="2502" spans="1:14" ht="29" outlineLevel="1">
      <c r="A2502" s="1491">
        <f t="shared" si="365"/>
        <v>2.2999999999999998</v>
      </c>
      <c r="B2502" s="1530" t="str">
        <f t="shared" si="365"/>
        <v xml:space="preserve"> Procurement &amp; Replacement of  Coal Mill Gear Box Type KMP 280 at 250 MW Unit-8, Parli TPS.</v>
      </c>
      <c r="C2502" s="1491" t="str">
        <f t="shared" si="365"/>
        <v>Yet to be approved</v>
      </c>
      <c r="D2502" s="1531" t="str">
        <f t="shared" si="365"/>
        <v>-</v>
      </c>
      <c r="E2502" s="1318">
        <f t="shared" si="365"/>
        <v>0</v>
      </c>
      <c r="F2502" s="1437">
        <f t="shared" si="368"/>
        <v>7.8</v>
      </c>
      <c r="G2502" s="1437">
        <f t="shared" si="369"/>
        <v>7.8</v>
      </c>
      <c r="H2502" s="1437">
        <f t="shared" si="370"/>
        <v>0</v>
      </c>
      <c r="I2502" s="1437">
        <v>0</v>
      </c>
      <c r="J2502" s="1437">
        <v>0</v>
      </c>
      <c r="K2502" s="1438"/>
      <c r="L2502" s="1438"/>
      <c r="M2502" s="1437">
        <f t="shared" si="367"/>
        <v>0</v>
      </c>
      <c r="N2502" s="1437">
        <f t="shared" si="371"/>
        <v>0</v>
      </c>
    </row>
    <row r="2503" spans="1:14" ht="46.5" outlineLevel="1">
      <c r="A2503" s="1533">
        <f t="shared" si="365"/>
        <v>3</v>
      </c>
      <c r="B2503" s="1534" t="str">
        <f t="shared" si="365"/>
        <v xml:space="preserve"> Procurement &amp; Replacement of Two complete set of APH Baskets at 250 MW Unit-8, Parli TPS Procurement &amp; replacement of PA &amp; FD fan rotar hub assembly at Unit-8 TPS Parli-V</v>
      </c>
      <c r="C2503" s="1491" t="str">
        <f t="shared" si="365"/>
        <v>Yet to be approved</v>
      </c>
      <c r="D2503" s="1531" t="str">
        <f t="shared" si="365"/>
        <v>-</v>
      </c>
      <c r="E2503" s="1318">
        <f t="shared" si="365"/>
        <v>0</v>
      </c>
      <c r="F2503" s="1437">
        <f t="shared" si="368"/>
        <v>0</v>
      </c>
      <c r="G2503" s="1437">
        <f t="shared" si="369"/>
        <v>0</v>
      </c>
      <c r="H2503" s="1437">
        <f t="shared" si="370"/>
        <v>0</v>
      </c>
      <c r="I2503" s="1437">
        <v>0</v>
      </c>
      <c r="J2503" s="1437">
        <v>0</v>
      </c>
      <c r="K2503" s="1438"/>
      <c r="L2503" s="1438"/>
      <c r="M2503" s="1437">
        <f t="shared" si="367"/>
        <v>0</v>
      </c>
      <c r="N2503" s="1437">
        <f t="shared" si="371"/>
        <v>0</v>
      </c>
    </row>
    <row r="2504" spans="1:14" ht="29" outlineLevel="1">
      <c r="A2504" s="1491">
        <f t="shared" si="365"/>
        <v>3.1</v>
      </c>
      <c r="B2504" s="1530" t="str">
        <f t="shared" si="365"/>
        <v xml:space="preserve"> Procurement &amp; Replacement of Two complete set of APH Baskets at 250 MW Unit-8, Parli TPS.</v>
      </c>
      <c r="C2504" s="1491" t="str">
        <f t="shared" si="365"/>
        <v>Yet to be approved</v>
      </c>
      <c r="D2504" s="1531" t="str">
        <f t="shared" si="365"/>
        <v>-</v>
      </c>
      <c r="E2504" s="1318">
        <f t="shared" si="365"/>
        <v>0</v>
      </c>
      <c r="F2504" s="1437">
        <f t="shared" si="368"/>
        <v>0</v>
      </c>
      <c r="G2504" s="1437">
        <f t="shared" si="369"/>
        <v>0</v>
      </c>
      <c r="H2504" s="1437">
        <f t="shared" si="370"/>
        <v>0</v>
      </c>
      <c r="I2504" s="1437">
        <v>0</v>
      </c>
      <c r="J2504" s="1437">
        <v>0</v>
      </c>
      <c r="K2504" s="1438"/>
      <c r="L2504" s="1438"/>
      <c r="M2504" s="1437">
        <f t="shared" si="367"/>
        <v>0</v>
      </c>
      <c r="N2504" s="1437">
        <f t="shared" si="371"/>
        <v>0</v>
      </c>
    </row>
    <row r="2505" spans="1:14" ht="29" outlineLevel="1">
      <c r="A2505" s="1491">
        <f t="shared" si="365"/>
        <v>3.2</v>
      </c>
      <c r="B2505" s="1530" t="str">
        <f t="shared" si="365"/>
        <v>Procurement &amp; replacement of PA &amp; FD fan rotar hub assembly at Unit-8 TPS Parli-V</v>
      </c>
      <c r="C2505" s="1491" t="str">
        <f t="shared" si="365"/>
        <v>Yet to be approved</v>
      </c>
      <c r="D2505" s="1531" t="str">
        <f t="shared" si="365"/>
        <v>-</v>
      </c>
      <c r="E2505" s="1318">
        <f t="shared" si="365"/>
        <v>0</v>
      </c>
      <c r="F2505" s="1437">
        <f t="shared" si="368"/>
        <v>10</v>
      </c>
      <c r="G2505" s="1437">
        <f t="shared" si="369"/>
        <v>10</v>
      </c>
      <c r="H2505" s="1437">
        <f t="shared" si="370"/>
        <v>0</v>
      </c>
      <c r="I2505" s="1437">
        <v>0</v>
      </c>
      <c r="J2505" s="1437">
        <v>0</v>
      </c>
      <c r="K2505" s="1438"/>
      <c r="L2505" s="1438"/>
      <c r="M2505" s="1437">
        <f t="shared" si="367"/>
        <v>0</v>
      </c>
      <c r="N2505" s="1437">
        <f t="shared" si="371"/>
        <v>0</v>
      </c>
    </row>
    <row r="2506" spans="1:14" ht="31" outlineLevel="1">
      <c r="A2506" s="1533">
        <f t="shared" si="365"/>
        <v>4</v>
      </c>
      <c r="B2506" s="1534" t="str">
        <f t="shared" si="365"/>
        <v xml:space="preserve">DPR on Refurbishment of TG Governing system at Unit-8, PTPS, Parli V. </v>
      </c>
      <c r="C2506" s="1491" t="str">
        <f t="shared" si="365"/>
        <v>Yet to be approved</v>
      </c>
      <c r="D2506" s="1531" t="str">
        <f t="shared" si="365"/>
        <v>-</v>
      </c>
      <c r="E2506" s="1318">
        <f t="shared" si="365"/>
        <v>0</v>
      </c>
      <c r="F2506" s="1437">
        <f t="shared" si="368"/>
        <v>0</v>
      </c>
      <c r="G2506" s="1437">
        <f t="shared" si="369"/>
        <v>0</v>
      </c>
      <c r="H2506" s="1437">
        <f t="shared" si="370"/>
        <v>0</v>
      </c>
      <c r="I2506" s="1437">
        <v>0</v>
      </c>
      <c r="J2506" s="1437">
        <v>0</v>
      </c>
      <c r="K2506" s="1438"/>
      <c r="L2506" s="1438"/>
      <c r="M2506" s="1437">
        <f t="shared" si="367"/>
        <v>0</v>
      </c>
      <c r="N2506" s="1437">
        <f t="shared" si="371"/>
        <v>0</v>
      </c>
    </row>
    <row r="2507" spans="1:14" outlineLevel="1">
      <c r="A2507" s="1491">
        <f t="shared" si="365"/>
        <v>4.0999999999999996</v>
      </c>
      <c r="B2507" s="1530" t="str">
        <f t="shared" si="365"/>
        <v xml:space="preserve">Refurbishment of TG Governing system at Unit-8, PTPS, Parli V. </v>
      </c>
      <c r="C2507" s="1491" t="str">
        <f t="shared" si="365"/>
        <v>Yet to be approved</v>
      </c>
      <c r="D2507" s="1531" t="str">
        <f t="shared" si="365"/>
        <v>-</v>
      </c>
      <c r="E2507" s="1318">
        <f t="shared" si="365"/>
        <v>0</v>
      </c>
      <c r="F2507" s="1437">
        <f t="shared" si="368"/>
        <v>25</v>
      </c>
      <c r="G2507" s="1437">
        <f t="shared" si="369"/>
        <v>25</v>
      </c>
      <c r="H2507" s="1437">
        <f t="shared" si="370"/>
        <v>0</v>
      </c>
      <c r="I2507" s="1437">
        <v>0</v>
      </c>
      <c r="J2507" s="1437">
        <v>0</v>
      </c>
      <c r="K2507" s="1438"/>
      <c r="L2507" s="1438"/>
      <c r="M2507" s="1437">
        <f t="shared" si="367"/>
        <v>0</v>
      </c>
      <c r="N2507" s="1437">
        <f t="shared" si="371"/>
        <v>0</v>
      </c>
    </row>
    <row r="2508" spans="1:14" ht="31" outlineLevel="1">
      <c r="A2508" s="1533">
        <f t="shared" si="365"/>
        <v>5</v>
      </c>
      <c r="B2508" s="1534" t="str">
        <f t="shared" si="365"/>
        <v>DPR on Performance improvement of Natural Draft Cooling Tower (NDCT) at Unit-8, PTPS, Parli V.</v>
      </c>
      <c r="C2508" s="1491" t="str">
        <f t="shared" si="365"/>
        <v>Yet to be approved</v>
      </c>
      <c r="D2508" s="1531" t="str">
        <f t="shared" si="365"/>
        <v>-</v>
      </c>
      <c r="E2508" s="1318">
        <f t="shared" si="365"/>
        <v>0</v>
      </c>
      <c r="F2508" s="1437">
        <f t="shared" si="368"/>
        <v>0</v>
      </c>
      <c r="G2508" s="1437">
        <f t="shared" si="369"/>
        <v>0</v>
      </c>
      <c r="H2508" s="1437">
        <f t="shared" si="370"/>
        <v>0</v>
      </c>
      <c r="I2508" s="1437">
        <v>0</v>
      </c>
      <c r="J2508" s="1437">
        <v>0</v>
      </c>
      <c r="K2508" s="1438"/>
      <c r="L2508" s="1438"/>
      <c r="M2508" s="1437">
        <f t="shared" si="367"/>
        <v>0</v>
      </c>
      <c r="N2508" s="1437">
        <f t="shared" si="371"/>
        <v>0</v>
      </c>
    </row>
    <row r="2509" spans="1:14" ht="58" outlineLevel="1">
      <c r="A2509" s="1491">
        <f t="shared" si="365"/>
        <v>5.0999999999999996</v>
      </c>
      <c r="B2509" s="1530" t="str">
        <f t="shared" si="365"/>
        <v>Performance improvement of Natural Draft Cooling Tower (NDCT) by replacement of PVC fills, AC cement pipes, strengthening of Hot water distribution system, replacement of beams, columns, support structures, etc. at Unit-8, PTPS, Parli V.</v>
      </c>
      <c r="C2509" s="1491" t="str">
        <f t="shared" si="365"/>
        <v>Yet to be approved</v>
      </c>
      <c r="D2509" s="1531" t="str">
        <f t="shared" si="365"/>
        <v>-</v>
      </c>
      <c r="E2509" s="1318">
        <f t="shared" si="365"/>
        <v>0</v>
      </c>
      <c r="F2509" s="1437">
        <f t="shared" si="368"/>
        <v>25</v>
      </c>
      <c r="G2509" s="1437">
        <f t="shared" si="369"/>
        <v>25</v>
      </c>
      <c r="H2509" s="1437">
        <f t="shared" si="370"/>
        <v>0</v>
      </c>
      <c r="I2509" s="1437">
        <v>0</v>
      </c>
      <c r="J2509" s="1437">
        <v>0</v>
      </c>
      <c r="K2509" s="1438"/>
      <c r="L2509" s="1438"/>
      <c r="M2509" s="1437">
        <f t="shared" si="367"/>
        <v>0</v>
      </c>
      <c r="N2509" s="1437">
        <f t="shared" si="371"/>
        <v>0</v>
      </c>
    </row>
    <row r="2510" spans="1:14" ht="31" outlineLevel="1">
      <c r="A2510" s="1533">
        <f t="shared" ref="A2510:E2525" si="372">A2117</f>
        <v>6</v>
      </c>
      <c r="B2510" s="1534" t="str">
        <f t="shared" si="372"/>
        <v xml:space="preserve">DPR on Procurement of  ACW &amp; CW pump along with mandatory spares at Unit-8, PTPS, Parli V. </v>
      </c>
      <c r="C2510" s="1491" t="str">
        <f t="shared" si="372"/>
        <v>Yet to be approved</v>
      </c>
      <c r="D2510" s="1531" t="str">
        <f t="shared" si="372"/>
        <v>-</v>
      </c>
      <c r="E2510" s="1318">
        <f t="shared" si="372"/>
        <v>0</v>
      </c>
      <c r="F2510" s="1437">
        <f t="shared" si="368"/>
        <v>0</v>
      </c>
      <c r="G2510" s="1437">
        <f t="shared" si="369"/>
        <v>0</v>
      </c>
      <c r="H2510" s="1437">
        <f t="shared" si="370"/>
        <v>0</v>
      </c>
      <c r="I2510" s="1437">
        <v>0</v>
      </c>
      <c r="J2510" s="1437">
        <v>0</v>
      </c>
      <c r="K2510" s="1438"/>
      <c r="L2510" s="1438"/>
      <c r="M2510" s="1437">
        <f t="shared" si="367"/>
        <v>0</v>
      </c>
      <c r="N2510" s="1437">
        <f t="shared" si="371"/>
        <v>0</v>
      </c>
    </row>
    <row r="2511" spans="1:14" ht="29" outlineLevel="1">
      <c r="A2511" s="1491">
        <f t="shared" si="372"/>
        <v>6.1</v>
      </c>
      <c r="B2511" s="1530" t="str">
        <f t="shared" si="372"/>
        <v xml:space="preserve">DPR on Procurement of  ACW &amp; CW pump along with mandatory spares at Unit-8, PTPS, Parli V. </v>
      </c>
      <c r="C2511" s="1491" t="str">
        <f t="shared" si="372"/>
        <v>Yet to be approved</v>
      </c>
      <c r="D2511" s="1531" t="str">
        <f t="shared" si="372"/>
        <v>-</v>
      </c>
      <c r="E2511" s="1318">
        <f t="shared" si="372"/>
        <v>0</v>
      </c>
      <c r="F2511" s="1437">
        <f t="shared" si="368"/>
        <v>35</v>
      </c>
      <c r="G2511" s="1437">
        <f t="shared" si="369"/>
        <v>35</v>
      </c>
      <c r="H2511" s="1437">
        <f t="shared" si="370"/>
        <v>0</v>
      </c>
      <c r="I2511" s="1437">
        <v>0</v>
      </c>
      <c r="J2511" s="1437">
        <v>0</v>
      </c>
      <c r="K2511" s="1438"/>
      <c r="L2511" s="1438"/>
      <c r="M2511" s="1437">
        <f t="shared" si="367"/>
        <v>0</v>
      </c>
      <c r="N2511" s="1437">
        <f t="shared" si="371"/>
        <v>0</v>
      </c>
    </row>
    <row r="2512" spans="1:14" ht="62" outlineLevel="1">
      <c r="A2512" s="1533">
        <f t="shared" si="372"/>
        <v>7</v>
      </c>
      <c r="B2512" s="1534" t="str">
        <f t="shared" si="372"/>
        <v xml:space="preserve">DPR on Procurement of  CEP pump and BFP Booster pump along with mandatory spares at Unit-8, PTPS, Parli V and Procurement of Energy Efficient Cartridges of Boiler Feed Pump at Unit-8, PTPS, Parli V. </v>
      </c>
      <c r="C2512" s="1491" t="str">
        <f t="shared" si="372"/>
        <v>Yet to be approved</v>
      </c>
      <c r="D2512" s="1531" t="str">
        <f t="shared" si="372"/>
        <v>-</v>
      </c>
      <c r="E2512" s="1318">
        <f t="shared" si="372"/>
        <v>0</v>
      </c>
      <c r="F2512" s="1437">
        <f t="shared" si="368"/>
        <v>0</v>
      </c>
      <c r="G2512" s="1437">
        <f t="shared" si="369"/>
        <v>0</v>
      </c>
      <c r="H2512" s="1437">
        <f t="shared" si="370"/>
        <v>0</v>
      </c>
      <c r="I2512" s="1437">
        <v>0</v>
      </c>
      <c r="J2512" s="1437">
        <v>0</v>
      </c>
      <c r="K2512" s="1438"/>
      <c r="L2512" s="1438"/>
      <c r="M2512" s="1437">
        <f t="shared" si="367"/>
        <v>0</v>
      </c>
      <c r="N2512" s="1437">
        <f t="shared" si="371"/>
        <v>0</v>
      </c>
    </row>
    <row r="2513" spans="1:14" ht="29" outlineLevel="1">
      <c r="A2513" s="1491">
        <f t="shared" si="372"/>
        <v>7.1</v>
      </c>
      <c r="B2513" s="1530" t="str">
        <f t="shared" si="372"/>
        <v xml:space="preserve">Procurement of  CEP pump and BFP Booster pump along with mandatory spares at Unit-8, PTPS, Parli </v>
      </c>
      <c r="C2513" s="1491" t="str">
        <f t="shared" si="372"/>
        <v>Yet to be approved</v>
      </c>
      <c r="D2513" s="1531" t="str">
        <f t="shared" si="372"/>
        <v>-</v>
      </c>
      <c r="E2513" s="1318">
        <f t="shared" si="372"/>
        <v>0</v>
      </c>
      <c r="F2513" s="1437">
        <f t="shared" si="368"/>
        <v>30</v>
      </c>
      <c r="G2513" s="1437">
        <f t="shared" si="369"/>
        <v>30</v>
      </c>
      <c r="H2513" s="1437">
        <f t="shared" si="370"/>
        <v>0</v>
      </c>
      <c r="I2513" s="1437">
        <v>0</v>
      </c>
      <c r="J2513" s="1437">
        <v>0</v>
      </c>
      <c r="K2513" s="1438"/>
      <c r="L2513" s="1438"/>
      <c r="M2513" s="1437">
        <f t="shared" si="367"/>
        <v>0</v>
      </c>
      <c r="N2513" s="1437">
        <f t="shared" si="371"/>
        <v>0</v>
      </c>
    </row>
    <row r="2514" spans="1:14" ht="29" outlineLevel="1">
      <c r="A2514" s="1491">
        <f t="shared" si="372"/>
        <v>7.2</v>
      </c>
      <c r="B2514" s="1530" t="str">
        <f t="shared" si="372"/>
        <v xml:space="preserve">Procurement of Energy Efficient Cartridges of Boiler Feed Pump at Unit-8, PTPS, Parli V. </v>
      </c>
      <c r="C2514" s="1491" t="str">
        <f t="shared" si="372"/>
        <v>Yet to be approved</v>
      </c>
      <c r="D2514" s="1531" t="str">
        <f t="shared" si="372"/>
        <v>-</v>
      </c>
      <c r="E2514" s="1318">
        <f t="shared" si="372"/>
        <v>0</v>
      </c>
      <c r="F2514" s="1437">
        <f t="shared" si="368"/>
        <v>10</v>
      </c>
      <c r="G2514" s="1437">
        <f t="shared" si="369"/>
        <v>10</v>
      </c>
      <c r="H2514" s="1437">
        <f t="shared" si="370"/>
        <v>0</v>
      </c>
      <c r="I2514" s="1437">
        <v>0</v>
      </c>
      <c r="J2514" s="1437">
        <v>0</v>
      </c>
      <c r="K2514" s="1438"/>
      <c r="L2514" s="1438"/>
      <c r="M2514" s="1437">
        <f t="shared" si="367"/>
        <v>0</v>
      </c>
      <c r="N2514" s="1437">
        <f t="shared" si="371"/>
        <v>0</v>
      </c>
    </row>
    <row r="2515" spans="1:14" ht="31" outlineLevel="1">
      <c r="A2515" s="1533">
        <f t="shared" si="372"/>
        <v>8</v>
      </c>
      <c r="B2515" s="1534" t="str">
        <f t="shared" si="372"/>
        <v>DPR on Procurement of turbine blades of HP, IP &amp; LP rotor in Unit-8, PTPS, Parli V.</v>
      </c>
      <c r="C2515" s="1491" t="str">
        <f t="shared" si="372"/>
        <v>Yet to be approved</v>
      </c>
      <c r="D2515" s="1531" t="str">
        <f t="shared" si="372"/>
        <v>-</v>
      </c>
      <c r="E2515" s="1318">
        <f t="shared" si="372"/>
        <v>0</v>
      </c>
      <c r="F2515" s="1437">
        <f t="shared" si="368"/>
        <v>0</v>
      </c>
      <c r="G2515" s="1437">
        <f t="shared" si="369"/>
        <v>0</v>
      </c>
      <c r="H2515" s="1437">
        <f t="shared" si="370"/>
        <v>0</v>
      </c>
      <c r="I2515" s="1437">
        <v>0</v>
      </c>
      <c r="J2515" s="1437">
        <v>0</v>
      </c>
      <c r="K2515" s="1438"/>
      <c r="L2515" s="1438"/>
      <c r="M2515" s="1437">
        <f t="shared" si="367"/>
        <v>0</v>
      </c>
      <c r="N2515" s="1437">
        <f t="shared" si="371"/>
        <v>0</v>
      </c>
    </row>
    <row r="2516" spans="1:14" ht="29" outlineLevel="1">
      <c r="A2516" s="1491">
        <f t="shared" si="372"/>
        <v>8.1</v>
      </c>
      <c r="B2516" s="1530" t="str">
        <f t="shared" si="372"/>
        <v>DPR on Procurement of turbine blades of HP, IP &amp; LP rotor in Unit-8, PTPS, Parli V.</v>
      </c>
      <c r="C2516" s="1491" t="str">
        <f t="shared" si="372"/>
        <v>Yet to be approved</v>
      </c>
      <c r="D2516" s="1531" t="str">
        <f t="shared" si="372"/>
        <v>-</v>
      </c>
      <c r="E2516" s="1318">
        <f t="shared" si="372"/>
        <v>0</v>
      </c>
      <c r="F2516" s="1437">
        <f t="shared" si="368"/>
        <v>35</v>
      </c>
      <c r="G2516" s="1437">
        <f t="shared" si="369"/>
        <v>35</v>
      </c>
      <c r="H2516" s="1437">
        <f t="shared" si="370"/>
        <v>0</v>
      </c>
      <c r="I2516" s="1437">
        <v>0</v>
      </c>
      <c r="J2516" s="1437">
        <v>0</v>
      </c>
      <c r="K2516" s="1438"/>
      <c r="L2516" s="1438"/>
      <c r="M2516" s="1437">
        <f t="shared" si="367"/>
        <v>0</v>
      </c>
      <c r="N2516" s="1437">
        <f t="shared" si="371"/>
        <v>0</v>
      </c>
    </row>
    <row r="2517" spans="1:14" ht="46.5" outlineLevel="1">
      <c r="A2517" s="1533">
        <f t="shared" si="372"/>
        <v>9</v>
      </c>
      <c r="B2517" s="1534" t="str">
        <f t="shared" si="372"/>
        <v xml:space="preserve">DPR on Repair &amp; Reconditioning of Water treatment plant at Unit-8, PTPS, Parli V and Performance improvement of centralised AC plant at Unit-8, PTPS, Parli V. </v>
      </c>
      <c r="C2517" s="1491" t="str">
        <f t="shared" si="372"/>
        <v>Yet to be approved</v>
      </c>
      <c r="D2517" s="1531" t="str">
        <f t="shared" si="372"/>
        <v>-</v>
      </c>
      <c r="E2517" s="1318">
        <f t="shared" si="372"/>
        <v>0</v>
      </c>
      <c r="F2517" s="1437">
        <f t="shared" si="368"/>
        <v>0</v>
      </c>
      <c r="G2517" s="1437">
        <f t="shared" si="369"/>
        <v>0</v>
      </c>
      <c r="H2517" s="1437">
        <f t="shared" si="370"/>
        <v>0</v>
      </c>
      <c r="I2517" s="1437">
        <v>0</v>
      </c>
      <c r="J2517" s="1437">
        <v>0</v>
      </c>
      <c r="K2517" s="1438"/>
      <c r="L2517" s="1438"/>
      <c r="M2517" s="1437">
        <f t="shared" si="367"/>
        <v>0</v>
      </c>
      <c r="N2517" s="1437">
        <f t="shared" si="371"/>
        <v>0</v>
      </c>
    </row>
    <row r="2518" spans="1:14" ht="29" outlineLevel="1">
      <c r="A2518" s="1491">
        <f t="shared" si="372"/>
        <v>9.1</v>
      </c>
      <c r="B2518" s="1530" t="str">
        <f t="shared" si="372"/>
        <v>Reconditioning of Acid and Alkali Unloading and storage system at Unit-8, PTPS, Parli V.</v>
      </c>
      <c r="C2518" s="1491" t="str">
        <f t="shared" si="372"/>
        <v>Yet to be approved</v>
      </c>
      <c r="D2518" s="1531" t="str">
        <f t="shared" si="372"/>
        <v>-</v>
      </c>
      <c r="E2518" s="1318">
        <f t="shared" si="372"/>
        <v>0</v>
      </c>
      <c r="F2518" s="1437">
        <f t="shared" si="368"/>
        <v>10</v>
      </c>
      <c r="G2518" s="1437">
        <f t="shared" si="369"/>
        <v>10</v>
      </c>
      <c r="H2518" s="1437">
        <f t="shared" si="370"/>
        <v>0</v>
      </c>
      <c r="I2518" s="1437">
        <v>0</v>
      </c>
      <c r="J2518" s="1437">
        <v>0</v>
      </c>
      <c r="K2518" s="1438"/>
      <c r="L2518" s="1438"/>
      <c r="M2518" s="1437">
        <f t="shared" si="367"/>
        <v>0</v>
      </c>
      <c r="N2518" s="1437">
        <f t="shared" si="371"/>
        <v>0</v>
      </c>
    </row>
    <row r="2519" spans="1:14" ht="29" outlineLevel="1">
      <c r="A2519" s="1491">
        <f t="shared" si="372"/>
        <v>9.1999999999999993</v>
      </c>
      <c r="B2519" s="1530" t="str">
        <f t="shared" si="372"/>
        <v>Reconditioning &amp; repairing of WTP DM Plant regeneration system at Unit-8, PTPS, Parli V.</v>
      </c>
      <c r="C2519" s="1491" t="str">
        <f t="shared" si="372"/>
        <v>Yet to be approved</v>
      </c>
      <c r="D2519" s="1531" t="str">
        <f t="shared" si="372"/>
        <v>-</v>
      </c>
      <c r="E2519" s="1318">
        <f t="shared" si="372"/>
        <v>0</v>
      </c>
      <c r="F2519" s="1437">
        <f t="shared" si="368"/>
        <v>20</v>
      </c>
      <c r="G2519" s="1437">
        <f t="shared" si="369"/>
        <v>20</v>
      </c>
      <c r="H2519" s="1437">
        <f t="shared" si="370"/>
        <v>0</v>
      </c>
      <c r="I2519" s="1437">
        <v>0</v>
      </c>
      <c r="J2519" s="1437">
        <v>0</v>
      </c>
      <c r="K2519" s="1438"/>
      <c r="L2519" s="1438"/>
      <c r="M2519" s="1437">
        <f t="shared" si="367"/>
        <v>0</v>
      </c>
      <c r="N2519" s="1437">
        <f t="shared" si="371"/>
        <v>0</v>
      </c>
    </row>
    <row r="2520" spans="1:14" ht="43.5" outlineLevel="1">
      <c r="A2520" s="1491">
        <f t="shared" si="372"/>
        <v>9.3000000000000007</v>
      </c>
      <c r="B2520" s="1530" t="str">
        <f t="shared" si="372"/>
        <v xml:space="preserve"> Performance improvement of centralised AC plant by reconditioning of cooling tower, various pumps, heat exchangers, etc. at Unit-8, PTPS, Parli V. </v>
      </c>
      <c r="C2520" s="1491" t="str">
        <f t="shared" si="372"/>
        <v>Yet to be approved</v>
      </c>
      <c r="D2520" s="1531" t="str">
        <f t="shared" si="372"/>
        <v>-</v>
      </c>
      <c r="E2520" s="1318">
        <f t="shared" si="372"/>
        <v>0</v>
      </c>
      <c r="F2520" s="1437">
        <f t="shared" si="368"/>
        <v>10</v>
      </c>
      <c r="G2520" s="1437">
        <f t="shared" si="369"/>
        <v>10</v>
      </c>
      <c r="H2520" s="1437">
        <f t="shared" si="370"/>
        <v>0</v>
      </c>
      <c r="I2520" s="1437">
        <v>0</v>
      </c>
      <c r="J2520" s="1437">
        <v>0</v>
      </c>
      <c r="K2520" s="1438"/>
      <c r="L2520" s="1438"/>
      <c r="M2520" s="1437">
        <f t="shared" si="367"/>
        <v>0</v>
      </c>
      <c r="N2520" s="1437">
        <f t="shared" si="371"/>
        <v>0</v>
      </c>
    </row>
    <row r="2521" spans="1:14" ht="46.5" outlineLevel="1">
      <c r="A2521" s="1533">
        <f t="shared" si="372"/>
        <v>10</v>
      </c>
      <c r="B2521" s="1534" t="str">
        <f t="shared" si="372"/>
        <v>DPR on Procurement of Control Fluid (HPCF) pump, Lube Oil pump, Emergency Oil pump, Jacking Oil pump, Seal oil pump at Unit-8, PTPS, Parli V.</v>
      </c>
      <c r="C2521" s="1491" t="str">
        <f t="shared" si="372"/>
        <v>Yet to be approved</v>
      </c>
      <c r="D2521" s="1531" t="str">
        <f t="shared" si="372"/>
        <v>-</v>
      </c>
      <c r="E2521" s="1318">
        <f t="shared" si="372"/>
        <v>0</v>
      </c>
      <c r="F2521" s="1437">
        <f t="shared" si="368"/>
        <v>0</v>
      </c>
      <c r="G2521" s="1437">
        <f t="shared" si="369"/>
        <v>0</v>
      </c>
      <c r="H2521" s="1437">
        <f t="shared" si="370"/>
        <v>0</v>
      </c>
      <c r="I2521" s="1437">
        <v>0</v>
      </c>
      <c r="J2521" s="1437">
        <v>0</v>
      </c>
      <c r="K2521" s="1438"/>
      <c r="L2521" s="1438"/>
      <c r="M2521" s="1437">
        <f t="shared" si="367"/>
        <v>0</v>
      </c>
      <c r="N2521" s="1437">
        <f t="shared" si="371"/>
        <v>0</v>
      </c>
    </row>
    <row r="2522" spans="1:14" ht="43.5" outlineLevel="1">
      <c r="A2522" s="1491">
        <f t="shared" si="372"/>
        <v>10.1</v>
      </c>
      <c r="B2522" s="1530" t="str">
        <f t="shared" si="372"/>
        <v>DPR on Procurement of Control Fluid (HPCF) pump, Lube Oil pump, Emergency Oil pump, Jacking Oil pump, Seal oil pump at Unit-8, PTPS, Parli V.</v>
      </c>
      <c r="C2522" s="1491" t="str">
        <f t="shared" si="372"/>
        <v>Yet to be approved</v>
      </c>
      <c r="D2522" s="1531" t="str">
        <f t="shared" si="372"/>
        <v>-</v>
      </c>
      <c r="E2522" s="1318">
        <f t="shared" si="372"/>
        <v>0</v>
      </c>
      <c r="F2522" s="1437">
        <f t="shared" si="368"/>
        <v>25</v>
      </c>
      <c r="G2522" s="1437">
        <f t="shared" si="369"/>
        <v>25</v>
      </c>
      <c r="H2522" s="1437">
        <f t="shared" si="370"/>
        <v>0</v>
      </c>
      <c r="I2522" s="1437">
        <v>0</v>
      </c>
      <c r="J2522" s="1437">
        <v>0</v>
      </c>
      <c r="K2522" s="1438"/>
      <c r="L2522" s="1438"/>
      <c r="M2522" s="1437">
        <f t="shared" si="367"/>
        <v>0</v>
      </c>
      <c r="N2522" s="1437">
        <f t="shared" si="371"/>
        <v>0</v>
      </c>
    </row>
    <row r="2523" spans="1:14" ht="31" outlineLevel="1">
      <c r="A2523" s="1533">
        <f t="shared" si="372"/>
        <v>11</v>
      </c>
      <c r="B2523" s="1534" t="str">
        <f t="shared" si="372"/>
        <v xml:space="preserve">DPR on Procurement of H2 cooler, BFP coolers, generator exciter cooler, Seal and Lube oil coolers at Unit-8, PTPS, Parli V. </v>
      </c>
      <c r="C2523" s="1491" t="str">
        <f t="shared" si="372"/>
        <v>Yet to be approved</v>
      </c>
      <c r="D2523" s="1531" t="str">
        <f t="shared" si="372"/>
        <v>-</v>
      </c>
      <c r="E2523" s="1318">
        <f t="shared" si="372"/>
        <v>0</v>
      </c>
      <c r="F2523" s="1437">
        <f t="shared" si="368"/>
        <v>0</v>
      </c>
      <c r="G2523" s="1437">
        <f t="shared" si="369"/>
        <v>0</v>
      </c>
      <c r="H2523" s="1437">
        <f t="shared" si="370"/>
        <v>0</v>
      </c>
      <c r="I2523" s="1437">
        <v>0</v>
      </c>
      <c r="J2523" s="1437">
        <v>0</v>
      </c>
      <c r="K2523" s="1438"/>
      <c r="L2523" s="1438"/>
      <c r="M2523" s="1437">
        <f t="shared" si="367"/>
        <v>0</v>
      </c>
      <c r="N2523" s="1437">
        <f t="shared" si="371"/>
        <v>0</v>
      </c>
    </row>
    <row r="2524" spans="1:14" ht="29" outlineLevel="1">
      <c r="A2524" s="1491">
        <f t="shared" si="372"/>
        <v>11.1</v>
      </c>
      <c r="B2524" s="1530" t="str">
        <f t="shared" si="372"/>
        <v xml:space="preserve">DPR on Procurement of H2 cooler, BFP coolers, generator exciter cooler, Seal and Lube oil coolers at Unit-8, PTPS, Parli V. </v>
      </c>
      <c r="C2524" s="1491" t="str">
        <f t="shared" si="372"/>
        <v>Yet to be approved</v>
      </c>
      <c r="D2524" s="1531" t="str">
        <f t="shared" si="372"/>
        <v>-</v>
      </c>
      <c r="E2524" s="1318">
        <f t="shared" si="372"/>
        <v>0</v>
      </c>
      <c r="F2524" s="1437">
        <f t="shared" si="368"/>
        <v>30</v>
      </c>
      <c r="G2524" s="1437">
        <f t="shared" si="369"/>
        <v>30</v>
      </c>
      <c r="H2524" s="1437">
        <f t="shared" si="370"/>
        <v>0</v>
      </c>
      <c r="I2524" s="1437">
        <v>0</v>
      </c>
      <c r="J2524" s="1437">
        <v>0</v>
      </c>
      <c r="K2524" s="1438"/>
      <c r="L2524" s="1438"/>
      <c r="M2524" s="1437">
        <f t="shared" si="367"/>
        <v>0</v>
      </c>
      <c r="N2524" s="1437">
        <f t="shared" si="371"/>
        <v>0</v>
      </c>
    </row>
    <row r="2525" spans="1:14" ht="62" outlineLevel="1">
      <c r="A2525" s="1533">
        <f t="shared" si="372"/>
        <v>12</v>
      </c>
      <c r="B2525" s="1534" t="str">
        <f t="shared" si="372"/>
        <v>Supply, installation &amp; commissioning of 220V 2140AH,24V 830AH &amp; 710AH, 360V 570AH Mains UPS,110V 110AH AHP PLC , 110V , 103 AH DM plant battery set for unit 8 , NPTPS Parli-V &amp; Procurement of HT motors at U#8</v>
      </c>
      <c r="C2525" s="1491" t="str">
        <f t="shared" si="372"/>
        <v>Yet to be approved</v>
      </c>
      <c r="D2525" s="1531" t="str">
        <f t="shared" si="372"/>
        <v>-</v>
      </c>
      <c r="E2525" s="1318">
        <f t="shared" si="372"/>
        <v>0</v>
      </c>
      <c r="F2525" s="1437">
        <f t="shared" si="368"/>
        <v>0</v>
      </c>
      <c r="G2525" s="1437">
        <f t="shared" si="369"/>
        <v>0</v>
      </c>
      <c r="H2525" s="1437">
        <f t="shared" si="370"/>
        <v>0</v>
      </c>
      <c r="I2525" s="1437">
        <v>0</v>
      </c>
      <c r="J2525" s="1437">
        <v>0</v>
      </c>
      <c r="K2525" s="1438"/>
      <c r="L2525" s="1438"/>
      <c r="M2525" s="1437">
        <f t="shared" si="367"/>
        <v>0</v>
      </c>
      <c r="N2525" s="1437">
        <f t="shared" si="371"/>
        <v>0</v>
      </c>
    </row>
    <row r="2526" spans="1:14" ht="43.5" outlineLevel="1">
      <c r="A2526" s="1491">
        <f t="shared" ref="A2526:E2541" si="373">A2133</f>
        <v>12.1</v>
      </c>
      <c r="B2526" s="1530" t="str">
        <f t="shared" si="373"/>
        <v>Supply, installation &amp; commissioning of 220V 2140AH,24V 830AH &amp; 710AH, 360V 570AH Mains UPS,110V 110AH AHP PLC , 110V , 103 AH DM plant battery set for unit 8 , NPTPS Parli-V</v>
      </c>
      <c r="C2526" s="1491" t="str">
        <f t="shared" si="373"/>
        <v>Yet to be approved</v>
      </c>
      <c r="D2526" s="1531" t="str">
        <f t="shared" si="373"/>
        <v>-</v>
      </c>
      <c r="E2526" s="1318">
        <f t="shared" si="373"/>
        <v>0</v>
      </c>
      <c r="F2526" s="1437">
        <f t="shared" si="368"/>
        <v>15</v>
      </c>
      <c r="G2526" s="1437">
        <f t="shared" si="369"/>
        <v>15</v>
      </c>
      <c r="H2526" s="1437">
        <f t="shared" si="370"/>
        <v>0</v>
      </c>
      <c r="I2526" s="1437">
        <v>0</v>
      </c>
      <c r="J2526" s="1437">
        <v>0</v>
      </c>
      <c r="K2526" s="1438"/>
      <c r="L2526" s="1438"/>
      <c r="M2526" s="1437">
        <f t="shared" si="367"/>
        <v>0</v>
      </c>
      <c r="N2526" s="1437">
        <f t="shared" si="371"/>
        <v>0</v>
      </c>
    </row>
    <row r="2527" spans="1:14" outlineLevel="1">
      <c r="A2527" s="1491">
        <f t="shared" si="373"/>
        <v>12.2</v>
      </c>
      <c r="B2527" s="1530" t="str">
        <f t="shared" si="373"/>
        <v>Procurement of HT motors at U#8</v>
      </c>
      <c r="C2527" s="1491" t="str">
        <f t="shared" si="373"/>
        <v>Yet to be approved</v>
      </c>
      <c r="D2527" s="1531" t="str">
        <f t="shared" si="373"/>
        <v>-</v>
      </c>
      <c r="E2527" s="1318">
        <f t="shared" si="373"/>
        <v>0</v>
      </c>
      <c r="F2527" s="1437">
        <f t="shared" si="368"/>
        <v>10</v>
      </c>
      <c r="G2527" s="1437">
        <f t="shared" si="369"/>
        <v>10</v>
      </c>
      <c r="H2527" s="1437">
        <f t="shared" si="370"/>
        <v>0</v>
      </c>
      <c r="I2527" s="1437">
        <v>0</v>
      </c>
      <c r="J2527" s="1437">
        <v>0</v>
      </c>
      <c r="K2527" s="1438"/>
      <c r="L2527" s="1438"/>
      <c r="M2527" s="1437">
        <f t="shared" si="367"/>
        <v>0</v>
      </c>
      <c r="N2527" s="1437">
        <f t="shared" si="371"/>
        <v>0</v>
      </c>
    </row>
    <row r="2528" spans="1:14" ht="15.5" outlineLevel="1">
      <c r="A2528" s="1533">
        <f t="shared" si="373"/>
        <v>13</v>
      </c>
      <c r="B2528" s="1534" t="str">
        <f t="shared" si="373"/>
        <v>DPR on various instrumentation &amp; control schemes at U#8</v>
      </c>
      <c r="C2528" s="1491" t="str">
        <f t="shared" si="373"/>
        <v>Yet to be approved</v>
      </c>
      <c r="D2528" s="1531" t="str">
        <f t="shared" si="373"/>
        <v>-</v>
      </c>
      <c r="E2528" s="1318">
        <f t="shared" si="373"/>
        <v>0</v>
      </c>
      <c r="F2528" s="1437">
        <f t="shared" si="368"/>
        <v>0</v>
      </c>
      <c r="G2528" s="1437">
        <f t="shared" si="369"/>
        <v>0</v>
      </c>
      <c r="H2528" s="1437">
        <f t="shared" si="370"/>
        <v>0</v>
      </c>
      <c r="I2528" s="1437">
        <v>0</v>
      </c>
      <c r="J2528" s="1437">
        <v>0</v>
      </c>
      <c r="K2528" s="1438"/>
      <c r="L2528" s="1438"/>
      <c r="M2528" s="1437">
        <f t="shared" si="367"/>
        <v>0</v>
      </c>
      <c r="N2528" s="1437">
        <f t="shared" si="371"/>
        <v>0</v>
      </c>
    </row>
    <row r="2529" spans="1:14" outlineLevel="1">
      <c r="A2529" s="1491">
        <f t="shared" si="373"/>
        <v>13.1</v>
      </c>
      <c r="B2529" s="1530" t="str">
        <f t="shared" si="373"/>
        <v>Upgradation of MAX-DNA  DCS system at U#8 (HMI upgradation)</v>
      </c>
      <c r="C2529" s="1491" t="str">
        <f t="shared" si="373"/>
        <v>Yet to be approved</v>
      </c>
      <c r="D2529" s="1531" t="str">
        <f t="shared" si="373"/>
        <v>-</v>
      </c>
      <c r="E2529" s="1318">
        <f t="shared" si="373"/>
        <v>0</v>
      </c>
      <c r="F2529" s="1437">
        <f t="shared" si="368"/>
        <v>6.81</v>
      </c>
      <c r="G2529" s="1437">
        <f t="shared" si="369"/>
        <v>6.81</v>
      </c>
      <c r="H2529" s="1437">
        <f t="shared" si="370"/>
        <v>0</v>
      </c>
      <c r="I2529" s="1437">
        <v>0</v>
      </c>
      <c r="J2529" s="1437">
        <v>0</v>
      </c>
      <c r="K2529" s="1438"/>
      <c r="L2529" s="1438"/>
      <c r="M2529" s="1437">
        <f t="shared" si="367"/>
        <v>0</v>
      </c>
      <c r="N2529" s="1437">
        <f t="shared" si="371"/>
        <v>0</v>
      </c>
    </row>
    <row r="2530" spans="1:14" ht="29" outlineLevel="1">
      <c r="A2530" s="1491">
        <f t="shared" si="373"/>
        <v>13.2</v>
      </c>
      <c r="B2530" s="1530" t="str">
        <f t="shared" si="373"/>
        <v>Upgradation of existing Pcal system with plant performance analysis diagnostic and optimization system (PADO) at Unit  8 New Parli TPS</v>
      </c>
      <c r="C2530" s="1491" t="str">
        <f t="shared" si="373"/>
        <v>Yet to be approved</v>
      </c>
      <c r="D2530" s="1531" t="str">
        <f t="shared" si="373"/>
        <v>-</v>
      </c>
      <c r="E2530" s="1318">
        <f t="shared" si="373"/>
        <v>0</v>
      </c>
      <c r="F2530" s="1437">
        <f t="shared" si="368"/>
        <v>1.4</v>
      </c>
      <c r="G2530" s="1437">
        <f t="shared" si="369"/>
        <v>1.4</v>
      </c>
      <c r="H2530" s="1437">
        <f t="shared" si="370"/>
        <v>0</v>
      </c>
      <c r="I2530" s="1437">
        <v>0</v>
      </c>
      <c r="J2530" s="1437">
        <v>0</v>
      </c>
      <c r="K2530" s="1438"/>
      <c r="L2530" s="1438"/>
      <c r="M2530" s="1437">
        <f t="shared" si="367"/>
        <v>0</v>
      </c>
      <c r="N2530" s="1437">
        <f t="shared" si="371"/>
        <v>0</v>
      </c>
    </row>
    <row r="2531" spans="1:14" outlineLevel="1">
      <c r="A2531" s="1491">
        <f t="shared" si="373"/>
        <v>13.3</v>
      </c>
      <c r="B2531" s="1530" t="str">
        <f t="shared" si="373"/>
        <v xml:space="preserve"> Upgradation of coal feeder for I&amp;C Unit8 PTPS Parli V.</v>
      </c>
      <c r="C2531" s="1491" t="str">
        <f t="shared" si="373"/>
        <v>Yet to be approved</v>
      </c>
      <c r="D2531" s="1531" t="str">
        <f t="shared" si="373"/>
        <v>-</v>
      </c>
      <c r="E2531" s="1318">
        <f t="shared" si="373"/>
        <v>0</v>
      </c>
      <c r="F2531" s="1437">
        <f t="shared" si="368"/>
        <v>1.5</v>
      </c>
      <c r="G2531" s="1437">
        <f t="shared" si="369"/>
        <v>1.5</v>
      </c>
      <c r="H2531" s="1437">
        <f t="shared" si="370"/>
        <v>0</v>
      </c>
      <c r="I2531" s="1437">
        <v>0</v>
      </c>
      <c r="J2531" s="1437">
        <v>0</v>
      </c>
      <c r="K2531" s="1438"/>
      <c r="L2531" s="1438"/>
      <c r="M2531" s="1437">
        <f t="shared" si="367"/>
        <v>0</v>
      </c>
      <c r="N2531" s="1437">
        <f t="shared" si="371"/>
        <v>0</v>
      </c>
    </row>
    <row r="2532" spans="1:14" outlineLevel="1">
      <c r="A2532" s="1491">
        <f t="shared" si="373"/>
        <v>13.4</v>
      </c>
      <c r="B2532" s="1530" t="str">
        <f t="shared" si="373"/>
        <v>Procurement of smart control positioner at I&amp;C Unit8 PTPS Parli V.</v>
      </c>
      <c r="C2532" s="1491" t="str">
        <f t="shared" si="373"/>
        <v>Yet to be approved</v>
      </c>
      <c r="D2532" s="1531" t="str">
        <f t="shared" si="373"/>
        <v>-</v>
      </c>
      <c r="E2532" s="1318">
        <f t="shared" si="373"/>
        <v>0</v>
      </c>
      <c r="F2532" s="1437">
        <f t="shared" si="368"/>
        <v>0.95</v>
      </c>
      <c r="G2532" s="1437">
        <f t="shared" si="369"/>
        <v>0.95</v>
      </c>
      <c r="H2532" s="1437">
        <f t="shared" si="370"/>
        <v>0</v>
      </c>
      <c r="I2532" s="1437">
        <v>0</v>
      </c>
      <c r="J2532" s="1437">
        <v>0</v>
      </c>
      <c r="K2532" s="1438"/>
      <c r="L2532" s="1438"/>
      <c r="M2532" s="1437">
        <f t="shared" si="367"/>
        <v>0</v>
      </c>
      <c r="N2532" s="1437">
        <f t="shared" si="371"/>
        <v>0</v>
      </c>
    </row>
    <row r="2533" spans="1:14" outlineLevel="1">
      <c r="A2533" s="1491">
        <f t="shared" si="373"/>
        <v>13.5</v>
      </c>
      <c r="B2533" s="1530" t="str">
        <f t="shared" si="373"/>
        <v>Upgradation Electronic control drive for I&amp;C Unit8 PTPS Parli V.</v>
      </c>
      <c r="C2533" s="1491" t="str">
        <f t="shared" si="373"/>
        <v>Yet to be approved</v>
      </c>
      <c r="D2533" s="1531" t="str">
        <f t="shared" si="373"/>
        <v>-</v>
      </c>
      <c r="E2533" s="1318">
        <f t="shared" si="373"/>
        <v>0</v>
      </c>
      <c r="F2533" s="1437">
        <f t="shared" si="368"/>
        <v>3.05</v>
      </c>
      <c r="G2533" s="1437">
        <f t="shared" si="369"/>
        <v>3.05</v>
      </c>
      <c r="H2533" s="1437">
        <f t="shared" si="370"/>
        <v>0</v>
      </c>
      <c r="I2533" s="1437">
        <v>0</v>
      </c>
      <c r="J2533" s="1437">
        <v>0</v>
      </c>
      <c r="K2533" s="1438"/>
      <c r="L2533" s="1438"/>
      <c r="M2533" s="1437">
        <f t="shared" si="367"/>
        <v>0</v>
      </c>
      <c r="N2533" s="1437">
        <f t="shared" si="371"/>
        <v>0</v>
      </c>
    </row>
    <row r="2534" spans="1:14" ht="29" outlineLevel="1">
      <c r="A2534" s="1491">
        <f t="shared" si="373"/>
        <v>13.6</v>
      </c>
      <c r="B2534" s="1530" t="str">
        <f t="shared" si="373"/>
        <v>Upgradation of turbovisory &amp; vibration monitoring system control panel.</v>
      </c>
      <c r="C2534" s="1491" t="str">
        <f t="shared" si="373"/>
        <v>Yet to be approved</v>
      </c>
      <c r="D2534" s="1531" t="str">
        <f t="shared" si="373"/>
        <v>-</v>
      </c>
      <c r="E2534" s="1318">
        <f t="shared" si="373"/>
        <v>0</v>
      </c>
      <c r="F2534" s="1437">
        <f t="shared" si="368"/>
        <v>2</v>
      </c>
      <c r="G2534" s="1437">
        <f t="shared" si="369"/>
        <v>2</v>
      </c>
      <c r="H2534" s="1437">
        <f t="shared" si="370"/>
        <v>0</v>
      </c>
      <c r="I2534" s="1437">
        <v>0</v>
      </c>
      <c r="J2534" s="1437">
        <v>0</v>
      </c>
      <c r="K2534" s="1438"/>
      <c r="L2534" s="1438"/>
      <c r="M2534" s="1437">
        <f t="shared" si="367"/>
        <v>0</v>
      </c>
      <c r="N2534" s="1437">
        <f t="shared" si="371"/>
        <v>0</v>
      </c>
    </row>
    <row r="2535" spans="1:14" ht="46.5" outlineLevel="1">
      <c r="A2535" s="1533">
        <f t="shared" si="373"/>
        <v>14</v>
      </c>
      <c r="B2535" s="1534" t="str">
        <f t="shared" si="373"/>
        <v>Performance improvement by system up gradation  at CHP &amp; DPR for normalization and stabilization of coal handling plant performance at Parli TPS</v>
      </c>
      <c r="C2535" s="1491" t="str">
        <f t="shared" si="373"/>
        <v>Yet to be approved</v>
      </c>
      <c r="D2535" s="1531" t="str">
        <f t="shared" si="373"/>
        <v>-</v>
      </c>
      <c r="E2535" s="1318">
        <f t="shared" si="373"/>
        <v>0</v>
      </c>
      <c r="F2535" s="1437">
        <f t="shared" si="368"/>
        <v>0</v>
      </c>
      <c r="G2535" s="1437">
        <f t="shared" si="369"/>
        <v>0</v>
      </c>
      <c r="H2535" s="1437">
        <f t="shared" si="370"/>
        <v>0</v>
      </c>
      <c r="I2535" s="1437">
        <v>0</v>
      </c>
      <c r="J2535" s="1437">
        <v>0</v>
      </c>
      <c r="K2535" s="1438"/>
      <c r="L2535" s="1438"/>
      <c r="M2535" s="1437">
        <f t="shared" si="367"/>
        <v>0</v>
      </c>
      <c r="N2535" s="1437">
        <f t="shared" si="371"/>
        <v>0</v>
      </c>
    </row>
    <row r="2536" spans="1:14" ht="43.5" outlineLevel="1">
      <c r="A2536" s="1491">
        <f t="shared" si="373"/>
        <v>14.1</v>
      </c>
      <c r="B2536" s="1530" t="str">
        <f t="shared" si="373"/>
        <v xml:space="preserve">Supply and Commissioning of Energy Efficient Evaporative Cooling System for Control Panel &amp; Breaker room of CHP Unit-8   For  PARLI TPS </v>
      </c>
      <c r="C2536" s="1491" t="str">
        <f t="shared" si="373"/>
        <v>Yet to be approved</v>
      </c>
      <c r="D2536" s="1531" t="str">
        <f t="shared" si="373"/>
        <v>-</v>
      </c>
      <c r="E2536" s="1318">
        <f t="shared" si="373"/>
        <v>0</v>
      </c>
      <c r="F2536" s="1437">
        <f t="shared" si="368"/>
        <v>1.38</v>
      </c>
      <c r="G2536" s="1437">
        <f t="shared" si="369"/>
        <v>1.38</v>
      </c>
      <c r="H2536" s="1437">
        <f t="shared" si="370"/>
        <v>0</v>
      </c>
      <c r="I2536" s="1437">
        <v>0</v>
      </c>
      <c r="J2536" s="1437">
        <v>0</v>
      </c>
      <c r="K2536" s="1438"/>
      <c r="L2536" s="1438"/>
      <c r="M2536" s="1437">
        <f t="shared" si="367"/>
        <v>0</v>
      </c>
      <c r="N2536" s="1437">
        <f t="shared" si="371"/>
        <v>0</v>
      </c>
    </row>
    <row r="2537" spans="1:14" outlineLevel="1">
      <c r="A2537" s="1491">
        <f t="shared" si="373"/>
        <v>14.2</v>
      </c>
      <c r="B2537" s="1530" t="str">
        <f t="shared" si="373"/>
        <v>Supply and commissioning of Suspended Magnets for U-8 CHP NPTPS</v>
      </c>
      <c r="C2537" s="1491" t="str">
        <f t="shared" si="373"/>
        <v>Yet to be approved</v>
      </c>
      <c r="D2537" s="1531" t="str">
        <f t="shared" si="373"/>
        <v>-</v>
      </c>
      <c r="E2537" s="1318">
        <f t="shared" si="373"/>
        <v>0</v>
      </c>
      <c r="F2537" s="1437">
        <f t="shared" si="368"/>
        <v>3.3</v>
      </c>
      <c r="G2537" s="1437">
        <f t="shared" si="369"/>
        <v>3.3</v>
      </c>
      <c r="H2537" s="1437">
        <f t="shared" si="370"/>
        <v>0</v>
      </c>
      <c r="I2537" s="1437">
        <v>0</v>
      </c>
      <c r="J2537" s="1437">
        <v>0</v>
      </c>
      <c r="K2537" s="1438"/>
      <c r="L2537" s="1438"/>
      <c r="M2537" s="1437">
        <f t="shared" si="367"/>
        <v>0</v>
      </c>
      <c r="N2537" s="1437">
        <f t="shared" si="371"/>
        <v>0</v>
      </c>
    </row>
    <row r="2538" spans="1:14" outlineLevel="1">
      <c r="A2538" s="1491">
        <f t="shared" si="373"/>
        <v>14.3</v>
      </c>
      <c r="B2538" s="1530" t="str">
        <f t="shared" si="373"/>
        <v>Stacker-reclaimer Bucket wheel drive modification work of U- 8 CHP</v>
      </c>
      <c r="C2538" s="1491" t="str">
        <f t="shared" si="373"/>
        <v>Yet to be approved</v>
      </c>
      <c r="D2538" s="1531" t="str">
        <f t="shared" si="373"/>
        <v>-</v>
      </c>
      <c r="E2538" s="1318">
        <f t="shared" si="373"/>
        <v>0</v>
      </c>
      <c r="F2538" s="1437">
        <f t="shared" si="368"/>
        <v>3.32</v>
      </c>
      <c r="G2538" s="1437">
        <f t="shared" si="369"/>
        <v>3.32</v>
      </c>
      <c r="H2538" s="1437">
        <f t="shared" si="370"/>
        <v>0</v>
      </c>
      <c r="I2538" s="1437">
        <v>0</v>
      </c>
      <c r="J2538" s="1437">
        <v>0</v>
      </c>
      <c r="K2538" s="1438"/>
      <c r="L2538" s="1438"/>
      <c r="M2538" s="1437">
        <f t="shared" si="367"/>
        <v>0</v>
      </c>
      <c r="N2538" s="1437">
        <f t="shared" si="371"/>
        <v>0</v>
      </c>
    </row>
    <row r="2539" spans="1:14" ht="29" outlineLevel="1">
      <c r="A2539" s="1491">
        <f t="shared" si="373"/>
        <v>14.4</v>
      </c>
      <c r="B2539" s="1530" t="str">
        <f t="shared" si="373"/>
        <v>Apron feeder drive modification from Hydraulic to Electro-Mechanical at CHP U-8  NPTPS</v>
      </c>
      <c r="C2539" s="1491" t="str">
        <f t="shared" si="373"/>
        <v>Yet to be approved</v>
      </c>
      <c r="D2539" s="1531" t="str">
        <f t="shared" si="373"/>
        <v>-</v>
      </c>
      <c r="E2539" s="1318">
        <f t="shared" si="373"/>
        <v>0</v>
      </c>
      <c r="F2539" s="1437">
        <f t="shared" si="368"/>
        <v>4.0199999999999996</v>
      </c>
      <c r="G2539" s="1437">
        <f t="shared" si="369"/>
        <v>4.0199999999999996</v>
      </c>
      <c r="H2539" s="1437">
        <f t="shared" si="370"/>
        <v>0</v>
      </c>
      <c r="I2539" s="1437">
        <v>0</v>
      </c>
      <c r="J2539" s="1437">
        <v>0</v>
      </c>
      <c r="K2539" s="1438"/>
      <c r="L2539" s="1438"/>
      <c r="M2539" s="1437">
        <f t="shared" si="367"/>
        <v>0</v>
      </c>
      <c r="N2539" s="1437">
        <f t="shared" si="371"/>
        <v>0</v>
      </c>
    </row>
    <row r="2540" spans="1:14" outlineLevel="1">
      <c r="A2540" s="1491">
        <f t="shared" si="373"/>
        <v>14.5</v>
      </c>
      <c r="B2540" s="1530" t="str">
        <f t="shared" si="373"/>
        <v>Procurement of U-8 W/T Major spares</v>
      </c>
      <c r="C2540" s="1491" t="str">
        <f t="shared" si="373"/>
        <v>Yet to be approved</v>
      </c>
      <c r="D2540" s="1531" t="str">
        <f t="shared" si="373"/>
        <v>-</v>
      </c>
      <c r="E2540" s="1318">
        <f t="shared" si="373"/>
        <v>0</v>
      </c>
      <c r="F2540" s="1437">
        <f t="shared" si="368"/>
        <v>10</v>
      </c>
      <c r="G2540" s="1437">
        <f t="shared" si="369"/>
        <v>10</v>
      </c>
      <c r="H2540" s="1437">
        <f t="shared" si="370"/>
        <v>0</v>
      </c>
      <c r="I2540" s="1437">
        <v>0</v>
      </c>
      <c r="J2540" s="1437">
        <v>0</v>
      </c>
      <c r="K2540" s="1438"/>
      <c r="L2540" s="1438"/>
      <c r="M2540" s="1437">
        <f t="shared" si="367"/>
        <v>0</v>
      </c>
      <c r="N2540" s="1437">
        <f t="shared" si="371"/>
        <v>0</v>
      </c>
    </row>
    <row r="2541" spans="1:14" outlineLevel="1">
      <c r="A2541" s="1491">
        <f t="shared" si="373"/>
        <v>14.6</v>
      </c>
      <c r="B2541" s="1530" t="str">
        <f t="shared" si="373"/>
        <v>Provision of Soft starter / VFD for Various conveyor</v>
      </c>
      <c r="C2541" s="1491" t="str">
        <f t="shared" si="373"/>
        <v>Yet to be approved</v>
      </c>
      <c r="D2541" s="1531" t="str">
        <f t="shared" si="373"/>
        <v>-</v>
      </c>
      <c r="E2541" s="1318">
        <f t="shared" si="373"/>
        <v>0</v>
      </c>
      <c r="F2541" s="1437">
        <f t="shared" si="368"/>
        <v>8</v>
      </c>
      <c r="G2541" s="1437">
        <f t="shared" si="369"/>
        <v>8</v>
      </c>
      <c r="H2541" s="1437">
        <f t="shared" si="370"/>
        <v>0</v>
      </c>
      <c r="I2541" s="1437">
        <v>0</v>
      </c>
      <c r="J2541" s="1437">
        <v>0</v>
      </c>
      <c r="K2541" s="1438"/>
      <c r="L2541" s="1438"/>
      <c r="M2541" s="1437">
        <f t="shared" si="367"/>
        <v>0</v>
      </c>
      <c r="N2541" s="1437">
        <f t="shared" si="371"/>
        <v>0</v>
      </c>
    </row>
    <row r="2542" spans="1:14" outlineLevel="1">
      <c r="A2542" s="1491">
        <f t="shared" ref="A2542:E2557" si="374">A2149</f>
        <v>14.7</v>
      </c>
      <c r="B2542" s="1530" t="str">
        <f t="shared" si="374"/>
        <v>TP-3 chute modification at U-8 CHP.</v>
      </c>
      <c r="C2542" s="1491" t="str">
        <f t="shared" si="374"/>
        <v>Yet to be approved</v>
      </c>
      <c r="D2542" s="1531" t="str">
        <f t="shared" si="374"/>
        <v>-</v>
      </c>
      <c r="E2542" s="1318">
        <f t="shared" si="374"/>
        <v>0</v>
      </c>
      <c r="F2542" s="1437">
        <f t="shared" si="368"/>
        <v>3</v>
      </c>
      <c r="G2542" s="1437">
        <f t="shared" si="369"/>
        <v>3</v>
      </c>
      <c r="H2542" s="1437">
        <f t="shared" si="370"/>
        <v>0</v>
      </c>
      <c r="I2542" s="1437">
        <v>0</v>
      </c>
      <c r="J2542" s="1437">
        <v>0</v>
      </c>
      <c r="K2542" s="1438"/>
      <c r="L2542" s="1438"/>
      <c r="M2542" s="1437">
        <f t="shared" si="367"/>
        <v>0</v>
      </c>
      <c r="N2542" s="1437">
        <f t="shared" si="371"/>
        <v>0</v>
      </c>
    </row>
    <row r="2543" spans="1:14" ht="29" outlineLevel="1">
      <c r="A2543" s="1491">
        <f t="shared" si="374"/>
        <v>14.8</v>
      </c>
      <c r="B2543" s="1530" t="str">
        <f t="shared" si="374"/>
        <v>Design, supply and commissioning of solar operated lighting system in CHP  U-8.</v>
      </c>
      <c r="C2543" s="1491" t="str">
        <f t="shared" si="374"/>
        <v>Yet to be approved</v>
      </c>
      <c r="D2543" s="1531" t="str">
        <f t="shared" si="374"/>
        <v>-</v>
      </c>
      <c r="E2543" s="1318">
        <f t="shared" si="374"/>
        <v>0</v>
      </c>
      <c r="F2543" s="1437">
        <f t="shared" si="368"/>
        <v>15</v>
      </c>
      <c r="G2543" s="1437">
        <f t="shared" si="369"/>
        <v>15</v>
      </c>
      <c r="H2543" s="1437">
        <f t="shared" si="370"/>
        <v>0</v>
      </c>
      <c r="I2543" s="1437">
        <v>0</v>
      </c>
      <c r="J2543" s="1437">
        <v>0</v>
      </c>
      <c r="K2543" s="1438"/>
      <c r="L2543" s="1438"/>
      <c r="M2543" s="1437">
        <f t="shared" si="367"/>
        <v>0</v>
      </c>
      <c r="N2543" s="1437">
        <f t="shared" si="371"/>
        <v>0</v>
      </c>
    </row>
    <row r="2544" spans="1:14" outlineLevel="1">
      <c r="A2544" s="1491">
        <f t="shared" si="374"/>
        <v>14.9</v>
      </c>
      <c r="B2544" s="1530" t="str">
        <f t="shared" si="374"/>
        <v xml:space="preserve"> Installation of CCTV survillance system alongwith all conveyors.</v>
      </c>
      <c r="C2544" s="1491" t="str">
        <f t="shared" si="374"/>
        <v>Yet to be approved</v>
      </c>
      <c r="D2544" s="1531" t="str">
        <f t="shared" si="374"/>
        <v>-</v>
      </c>
      <c r="E2544" s="1318">
        <f t="shared" si="374"/>
        <v>0</v>
      </c>
      <c r="F2544" s="1437">
        <f t="shared" si="368"/>
        <v>4</v>
      </c>
      <c r="G2544" s="1437">
        <f t="shared" si="369"/>
        <v>4</v>
      </c>
      <c r="H2544" s="1437">
        <f t="shared" si="370"/>
        <v>0</v>
      </c>
      <c r="I2544" s="1437">
        <v>0</v>
      </c>
      <c r="J2544" s="1437">
        <v>0</v>
      </c>
      <c r="K2544" s="1438"/>
      <c r="L2544" s="1438"/>
      <c r="M2544" s="1437">
        <f t="shared" si="367"/>
        <v>0</v>
      </c>
      <c r="N2544" s="1437">
        <f t="shared" si="371"/>
        <v>0</v>
      </c>
    </row>
    <row r="2545" spans="1:14" ht="31" outlineLevel="1">
      <c r="A2545" s="1533">
        <f t="shared" si="374"/>
        <v>15</v>
      </c>
      <c r="B2545" s="1534" t="str">
        <f t="shared" si="374"/>
        <v>DPR for maximiation of Coal Handling Plant efficiency &amp; DPR on life enhancement of Coal Handling Plant</v>
      </c>
      <c r="C2545" s="1491" t="str">
        <f t="shared" si="374"/>
        <v>Yet to be approved</v>
      </c>
      <c r="D2545" s="1531" t="str">
        <f t="shared" si="374"/>
        <v>-</v>
      </c>
      <c r="E2545" s="1318">
        <f t="shared" si="374"/>
        <v>0</v>
      </c>
      <c r="F2545" s="1437">
        <f t="shared" si="368"/>
        <v>0</v>
      </c>
      <c r="G2545" s="1437">
        <f t="shared" si="369"/>
        <v>0</v>
      </c>
      <c r="H2545" s="1437">
        <f t="shared" si="370"/>
        <v>0</v>
      </c>
      <c r="I2545" s="1437">
        <v>0</v>
      </c>
      <c r="J2545" s="1437">
        <v>0</v>
      </c>
      <c r="K2545" s="1438"/>
      <c r="L2545" s="1438"/>
      <c r="M2545" s="1437">
        <f t="shared" si="367"/>
        <v>0</v>
      </c>
      <c r="N2545" s="1437">
        <f t="shared" si="371"/>
        <v>0</v>
      </c>
    </row>
    <row r="2546" spans="1:14" outlineLevel="1">
      <c r="A2546" s="1491">
        <f t="shared" si="374"/>
        <v>15.1</v>
      </c>
      <c r="B2546" s="1530" t="str">
        <f t="shared" si="374"/>
        <v>W/T control room &amp; bunker house battery &amp; UPS upgradation</v>
      </c>
      <c r="C2546" s="1491" t="str">
        <f t="shared" si="374"/>
        <v>Yet to be approved</v>
      </c>
      <c r="D2546" s="1531" t="str">
        <f t="shared" si="374"/>
        <v>-</v>
      </c>
      <c r="E2546" s="1318">
        <f t="shared" si="374"/>
        <v>0</v>
      </c>
      <c r="F2546" s="1437">
        <f t="shared" si="368"/>
        <v>3</v>
      </c>
      <c r="G2546" s="1437">
        <f t="shared" si="369"/>
        <v>3</v>
      </c>
      <c r="H2546" s="1437">
        <f t="shared" si="370"/>
        <v>0</v>
      </c>
      <c r="I2546" s="1437">
        <v>0</v>
      </c>
      <c r="J2546" s="1437">
        <v>0</v>
      </c>
      <c r="K2546" s="1438"/>
      <c r="L2546" s="1438"/>
      <c r="M2546" s="1437">
        <f t="shared" si="367"/>
        <v>0</v>
      </c>
      <c r="N2546" s="1437">
        <f t="shared" si="371"/>
        <v>0</v>
      </c>
    </row>
    <row r="2547" spans="1:14" ht="29" outlineLevel="1">
      <c r="A2547" s="1491">
        <f t="shared" si="374"/>
        <v>15.2</v>
      </c>
      <c r="B2547" s="1530" t="str">
        <f t="shared" si="374"/>
        <v>Refurbishment of  conveyor no. 2 A/B &amp; 6 A/B drive system of CHP U-8 TPS Parli.</v>
      </c>
      <c r="C2547" s="1491" t="str">
        <f t="shared" si="374"/>
        <v>Yet to be approved</v>
      </c>
      <c r="D2547" s="1531" t="str">
        <f t="shared" si="374"/>
        <v>-</v>
      </c>
      <c r="E2547" s="1318">
        <f t="shared" si="374"/>
        <v>0</v>
      </c>
      <c r="F2547" s="1437">
        <f t="shared" si="368"/>
        <v>8</v>
      </c>
      <c r="G2547" s="1437">
        <f t="shared" si="369"/>
        <v>8</v>
      </c>
      <c r="H2547" s="1437">
        <f t="shared" si="370"/>
        <v>0</v>
      </c>
      <c r="I2547" s="1437">
        <v>0</v>
      </c>
      <c r="J2547" s="1437">
        <v>0</v>
      </c>
      <c r="K2547" s="1438"/>
      <c r="L2547" s="1438"/>
      <c r="M2547" s="1437">
        <f t="shared" si="367"/>
        <v>0</v>
      </c>
      <c r="N2547" s="1437">
        <f t="shared" si="371"/>
        <v>0</v>
      </c>
    </row>
    <row r="2548" spans="1:14" outlineLevel="1">
      <c r="A2548" s="1491">
        <f t="shared" si="374"/>
        <v>15.3</v>
      </c>
      <c r="B2548" s="1530" t="str">
        <f t="shared" si="374"/>
        <v>Provision of Soft starter / VFD for Various conveyor</v>
      </c>
      <c r="C2548" s="1491" t="str">
        <f t="shared" si="374"/>
        <v>Yet to be approved</v>
      </c>
      <c r="D2548" s="1531" t="str">
        <f t="shared" si="374"/>
        <v>-</v>
      </c>
      <c r="E2548" s="1318">
        <f t="shared" si="374"/>
        <v>0</v>
      </c>
      <c r="F2548" s="1437">
        <f t="shared" si="368"/>
        <v>8</v>
      </c>
      <c r="G2548" s="1437">
        <f t="shared" si="369"/>
        <v>8</v>
      </c>
      <c r="H2548" s="1437">
        <f t="shared" si="370"/>
        <v>0</v>
      </c>
      <c r="I2548" s="1437">
        <v>0</v>
      </c>
      <c r="J2548" s="1437">
        <v>0</v>
      </c>
      <c r="K2548" s="1438"/>
      <c r="L2548" s="1438"/>
      <c r="M2548" s="1437">
        <f t="shared" si="367"/>
        <v>0</v>
      </c>
      <c r="N2548" s="1437">
        <f t="shared" si="371"/>
        <v>0</v>
      </c>
    </row>
    <row r="2549" spans="1:14" outlineLevel="1">
      <c r="A2549" s="1491">
        <f t="shared" si="374"/>
        <v>15.4</v>
      </c>
      <c r="B2549" s="1530" t="str">
        <f t="shared" si="374"/>
        <v>Procurement &amp; installation of Belt tear detection system</v>
      </c>
      <c r="C2549" s="1491" t="str">
        <f t="shared" si="374"/>
        <v>Yet to be approved</v>
      </c>
      <c r="D2549" s="1531" t="str">
        <f t="shared" si="374"/>
        <v>-</v>
      </c>
      <c r="E2549" s="1318">
        <f t="shared" si="374"/>
        <v>0</v>
      </c>
      <c r="F2549" s="1437">
        <f t="shared" si="368"/>
        <v>0</v>
      </c>
      <c r="G2549" s="1437">
        <f t="shared" si="369"/>
        <v>0</v>
      </c>
      <c r="H2549" s="1437">
        <f t="shared" si="370"/>
        <v>0</v>
      </c>
      <c r="I2549" s="1437">
        <v>4.5</v>
      </c>
      <c r="J2549" s="1437">
        <v>4.5</v>
      </c>
      <c r="K2549" s="1438"/>
      <c r="L2549" s="1438"/>
      <c r="M2549" s="1437">
        <f t="shared" si="367"/>
        <v>4.5</v>
      </c>
      <c r="N2549" s="1437">
        <f t="shared" si="371"/>
        <v>0</v>
      </c>
    </row>
    <row r="2550" spans="1:14" outlineLevel="1">
      <c r="A2550" s="1491">
        <f t="shared" si="374"/>
        <v>15.5</v>
      </c>
      <c r="B2550" s="1530" t="str">
        <f t="shared" si="374"/>
        <v>Conveyor gravity takeup infrastructure strengthening work</v>
      </c>
      <c r="C2550" s="1491" t="str">
        <f t="shared" si="374"/>
        <v>Yet to be approved</v>
      </c>
      <c r="D2550" s="1531" t="str">
        <f t="shared" si="374"/>
        <v>-</v>
      </c>
      <c r="E2550" s="1318">
        <f t="shared" si="374"/>
        <v>0</v>
      </c>
      <c r="F2550" s="1437">
        <f t="shared" si="368"/>
        <v>0</v>
      </c>
      <c r="G2550" s="1437">
        <f t="shared" si="369"/>
        <v>0</v>
      </c>
      <c r="H2550" s="1437">
        <f t="shared" si="370"/>
        <v>0</v>
      </c>
      <c r="I2550" s="1437">
        <v>3</v>
      </c>
      <c r="J2550" s="1437">
        <v>3</v>
      </c>
      <c r="K2550" s="1438"/>
      <c r="L2550" s="1438"/>
      <c r="M2550" s="1437">
        <f t="shared" si="367"/>
        <v>3</v>
      </c>
      <c r="N2550" s="1437">
        <f t="shared" si="371"/>
        <v>0</v>
      </c>
    </row>
    <row r="2551" spans="1:14" outlineLevel="1">
      <c r="A2551" s="1491">
        <f t="shared" si="374"/>
        <v>15.6</v>
      </c>
      <c r="B2551" s="1530" t="str">
        <f t="shared" si="374"/>
        <v>U-8 CHP apron feeder-I to Conveyor 1 A/B chute modification work .</v>
      </c>
      <c r="C2551" s="1491" t="str">
        <f t="shared" si="374"/>
        <v>Yet to be approved</v>
      </c>
      <c r="D2551" s="1531" t="str">
        <f t="shared" si="374"/>
        <v>-</v>
      </c>
      <c r="E2551" s="1318">
        <f t="shared" si="374"/>
        <v>0</v>
      </c>
      <c r="F2551" s="1437">
        <f t="shared" si="368"/>
        <v>0</v>
      </c>
      <c r="G2551" s="1437">
        <f t="shared" si="369"/>
        <v>0</v>
      </c>
      <c r="H2551" s="1437">
        <f t="shared" si="370"/>
        <v>0</v>
      </c>
      <c r="I2551" s="1437">
        <v>4</v>
      </c>
      <c r="J2551" s="1437">
        <v>4</v>
      </c>
      <c r="K2551" s="1438"/>
      <c r="L2551" s="1438"/>
      <c r="M2551" s="1437">
        <f t="shared" si="367"/>
        <v>4</v>
      </c>
      <c r="N2551" s="1437">
        <f t="shared" si="371"/>
        <v>0</v>
      </c>
    </row>
    <row r="2552" spans="1:14" ht="15.5" outlineLevel="1">
      <c r="A2552" s="1533">
        <f t="shared" si="374"/>
        <v>16</v>
      </c>
      <c r="B2552" s="1534" t="str">
        <f t="shared" si="374"/>
        <v>DPR for stabiliazation of Coal Handling Performance.</v>
      </c>
      <c r="C2552" s="1491" t="str">
        <f t="shared" si="374"/>
        <v>Yet to be approved</v>
      </c>
      <c r="D2552" s="1531" t="str">
        <f t="shared" si="374"/>
        <v>-</v>
      </c>
      <c r="E2552" s="1318">
        <f t="shared" si="374"/>
        <v>0</v>
      </c>
      <c r="F2552" s="1437">
        <f t="shared" si="368"/>
        <v>0</v>
      </c>
      <c r="G2552" s="1437">
        <f t="shared" si="369"/>
        <v>0</v>
      </c>
      <c r="H2552" s="1437">
        <f t="shared" si="370"/>
        <v>0</v>
      </c>
      <c r="I2552" s="1437">
        <v>0</v>
      </c>
      <c r="J2552" s="1437">
        <v>0</v>
      </c>
      <c r="K2552" s="1438"/>
      <c r="L2552" s="1438"/>
      <c r="M2552" s="1437">
        <f t="shared" si="367"/>
        <v>0</v>
      </c>
      <c r="N2552" s="1437">
        <f t="shared" si="371"/>
        <v>0</v>
      </c>
    </row>
    <row r="2553" spans="1:14" outlineLevel="1">
      <c r="A2553" s="1491">
        <f t="shared" si="374"/>
        <v>16.100000000000001</v>
      </c>
      <c r="B2553" s="1530" t="str">
        <f t="shared" si="374"/>
        <v xml:space="preserve">Drive modification of Stacker Reclaimer slewing system. </v>
      </c>
      <c r="C2553" s="1491" t="str">
        <f t="shared" si="374"/>
        <v>Yet to be approved</v>
      </c>
      <c r="D2553" s="1531" t="str">
        <f t="shared" si="374"/>
        <v>-</v>
      </c>
      <c r="E2553" s="1318">
        <f t="shared" si="374"/>
        <v>0</v>
      </c>
      <c r="F2553" s="1437">
        <f t="shared" si="368"/>
        <v>0</v>
      </c>
      <c r="G2553" s="1437">
        <f t="shared" si="369"/>
        <v>0</v>
      </c>
      <c r="H2553" s="1437">
        <f t="shared" si="370"/>
        <v>0</v>
      </c>
      <c r="I2553" s="1437">
        <v>0</v>
      </c>
      <c r="J2553" s="1437">
        <v>0</v>
      </c>
      <c r="K2553" s="1438"/>
      <c r="L2553" s="1438"/>
      <c r="M2553" s="1437">
        <f t="shared" si="367"/>
        <v>0</v>
      </c>
      <c r="N2553" s="1437">
        <f t="shared" si="371"/>
        <v>0</v>
      </c>
    </row>
    <row r="2554" spans="1:14" outlineLevel="1">
      <c r="A2554" s="1491">
        <f t="shared" si="374"/>
        <v>16.2</v>
      </c>
      <c r="B2554" s="1530" t="str">
        <f t="shared" si="374"/>
        <v>Retrofitting of Side Arm Charger-I &amp; II at CHP U-8</v>
      </c>
      <c r="C2554" s="1491" t="str">
        <f t="shared" si="374"/>
        <v>Yet to be approved</v>
      </c>
      <c r="D2554" s="1531" t="str">
        <f t="shared" si="374"/>
        <v>-</v>
      </c>
      <c r="E2554" s="1318">
        <f t="shared" si="374"/>
        <v>0</v>
      </c>
      <c r="F2554" s="1437">
        <f t="shared" si="368"/>
        <v>0</v>
      </c>
      <c r="G2554" s="1437">
        <f t="shared" si="369"/>
        <v>0</v>
      </c>
      <c r="H2554" s="1437">
        <f t="shared" si="370"/>
        <v>0</v>
      </c>
      <c r="I2554" s="1437">
        <v>0</v>
      </c>
      <c r="J2554" s="1437">
        <v>0</v>
      </c>
      <c r="K2554" s="1438"/>
      <c r="L2554" s="1438"/>
      <c r="M2554" s="1437">
        <f t="shared" si="367"/>
        <v>0</v>
      </c>
      <c r="N2554" s="1437">
        <f t="shared" si="371"/>
        <v>0</v>
      </c>
    </row>
    <row r="2555" spans="1:14" outlineLevel="1">
      <c r="A2555" s="1491">
        <f t="shared" si="374"/>
        <v>16.3</v>
      </c>
      <c r="B2555" s="1530" t="str">
        <f t="shared" si="374"/>
        <v>Upgradation of GE/Schineder make PLC system atU-8 CHP.</v>
      </c>
      <c r="C2555" s="1491" t="str">
        <f t="shared" si="374"/>
        <v>Yet to be approved</v>
      </c>
      <c r="D2555" s="1531" t="str">
        <f t="shared" si="374"/>
        <v>-</v>
      </c>
      <c r="E2555" s="1318">
        <f t="shared" si="374"/>
        <v>0</v>
      </c>
      <c r="F2555" s="1437">
        <f t="shared" si="368"/>
        <v>0</v>
      </c>
      <c r="G2555" s="1437">
        <f t="shared" si="369"/>
        <v>0</v>
      </c>
      <c r="H2555" s="1437">
        <f t="shared" si="370"/>
        <v>0</v>
      </c>
      <c r="I2555" s="1437">
        <v>0</v>
      </c>
      <c r="J2555" s="1437">
        <v>0</v>
      </c>
      <c r="K2555" s="1438"/>
      <c r="L2555" s="1438"/>
      <c r="M2555" s="1437">
        <f t="shared" si="367"/>
        <v>0</v>
      </c>
      <c r="N2555" s="1437">
        <f t="shared" si="371"/>
        <v>0</v>
      </c>
    </row>
    <row r="2556" spans="1:14" outlineLevel="1">
      <c r="A2556" s="1491">
        <f t="shared" si="374"/>
        <v>16.399999999999999</v>
      </c>
      <c r="B2556" s="1530" t="str">
        <f t="shared" si="374"/>
        <v>Refurbishment of Apron Feeder at CHP U-8.</v>
      </c>
      <c r="C2556" s="1491" t="str">
        <f t="shared" si="374"/>
        <v>Yet to be approved</v>
      </c>
      <c r="D2556" s="1531" t="str">
        <f t="shared" si="374"/>
        <v>-</v>
      </c>
      <c r="E2556" s="1318">
        <f t="shared" si="374"/>
        <v>0</v>
      </c>
      <c r="F2556" s="1437">
        <f t="shared" si="368"/>
        <v>0</v>
      </c>
      <c r="G2556" s="1437">
        <f t="shared" si="369"/>
        <v>0</v>
      </c>
      <c r="H2556" s="1437">
        <f t="shared" si="370"/>
        <v>0</v>
      </c>
      <c r="I2556" s="1437">
        <v>0</v>
      </c>
      <c r="J2556" s="1437">
        <v>0</v>
      </c>
      <c r="K2556" s="1438"/>
      <c r="L2556" s="1438"/>
      <c r="M2556" s="1437">
        <f t="shared" si="367"/>
        <v>0</v>
      </c>
      <c r="N2556" s="1437">
        <f t="shared" si="371"/>
        <v>0</v>
      </c>
    </row>
    <row r="2557" spans="1:14" ht="29" outlineLevel="1">
      <c r="A2557" s="1491">
        <f t="shared" si="374"/>
        <v>16.5</v>
      </c>
      <c r="B2557" s="1530" t="str">
        <f t="shared" si="374"/>
        <v>Provision of moveable stacker and crusher in CHP coal stack yard at CHP U-8.</v>
      </c>
      <c r="C2557" s="1491" t="str">
        <f t="shared" si="374"/>
        <v>Yet to be approved</v>
      </c>
      <c r="D2557" s="1531" t="str">
        <f t="shared" si="374"/>
        <v>-</v>
      </c>
      <c r="E2557" s="1318">
        <f t="shared" si="374"/>
        <v>0</v>
      </c>
      <c r="F2557" s="1437">
        <f t="shared" si="368"/>
        <v>0</v>
      </c>
      <c r="G2557" s="1437">
        <f t="shared" si="369"/>
        <v>0</v>
      </c>
      <c r="H2557" s="1437">
        <f t="shared" si="370"/>
        <v>0</v>
      </c>
      <c r="I2557" s="1437">
        <v>0</v>
      </c>
      <c r="J2557" s="1437">
        <v>0</v>
      </c>
      <c r="K2557" s="1438"/>
      <c r="L2557" s="1438"/>
      <c r="M2557" s="1437">
        <f t="shared" si="367"/>
        <v>0</v>
      </c>
      <c r="N2557" s="1437">
        <f t="shared" si="371"/>
        <v>0</v>
      </c>
    </row>
    <row r="2558" spans="1:14" outlineLevel="1">
      <c r="A2558" s="1491">
        <f t="shared" ref="A2558:E2573" si="375">A2165</f>
        <v>16.600000000000001</v>
      </c>
      <c r="B2558" s="1530" t="str">
        <f t="shared" si="375"/>
        <v>Procurement of Loco &amp; Bulldozer at CHP U-8.</v>
      </c>
      <c r="C2558" s="1491" t="str">
        <f t="shared" si="375"/>
        <v>Yet to be approved</v>
      </c>
      <c r="D2558" s="1531" t="str">
        <f t="shared" si="375"/>
        <v>-</v>
      </c>
      <c r="E2558" s="1318">
        <f t="shared" si="375"/>
        <v>0</v>
      </c>
      <c r="F2558" s="1437">
        <f t="shared" si="368"/>
        <v>0</v>
      </c>
      <c r="G2558" s="1437">
        <f t="shared" si="369"/>
        <v>0</v>
      </c>
      <c r="H2558" s="1437">
        <f t="shared" si="370"/>
        <v>0</v>
      </c>
      <c r="I2558" s="1437">
        <v>0</v>
      </c>
      <c r="J2558" s="1437">
        <v>0</v>
      </c>
      <c r="K2558" s="1438"/>
      <c r="L2558" s="1438"/>
      <c r="M2558" s="1437">
        <f t="shared" si="367"/>
        <v>0</v>
      </c>
      <c r="N2558" s="1437">
        <f t="shared" si="371"/>
        <v>0</v>
      </c>
    </row>
    <row r="2559" spans="1:14" ht="31" outlineLevel="1">
      <c r="A2559" s="1533">
        <f t="shared" si="375"/>
        <v>17</v>
      </c>
      <c r="B2559" s="1534" t="str">
        <f t="shared" si="375"/>
        <v>DPR on dry fly ash utilisation improvement scheme for AHP U-8 NPTPS Parli-V.</v>
      </c>
      <c r="C2559" s="1491" t="str">
        <f t="shared" si="375"/>
        <v>Yet to be approved</v>
      </c>
      <c r="D2559" s="1531" t="str">
        <f t="shared" si="375"/>
        <v>-</v>
      </c>
      <c r="E2559" s="1318">
        <f t="shared" si="375"/>
        <v>0</v>
      </c>
      <c r="F2559" s="1437">
        <f t="shared" si="368"/>
        <v>0</v>
      </c>
      <c r="G2559" s="1437">
        <f t="shared" si="369"/>
        <v>0</v>
      </c>
      <c r="H2559" s="1437">
        <f t="shared" si="370"/>
        <v>0</v>
      </c>
      <c r="I2559" s="1437">
        <v>0</v>
      </c>
      <c r="J2559" s="1437">
        <v>0</v>
      </c>
      <c r="K2559" s="1438"/>
      <c r="L2559" s="1438"/>
      <c r="M2559" s="1437">
        <f t="shared" si="367"/>
        <v>0</v>
      </c>
      <c r="N2559" s="1437">
        <f t="shared" si="371"/>
        <v>0</v>
      </c>
    </row>
    <row r="2560" spans="1:14" ht="29" outlineLevel="1">
      <c r="A2560" s="1491">
        <f t="shared" si="375"/>
        <v>17.100000000000001</v>
      </c>
      <c r="B2560" s="1530" t="str">
        <f t="shared" si="375"/>
        <v>Design, supply, erection, installation &amp; comissioning of intermediate silo with sub system at AHP U-8.</v>
      </c>
      <c r="C2560" s="1491" t="str">
        <f t="shared" si="375"/>
        <v>Yet to be approved</v>
      </c>
      <c r="D2560" s="1531" t="str">
        <f t="shared" si="375"/>
        <v>-</v>
      </c>
      <c r="E2560" s="1318">
        <f t="shared" si="375"/>
        <v>0</v>
      </c>
      <c r="F2560" s="1437">
        <f t="shared" si="368"/>
        <v>38</v>
      </c>
      <c r="G2560" s="1437">
        <f t="shared" si="369"/>
        <v>38</v>
      </c>
      <c r="H2560" s="1437">
        <f t="shared" si="370"/>
        <v>0</v>
      </c>
      <c r="I2560" s="1437">
        <v>0</v>
      </c>
      <c r="J2560" s="1437">
        <v>0</v>
      </c>
      <c r="K2560" s="1438"/>
      <c r="L2560" s="1438"/>
      <c r="M2560" s="1437">
        <f t="shared" ref="M2560:M2623" si="376">SUM(J2560:L2560)</f>
        <v>0</v>
      </c>
      <c r="N2560" s="1437">
        <f t="shared" si="371"/>
        <v>0</v>
      </c>
    </row>
    <row r="2561" spans="1:14" ht="31" outlineLevel="1">
      <c r="A2561" s="1533">
        <f t="shared" si="375"/>
        <v>18</v>
      </c>
      <c r="B2561" s="1534" t="str">
        <f t="shared" si="375"/>
        <v>DPR on ash handling plant improvement scheme for AHP U-8 NPTPS Parli-V.</v>
      </c>
      <c r="C2561" s="1491" t="str">
        <f t="shared" si="375"/>
        <v>Yet to be approved</v>
      </c>
      <c r="D2561" s="1531" t="str">
        <f t="shared" si="375"/>
        <v>-</v>
      </c>
      <c r="E2561" s="1318">
        <f t="shared" si="375"/>
        <v>0</v>
      </c>
      <c r="F2561" s="1437">
        <f t="shared" ref="F2561:F2624" si="377">F2168+I2168</f>
        <v>0</v>
      </c>
      <c r="G2561" s="1437">
        <f t="shared" ref="G2561:G2624" si="378">G2168+M2168</f>
        <v>0</v>
      </c>
      <c r="H2561" s="1437">
        <f t="shared" si="370"/>
        <v>0</v>
      </c>
      <c r="I2561" s="1437">
        <v>0</v>
      </c>
      <c r="J2561" s="1437">
        <v>0</v>
      </c>
      <c r="K2561" s="1438"/>
      <c r="L2561" s="1438"/>
      <c r="M2561" s="1437">
        <f t="shared" si="376"/>
        <v>0</v>
      </c>
      <c r="N2561" s="1437">
        <f t="shared" si="371"/>
        <v>0</v>
      </c>
    </row>
    <row r="2562" spans="1:14" ht="29" outlineLevel="1">
      <c r="A2562" s="1491">
        <f t="shared" si="375"/>
        <v>18.100000000000001</v>
      </c>
      <c r="B2562" s="1530" t="str">
        <f t="shared" si="375"/>
        <v xml:space="preserve"> Design, supply, erection &amp; comissioning of weigh bridge for silo at AHP U-8.</v>
      </c>
      <c r="C2562" s="1491" t="str">
        <f t="shared" si="375"/>
        <v>Yet to be approved</v>
      </c>
      <c r="D2562" s="1531" t="str">
        <f t="shared" si="375"/>
        <v>-</v>
      </c>
      <c r="E2562" s="1318">
        <f t="shared" si="375"/>
        <v>0</v>
      </c>
      <c r="F2562" s="1437">
        <f t="shared" si="377"/>
        <v>0.5</v>
      </c>
      <c r="G2562" s="1437">
        <f t="shared" si="378"/>
        <v>0.5</v>
      </c>
      <c r="H2562" s="1437">
        <f t="shared" ref="H2562:H2625" si="379">F2562-G2562</f>
        <v>0</v>
      </c>
      <c r="I2562" s="1437">
        <v>0</v>
      </c>
      <c r="J2562" s="1437">
        <v>0</v>
      </c>
      <c r="K2562" s="1438"/>
      <c r="L2562" s="1438"/>
      <c r="M2562" s="1437">
        <f t="shared" si="376"/>
        <v>0</v>
      </c>
      <c r="N2562" s="1437">
        <f t="shared" ref="N2562:N2625" si="380">H2562+I2562-M2562</f>
        <v>0</v>
      </c>
    </row>
    <row r="2563" spans="1:14" ht="29" outlineLevel="1">
      <c r="A2563" s="1491">
        <f t="shared" si="375"/>
        <v>18.2</v>
      </c>
      <c r="B2563" s="1530" t="str">
        <f t="shared" si="375"/>
        <v>Supply, installation &amp; comissioning of energy efficient air compressor at AHP U-8.</v>
      </c>
      <c r="C2563" s="1491" t="str">
        <f t="shared" si="375"/>
        <v>Yet to be approved</v>
      </c>
      <c r="D2563" s="1531" t="str">
        <f t="shared" si="375"/>
        <v>-</v>
      </c>
      <c r="E2563" s="1318">
        <f t="shared" si="375"/>
        <v>0</v>
      </c>
      <c r="F2563" s="1437">
        <f t="shared" si="377"/>
        <v>6</v>
      </c>
      <c r="G2563" s="1437">
        <f t="shared" si="378"/>
        <v>6</v>
      </c>
      <c r="H2563" s="1437">
        <f t="shared" si="379"/>
        <v>0</v>
      </c>
      <c r="I2563" s="1437">
        <v>0</v>
      </c>
      <c r="J2563" s="1437">
        <v>0</v>
      </c>
      <c r="K2563" s="1438"/>
      <c r="L2563" s="1438"/>
      <c r="M2563" s="1437">
        <f t="shared" si="376"/>
        <v>0</v>
      </c>
      <c r="N2563" s="1437">
        <f t="shared" si="380"/>
        <v>0</v>
      </c>
    </row>
    <row r="2564" spans="1:14" ht="58" outlineLevel="1">
      <c r="A2564" s="1491">
        <f t="shared" si="375"/>
        <v>18.3</v>
      </c>
      <c r="B2564" s="1530" t="str">
        <f t="shared" si="375"/>
        <v xml:space="preserve"> PROCUREMENT OF COMPLETE ASSEMBLY OF SAM MAKE AR-150/510 PUMPS (2 NOS) FOR REPLACEMENT OF ASH SLURRY PUMPS OF BOTTOM ASH SLURRY DISPOSAL FROM SLURRY TANK TO ASH BUND IN SLURRY PUMP HOUSE. </v>
      </c>
      <c r="C2564" s="1491" t="str">
        <f t="shared" si="375"/>
        <v>Yet to be approved</v>
      </c>
      <c r="D2564" s="1531" t="str">
        <f t="shared" si="375"/>
        <v>-</v>
      </c>
      <c r="E2564" s="1318">
        <f t="shared" si="375"/>
        <v>0</v>
      </c>
      <c r="F2564" s="1437">
        <f t="shared" si="377"/>
        <v>0.5</v>
      </c>
      <c r="G2564" s="1437">
        <f t="shared" si="378"/>
        <v>0.5</v>
      </c>
      <c r="H2564" s="1437">
        <f t="shared" si="379"/>
        <v>0</v>
      </c>
      <c r="I2564" s="1437">
        <v>0</v>
      </c>
      <c r="J2564" s="1437">
        <v>0</v>
      </c>
      <c r="K2564" s="1438"/>
      <c r="L2564" s="1438"/>
      <c r="M2564" s="1437">
        <f t="shared" si="376"/>
        <v>0</v>
      </c>
      <c r="N2564" s="1437">
        <f t="shared" si="380"/>
        <v>0</v>
      </c>
    </row>
    <row r="2565" spans="1:14" ht="58" outlineLevel="1">
      <c r="A2565" s="1491">
        <f t="shared" si="375"/>
        <v>18.399999999999999</v>
      </c>
      <c r="B2565" s="1530" t="str">
        <f t="shared" si="375"/>
        <v>PROCUREMENT OF COMPLETE ASSEMBLY OF SAM MAKE ZM-II 530/02 (2 NOS) FOR REPLACEMENT OF HP PUMPS OF BOTTOM ASH &amp; COARSE ASH EVACUATION FROM BA/CA HOPPERS TO SLURRY TANK IN ASH WATER PUMP HOUSE. 0.75 0.89</v>
      </c>
      <c r="C2565" s="1491" t="str">
        <f t="shared" si="375"/>
        <v>Yet to be approved</v>
      </c>
      <c r="D2565" s="1531" t="str">
        <f t="shared" si="375"/>
        <v>-</v>
      </c>
      <c r="E2565" s="1318">
        <f t="shared" si="375"/>
        <v>0</v>
      </c>
      <c r="F2565" s="1437">
        <f t="shared" si="377"/>
        <v>0.4</v>
      </c>
      <c r="G2565" s="1437">
        <f t="shared" si="378"/>
        <v>0.4</v>
      </c>
      <c r="H2565" s="1437">
        <f t="shared" si="379"/>
        <v>0</v>
      </c>
      <c r="I2565" s="1437">
        <v>0</v>
      </c>
      <c r="J2565" s="1437">
        <v>0</v>
      </c>
      <c r="K2565" s="1438"/>
      <c r="L2565" s="1438"/>
      <c r="M2565" s="1437">
        <f t="shared" si="376"/>
        <v>0</v>
      </c>
      <c r="N2565" s="1437">
        <f t="shared" si="380"/>
        <v>0</v>
      </c>
    </row>
    <row r="2566" spans="1:14" ht="29" outlineLevel="1">
      <c r="A2566" s="1491">
        <f t="shared" si="375"/>
        <v>18.5</v>
      </c>
      <c r="B2566" s="1530" t="str">
        <f t="shared" si="375"/>
        <v>Procurement of vacuum pumps complete assembly for AHP U-8 NPTPS Parli-V.</v>
      </c>
      <c r="C2566" s="1491" t="str">
        <f t="shared" si="375"/>
        <v>Yet to be approved</v>
      </c>
      <c r="D2566" s="1531" t="str">
        <f t="shared" si="375"/>
        <v>-</v>
      </c>
      <c r="E2566" s="1318">
        <f t="shared" si="375"/>
        <v>0</v>
      </c>
      <c r="F2566" s="1437">
        <f t="shared" si="377"/>
        <v>1.5</v>
      </c>
      <c r="G2566" s="1437">
        <f t="shared" si="378"/>
        <v>1.5</v>
      </c>
      <c r="H2566" s="1437">
        <f t="shared" si="379"/>
        <v>0</v>
      </c>
      <c r="I2566" s="1437">
        <v>0</v>
      </c>
      <c r="J2566" s="1437">
        <v>0</v>
      </c>
      <c r="K2566" s="1438"/>
      <c r="L2566" s="1438"/>
      <c r="M2566" s="1437">
        <f t="shared" si="376"/>
        <v>0</v>
      </c>
      <c r="N2566" s="1437">
        <f t="shared" si="380"/>
        <v>0</v>
      </c>
    </row>
    <row r="2567" spans="1:14" ht="29" outlineLevel="1">
      <c r="A2567" s="1491">
        <f t="shared" si="375"/>
        <v>18.600000000000001</v>
      </c>
      <c r="B2567" s="1530" t="str">
        <f t="shared" si="375"/>
        <v>Procurement of vacuum pumps complete assembly for AHP U-8 NPTPS Parli-V.</v>
      </c>
      <c r="C2567" s="1491" t="str">
        <f t="shared" si="375"/>
        <v>Yet to be approved</v>
      </c>
      <c r="D2567" s="1531" t="str">
        <f t="shared" si="375"/>
        <v>-</v>
      </c>
      <c r="E2567" s="1318">
        <f t="shared" si="375"/>
        <v>0</v>
      </c>
      <c r="F2567" s="1437">
        <f t="shared" si="377"/>
        <v>2</v>
      </c>
      <c r="G2567" s="1437">
        <f t="shared" si="378"/>
        <v>2</v>
      </c>
      <c r="H2567" s="1437">
        <f t="shared" si="379"/>
        <v>0</v>
      </c>
      <c r="I2567" s="1437">
        <v>0</v>
      </c>
      <c r="J2567" s="1437">
        <v>0</v>
      </c>
      <c r="K2567" s="1438"/>
      <c r="L2567" s="1438"/>
      <c r="M2567" s="1437">
        <f t="shared" si="376"/>
        <v>0</v>
      </c>
      <c r="N2567" s="1437">
        <f t="shared" si="380"/>
        <v>0</v>
      </c>
    </row>
    <row r="2568" spans="1:14" ht="29" outlineLevel="1">
      <c r="A2568" s="1491">
        <f t="shared" si="375"/>
        <v>18.7</v>
      </c>
      <c r="B2568" s="1530" t="str">
        <f t="shared" si="375"/>
        <v>Procurement of Feed Gate Complete Assembly along with modified metallurgy to enhance the life of Clinker Grinder.</v>
      </c>
      <c r="C2568" s="1491" t="str">
        <f t="shared" si="375"/>
        <v>Yet to be approved</v>
      </c>
      <c r="D2568" s="1531" t="str">
        <f t="shared" si="375"/>
        <v>-</v>
      </c>
      <c r="E2568" s="1318">
        <f t="shared" si="375"/>
        <v>0</v>
      </c>
      <c r="F2568" s="1437">
        <f t="shared" si="377"/>
        <v>1</v>
      </c>
      <c r="G2568" s="1437">
        <f t="shared" si="378"/>
        <v>1</v>
      </c>
      <c r="H2568" s="1437">
        <f t="shared" si="379"/>
        <v>0</v>
      </c>
      <c r="I2568" s="1437">
        <v>0</v>
      </c>
      <c r="J2568" s="1437">
        <v>0</v>
      </c>
      <c r="K2568" s="1438"/>
      <c r="L2568" s="1438"/>
      <c r="M2568" s="1437">
        <f t="shared" si="376"/>
        <v>0</v>
      </c>
      <c r="N2568" s="1437">
        <f t="shared" si="380"/>
        <v>0</v>
      </c>
    </row>
    <row r="2569" spans="1:14" ht="29" outlineLevel="1">
      <c r="A2569" s="1491">
        <f t="shared" si="375"/>
        <v>18.8</v>
      </c>
      <c r="B2569" s="1530" t="str">
        <f t="shared" si="375"/>
        <v>Procurement of Double Roll Clinker Grinder Complete Assembly with Drive Unit installed at AHP</v>
      </c>
      <c r="C2569" s="1491" t="str">
        <f t="shared" si="375"/>
        <v>Yet to be approved</v>
      </c>
      <c r="D2569" s="1531" t="str">
        <f t="shared" si="375"/>
        <v>-</v>
      </c>
      <c r="E2569" s="1318">
        <f t="shared" si="375"/>
        <v>0</v>
      </c>
      <c r="F2569" s="1437">
        <f t="shared" si="377"/>
        <v>1.25</v>
      </c>
      <c r="G2569" s="1437">
        <f t="shared" si="378"/>
        <v>1.25</v>
      </c>
      <c r="H2569" s="1437">
        <f t="shared" si="379"/>
        <v>0</v>
      </c>
      <c r="I2569" s="1437">
        <v>0</v>
      </c>
      <c r="J2569" s="1437">
        <v>0</v>
      </c>
      <c r="K2569" s="1438"/>
      <c r="L2569" s="1438"/>
      <c r="M2569" s="1437">
        <f t="shared" si="376"/>
        <v>0</v>
      </c>
      <c r="N2569" s="1437">
        <f t="shared" si="380"/>
        <v>0</v>
      </c>
    </row>
    <row r="2570" spans="1:14" ht="29" outlineLevel="1">
      <c r="A2570" s="1491">
        <f t="shared" si="375"/>
        <v>18.899999999999999</v>
      </c>
      <c r="B2570" s="1530" t="str">
        <f t="shared" si="375"/>
        <v>Procurement of Instrument Air Dryers assembly for performance improvement</v>
      </c>
      <c r="C2570" s="1491" t="str">
        <f t="shared" si="375"/>
        <v>Yet to be approved</v>
      </c>
      <c r="D2570" s="1531" t="str">
        <f t="shared" si="375"/>
        <v>-</v>
      </c>
      <c r="E2570" s="1318">
        <f t="shared" si="375"/>
        <v>0</v>
      </c>
      <c r="F2570" s="1437">
        <f t="shared" si="377"/>
        <v>0.5</v>
      </c>
      <c r="G2570" s="1437">
        <f t="shared" si="378"/>
        <v>0.5</v>
      </c>
      <c r="H2570" s="1437">
        <f t="shared" si="379"/>
        <v>0</v>
      </c>
      <c r="I2570" s="1437">
        <v>0</v>
      </c>
      <c r="J2570" s="1437">
        <v>0</v>
      </c>
      <c r="K2570" s="1438"/>
      <c r="L2570" s="1438"/>
      <c r="M2570" s="1437">
        <f t="shared" si="376"/>
        <v>0</v>
      </c>
      <c r="N2570" s="1437">
        <f t="shared" si="380"/>
        <v>0</v>
      </c>
    </row>
    <row r="2571" spans="1:14" ht="43.5" outlineLevel="1">
      <c r="A2571" s="1491">
        <f t="shared" si="375"/>
        <v>18.100000000000001</v>
      </c>
      <c r="B2571" s="1530" t="str">
        <f t="shared" si="375"/>
        <v>Procurement of various types of Isolation Valves assembly, Dome Valves assembly, Root Valve Assembly &amp; Expansion Bellows Assembly for Dry Ash Conveing performance improvement</v>
      </c>
      <c r="C2571" s="1491" t="str">
        <f t="shared" si="375"/>
        <v>Yet to be approved</v>
      </c>
      <c r="D2571" s="1531" t="str">
        <f t="shared" si="375"/>
        <v>-</v>
      </c>
      <c r="E2571" s="1318">
        <f t="shared" si="375"/>
        <v>0</v>
      </c>
      <c r="F2571" s="1437">
        <f t="shared" si="377"/>
        <v>3.6</v>
      </c>
      <c r="G2571" s="1437">
        <f t="shared" si="378"/>
        <v>3.6</v>
      </c>
      <c r="H2571" s="1437">
        <f t="shared" si="379"/>
        <v>0</v>
      </c>
      <c r="I2571" s="1437">
        <v>0</v>
      </c>
      <c r="J2571" s="1437">
        <v>0</v>
      </c>
      <c r="K2571" s="1438"/>
      <c r="L2571" s="1438"/>
      <c r="M2571" s="1437">
        <f t="shared" si="376"/>
        <v>0</v>
      </c>
      <c r="N2571" s="1437">
        <f t="shared" si="380"/>
        <v>0</v>
      </c>
    </row>
    <row r="2572" spans="1:14" ht="31" outlineLevel="1">
      <c r="A2572" s="1533">
        <f t="shared" si="375"/>
        <v>19</v>
      </c>
      <c r="B2572" s="1534" t="str">
        <f t="shared" si="375"/>
        <v>DPR on ash handling plant improvement scheme for AHP U-8 NPTPS Parli-V.</v>
      </c>
      <c r="C2572" s="1491" t="str">
        <f t="shared" si="375"/>
        <v>Yet to be approved</v>
      </c>
      <c r="D2572" s="1531" t="str">
        <f t="shared" si="375"/>
        <v>-</v>
      </c>
      <c r="E2572" s="1318">
        <f t="shared" si="375"/>
        <v>0</v>
      </c>
      <c r="F2572" s="1437">
        <f t="shared" si="377"/>
        <v>0</v>
      </c>
      <c r="G2572" s="1437">
        <f t="shared" si="378"/>
        <v>0</v>
      </c>
      <c r="H2572" s="1437">
        <f t="shared" si="379"/>
        <v>0</v>
      </c>
      <c r="I2572" s="1437">
        <v>0</v>
      </c>
      <c r="J2572" s="1437">
        <v>0</v>
      </c>
      <c r="K2572" s="1438"/>
      <c r="L2572" s="1438"/>
      <c r="M2572" s="1437">
        <f t="shared" si="376"/>
        <v>0</v>
      </c>
      <c r="N2572" s="1437">
        <f t="shared" si="380"/>
        <v>0</v>
      </c>
    </row>
    <row r="2573" spans="1:14" ht="29" outlineLevel="1">
      <c r="A2573" s="1491">
        <f t="shared" si="375"/>
        <v>19.100000000000001</v>
      </c>
      <c r="B2573" s="1530" t="str">
        <f t="shared" si="375"/>
        <v>Design, supply, erection, installation &amp; comissioning of DM water close loop cooling system for air compressors at AHP U-8.</v>
      </c>
      <c r="C2573" s="1491" t="str">
        <f t="shared" si="375"/>
        <v>Yet to be approved</v>
      </c>
      <c r="D2573" s="1531" t="str">
        <f t="shared" si="375"/>
        <v>-</v>
      </c>
      <c r="E2573" s="1318">
        <f t="shared" si="375"/>
        <v>0</v>
      </c>
      <c r="F2573" s="1437">
        <f t="shared" si="377"/>
        <v>3</v>
      </c>
      <c r="G2573" s="1437">
        <f t="shared" si="378"/>
        <v>3</v>
      </c>
      <c r="H2573" s="1437">
        <f t="shared" si="379"/>
        <v>0</v>
      </c>
      <c r="I2573" s="1437">
        <v>0</v>
      </c>
      <c r="J2573" s="1437">
        <v>0</v>
      </c>
      <c r="K2573" s="1438"/>
      <c r="L2573" s="1438"/>
      <c r="M2573" s="1437">
        <f t="shared" si="376"/>
        <v>0</v>
      </c>
      <c r="N2573" s="1437">
        <f t="shared" si="380"/>
        <v>0</v>
      </c>
    </row>
    <row r="2574" spans="1:14" ht="29" outlineLevel="1">
      <c r="A2574" s="1491">
        <f t="shared" ref="A2574:E2589" si="381">A2181</f>
        <v>19.2</v>
      </c>
      <c r="B2574" s="1530" t="str">
        <f t="shared" si="381"/>
        <v>Up-gradation of Existing Schneider make PLC (HMI + PLC hardware) installed at AHP Unit -8 at Parli TPS.</v>
      </c>
      <c r="C2574" s="1491" t="str">
        <f t="shared" si="381"/>
        <v>Yet to be approved</v>
      </c>
      <c r="D2574" s="1531" t="str">
        <f t="shared" si="381"/>
        <v>-</v>
      </c>
      <c r="E2574" s="1318">
        <f t="shared" si="381"/>
        <v>0</v>
      </c>
      <c r="F2574" s="1437">
        <f t="shared" si="377"/>
        <v>1.5</v>
      </c>
      <c r="G2574" s="1437">
        <f t="shared" si="378"/>
        <v>1.5</v>
      </c>
      <c r="H2574" s="1437">
        <f t="shared" si="379"/>
        <v>0</v>
      </c>
      <c r="I2574" s="1437">
        <v>0</v>
      </c>
      <c r="J2574" s="1437">
        <v>0</v>
      </c>
      <c r="K2574" s="1438"/>
      <c r="L2574" s="1438"/>
      <c r="M2574" s="1437">
        <f t="shared" si="376"/>
        <v>0</v>
      </c>
      <c r="N2574" s="1437">
        <f t="shared" si="380"/>
        <v>0</v>
      </c>
    </row>
    <row r="2575" spans="1:14" outlineLevel="1">
      <c r="A2575" s="1491">
        <f t="shared" si="381"/>
        <v>19.3</v>
      </c>
      <c r="B2575" s="1530" t="str">
        <f t="shared" si="381"/>
        <v>Procurement of HT motors for AHP U-8 Parli TPS.</v>
      </c>
      <c r="C2575" s="1491" t="str">
        <f t="shared" si="381"/>
        <v>Yet to be approved</v>
      </c>
      <c r="D2575" s="1531" t="str">
        <f t="shared" si="381"/>
        <v>-</v>
      </c>
      <c r="E2575" s="1318">
        <f t="shared" si="381"/>
        <v>0</v>
      </c>
      <c r="F2575" s="1437">
        <f t="shared" si="377"/>
        <v>2.2999999999999998</v>
      </c>
      <c r="G2575" s="1437">
        <f t="shared" si="378"/>
        <v>2.2999999999999998</v>
      </c>
      <c r="H2575" s="1437">
        <f t="shared" si="379"/>
        <v>0</v>
      </c>
      <c r="I2575" s="1437">
        <v>0</v>
      </c>
      <c r="J2575" s="1437">
        <v>0</v>
      </c>
      <c r="K2575" s="1438"/>
      <c r="L2575" s="1438"/>
      <c r="M2575" s="1437">
        <f t="shared" si="376"/>
        <v>0</v>
      </c>
      <c r="N2575" s="1437">
        <f t="shared" si="380"/>
        <v>0</v>
      </c>
    </row>
    <row r="2576" spans="1:14" ht="43.5" outlineLevel="1">
      <c r="A2576" s="1491">
        <f t="shared" si="381"/>
        <v>19.399999999999999</v>
      </c>
      <c r="B2576" s="1530" t="str">
        <f t="shared" si="381"/>
        <v>PROCUREMENT OF CRITICAL GEARBOXES AND FLUID COUPLINGS INTERNAL ASSEMBLIES FOR SLURRY PUMPS AND SILO HCSD SYSTEM INSTALLED AT AHP, PARLI TPS.</v>
      </c>
      <c r="C2576" s="1491" t="str">
        <f t="shared" si="381"/>
        <v>Yet to be approved</v>
      </c>
      <c r="D2576" s="1531" t="str">
        <f t="shared" si="381"/>
        <v>-</v>
      </c>
      <c r="E2576" s="1318">
        <f t="shared" si="381"/>
        <v>0</v>
      </c>
      <c r="F2576" s="1437">
        <f t="shared" si="377"/>
        <v>1.2</v>
      </c>
      <c r="G2576" s="1437">
        <f t="shared" si="378"/>
        <v>1.2</v>
      </c>
      <c r="H2576" s="1437">
        <f t="shared" si="379"/>
        <v>0</v>
      </c>
      <c r="I2576" s="1437">
        <v>0</v>
      </c>
      <c r="J2576" s="1437">
        <v>0</v>
      </c>
      <c r="K2576" s="1438"/>
      <c r="L2576" s="1438"/>
      <c r="M2576" s="1437">
        <f t="shared" si="376"/>
        <v>0</v>
      </c>
      <c r="N2576" s="1437">
        <f t="shared" si="380"/>
        <v>0</v>
      </c>
    </row>
    <row r="2577" spans="1:14" ht="43.5" outlineLevel="1">
      <c r="A2577" s="1491">
        <f t="shared" si="381"/>
        <v>19.5</v>
      </c>
      <c r="B2577" s="1530" t="str">
        <f t="shared" si="381"/>
        <v>Procurement of Atlas Copco Make Instrument Air Compressors Critical/Non-Critical Spares sub-assembly for performance improvement</v>
      </c>
      <c r="C2577" s="1491" t="str">
        <f t="shared" si="381"/>
        <v>Yet to be approved</v>
      </c>
      <c r="D2577" s="1531" t="str">
        <f t="shared" si="381"/>
        <v>-</v>
      </c>
      <c r="E2577" s="1318">
        <f t="shared" si="381"/>
        <v>0</v>
      </c>
      <c r="F2577" s="1437">
        <f t="shared" si="377"/>
        <v>6</v>
      </c>
      <c r="G2577" s="1437">
        <f t="shared" si="378"/>
        <v>6</v>
      </c>
      <c r="H2577" s="1437">
        <f t="shared" si="379"/>
        <v>0</v>
      </c>
      <c r="I2577" s="1437">
        <v>0</v>
      </c>
      <c r="J2577" s="1437">
        <v>0</v>
      </c>
      <c r="K2577" s="1438"/>
      <c r="L2577" s="1438"/>
      <c r="M2577" s="1437">
        <f t="shared" si="376"/>
        <v>0</v>
      </c>
      <c r="N2577" s="1437">
        <f t="shared" si="380"/>
        <v>0</v>
      </c>
    </row>
    <row r="2578" spans="1:14" ht="43.5" outlineLevel="1">
      <c r="A2578" s="1491">
        <f t="shared" si="381"/>
        <v>19.600000000000001</v>
      </c>
      <c r="B2578" s="1530" t="str">
        <f t="shared" si="381"/>
        <v>Upgradation and improvement in Hopper Temperature monitoring system by providing Rf Type Hopper Level Sensors for performance improvement of conveying of Dry ash evacuation system.</v>
      </c>
      <c r="C2578" s="1491" t="str">
        <f t="shared" si="381"/>
        <v>Yet to be approved</v>
      </c>
      <c r="D2578" s="1531" t="str">
        <f t="shared" si="381"/>
        <v>-</v>
      </c>
      <c r="E2578" s="1318">
        <f t="shared" si="381"/>
        <v>0</v>
      </c>
      <c r="F2578" s="1437">
        <f t="shared" si="377"/>
        <v>1.2</v>
      </c>
      <c r="G2578" s="1437">
        <f t="shared" si="378"/>
        <v>1.2</v>
      </c>
      <c r="H2578" s="1437">
        <f t="shared" si="379"/>
        <v>0</v>
      </c>
      <c r="I2578" s="1437">
        <v>0</v>
      </c>
      <c r="J2578" s="1437">
        <v>0</v>
      </c>
      <c r="K2578" s="1438"/>
      <c r="L2578" s="1438"/>
      <c r="M2578" s="1437">
        <f t="shared" si="376"/>
        <v>0</v>
      </c>
      <c r="N2578" s="1437">
        <f t="shared" si="380"/>
        <v>0</v>
      </c>
    </row>
    <row r="2579" spans="1:14" ht="31" outlineLevel="1">
      <c r="A2579" s="1533">
        <f t="shared" si="381"/>
        <v>20</v>
      </c>
      <c r="B2579" s="1534" t="str">
        <f t="shared" si="381"/>
        <v>DPR on ash handling plant improvement scheme for AHP U-8 NPTPS Parli-V.</v>
      </c>
      <c r="C2579" s="1491" t="str">
        <f t="shared" si="381"/>
        <v>Yet to be approved</v>
      </c>
      <c r="D2579" s="1531" t="str">
        <f t="shared" si="381"/>
        <v>-</v>
      </c>
      <c r="E2579" s="1318">
        <f t="shared" si="381"/>
        <v>0</v>
      </c>
      <c r="F2579" s="1437">
        <f t="shared" si="377"/>
        <v>0</v>
      </c>
      <c r="G2579" s="1437">
        <f t="shared" si="378"/>
        <v>0</v>
      </c>
      <c r="H2579" s="1437">
        <f t="shared" si="379"/>
        <v>0</v>
      </c>
      <c r="I2579" s="1437">
        <v>0</v>
      </c>
      <c r="J2579" s="1437">
        <v>0</v>
      </c>
      <c r="K2579" s="1438"/>
      <c r="L2579" s="1438"/>
      <c r="M2579" s="1437">
        <f t="shared" si="376"/>
        <v>0</v>
      </c>
      <c r="N2579" s="1437">
        <f t="shared" si="380"/>
        <v>0</v>
      </c>
    </row>
    <row r="2580" spans="1:14" ht="29" outlineLevel="1">
      <c r="A2580" s="1491">
        <f t="shared" si="381"/>
        <v>20.100000000000001</v>
      </c>
      <c r="B2580" s="1530" t="str">
        <f t="shared" si="381"/>
        <v xml:space="preserve"> Design, supply, erection, installation &amp; comissioning ESP 1st &amp; 2nd field dry fly ash evacuation &amp; conveying system at AHP U-8.</v>
      </c>
      <c r="C2580" s="1491" t="str">
        <f t="shared" si="381"/>
        <v>Yet to be approved</v>
      </c>
      <c r="D2580" s="1531" t="str">
        <f t="shared" si="381"/>
        <v>-</v>
      </c>
      <c r="E2580" s="1318">
        <f t="shared" si="381"/>
        <v>0</v>
      </c>
      <c r="F2580" s="1437">
        <f t="shared" si="377"/>
        <v>21.25</v>
      </c>
      <c r="G2580" s="1437">
        <f t="shared" si="378"/>
        <v>21.25</v>
      </c>
      <c r="H2580" s="1437">
        <f t="shared" si="379"/>
        <v>0</v>
      </c>
      <c r="I2580" s="1437">
        <v>0</v>
      </c>
      <c r="J2580" s="1437">
        <v>0</v>
      </c>
      <c r="K2580" s="1438"/>
      <c r="L2580" s="1438"/>
      <c r="M2580" s="1437">
        <f t="shared" si="376"/>
        <v>0</v>
      </c>
      <c r="N2580" s="1437">
        <f t="shared" si="380"/>
        <v>0</v>
      </c>
    </row>
    <row r="2581" spans="1:14" ht="43.5" outlineLevel="1">
      <c r="A2581" s="1491">
        <f t="shared" si="381"/>
        <v>20.2</v>
      </c>
      <c r="B2581" s="1530" t="str">
        <f t="shared" si="381"/>
        <v>Design, supply, erection, installation &amp; comissioning of dry ash evacuation &amp; conveying system for APH &amp; Economiser ash hoppers at AHP U-8.</v>
      </c>
      <c r="C2581" s="1491" t="str">
        <f t="shared" si="381"/>
        <v>Yet to be approved</v>
      </c>
      <c r="D2581" s="1531" t="str">
        <f t="shared" si="381"/>
        <v>-</v>
      </c>
      <c r="E2581" s="1318">
        <f t="shared" si="381"/>
        <v>0</v>
      </c>
      <c r="F2581" s="1437">
        <f t="shared" si="377"/>
        <v>3</v>
      </c>
      <c r="G2581" s="1437">
        <f t="shared" si="378"/>
        <v>3</v>
      </c>
      <c r="H2581" s="1437">
        <f t="shared" si="379"/>
        <v>0</v>
      </c>
      <c r="I2581" s="1437">
        <v>0</v>
      </c>
      <c r="J2581" s="1437">
        <v>0</v>
      </c>
      <c r="K2581" s="1438"/>
      <c r="L2581" s="1438"/>
      <c r="M2581" s="1437">
        <f t="shared" si="376"/>
        <v>0</v>
      </c>
      <c r="N2581" s="1437">
        <f t="shared" si="380"/>
        <v>0</v>
      </c>
    </row>
    <row r="2582" spans="1:14" ht="15.5" outlineLevel="1">
      <c r="A2582" s="1533">
        <f t="shared" si="381"/>
        <v>21</v>
      </c>
      <c r="B2582" s="1534" t="str">
        <f t="shared" si="381"/>
        <v>Verious Civil schemes in Unit 8 NPTPS  Parli V.</v>
      </c>
      <c r="C2582" s="1491" t="str">
        <f t="shared" si="381"/>
        <v>Yet to be approved</v>
      </c>
      <c r="D2582" s="1531" t="str">
        <f t="shared" si="381"/>
        <v>-</v>
      </c>
      <c r="E2582" s="1318">
        <f t="shared" si="381"/>
        <v>0</v>
      </c>
      <c r="F2582" s="1437">
        <f t="shared" si="377"/>
        <v>0</v>
      </c>
      <c r="G2582" s="1437">
        <f t="shared" si="378"/>
        <v>0</v>
      </c>
      <c r="H2582" s="1437">
        <f t="shared" si="379"/>
        <v>0</v>
      </c>
      <c r="I2582" s="1437">
        <v>0</v>
      </c>
      <c r="J2582" s="1437">
        <v>0</v>
      </c>
      <c r="K2582" s="1438"/>
      <c r="L2582" s="1438"/>
      <c r="M2582" s="1437">
        <f t="shared" si="376"/>
        <v>0</v>
      </c>
      <c r="N2582" s="1437">
        <f t="shared" si="380"/>
        <v>0</v>
      </c>
    </row>
    <row r="2583" spans="1:14" outlineLevel="1">
      <c r="A2583" s="1491">
        <f t="shared" si="381"/>
        <v>21.1</v>
      </c>
      <c r="B2583" s="1530" t="str">
        <f t="shared" si="381"/>
        <v>Construction of chemical laboratory building at Unit 8, NPTPS, Parli V.</v>
      </c>
      <c r="C2583" s="1491" t="str">
        <f t="shared" si="381"/>
        <v>Yet to be approved</v>
      </c>
      <c r="D2583" s="1531" t="str">
        <f t="shared" si="381"/>
        <v>-</v>
      </c>
      <c r="E2583" s="1318">
        <f t="shared" si="381"/>
        <v>0</v>
      </c>
      <c r="F2583" s="1437">
        <f t="shared" si="377"/>
        <v>3.7800000000000002</v>
      </c>
      <c r="G2583" s="1437">
        <f t="shared" si="378"/>
        <v>3.7800000000000002</v>
      </c>
      <c r="H2583" s="1437">
        <f t="shared" si="379"/>
        <v>0</v>
      </c>
      <c r="I2583" s="1437">
        <v>0</v>
      </c>
      <c r="J2583" s="1437">
        <v>0</v>
      </c>
      <c r="K2583" s="1438"/>
      <c r="L2583" s="1438"/>
      <c r="M2583" s="1437">
        <f t="shared" si="376"/>
        <v>0</v>
      </c>
      <c r="N2583" s="1437">
        <f t="shared" si="380"/>
        <v>0</v>
      </c>
    </row>
    <row r="2584" spans="1:14" ht="29" outlineLevel="1">
      <c r="A2584" s="1491">
        <f t="shared" si="381"/>
        <v>21.2</v>
      </c>
      <c r="B2584" s="1530" t="str">
        <f t="shared" si="381"/>
        <v>Construction of Alum/salt storage area at Unit No.8 (1X250MW) NPTPS Parli Vaijnath.</v>
      </c>
      <c r="C2584" s="1491" t="str">
        <f t="shared" si="381"/>
        <v>Yet to be approved</v>
      </c>
      <c r="D2584" s="1531" t="str">
        <f t="shared" si="381"/>
        <v>-</v>
      </c>
      <c r="E2584" s="1318">
        <f t="shared" si="381"/>
        <v>0</v>
      </c>
      <c r="F2584" s="1437">
        <f t="shared" si="377"/>
        <v>3.46</v>
      </c>
      <c r="G2584" s="1437">
        <f t="shared" si="378"/>
        <v>3.46</v>
      </c>
      <c r="H2584" s="1437">
        <f t="shared" si="379"/>
        <v>0</v>
      </c>
      <c r="I2584" s="1437">
        <v>0</v>
      </c>
      <c r="J2584" s="1437">
        <v>0</v>
      </c>
      <c r="K2584" s="1438"/>
      <c r="L2584" s="1438"/>
      <c r="M2584" s="1437">
        <f t="shared" si="376"/>
        <v>0</v>
      </c>
      <c r="N2584" s="1437">
        <f t="shared" si="380"/>
        <v>0</v>
      </c>
    </row>
    <row r="2585" spans="1:14" outlineLevel="1">
      <c r="A2585" s="1491">
        <f t="shared" si="381"/>
        <v>21.3</v>
      </c>
      <c r="B2585" s="1530" t="str">
        <f t="shared" si="381"/>
        <v>Construction of Fire Fighting station  at Unit-8,  NPTPS  Parli V.</v>
      </c>
      <c r="C2585" s="1491" t="str">
        <f t="shared" si="381"/>
        <v>Yet to be approved</v>
      </c>
      <c r="D2585" s="1531" t="str">
        <f t="shared" si="381"/>
        <v>-</v>
      </c>
      <c r="E2585" s="1318">
        <f t="shared" si="381"/>
        <v>0</v>
      </c>
      <c r="F2585" s="1437">
        <f t="shared" si="377"/>
        <v>1.8599999999999999</v>
      </c>
      <c r="G2585" s="1437">
        <f t="shared" si="378"/>
        <v>1.8599999999999999</v>
      </c>
      <c r="H2585" s="1437">
        <f t="shared" si="379"/>
        <v>0</v>
      </c>
      <c r="I2585" s="1437">
        <v>0</v>
      </c>
      <c r="J2585" s="1437">
        <v>0</v>
      </c>
      <c r="K2585" s="1438"/>
      <c r="L2585" s="1438"/>
      <c r="M2585" s="1437">
        <f t="shared" si="376"/>
        <v>0</v>
      </c>
      <c r="N2585" s="1437">
        <f t="shared" si="380"/>
        <v>0</v>
      </c>
    </row>
    <row r="2586" spans="1:14" outlineLevel="1">
      <c r="A2586" s="1491">
        <f t="shared" si="381"/>
        <v>21.4</v>
      </c>
      <c r="B2586" s="1530" t="str">
        <f t="shared" si="381"/>
        <v xml:space="preserve">Construction of workshop building at Unit-8,  NPTPS  Parli V. </v>
      </c>
      <c r="C2586" s="1491" t="str">
        <f t="shared" si="381"/>
        <v>Yet to be approved</v>
      </c>
      <c r="D2586" s="1531" t="str">
        <f t="shared" si="381"/>
        <v>-</v>
      </c>
      <c r="E2586" s="1318">
        <f t="shared" si="381"/>
        <v>0</v>
      </c>
      <c r="F2586" s="1437">
        <f t="shared" si="377"/>
        <v>2.13</v>
      </c>
      <c r="G2586" s="1437">
        <f t="shared" si="378"/>
        <v>2.13</v>
      </c>
      <c r="H2586" s="1437">
        <f t="shared" si="379"/>
        <v>0</v>
      </c>
      <c r="I2586" s="1437">
        <v>0</v>
      </c>
      <c r="J2586" s="1437">
        <v>0</v>
      </c>
      <c r="K2586" s="1438"/>
      <c r="L2586" s="1438"/>
      <c r="M2586" s="1437">
        <f t="shared" si="376"/>
        <v>0</v>
      </c>
      <c r="N2586" s="1437">
        <f t="shared" si="380"/>
        <v>0</v>
      </c>
    </row>
    <row r="2587" spans="1:14" ht="15.5" outlineLevel="1">
      <c r="A2587" s="1533">
        <f t="shared" si="381"/>
        <v>22</v>
      </c>
      <c r="B2587" s="1534" t="str">
        <f t="shared" si="381"/>
        <v>CHP improvement scheme at 250 MW</v>
      </c>
      <c r="C2587" s="1491">
        <f t="shared" si="381"/>
        <v>0</v>
      </c>
      <c r="D2587" s="1531" t="str">
        <f t="shared" si="381"/>
        <v>-</v>
      </c>
      <c r="E2587" s="1318">
        <f t="shared" si="381"/>
        <v>0</v>
      </c>
      <c r="F2587" s="1437">
        <f t="shared" si="377"/>
        <v>0</v>
      </c>
      <c r="G2587" s="1437">
        <f t="shared" si="378"/>
        <v>0</v>
      </c>
      <c r="H2587" s="1437">
        <f t="shared" si="379"/>
        <v>0</v>
      </c>
      <c r="I2587" s="1437">
        <v>0</v>
      </c>
      <c r="J2587" s="1437">
        <v>0</v>
      </c>
      <c r="K2587" s="1438"/>
      <c r="L2587" s="1438"/>
      <c r="M2587" s="1437">
        <f t="shared" si="376"/>
        <v>0</v>
      </c>
      <c r="N2587" s="1437">
        <f t="shared" si="380"/>
        <v>0</v>
      </c>
    </row>
    <row r="2588" spans="1:14" outlineLevel="1">
      <c r="A2588" s="1491">
        <f t="shared" si="381"/>
        <v>22.1</v>
      </c>
      <c r="B2588" s="1530" t="str">
        <f t="shared" si="381"/>
        <v>CHP improvement scheme at 250 MW</v>
      </c>
      <c r="C2588" s="1491">
        <f t="shared" si="381"/>
        <v>0</v>
      </c>
      <c r="D2588" s="1531" t="str">
        <f t="shared" si="381"/>
        <v>-</v>
      </c>
      <c r="E2588" s="1318">
        <f t="shared" si="381"/>
        <v>0</v>
      </c>
      <c r="F2588" s="1437">
        <f t="shared" si="377"/>
        <v>25</v>
      </c>
      <c r="G2588" s="1437">
        <f t="shared" si="378"/>
        <v>25</v>
      </c>
      <c r="H2588" s="1437">
        <f t="shared" si="379"/>
        <v>0</v>
      </c>
      <c r="I2588" s="1437">
        <v>0</v>
      </c>
      <c r="J2588" s="1437">
        <v>0</v>
      </c>
      <c r="K2588" s="1438"/>
      <c r="L2588" s="1438"/>
      <c r="M2588" s="1437">
        <f t="shared" si="376"/>
        <v>0</v>
      </c>
      <c r="N2588" s="1437">
        <f t="shared" si="380"/>
        <v>0</v>
      </c>
    </row>
    <row r="2589" spans="1:14" outlineLevel="1">
      <c r="A2589" s="1420">
        <f t="shared" si="381"/>
        <v>0</v>
      </c>
      <c r="B2589" s="1421" t="str">
        <f t="shared" si="381"/>
        <v>B) Non-DPR</v>
      </c>
      <c r="C2589" s="1491">
        <f t="shared" si="381"/>
        <v>0</v>
      </c>
      <c r="D2589" s="1531" t="str">
        <f t="shared" si="381"/>
        <v>-</v>
      </c>
      <c r="E2589" s="1318">
        <f t="shared" si="381"/>
        <v>0</v>
      </c>
      <c r="F2589" s="1437">
        <f t="shared" si="377"/>
        <v>0</v>
      </c>
      <c r="G2589" s="1437">
        <f t="shared" si="378"/>
        <v>0</v>
      </c>
      <c r="H2589" s="1437">
        <f t="shared" si="379"/>
        <v>0</v>
      </c>
      <c r="I2589" s="1437">
        <v>0</v>
      </c>
      <c r="J2589" s="1437">
        <v>0</v>
      </c>
      <c r="K2589" s="1438"/>
      <c r="L2589" s="1438"/>
      <c r="M2589" s="1437">
        <f t="shared" si="376"/>
        <v>0</v>
      </c>
      <c r="N2589" s="1437">
        <f t="shared" si="380"/>
        <v>0</v>
      </c>
    </row>
    <row r="2590" spans="1:14" ht="15.5" outlineLevel="1">
      <c r="A2590" s="1533">
        <f t="shared" ref="A2590:E2605" si="382">A2197</f>
        <v>0</v>
      </c>
      <c r="B2590" s="1534">
        <f t="shared" si="382"/>
        <v>0</v>
      </c>
      <c r="C2590" s="1491">
        <f t="shared" si="382"/>
        <v>0</v>
      </c>
      <c r="D2590" s="1531" t="str">
        <f t="shared" si="382"/>
        <v>-</v>
      </c>
      <c r="E2590" s="1318">
        <f t="shared" si="382"/>
        <v>0</v>
      </c>
      <c r="F2590" s="1437">
        <f t="shared" si="377"/>
        <v>0.56615120600000002</v>
      </c>
      <c r="G2590" s="1437">
        <f t="shared" si="378"/>
        <v>0.56615120600000002</v>
      </c>
      <c r="H2590" s="1437">
        <f t="shared" si="379"/>
        <v>0</v>
      </c>
      <c r="I2590" s="1437">
        <v>0</v>
      </c>
      <c r="J2590" s="1437">
        <v>0</v>
      </c>
      <c r="K2590" s="1438"/>
      <c r="L2590" s="1438"/>
      <c r="M2590" s="1437">
        <f t="shared" si="376"/>
        <v>0</v>
      </c>
      <c r="N2590" s="1437">
        <f t="shared" si="380"/>
        <v>0</v>
      </c>
    </row>
    <row r="2591" spans="1:14" ht="15.5" outlineLevel="1">
      <c r="A2591" s="1493">
        <f t="shared" si="382"/>
        <v>0</v>
      </c>
      <c r="B2591" s="1494" t="str">
        <f t="shared" si="382"/>
        <v>B) GA</v>
      </c>
      <c r="C2591" s="1491">
        <f t="shared" si="382"/>
        <v>0</v>
      </c>
      <c r="D2591" s="1531" t="str">
        <f t="shared" si="382"/>
        <v>-</v>
      </c>
      <c r="E2591" s="1318">
        <f t="shared" si="382"/>
        <v>0</v>
      </c>
      <c r="F2591" s="1437">
        <f t="shared" si="377"/>
        <v>1.2131236510000001</v>
      </c>
      <c r="G2591" s="1437">
        <f t="shared" si="378"/>
        <v>1.2737116509999999</v>
      </c>
      <c r="H2591" s="1437">
        <f t="shared" si="379"/>
        <v>-6.0587999999999864E-2</v>
      </c>
      <c r="I2591" s="1437">
        <v>0.28999999999999998</v>
      </c>
      <c r="J2591" s="1437">
        <v>0.28999999999999998</v>
      </c>
      <c r="K2591" s="1438"/>
      <c r="L2591" s="1438"/>
      <c r="M2591" s="1437">
        <f t="shared" si="376"/>
        <v>0.28999999999999998</v>
      </c>
      <c r="N2591" s="1437">
        <f t="shared" si="380"/>
        <v>-6.0587999999999864E-2</v>
      </c>
    </row>
    <row r="2592" spans="1:14" outlineLevel="1">
      <c r="A2592" s="1499">
        <f t="shared" si="382"/>
        <v>0</v>
      </c>
      <c r="B2592" s="1539">
        <f t="shared" si="382"/>
        <v>0</v>
      </c>
      <c r="C2592" s="1491">
        <f t="shared" si="382"/>
        <v>0</v>
      </c>
      <c r="D2592" s="1531" t="str">
        <f t="shared" si="382"/>
        <v>-</v>
      </c>
      <c r="E2592" s="1318">
        <f t="shared" si="382"/>
        <v>0</v>
      </c>
      <c r="F2592" s="1437">
        <f t="shared" si="377"/>
        <v>0.28999999999999998</v>
      </c>
      <c r="G2592" s="1437">
        <f t="shared" si="378"/>
        <v>0</v>
      </c>
      <c r="H2592" s="1437">
        <f t="shared" si="379"/>
        <v>0.28999999999999998</v>
      </c>
      <c r="I2592" s="1437">
        <v>0</v>
      </c>
      <c r="J2592" s="1437">
        <v>0</v>
      </c>
      <c r="K2592" s="1438"/>
      <c r="L2592" s="1438"/>
      <c r="M2592" s="1437">
        <f t="shared" si="376"/>
        <v>0</v>
      </c>
      <c r="N2592" s="1437">
        <f t="shared" si="380"/>
        <v>0.28999999999999998</v>
      </c>
    </row>
    <row r="2593" spans="1:14" ht="15.5" outlineLevel="1">
      <c r="A2593" s="1493">
        <f t="shared" si="382"/>
        <v>0</v>
      </c>
      <c r="B2593" s="1494" t="str">
        <f t="shared" si="382"/>
        <v>C) Asset received from Project U#8</v>
      </c>
      <c r="C2593" s="1491">
        <f t="shared" si="382"/>
        <v>0</v>
      </c>
      <c r="D2593" s="1531" t="str">
        <f t="shared" si="382"/>
        <v>-</v>
      </c>
      <c r="E2593" s="1318">
        <f t="shared" si="382"/>
        <v>0</v>
      </c>
      <c r="F2593" s="1437">
        <f t="shared" si="377"/>
        <v>0</v>
      </c>
      <c r="G2593" s="1437">
        <f t="shared" si="378"/>
        <v>0</v>
      </c>
      <c r="H2593" s="1437">
        <f t="shared" si="379"/>
        <v>0</v>
      </c>
      <c r="I2593" s="1437">
        <v>0</v>
      </c>
      <c r="J2593" s="1437">
        <v>0</v>
      </c>
      <c r="K2593" s="1438"/>
      <c r="L2593" s="1438"/>
      <c r="M2593" s="1437">
        <f t="shared" si="376"/>
        <v>0</v>
      </c>
      <c r="N2593" s="1437">
        <f t="shared" si="380"/>
        <v>0</v>
      </c>
    </row>
    <row r="2594" spans="1:14" outlineLevel="1">
      <c r="A2594" s="1499">
        <f t="shared" si="382"/>
        <v>1</v>
      </c>
      <c r="B2594" s="1539" t="str">
        <f t="shared" si="382"/>
        <v>Asset Recived From Civil-U#8-Land-10101</v>
      </c>
      <c r="C2594" s="1491" t="str">
        <f t="shared" si="382"/>
        <v>N.A.</v>
      </c>
      <c r="D2594" s="1531" t="str">
        <f t="shared" si="382"/>
        <v>-</v>
      </c>
      <c r="E2594" s="1318">
        <f t="shared" si="382"/>
        <v>0</v>
      </c>
      <c r="F2594" s="1437">
        <f t="shared" si="377"/>
        <v>3.1293089999999998E-3</v>
      </c>
      <c r="G2594" s="1437">
        <f t="shared" si="378"/>
        <v>0</v>
      </c>
      <c r="H2594" s="1437">
        <f t="shared" si="379"/>
        <v>3.1293089999999998E-3</v>
      </c>
      <c r="I2594" s="1437">
        <v>0</v>
      </c>
      <c r="J2594" s="1437">
        <v>0</v>
      </c>
      <c r="K2594" s="1438"/>
      <c r="L2594" s="1438"/>
      <c r="M2594" s="1437">
        <f t="shared" si="376"/>
        <v>0</v>
      </c>
      <c r="N2594" s="1437">
        <f t="shared" si="380"/>
        <v>3.1293089999999998E-3</v>
      </c>
    </row>
    <row r="2595" spans="1:14" outlineLevel="1">
      <c r="A2595" s="1499">
        <f t="shared" si="382"/>
        <v>2</v>
      </c>
      <c r="B2595" s="1539" t="str">
        <f t="shared" si="382"/>
        <v>Asset Recived From Civil-U#8-T.G. Building-10201</v>
      </c>
      <c r="C2595" s="1491" t="str">
        <f t="shared" si="382"/>
        <v>N.A.</v>
      </c>
      <c r="D2595" s="1531" t="str">
        <f t="shared" si="382"/>
        <v>-</v>
      </c>
      <c r="E2595" s="1318">
        <f t="shared" si="382"/>
        <v>0</v>
      </c>
      <c r="F2595" s="1437">
        <f t="shared" si="377"/>
        <v>1.0037712000000001E-2</v>
      </c>
      <c r="G2595" s="1437">
        <f t="shared" si="378"/>
        <v>0</v>
      </c>
      <c r="H2595" s="1437">
        <f t="shared" si="379"/>
        <v>1.0037712000000001E-2</v>
      </c>
      <c r="I2595" s="1437">
        <v>0</v>
      </c>
      <c r="J2595" s="1437">
        <v>0</v>
      </c>
      <c r="K2595" s="1438"/>
      <c r="L2595" s="1438"/>
      <c r="M2595" s="1437">
        <f t="shared" si="376"/>
        <v>0</v>
      </c>
      <c r="N2595" s="1437">
        <f t="shared" si="380"/>
        <v>1.0037712000000001E-2</v>
      </c>
    </row>
    <row r="2596" spans="1:14" ht="29" outlineLevel="1">
      <c r="A2596" s="1499">
        <f t="shared" si="382"/>
        <v>3</v>
      </c>
      <c r="B2596" s="1539" t="str">
        <f t="shared" si="382"/>
        <v>Asset Recived From Civil-U#8-T.G. Building(BC)bay&amp;control room-10201</v>
      </c>
      <c r="C2596" s="1491" t="str">
        <f t="shared" si="382"/>
        <v>N.A.</v>
      </c>
      <c r="D2596" s="1531" t="str">
        <f t="shared" si="382"/>
        <v>-</v>
      </c>
      <c r="E2596" s="1318">
        <f t="shared" si="382"/>
        <v>0</v>
      </c>
      <c r="F2596" s="1437">
        <f t="shared" si="377"/>
        <v>4.578426E-3</v>
      </c>
      <c r="G2596" s="1437">
        <f t="shared" si="378"/>
        <v>0</v>
      </c>
      <c r="H2596" s="1437">
        <f t="shared" si="379"/>
        <v>4.578426E-3</v>
      </c>
      <c r="I2596" s="1437">
        <v>0</v>
      </c>
      <c r="J2596" s="1437">
        <v>0</v>
      </c>
      <c r="K2596" s="1438"/>
      <c r="L2596" s="1438"/>
      <c r="M2596" s="1437">
        <f t="shared" si="376"/>
        <v>0</v>
      </c>
      <c r="N2596" s="1437">
        <f t="shared" si="380"/>
        <v>4.578426E-3</v>
      </c>
    </row>
    <row r="2597" spans="1:14" ht="29" outlineLevel="1">
      <c r="A2597" s="1499">
        <f t="shared" si="382"/>
        <v>4</v>
      </c>
      <c r="B2597" s="1539" t="str">
        <f t="shared" si="382"/>
        <v>Asset Recived From Civil-U#8-StructuralSteelWorks4TGBldgA2EBays-10201</v>
      </c>
      <c r="C2597" s="1491" t="str">
        <f t="shared" si="382"/>
        <v>N.A.</v>
      </c>
      <c r="D2597" s="1531" t="str">
        <f t="shared" si="382"/>
        <v>-</v>
      </c>
      <c r="E2597" s="1318">
        <f t="shared" si="382"/>
        <v>0</v>
      </c>
      <c r="F2597" s="1437">
        <f t="shared" si="377"/>
        <v>1.397639E-3</v>
      </c>
      <c r="G2597" s="1437">
        <f t="shared" si="378"/>
        <v>0</v>
      </c>
      <c r="H2597" s="1437">
        <f t="shared" si="379"/>
        <v>1.397639E-3</v>
      </c>
      <c r="I2597" s="1437">
        <v>0</v>
      </c>
      <c r="J2597" s="1437">
        <v>0</v>
      </c>
      <c r="K2597" s="1438"/>
      <c r="L2597" s="1438"/>
      <c r="M2597" s="1437">
        <f t="shared" si="376"/>
        <v>0</v>
      </c>
      <c r="N2597" s="1437">
        <f t="shared" si="380"/>
        <v>1.397639E-3</v>
      </c>
    </row>
    <row r="2598" spans="1:14" outlineLevel="1">
      <c r="A2598" s="1499">
        <f t="shared" si="382"/>
        <v>5</v>
      </c>
      <c r="B2598" s="1539" t="str">
        <f t="shared" si="382"/>
        <v>Asset Recived From Civil-U#8-WTP Building-10201</v>
      </c>
      <c r="C2598" s="1491" t="str">
        <f t="shared" si="382"/>
        <v>N.A.</v>
      </c>
      <c r="D2598" s="1531" t="str">
        <f t="shared" si="382"/>
        <v>-</v>
      </c>
      <c r="E2598" s="1318">
        <f t="shared" si="382"/>
        <v>0</v>
      </c>
      <c r="F2598" s="1437">
        <f t="shared" si="377"/>
        <v>1.14825E-4</v>
      </c>
      <c r="G2598" s="1437">
        <f t="shared" si="378"/>
        <v>0</v>
      </c>
      <c r="H2598" s="1437">
        <f t="shared" si="379"/>
        <v>1.14825E-4</v>
      </c>
      <c r="I2598" s="1437">
        <v>0</v>
      </c>
      <c r="J2598" s="1437">
        <v>0</v>
      </c>
      <c r="K2598" s="1438"/>
      <c r="L2598" s="1438"/>
      <c r="M2598" s="1437">
        <f t="shared" si="376"/>
        <v>0</v>
      </c>
      <c r="N2598" s="1437">
        <f t="shared" si="380"/>
        <v>1.14825E-4</v>
      </c>
    </row>
    <row r="2599" spans="1:14" ht="29" outlineLevel="1">
      <c r="A2599" s="1499">
        <f t="shared" si="382"/>
        <v>6</v>
      </c>
      <c r="B2599" s="1539" t="str">
        <f t="shared" si="382"/>
        <v>Asset Recived From Civil-U#8-DG SET ROOM CUM AIR COMP. HOUSE-10201</v>
      </c>
      <c r="C2599" s="1491" t="str">
        <f t="shared" si="382"/>
        <v>N.A.</v>
      </c>
      <c r="D2599" s="1531" t="str">
        <f t="shared" si="382"/>
        <v>-</v>
      </c>
      <c r="E2599" s="1318">
        <f t="shared" si="382"/>
        <v>0</v>
      </c>
      <c r="F2599" s="1437">
        <f t="shared" si="377"/>
        <v>1.05983E-4</v>
      </c>
      <c r="G2599" s="1437">
        <f t="shared" si="378"/>
        <v>0</v>
      </c>
      <c r="H2599" s="1437">
        <f t="shared" si="379"/>
        <v>1.05983E-4</v>
      </c>
      <c r="I2599" s="1437">
        <v>0</v>
      </c>
      <c r="J2599" s="1437">
        <v>0</v>
      </c>
      <c r="K2599" s="1438"/>
      <c r="L2599" s="1438"/>
      <c r="M2599" s="1437">
        <f t="shared" si="376"/>
        <v>0</v>
      </c>
      <c r="N2599" s="1437">
        <f t="shared" si="380"/>
        <v>1.05983E-4</v>
      </c>
    </row>
    <row r="2600" spans="1:14" ht="29" outlineLevel="1">
      <c r="A2600" s="1499">
        <f t="shared" si="382"/>
        <v>7</v>
      </c>
      <c r="B2600" s="1539" t="str">
        <f t="shared" si="382"/>
        <v>Asset Recived From Civil-U#8-WTP-Raw/Fire water pump House-10233</v>
      </c>
      <c r="C2600" s="1491" t="str">
        <f t="shared" si="382"/>
        <v>N.A.</v>
      </c>
      <c r="D2600" s="1531" t="str">
        <f t="shared" si="382"/>
        <v>-</v>
      </c>
      <c r="E2600" s="1318">
        <f t="shared" si="382"/>
        <v>0</v>
      </c>
      <c r="F2600" s="1437">
        <f t="shared" si="377"/>
        <v>6.9018599999999997E-4</v>
      </c>
      <c r="G2600" s="1437">
        <f t="shared" si="378"/>
        <v>0</v>
      </c>
      <c r="H2600" s="1437">
        <f t="shared" si="379"/>
        <v>6.9018599999999997E-4</v>
      </c>
      <c r="I2600" s="1437">
        <v>0</v>
      </c>
      <c r="J2600" s="1437">
        <v>0</v>
      </c>
      <c r="K2600" s="1438"/>
      <c r="L2600" s="1438"/>
      <c r="M2600" s="1437">
        <f t="shared" si="376"/>
        <v>0</v>
      </c>
      <c r="N2600" s="1437">
        <f t="shared" si="380"/>
        <v>6.9018599999999997E-4</v>
      </c>
    </row>
    <row r="2601" spans="1:14" outlineLevel="1">
      <c r="A2601" s="1499">
        <f t="shared" si="382"/>
        <v>8</v>
      </c>
      <c r="B2601" s="1539" t="str">
        <f t="shared" si="382"/>
        <v>Asset Recived From Civil-U#8-SERVICE BUILDING -10211</v>
      </c>
      <c r="C2601" s="1491" t="str">
        <f t="shared" si="382"/>
        <v>N.A.</v>
      </c>
      <c r="D2601" s="1531" t="str">
        <f t="shared" si="382"/>
        <v>-</v>
      </c>
      <c r="E2601" s="1318">
        <f t="shared" si="382"/>
        <v>0</v>
      </c>
      <c r="F2601" s="1437">
        <f t="shared" si="377"/>
        <v>5.51437E-4</v>
      </c>
      <c r="G2601" s="1437">
        <f t="shared" si="378"/>
        <v>0</v>
      </c>
      <c r="H2601" s="1437">
        <f t="shared" si="379"/>
        <v>5.51437E-4</v>
      </c>
      <c r="I2601" s="1437">
        <v>0</v>
      </c>
      <c r="J2601" s="1437">
        <v>0</v>
      </c>
      <c r="K2601" s="1438"/>
      <c r="L2601" s="1438"/>
      <c r="M2601" s="1437">
        <f t="shared" si="376"/>
        <v>0</v>
      </c>
      <c r="N2601" s="1437">
        <f t="shared" si="380"/>
        <v>5.51437E-4</v>
      </c>
    </row>
    <row r="2602" spans="1:14" outlineLevel="1">
      <c r="A2602" s="1499">
        <f t="shared" si="382"/>
        <v>9</v>
      </c>
      <c r="B2602" s="1539" t="str">
        <f t="shared" si="382"/>
        <v>Asset Recived From Civil-U#8-Canteen -10233</v>
      </c>
      <c r="C2602" s="1491" t="str">
        <f t="shared" si="382"/>
        <v>N.A.</v>
      </c>
      <c r="D2602" s="1531" t="str">
        <f t="shared" si="382"/>
        <v>-</v>
      </c>
      <c r="E2602" s="1318">
        <f t="shared" si="382"/>
        <v>0</v>
      </c>
      <c r="F2602" s="1437">
        <f t="shared" si="377"/>
        <v>7.2491400000000001E-4</v>
      </c>
      <c r="G2602" s="1437">
        <f t="shared" si="378"/>
        <v>0</v>
      </c>
      <c r="H2602" s="1437">
        <f t="shared" si="379"/>
        <v>7.2491400000000001E-4</v>
      </c>
      <c r="I2602" s="1437">
        <v>0</v>
      </c>
      <c r="J2602" s="1437">
        <v>0</v>
      </c>
      <c r="K2602" s="1438"/>
      <c r="L2602" s="1438"/>
      <c r="M2602" s="1437">
        <f t="shared" si="376"/>
        <v>0</v>
      </c>
      <c r="N2602" s="1437">
        <f t="shared" si="380"/>
        <v>7.2491400000000001E-4</v>
      </c>
    </row>
    <row r="2603" spans="1:14" outlineLevel="1">
      <c r="A2603" s="1499">
        <f t="shared" si="382"/>
        <v>10</v>
      </c>
      <c r="B2603" s="1539" t="str">
        <f t="shared" si="382"/>
        <v>Asset Recived From Civil-U#8-PARKING SHED -10233</v>
      </c>
      <c r="C2603" s="1491" t="str">
        <f t="shared" si="382"/>
        <v>N.A.</v>
      </c>
      <c r="D2603" s="1531" t="str">
        <f t="shared" si="382"/>
        <v>-</v>
      </c>
      <c r="E2603" s="1318">
        <f t="shared" si="382"/>
        <v>0</v>
      </c>
      <c r="F2603" s="1437">
        <f t="shared" si="377"/>
        <v>6.1109999999999996E-6</v>
      </c>
      <c r="G2603" s="1437">
        <f t="shared" si="378"/>
        <v>0</v>
      </c>
      <c r="H2603" s="1437">
        <f t="shared" si="379"/>
        <v>6.1109999999999996E-6</v>
      </c>
      <c r="I2603" s="1437">
        <v>0</v>
      </c>
      <c r="J2603" s="1437">
        <v>0</v>
      </c>
      <c r="K2603" s="1438"/>
      <c r="L2603" s="1438"/>
      <c r="M2603" s="1437">
        <f t="shared" si="376"/>
        <v>0</v>
      </c>
      <c r="N2603" s="1437">
        <f t="shared" si="380"/>
        <v>6.1109999999999996E-6</v>
      </c>
    </row>
    <row r="2604" spans="1:14" outlineLevel="1">
      <c r="A2604" s="1499">
        <f t="shared" si="382"/>
        <v>11</v>
      </c>
      <c r="B2604" s="1539" t="str">
        <f t="shared" si="382"/>
        <v>Asset Recived From Civil-U#8-Time Security Building -10233</v>
      </c>
      <c r="C2604" s="1491" t="str">
        <f t="shared" si="382"/>
        <v>N.A.</v>
      </c>
      <c r="D2604" s="1531" t="str">
        <f t="shared" si="382"/>
        <v>-</v>
      </c>
      <c r="E2604" s="1318">
        <f t="shared" si="382"/>
        <v>0</v>
      </c>
      <c r="F2604" s="1437">
        <f t="shared" si="377"/>
        <v>3.595E-5</v>
      </c>
      <c r="G2604" s="1437">
        <f t="shared" si="378"/>
        <v>0</v>
      </c>
      <c r="H2604" s="1437">
        <f t="shared" si="379"/>
        <v>3.595E-5</v>
      </c>
      <c r="I2604" s="1437">
        <v>0</v>
      </c>
      <c r="J2604" s="1437">
        <v>0</v>
      </c>
      <c r="K2604" s="1438"/>
      <c r="L2604" s="1438"/>
      <c r="M2604" s="1437">
        <f t="shared" si="376"/>
        <v>0</v>
      </c>
      <c r="N2604" s="1437">
        <f t="shared" si="380"/>
        <v>3.595E-5</v>
      </c>
    </row>
    <row r="2605" spans="1:14" ht="29" outlineLevel="1">
      <c r="A2605" s="1499">
        <f t="shared" si="382"/>
        <v>12</v>
      </c>
      <c r="B2605" s="1539" t="str">
        <f t="shared" si="382"/>
        <v>Asset Recived From Civil-U#8-Misc.Building/structure/Watchtower-10233</v>
      </c>
      <c r="C2605" s="1491" t="str">
        <f t="shared" si="382"/>
        <v>N.A.</v>
      </c>
      <c r="D2605" s="1531" t="str">
        <f t="shared" si="382"/>
        <v>-</v>
      </c>
      <c r="E2605" s="1318">
        <f t="shared" si="382"/>
        <v>0</v>
      </c>
      <c r="F2605" s="1437">
        <f t="shared" si="377"/>
        <v>1.7243E-4</v>
      </c>
      <c r="G2605" s="1437">
        <f t="shared" si="378"/>
        <v>0</v>
      </c>
      <c r="H2605" s="1437">
        <f t="shared" si="379"/>
        <v>1.7243E-4</v>
      </c>
      <c r="I2605" s="1437">
        <v>0</v>
      </c>
      <c r="J2605" s="1437">
        <v>0</v>
      </c>
      <c r="K2605" s="1438"/>
      <c r="L2605" s="1438"/>
      <c r="M2605" s="1437">
        <f t="shared" si="376"/>
        <v>0</v>
      </c>
      <c r="N2605" s="1437">
        <f t="shared" si="380"/>
        <v>1.7243E-4</v>
      </c>
    </row>
    <row r="2606" spans="1:14" outlineLevel="1">
      <c r="A2606" s="1499">
        <f t="shared" ref="A2606:E2621" si="383">A2213</f>
        <v>13</v>
      </c>
      <c r="B2606" s="1539" t="str">
        <f t="shared" si="383"/>
        <v>Asset Recived From Civil-U#8-Boundry compound wall Mall-10233</v>
      </c>
      <c r="C2606" s="1491" t="str">
        <f t="shared" si="383"/>
        <v>N.A.</v>
      </c>
      <c r="D2606" s="1531" t="str">
        <f t="shared" si="383"/>
        <v>-</v>
      </c>
      <c r="E2606" s="1318">
        <f t="shared" si="383"/>
        <v>0</v>
      </c>
      <c r="F2606" s="1437">
        <f t="shared" si="377"/>
        <v>0.15765880700000001</v>
      </c>
      <c r="G2606" s="1437">
        <f t="shared" si="378"/>
        <v>0</v>
      </c>
      <c r="H2606" s="1437">
        <f t="shared" si="379"/>
        <v>0.15765880700000001</v>
      </c>
      <c r="I2606" s="1437">
        <v>0</v>
      </c>
      <c r="J2606" s="1437">
        <v>0</v>
      </c>
      <c r="K2606" s="1438"/>
      <c r="L2606" s="1438"/>
      <c r="M2606" s="1437">
        <f t="shared" si="376"/>
        <v>0</v>
      </c>
      <c r="N2606" s="1437">
        <f t="shared" si="380"/>
        <v>0.15765880700000001</v>
      </c>
    </row>
    <row r="2607" spans="1:14" outlineLevel="1">
      <c r="A2607" s="1499">
        <f t="shared" si="383"/>
        <v>14</v>
      </c>
      <c r="B2607" s="1539" t="str">
        <f t="shared" si="383"/>
        <v>Asset Recived From Civil-U#8-Workshop civil work-10233</v>
      </c>
      <c r="C2607" s="1491" t="str">
        <f t="shared" si="383"/>
        <v>N.A.</v>
      </c>
      <c r="D2607" s="1531" t="str">
        <f t="shared" si="383"/>
        <v>-</v>
      </c>
      <c r="E2607" s="1318">
        <f t="shared" si="383"/>
        <v>0</v>
      </c>
      <c r="F2607" s="1437">
        <f t="shared" si="377"/>
        <v>4.1879999999999999E-5</v>
      </c>
      <c r="G2607" s="1437">
        <f t="shared" si="378"/>
        <v>0</v>
      </c>
      <c r="H2607" s="1437">
        <f t="shared" si="379"/>
        <v>4.1879999999999999E-5</v>
      </c>
      <c r="I2607" s="1437">
        <v>0</v>
      </c>
      <c r="J2607" s="1437">
        <v>0</v>
      </c>
      <c r="K2607" s="1438"/>
      <c r="L2607" s="1438"/>
      <c r="M2607" s="1437">
        <f t="shared" si="376"/>
        <v>0</v>
      </c>
      <c r="N2607" s="1437">
        <f t="shared" si="380"/>
        <v>4.1879999999999999E-5</v>
      </c>
    </row>
    <row r="2608" spans="1:14" outlineLevel="1">
      <c r="A2608" s="1499">
        <f t="shared" si="383"/>
        <v>15</v>
      </c>
      <c r="B2608" s="1539" t="str">
        <f t="shared" si="383"/>
        <v>Asset Recived From Civil-U#8-Interior Work for CEC-I Office-10233</v>
      </c>
      <c r="C2608" s="1491" t="str">
        <f t="shared" si="383"/>
        <v>N.A.</v>
      </c>
      <c r="D2608" s="1531" t="str">
        <f t="shared" si="383"/>
        <v>-</v>
      </c>
      <c r="E2608" s="1318">
        <f t="shared" si="383"/>
        <v>0</v>
      </c>
      <c r="F2608" s="1437">
        <f t="shared" si="377"/>
        <v>5.6437999999999997E-5</v>
      </c>
      <c r="G2608" s="1437">
        <f t="shared" si="378"/>
        <v>0</v>
      </c>
      <c r="H2608" s="1437">
        <f t="shared" si="379"/>
        <v>5.6437999999999997E-5</v>
      </c>
      <c r="I2608" s="1437">
        <v>0</v>
      </c>
      <c r="J2608" s="1437">
        <v>0</v>
      </c>
      <c r="K2608" s="1438"/>
      <c r="L2608" s="1438"/>
      <c r="M2608" s="1437">
        <f t="shared" si="376"/>
        <v>0</v>
      </c>
      <c r="N2608" s="1437">
        <f t="shared" si="380"/>
        <v>5.6437999999999997E-5</v>
      </c>
    </row>
    <row r="2609" spans="1:14" outlineLevel="1">
      <c r="A2609" s="1499">
        <f t="shared" si="383"/>
        <v>16</v>
      </c>
      <c r="B2609" s="1539" t="str">
        <f t="shared" si="383"/>
        <v>Asset Recived From Civil-U#8-WTP-Raw water reservoir -10305</v>
      </c>
      <c r="C2609" s="1491" t="str">
        <f t="shared" si="383"/>
        <v>N.A.</v>
      </c>
      <c r="D2609" s="1531" t="str">
        <f t="shared" si="383"/>
        <v>-</v>
      </c>
      <c r="E2609" s="1318">
        <f t="shared" si="383"/>
        <v>0</v>
      </c>
      <c r="F2609" s="1437">
        <f t="shared" si="377"/>
        <v>1.224798E-3</v>
      </c>
      <c r="G2609" s="1437">
        <f t="shared" si="378"/>
        <v>0</v>
      </c>
      <c r="H2609" s="1437">
        <f t="shared" si="379"/>
        <v>1.224798E-3</v>
      </c>
      <c r="I2609" s="1437">
        <v>0</v>
      </c>
      <c r="J2609" s="1437">
        <v>0</v>
      </c>
      <c r="K2609" s="1438"/>
      <c r="L2609" s="1438"/>
      <c r="M2609" s="1437">
        <f t="shared" si="376"/>
        <v>0</v>
      </c>
      <c r="N2609" s="1437">
        <f t="shared" si="380"/>
        <v>1.224798E-3</v>
      </c>
    </row>
    <row r="2610" spans="1:14" outlineLevel="1">
      <c r="A2610" s="1499">
        <f t="shared" si="383"/>
        <v>17</v>
      </c>
      <c r="B2610" s="1539" t="str">
        <f t="shared" si="383"/>
        <v>Asset Recived From Civil-U#8-WTP-Clarifier -10305</v>
      </c>
      <c r="C2610" s="1491" t="str">
        <f t="shared" si="383"/>
        <v>N.A.</v>
      </c>
      <c r="D2610" s="1531" t="str">
        <f t="shared" si="383"/>
        <v>-</v>
      </c>
      <c r="E2610" s="1318">
        <f t="shared" si="383"/>
        <v>0</v>
      </c>
      <c r="F2610" s="1437">
        <f t="shared" si="377"/>
        <v>1.1651750000000001E-3</v>
      </c>
      <c r="G2610" s="1437">
        <f t="shared" si="378"/>
        <v>0</v>
      </c>
      <c r="H2610" s="1437">
        <f t="shared" si="379"/>
        <v>1.1651750000000001E-3</v>
      </c>
      <c r="I2610" s="1437">
        <v>0</v>
      </c>
      <c r="J2610" s="1437">
        <v>0</v>
      </c>
      <c r="K2610" s="1438"/>
      <c r="L2610" s="1438"/>
      <c r="M2610" s="1437">
        <f t="shared" si="376"/>
        <v>0</v>
      </c>
      <c r="N2610" s="1437">
        <f t="shared" si="380"/>
        <v>1.1651750000000001E-3</v>
      </c>
    </row>
    <row r="2611" spans="1:14" ht="29" outlineLevel="1">
      <c r="A2611" s="1499">
        <f t="shared" si="383"/>
        <v>18</v>
      </c>
      <c r="B2611" s="1539" t="str">
        <f t="shared" si="383"/>
        <v>Asset Recived From Civil-U#8-WTP-Clarifier Water Storage Tank-10305</v>
      </c>
      <c r="C2611" s="1491" t="str">
        <f t="shared" si="383"/>
        <v>N.A.</v>
      </c>
      <c r="D2611" s="1531" t="str">
        <f t="shared" si="383"/>
        <v>-</v>
      </c>
      <c r="E2611" s="1318">
        <f t="shared" si="383"/>
        <v>0</v>
      </c>
      <c r="F2611" s="1437">
        <f t="shared" si="377"/>
        <v>1.9514200000000001E-4</v>
      </c>
      <c r="G2611" s="1437">
        <f t="shared" si="378"/>
        <v>0</v>
      </c>
      <c r="H2611" s="1437">
        <f t="shared" si="379"/>
        <v>1.9514200000000001E-4</v>
      </c>
      <c r="I2611" s="1437">
        <v>0</v>
      </c>
      <c r="J2611" s="1437">
        <v>0</v>
      </c>
      <c r="K2611" s="1438"/>
      <c r="L2611" s="1438"/>
      <c r="M2611" s="1437">
        <f t="shared" si="376"/>
        <v>0</v>
      </c>
      <c r="N2611" s="1437">
        <f t="shared" si="380"/>
        <v>1.9514200000000001E-4</v>
      </c>
    </row>
    <row r="2612" spans="1:14" outlineLevel="1">
      <c r="A2612" s="1499">
        <f t="shared" si="383"/>
        <v>19</v>
      </c>
      <c r="B2612" s="1539" t="str">
        <f t="shared" si="383"/>
        <v>Asset Recived From Civil-U#8-C.W. pump house &amp; forebay-10310</v>
      </c>
      <c r="C2612" s="1491" t="str">
        <f t="shared" si="383"/>
        <v>N.A.</v>
      </c>
      <c r="D2612" s="1531" t="str">
        <f t="shared" si="383"/>
        <v>-</v>
      </c>
      <c r="E2612" s="1318">
        <f t="shared" si="383"/>
        <v>0</v>
      </c>
      <c r="F2612" s="1437">
        <f t="shared" si="377"/>
        <v>5.2946099999999995E-4</v>
      </c>
      <c r="G2612" s="1437">
        <f t="shared" si="378"/>
        <v>0</v>
      </c>
      <c r="H2612" s="1437">
        <f t="shared" si="379"/>
        <v>5.2946099999999995E-4</v>
      </c>
      <c r="I2612" s="1437">
        <v>0</v>
      </c>
      <c r="J2612" s="1437">
        <v>0</v>
      </c>
      <c r="K2612" s="1438"/>
      <c r="L2612" s="1438"/>
      <c r="M2612" s="1437">
        <f t="shared" si="376"/>
        <v>0</v>
      </c>
      <c r="N2612" s="1437">
        <f t="shared" si="380"/>
        <v>5.2946099999999995E-4</v>
      </c>
    </row>
    <row r="2613" spans="1:14" outlineLevel="1">
      <c r="A2613" s="1499">
        <f t="shared" si="383"/>
        <v>20</v>
      </c>
      <c r="B2613" s="1539" t="str">
        <f t="shared" si="383"/>
        <v>Asset Recived From Civil-U#8-Construction of STP for Colony-10322</v>
      </c>
      <c r="C2613" s="1491" t="str">
        <f t="shared" si="383"/>
        <v>N.A.</v>
      </c>
      <c r="D2613" s="1531" t="str">
        <f t="shared" si="383"/>
        <v>-</v>
      </c>
      <c r="E2613" s="1318">
        <f t="shared" si="383"/>
        <v>0</v>
      </c>
      <c r="F2613" s="1437">
        <f t="shared" si="377"/>
        <v>1.79662E-4</v>
      </c>
      <c r="G2613" s="1437">
        <f t="shared" si="378"/>
        <v>0</v>
      </c>
      <c r="H2613" s="1437">
        <f t="shared" si="379"/>
        <v>1.79662E-4</v>
      </c>
      <c r="I2613" s="1437">
        <v>0</v>
      </c>
      <c r="J2613" s="1437">
        <v>0</v>
      </c>
      <c r="K2613" s="1438"/>
      <c r="L2613" s="1438"/>
      <c r="M2613" s="1437">
        <f t="shared" si="376"/>
        <v>0</v>
      </c>
      <c r="N2613" s="1437">
        <f t="shared" si="380"/>
        <v>1.79662E-4</v>
      </c>
    </row>
    <row r="2614" spans="1:14" outlineLevel="1">
      <c r="A2614" s="1499">
        <f t="shared" si="383"/>
        <v>21</v>
      </c>
      <c r="B2614" s="1539" t="str">
        <f t="shared" si="383"/>
        <v>Asset Recived From Civil-U#8-Cooling Towers-10311</v>
      </c>
      <c r="C2614" s="1491" t="str">
        <f t="shared" si="383"/>
        <v>N.A.</v>
      </c>
      <c r="D2614" s="1531" t="str">
        <f t="shared" si="383"/>
        <v>-</v>
      </c>
      <c r="E2614" s="1318">
        <f t="shared" si="383"/>
        <v>0</v>
      </c>
      <c r="F2614" s="1437">
        <f t="shared" si="377"/>
        <v>0.37627639299999999</v>
      </c>
      <c r="G2614" s="1437">
        <f t="shared" si="378"/>
        <v>0</v>
      </c>
      <c r="H2614" s="1437">
        <f t="shared" si="379"/>
        <v>0.37627639299999999</v>
      </c>
      <c r="I2614" s="1437">
        <v>0</v>
      </c>
      <c r="J2614" s="1437">
        <v>0</v>
      </c>
      <c r="K2614" s="1438"/>
      <c r="L2614" s="1438"/>
      <c r="M2614" s="1437">
        <f t="shared" si="376"/>
        <v>0</v>
      </c>
      <c r="N2614" s="1437">
        <f t="shared" si="380"/>
        <v>0.37627639299999999</v>
      </c>
    </row>
    <row r="2615" spans="1:14" outlineLevel="1">
      <c r="A2615" s="1499">
        <f t="shared" si="383"/>
        <v>22</v>
      </c>
      <c r="B2615" s="1539" t="str">
        <f t="shared" si="383"/>
        <v>Asset Recived From Civil-U#8-Railway sidings-10412</v>
      </c>
      <c r="C2615" s="1491" t="str">
        <f t="shared" si="383"/>
        <v>N.A.</v>
      </c>
      <c r="D2615" s="1531" t="str">
        <f t="shared" si="383"/>
        <v>-</v>
      </c>
      <c r="E2615" s="1318">
        <f t="shared" si="383"/>
        <v>0</v>
      </c>
      <c r="F2615" s="1437">
        <f t="shared" si="377"/>
        <v>0.13615478800000003</v>
      </c>
      <c r="G2615" s="1437">
        <f t="shared" si="378"/>
        <v>0</v>
      </c>
      <c r="H2615" s="1437">
        <f t="shared" si="379"/>
        <v>0.13615478800000003</v>
      </c>
      <c r="I2615" s="1437">
        <v>0</v>
      </c>
      <c r="J2615" s="1437">
        <v>0</v>
      </c>
      <c r="K2615" s="1438"/>
      <c r="L2615" s="1438"/>
      <c r="M2615" s="1437">
        <f t="shared" si="376"/>
        <v>0</v>
      </c>
      <c r="N2615" s="1437">
        <f t="shared" si="380"/>
        <v>0.13615478800000003</v>
      </c>
    </row>
    <row r="2616" spans="1:14" outlineLevel="1">
      <c r="A2616" s="1499">
        <f t="shared" si="383"/>
        <v>23</v>
      </c>
      <c r="B2616" s="1539" t="str">
        <f t="shared" si="383"/>
        <v>Asset Recived From Civil-U#8-In plant Roads -10401</v>
      </c>
      <c r="C2616" s="1491" t="str">
        <f t="shared" si="383"/>
        <v>N.A.</v>
      </c>
      <c r="D2616" s="1531" t="str">
        <f t="shared" si="383"/>
        <v>-</v>
      </c>
      <c r="E2616" s="1318">
        <f t="shared" si="383"/>
        <v>0</v>
      </c>
      <c r="F2616" s="1437">
        <f t="shared" si="377"/>
        <v>9.1029900000000005E-4</v>
      </c>
      <c r="G2616" s="1437">
        <f t="shared" si="378"/>
        <v>0</v>
      </c>
      <c r="H2616" s="1437">
        <f t="shared" si="379"/>
        <v>9.1029900000000005E-4</v>
      </c>
      <c r="I2616" s="1437">
        <v>0</v>
      </c>
      <c r="J2616" s="1437">
        <v>0</v>
      </c>
      <c r="K2616" s="1438"/>
      <c r="L2616" s="1438"/>
      <c r="M2616" s="1437">
        <f t="shared" si="376"/>
        <v>0</v>
      </c>
      <c r="N2616" s="1437">
        <f t="shared" si="380"/>
        <v>9.1029900000000005E-4</v>
      </c>
    </row>
    <row r="2617" spans="1:14" outlineLevel="1">
      <c r="A2617" s="1499">
        <f t="shared" si="383"/>
        <v>24</v>
      </c>
      <c r="B2617" s="1539" t="str">
        <f t="shared" si="383"/>
        <v>Asset Recived From Civil-U#8-Pipe Rack -10419</v>
      </c>
      <c r="C2617" s="1491" t="str">
        <f t="shared" si="383"/>
        <v>N.A.</v>
      </c>
      <c r="D2617" s="1531" t="str">
        <f t="shared" si="383"/>
        <v>-</v>
      </c>
      <c r="E2617" s="1318">
        <f t="shared" si="383"/>
        <v>0</v>
      </c>
      <c r="F2617" s="1437">
        <f t="shared" si="377"/>
        <v>4.1823400000000002E-4</v>
      </c>
      <c r="G2617" s="1437">
        <f t="shared" si="378"/>
        <v>0</v>
      </c>
      <c r="H2617" s="1437">
        <f t="shared" si="379"/>
        <v>4.1823400000000002E-4</v>
      </c>
      <c r="I2617" s="1437">
        <v>0</v>
      </c>
      <c r="J2617" s="1437">
        <v>0</v>
      </c>
      <c r="K2617" s="1438"/>
      <c r="L2617" s="1438"/>
      <c r="M2617" s="1437">
        <f t="shared" si="376"/>
        <v>0</v>
      </c>
      <c r="N2617" s="1437">
        <f t="shared" si="380"/>
        <v>4.1823400000000002E-4</v>
      </c>
    </row>
    <row r="2618" spans="1:14" outlineLevel="1">
      <c r="A2618" s="1499">
        <f t="shared" si="383"/>
        <v>25</v>
      </c>
      <c r="B2618" s="1539" t="str">
        <f t="shared" si="383"/>
        <v>Asset Recived From Civil-U#8-Transformar yard area -10541</v>
      </c>
      <c r="C2618" s="1491" t="str">
        <f t="shared" si="383"/>
        <v>N.A.</v>
      </c>
      <c r="D2618" s="1531" t="str">
        <f t="shared" si="383"/>
        <v>-</v>
      </c>
      <c r="E2618" s="1318">
        <f t="shared" si="383"/>
        <v>0</v>
      </c>
      <c r="F2618" s="1437">
        <f t="shared" si="377"/>
        <v>5.31695E-4</v>
      </c>
      <c r="G2618" s="1437">
        <f t="shared" si="378"/>
        <v>0</v>
      </c>
      <c r="H2618" s="1437">
        <f t="shared" si="379"/>
        <v>5.31695E-4</v>
      </c>
      <c r="I2618" s="1437">
        <v>0</v>
      </c>
      <c r="J2618" s="1437">
        <v>0</v>
      </c>
      <c r="K2618" s="1438"/>
      <c r="L2618" s="1438"/>
      <c r="M2618" s="1437">
        <f t="shared" si="376"/>
        <v>0</v>
      </c>
      <c r="N2618" s="1437">
        <f t="shared" si="380"/>
        <v>5.31695E-4</v>
      </c>
    </row>
    <row r="2619" spans="1:14" ht="29" outlineLevel="1">
      <c r="A2619" s="1499">
        <f t="shared" si="383"/>
        <v>26</v>
      </c>
      <c r="B2619" s="1539" t="str">
        <f t="shared" si="383"/>
        <v>Asset Recived From Civil-U#8-BA-Boiler and Auxilary foundation-10501</v>
      </c>
      <c r="C2619" s="1491" t="str">
        <f t="shared" si="383"/>
        <v>N.A.</v>
      </c>
      <c r="D2619" s="1531" t="str">
        <f t="shared" si="383"/>
        <v>-</v>
      </c>
      <c r="E2619" s="1318">
        <f t="shared" si="383"/>
        <v>0</v>
      </c>
      <c r="F2619" s="1437">
        <f t="shared" si="377"/>
        <v>6.1116199999999999E-3</v>
      </c>
      <c r="G2619" s="1437">
        <f t="shared" si="378"/>
        <v>0</v>
      </c>
      <c r="H2619" s="1437">
        <f t="shared" si="379"/>
        <v>6.1116199999999999E-3</v>
      </c>
      <c r="I2619" s="1437">
        <v>0</v>
      </c>
      <c r="J2619" s="1437">
        <v>0</v>
      </c>
      <c r="K2619" s="1438"/>
      <c r="L2619" s="1438"/>
      <c r="M2619" s="1437">
        <f t="shared" si="376"/>
        <v>0</v>
      </c>
      <c r="N2619" s="1437">
        <f t="shared" si="380"/>
        <v>6.1116199999999999E-3</v>
      </c>
    </row>
    <row r="2620" spans="1:14" outlineLevel="1">
      <c r="A2620" s="1499">
        <f t="shared" si="383"/>
        <v>27</v>
      </c>
      <c r="B2620" s="1539" t="str">
        <f t="shared" si="383"/>
        <v>Asset Recived From Civil-U#8-BA-FD FAN FOUNDATIONS -10501</v>
      </c>
      <c r="C2620" s="1491" t="str">
        <f t="shared" si="383"/>
        <v>N.A.</v>
      </c>
      <c r="D2620" s="1531" t="str">
        <f t="shared" si="383"/>
        <v>-</v>
      </c>
      <c r="E2620" s="1318">
        <f t="shared" si="383"/>
        <v>0</v>
      </c>
      <c r="F2620" s="1437">
        <f t="shared" si="377"/>
        <v>1.11659E-4</v>
      </c>
      <c r="G2620" s="1437">
        <f t="shared" si="378"/>
        <v>0</v>
      </c>
      <c r="H2620" s="1437">
        <f t="shared" si="379"/>
        <v>1.11659E-4</v>
      </c>
      <c r="I2620" s="1437">
        <v>0</v>
      </c>
      <c r="J2620" s="1437">
        <v>0</v>
      </c>
      <c r="K2620" s="1438"/>
      <c r="L2620" s="1438"/>
      <c r="M2620" s="1437">
        <f t="shared" si="376"/>
        <v>0</v>
      </c>
      <c r="N2620" s="1437">
        <f t="shared" si="380"/>
        <v>1.11659E-4</v>
      </c>
    </row>
    <row r="2621" spans="1:14" outlineLevel="1">
      <c r="A2621" s="1499">
        <f t="shared" si="383"/>
        <v>28</v>
      </c>
      <c r="B2621" s="1539" t="str">
        <f t="shared" si="383"/>
        <v>Asset Recived From Civil-U#8-BA-PA FAN FOUNDATION -10501</v>
      </c>
      <c r="C2621" s="1491" t="str">
        <f t="shared" si="383"/>
        <v>N.A.</v>
      </c>
      <c r="D2621" s="1531" t="str">
        <f t="shared" si="383"/>
        <v>-</v>
      </c>
      <c r="E2621" s="1318">
        <f t="shared" si="383"/>
        <v>0</v>
      </c>
      <c r="F2621" s="1437">
        <f t="shared" si="377"/>
        <v>1.11659E-4</v>
      </c>
      <c r="G2621" s="1437">
        <f t="shared" si="378"/>
        <v>0</v>
      </c>
      <c r="H2621" s="1437">
        <f t="shared" si="379"/>
        <v>1.11659E-4</v>
      </c>
      <c r="I2621" s="1437">
        <v>0</v>
      </c>
      <c r="J2621" s="1437">
        <v>0</v>
      </c>
      <c r="K2621" s="1438"/>
      <c r="L2621" s="1438"/>
      <c r="M2621" s="1437">
        <f t="shared" si="376"/>
        <v>0</v>
      </c>
      <c r="N2621" s="1437">
        <f t="shared" si="380"/>
        <v>1.11659E-4</v>
      </c>
    </row>
    <row r="2622" spans="1:14" outlineLevel="1">
      <c r="A2622" s="1499">
        <f t="shared" ref="A2622:E2637" si="384">A2229</f>
        <v>29</v>
      </c>
      <c r="B2622" s="1539" t="str">
        <f t="shared" si="384"/>
        <v>Asset Recived From Civil-U#8-BA-I.D. Fan foundation -10501</v>
      </c>
      <c r="C2622" s="1491" t="str">
        <f t="shared" si="384"/>
        <v>N.A.</v>
      </c>
      <c r="D2622" s="1531" t="str">
        <f t="shared" si="384"/>
        <v>-</v>
      </c>
      <c r="E2622" s="1318">
        <f t="shared" si="384"/>
        <v>0</v>
      </c>
      <c r="F2622" s="1437">
        <f t="shared" si="377"/>
        <v>2.23317E-4</v>
      </c>
      <c r="G2622" s="1437">
        <f t="shared" si="378"/>
        <v>0</v>
      </c>
      <c r="H2622" s="1437">
        <f t="shared" si="379"/>
        <v>2.23317E-4</v>
      </c>
      <c r="I2622" s="1437">
        <v>0</v>
      </c>
      <c r="J2622" s="1437">
        <v>0</v>
      </c>
      <c r="K2622" s="1438"/>
      <c r="L2622" s="1438"/>
      <c r="M2622" s="1437">
        <f t="shared" si="376"/>
        <v>0</v>
      </c>
      <c r="N2622" s="1437">
        <f t="shared" si="380"/>
        <v>2.23317E-4</v>
      </c>
    </row>
    <row r="2623" spans="1:14" outlineLevel="1">
      <c r="A2623" s="1499">
        <f t="shared" si="384"/>
        <v>30</v>
      </c>
      <c r="B2623" s="1539" t="str">
        <f t="shared" si="384"/>
        <v>Asset Recived From Civil-U#8-BA-MILL FOUNDATION-10501</v>
      </c>
      <c r="C2623" s="1491" t="str">
        <f t="shared" si="384"/>
        <v>N.A.</v>
      </c>
      <c r="D2623" s="1531" t="str">
        <f t="shared" si="384"/>
        <v>-</v>
      </c>
      <c r="E2623" s="1318">
        <f t="shared" si="384"/>
        <v>0</v>
      </c>
      <c r="F2623" s="1437">
        <f t="shared" si="377"/>
        <v>1.98259E-4</v>
      </c>
      <c r="G2623" s="1437">
        <f t="shared" si="378"/>
        <v>0</v>
      </c>
      <c r="H2623" s="1437">
        <f t="shared" si="379"/>
        <v>1.98259E-4</v>
      </c>
      <c r="I2623" s="1437">
        <v>0</v>
      </c>
      <c r="J2623" s="1437">
        <v>0</v>
      </c>
      <c r="K2623" s="1438"/>
      <c r="L2623" s="1438"/>
      <c r="M2623" s="1437">
        <f t="shared" si="376"/>
        <v>0</v>
      </c>
      <c r="N2623" s="1437">
        <f t="shared" si="380"/>
        <v>1.98259E-4</v>
      </c>
    </row>
    <row r="2624" spans="1:14" ht="29" outlineLevel="1">
      <c r="A2624" s="1499">
        <f t="shared" si="384"/>
        <v>31</v>
      </c>
      <c r="B2624" s="1539" t="str">
        <f t="shared" si="384"/>
        <v>Asset Recived From Civil-U#8-BA-BUNKER FOUNDATION &amp; STRUCTURE-10515</v>
      </c>
      <c r="C2624" s="1491" t="str">
        <f t="shared" si="384"/>
        <v>N.A.</v>
      </c>
      <c r="D2624" s="1531" t="str">
        <f t="shared" si="384"/>
        <v>-</v>
      </c>
      <c r="E2624" s="1318">
        <f t="shared" si="384"/>
        <v>0</v>
      </c>
      <c r="F2624" s="1437">
        <f t="shared" si="377"/>
        <v>1.392536E-3</v>
      </c>
      <c r="G2624" s="1437">
        <f t="shared" si="378"/>
        <v>0</v>
      </c>
      <c r="H2624" s="1437">
        <f t="shared" si="379"/>
        <v>1.392536E-3</v>
      </c>
      <c r="I2624" s="1437">
        <v>0</v>
      </c>
      <c r="J2624" s="1437">
        <v>0</v>
      </c>
      <c r="K2624" s="1438"/>
      <c r="L2624" s="1438"/>
      <c r="M2624" s="1437">
        <f t="shared" ref="M2624:M2687" si="385">SUM(J2624:L2624)</f>
        <v>0</v>
      </c>
      <c r="N2624" s="1437">
        <f t="shared" si="380"/>
        <v>1.392536E-3</v>
      </c>
    </row>
    <row r="2625" spans="1:14" outlineLevel="1">
      <c r="A2625" s="1499">
        <f t="shared" si="384"/>
        <v>32</v>
      </c>
      <c r="B2625" s="1539" t="str">
        <f t="shared" si="384"/>
        <v>Asset Recived From Civil-U#8-ESP-10501</v>
      </c>
      <c r="C2625" s="1491" t="str">
        <f t="shared" si="384"/>
        <v>N.A.</v>
      </c>
      <c r="D2625" s="1531" t="str">
        <f t="shared" si="384"/>
        <v>-</v>
      </c>
      <c r="E2625" s="1318">
        <f t="shared" si="384"/>
        <v>0</v>
      </c>
      <c r="F2625" s="1437">
        <f t="shared" ref="F2625:F2688" si="386">F2232+I2232</f>
        <v>7.0722000000000005E-4</v>
      </c>
      <c r="G2625" s="1437">
        <f t="shared" ref="G2625:G2688" si="387">G2232+M2232</f>
        <v>0</v>
      </c>
      <c r="H2625" s="1437">
        <f t="shared" si="379"/>
        <v>7.0722000000000005E-4</v>
      </c>
      <c r="I2625" s="1437">
        <v>0</v>
      </c>
      <c r="J2625" s="1437">
        <v>0</v>
      </c>
      <c r="K2625" s="1438"/>
      <c r="L2625" s="1438"/>
      <c r="M2625" s="1437">
        <f t="shared" si="385"/>
        <v>0</v>
      </c>
      <c r="N2625" s="1437">
        <f t="shared" si="380"/>
        <v>7.0722000000000005E-4</v>
      </c>
    </row>
    <row r="2626" spans="1:14" outlineLevel="1">
      <c r="A2626" s="1499">
        <f t="shared" si="384"/>
        <v>33</v>
      </c>
      <c r="B2626" s="1539" t="str">
        <f t="shared" si="384"/>
        <v>Asset Recived From Civil-U#8-ESP Control Room-10501</v>
      </c>
      <c r="C2626" s="1491" t="str">
        <f t="shared" si="384"/>
        <v>N.A.</v>
      </c>
      <c r="D2626" s="1531" t="str">
        <f t="shared" si="384"/>
        <v>-</v>
      </c>
      <c r="E2626" s="1318">
        <f t="shared" si="384"/>
        <v>0</v>
      </c>
      <c r="F2626" s="1437">
        <f t="shared" si="386"/>
        <v>4.2763499999999999E-4</v>
      </c>
      <c r="G2626" s="1437">
        <f t="shared" si="387"/>
        <v>0</v>
      </c>
      <c r="H2626" s="1437">
        <f t="shared" ref="H2626:H2689" si="388">F2626-G2626</f>
        <v>4.2763499999999999E-4</v>
      </c>
      <c r="I2626" s="1437">
        <v>0</v>
      </c>
      <c r="J2626" s="1437">
        <v>0</v>
      </c>
      <c r="K2626" s="1438"/>
      <c r="L2626" s="1438"/>
      <c r="M2626" s="1437">
        <f t="shared" si="385"/>
        <v>0</v>
      </c>
      <c r="N2626" s="1437">
        <f t="shared" ref="N2626:N2689" si="389">H2626+I2626-M2626</f>
        <v>4.2763499999999999E-4</v>
      </c>
    </row>
    <row r="2627" spans="1:14" outlineLevel="1">
      <c r="A2627" s="1499">
        <f t="shared" si="384"/>
        <v>34</v>
      </c>
      <c r="B2627" s="1539" t="str">
        <f t="shared" si="384"/>
        <v>Asset Recived From Civil-U#8-RCC Chimney -10501</v>
      </c>
      <c r="C2627" s="1491" t="str">
        <f t="shared" si="384"/>
        <v>N.A.</v>
      </c>
      <c r="D2627" s="1531" t="str">
        <f t="shared" si="384"/>
        <v>-</v>
      </c>
      <c r="E2627" s="1318">
        <f t="shared" si="384"/>
        <v>0</v>
      </c>
      <c r="F2627" s="1437">
        <f t="shared" si="386"/>
        <v>4.612672E-3</v>
      </c>
      <c r="G2627" s="1437">
        <f t="shared" si="387"/>
        <v>0</v>
      </c>
      <c r="H2627" s="1437">
        <f t="shared" si="388"/>
        <v>4.612672E-3</v>
      </c>
      <c r="I2627" s="1437">
        <v>0</v>
      </c>
      <c r="J2627" s="1437">
        <v>0</v>
      </c>
      <c r="K2627" s="1438"/>
      <c r="L2627" s="1438"/>
      <c r="M2627" s="1437">
        <f t="shared" si="385"/>
        <v>0</v>
      </c>
      <c r="N2627" s="1437">
        <f t="shared" si="389"/>
        <v>4.612672E-3</v>
      </c>
    </row>
    <row r="2628" spans="1:14" ht="29" outlineLevel="1">
      <c r="A2628" s="1499">
        <f t="shared" si="384"/>
        <v>35</v>
      </c>
      <c r="B2628" s="1539" t="str">
        <f t="shared" si="384"/>
        <v>Asset Recived From Civil-U#8-WTP-D.M.Plant equipment fdn. etc.-10509</v>
      </c>
      <c r="C2628" s="1491" t="str">
        <f t="shared" si="384"/>
        <v>N.A.</v>
      </c>
      <c r="D2628" s="1531" t="str">
        <f t="shared" si="384"/>
        <v>-</v>
      </c>
      <c r="E2628" s="1318">
        <f t="shared" si="384"/>
        <v>0</v>
      </c>
      <c r="F2628" s="1437">
        <f t="shared" si="386"/>
        <v>6.3898000000000004E-5</v>
      </c>
      <c r="G2628" s="1437">
        <f t="shared" si="387"/>
        <v>0</v>
      </c>
      <c r="H2628" s="1437">
        <f t="shared" si="388"/>
        <v>6.3898000000000004E-5</v>
      </c>
      <c r="I2628" s="1437">
        <v>0</v>
      </c>
      <c r="J2628" s="1437">
        <v>0</v>
      </c>
      <c r="K2628" s="1438"/>
      <c r="L2628" s="1438"/>
      <c r="M2628" s="1437">
        <f t="shared" si="385"/>
        <v>0</v>
      </c>
      <c r="N2628" s="1437">
        <f t="shared" si="389"/>
        <v>6.3898000000000004E-5</v>
      </c>
    </row>
    <row r="2629" spans="1:14" outlineLevel="1">
      <c r="A2629" s="1499">
        <f t="shared" si="384"/>
        <v>36</v>
      </c>
      <c r="B2629" s="1539" t="str">
        <f t="shared" si="384"/>
        <v>Asset Recived From Civil-U#8-CHP-Wagon Tippler-10515</v>
      </c>
      <c r="C2629" s="1491" t="str">
        <f t="shared" si="384"/>
        <v>N.A.</v>
      </c>
      <c r="D2629" s="1531" t="str">
        <f t="shared" si="384"/>
        <v>-</v>
      </c>
      <c r="E2629" s="1318">
        <f t="shared" si="384"/>
        <v>0</v>
      </c>
      <c r="F2629" s="1437">
        <f t="shared" si="386"/>
        <v>9.4041100000000005E-4</v>
      </c>
      <c r="G2629" s="1437">
        <f t="shared" si="387"/>
        <v>0</v>
      </c>
      <c r="H2629" s="1437">
        <f t="shared" si="388"/>
        <v>9.4041100000000005E-4</v>
      </c>
      <c r="I2629" s="1437">
        <v>0</v>
      </c>
      <c r="J2629" s="1437">
        <v>0</v>
      </c>
      <c r="K2629" s="1438"/>
      <c r="L2629" s="1438"/>
      <c r="M2629" s="1437">
        <f t="shared" si="385"/>
        <v>0</v>
      </c>
      <c r="N2629" s="1437">
        <f t="shared" si="389"/>
        <v>9.4041100000000005E-4</v>
      </c>
    </row>
    <row r="2630" spans="1:14" outlineLevel="1">
      <c r="A2630" s="1499">
        <f t="shared" si="384"/>
        <v>37</v>
      </c>
      <c r="B2630" s="1539" t="str">
        <f t="shared" si="384"/>
        <v>Asset Recived From Civil-U#8-CHP-Crusher House -10515</v>
      </c>
      <c r="C2630" s="1491" t="str">
        <f t="shared" si="384"/>
        <v>N.A.</v>
      </c>
      <c r="D2630" s="1531" t="str">
        <f t="shared" si="384"/>
        <v>-</v>
      </c>
      <c r="E2630" s="1318">
        <f t="shared" si="384"/>
        <v>0</v>
      </c>
      <c r="F2630" s="1437">
        <f t="shared" si="386"/>
        <v>7.4704199999999995E-4</v>
      </c>
      <c r="G2630" s="1437">
        <f t="shared" si="387"/>
        <v>0</v>
      </c>
      <c r="H2630" s="1437">
        <f t="shared" si="388"/>
        <v>7.4704199999999995E-4</v>
      </c>
      <c r="I2630" s="1437">
        <v>0</v>
      </c>
      <c r="J2630" s="1437">
        <v>0</v>
      </c>
      <c r="K2630" s="1438"/>
      <c r="L2630" s="1438"/>
      <c r="M2630" s="1437">
        <f t="shared" si="385"/>
        <v>0</v>
      </c>
      <c r="N2630" s="1437">
        <f t="shared" si="389"/>
        <v>7.4704199999999995E-4</v>
      </c>
    </row>
    <row r="2631" spans="1:14" outlineLevel="1">
      <c r="A2631" s="1499">
        <f t="shared" si="384"/>
        <v>38</v>
      </c>
      <c r="B2631" s="1539" t="str">
        <f t="shared" si="384"/>
        <v>Asset Recived From Civil-U#8-CHP-Stacker Reclaimer -10515</v>
      </c>
      <c r="C2631" s="1491" t="str">
        <f t="shared" si="384"/>
        <v>N.A.</v>
      </c>
      <c r="D2631" s="1531" t="str">
        <f t="shared" si="384"/>
        <v>-</v>
      </c>
      <c r="E2631" s="1318">
        <f t="shared" si="384"/>
        <v>0</v>
      </c>
      <c r="F2631" s="1437">
        <f t="shared" si="386"/>
        <v>2.8485300000000001E-4</v>
      </c>
      <c r="G2631" s="1437">
        <f t="shared" si="387"/>
        <v>0</v>
      </c>
      <c r="H2631" s="1437">
        <f t="shared" si="388"/>
        <v>2.8485300000000001E-4</v>
      </c>
      <c r="I2631" s="1437">
        <v>0</v>
      </c>
      <c r="J2631" s="1437">
        <v>0</v>
      </c>
      <c r="K2631" s="1438"/>
      <c r="L2631" s="1438"/>
      <c r="M2631" s="1437">
        <f t="shared" si="385"/>
        <v>0</v>
      </c>
      <c r="N2631" s="1437">
        <f t="shared" si="389"/>
        <v>2.8485300000000001E-4</v>
      </c>
    </row>
    <row r="2632" spans="1:14" outlineLevel="1">
      <c r="A2632" s="1499">
        <f t="shared" si="384"/>
        <v>39</v>
      </c>
      <c r="B2632" s="1539" t="str">
        <f t="shared" si="384"/>
        <v>Asset Recived From Civil-U#8-CHP-Stock Yard-10515</v>
      </c>
      <c r="C2632" s="1491" t="str">
        <f t="shared" si="384"/>
        <v>N.A.</v>
      </c>
      <c r="D2632" s="1531" t="str">
        <f t="shared" si="384"/>
        <v>-</v>
      </c>
      <c r="E2632" s="1318">
        <f t="shared" si="384"/>
        <v>0</v>
      </c>
      <c r="F2632" s="1437">
        <f t="shared" si="386"/>
        <v>1.5851400000000001E-4</v>
      </c>
      <c r="G2632" s="1437">
        <f t="shared" si="387"/>
        <v>0</v>
      </c>
      <c r="H2632" s="1437">
        <f t="shared" si="388"/>
        <v>1.5851400000000001E-4</v>
      </c>
      <c r="I2632" s="1437">
        <v>0</v>
      </c>
      <c r="J2632" s="1437">
        <v>0</v>
      </c>
      <c r="K2632" s="1438"/>
      <c r="L2632" s="1438"/>
      <c r="M2632" s="1437">
        <f t="shared" si="385"/>
        <v>0</v>
      </c>
      <c r="N2632" s="1437">
        <f t="shared" si="389"/>
        <v>1.5851400000000001E-4</v>
      </c>
    </row>
    <row r="2633" spans="1:14" ht="29" outlineLevel="1">
      <c r="A2633" s="1499">
        <f t="shared" si="384"/>
        <v>40</v>
      </c>
      <c r="B2633" s="1539" t="str">
        <f t="shared" si="384"/>
        <v>Asset Recived From Civil-U#8-CHP-ConveyorPedetals&amp;TransferPoint-10515</v>
      </c>
      <c r="C2633" s="1491" t="str">
        <f t="shared" si="384"/>
        <v>N.A.</v>
      </c>
      <c r="D2633" s="1531" t="str">
        <f t="shared" si="384"/>
        <v>-</v>
      </c>
      <c r="E2633" s="1318">
        <f t="shared" si="384"/>
        <v>0</v>
      </c>
      <c r="F2633" s="1437">
        <f t="shared" si="386"/>
        <v>5.5407899999999996E-4</v>
      </c>
      <c r="G2633" s="1437">
        <f t="shared" si="387"/>
        <v>0</v>
      </c>
      <c r="H2633" s="1437">
        <f t="shared" si="388"/>
        <v>5.5407899999999996E-4</v>
      </c>
      <c r="I2633" s="1437">
        <v>0</v>
      </c>
      <c r="J2633" s="1437">
        <v>0</v>
      </c>
      <c r="K2633" s="1438"/>
      <c r="L2633" s="1438"/>
      <c r="M2633" s="1437">
        <f t="shared" si="385"/>
        <v>0</v>
      </c>
      <c r="N2633" s="1437">
        <f t="shared" si="389"/>
        <v>5.5407899999999996E-4</v>
      </c>
    </row>
    <row r="2634" spans="1:14" outlineLevel="1">
      <c r="A2634" s="1499">
        <f t="shared" si="384"/>
        <v>41</v>
      </c>
      <c r="B2634" s="1539" t="str">
        <f t="shared" si="384"/>
        <v>Asset Recived From Civil-U#8-CHP-MCC ROOM -10515</v>
      </c>
      <c r="C2634" s="1491" t="str">
        <f t="shared" si="384"/>
        <v>N.A.</v>
      </c>
      <c r="D2634" s="1531" t="str">
        <f t="shared" si="384"/>
        <v>-</v>
      </c>
      <c r="E2634" s="1318">
        <f t="shared" si="384"/>
        <v>0</v>
      </c>
      <c r="F2634" s="1437">
        <f t="shared" si="386"/>
        <v>2.6945000000000002E-4</v>
      </c>
      <c r="G2634" s="1437">
        <f t="shared" si="387"/>
        <v>0</v>
      </c>
      <c r="H2634" s="1437">
        <f t="shared" si="388"/>
        <v>2.6945000000000002E-4</v>
      </c>
      <c r="I2634" s="1437">
        <v>0</v>
      </c>
      <c r="J2634" s="1437">
        <v>0</v>
      </c>
      <c r="K2634" s="1438"/>
      <c r="L2634" s="1438"/>
      <c r="M2634" s="1437">
        <f t="shared" si="385"/>
        <v>0</v>
      </c>
      <c r="N2634" s="1437">
        <f t="shared" si="389"/>
        <v>2.6945000000000002E-4</v>
      </c>
    </row>
    <row r="2635" spans="1:14" outlineLevel="1">
      <c r="A2635" s="1499">
        <f t="shared" si="384"/>
        <v>42</v>
      </c>
      <c r="B2635" s="1539" t="str">
        <f t="shared" si="384"/>
        <v>Asset Recived From Civil-U#8-AHP-RCC Ash Silo -10501</v>
      </c>
      <c r="C2635" s="1491" t="str">
        <f t="shared" si="384"/>
        <v>N.A.</v>
      </c>
      <c r="D2635" s="1531" t="str">
        <f t="shared" si="384"/>
        <v>-</v>
      </c>
      <c r="E2635" s="1318">
        <f t="shared" si="384"/>
        <v>0</v>
      </c>
      <c r="F2635" s="1437">
        <f t="shared" si="386"/>
        <v>1.64229E-4</v>
      </c>
      <c r="G2635" s="1437">
        <f t="shared" si="387"/>
        <v>0</v>
      </c>
      <c r="H2635" s="1437">
        <f t="shared" si="388"/>
        <v>1.64229E-4</v>
      </c>
      <c r="I2635" s="1437">
        <v>0</v>
      </c>
      <c r="J2635" s="1437">
        <v>0</v>
      </c>
      <c r="K2635" s="1438"/>
      <c r="L2635" s="1438"/>
      <c r="M2635" s="1437">
        <f t="shared" si="385"/>
        <v>0</v>
      </c>
      <c r="N2635" s="1437">
        <f t="shared" si="389"/>
        <v>1.64229E-4</v>
      </c>
    </row>
    <row r="2636" spans="1:14" outlineLevel="1">
      <c r="A2636" s="1499">
        <f t="shared" si="384"/>
        <v>43</v>
      </c>
      <c r="B2636" s="1539" t="str">
        <f t="shared" si="384"/>
        <v>Asset Recived From Civil-U#8-AHP-Staicase near Silo-10501</v>
      </c>
      <c r="C2636" s="1491" t="str">
        <f t="shared" si="384"/>
        <v>N.A.</v>
      </c>
      <c r="D2636" s="1531" t="str">
        <f t="shared" si="384"/>
        <v>-</v>
      </c>
      <c r="E2636" s="1318">
        <f t="shared" si="384"/>
        <v>0</v>
      </c>
      <c r="F2636" s="1437">
        <f t="shared" si="386"/>
        <v>1.7302000000000001E-5</v>
      </c>
      <c r="G2636" s="1437">
        <f t="shared" si="387"/>
        <v>0</v>
      </c>
      <c r="H2636" s="1437">
        <f t="shared" si="388"/>
        <v>1.7302000000000001E-5</v>
      </c>
      <c r="I2636" s="1437">
        <v>0</v>
      </c>
      <c r="J2636" s="1437">
        <v>0</v>
      </c>
      <c r="K2636" s="1438"/>
      <c r="L2636" s="1438"/>
      <c r="M2636" s="1437">
        <f t="shared" si="385"/>
        <v>0</v>
      </c>
      <c r="N2636" s="1437">
        <f t="shared" si="389"/>
        <v>1.7302000000000001E-5</v>
      </c>
    </row>
    <row r="2637" spans="1:14" outlineLevel="1">
      <c r="A2637" s="1499">
        <f t="shared" si="384"/>
        <v>44</v>
      </c>
      <c r="B2637" s="1539" t="str">
        <f t="shared" si="384"/>
        <v>Asset Recived From Civil-U#8-AHP-Drain sump in Silo Area -10501</v>
      </c>
      <c r="C2637" s="1491" t="str">
        <f t="shared" si="384"/>
        <v>N.A.</v>
      </c>
      <c r="D2637" s="1531" t="str">
        <f t="shared" si="384"/>
        <v>-</v>
      </c>
      <c r="E2637" s="1318">
        <f t="shared" si="384"/>
        <v>0</v>
      </c>
      <c r="F2637" s="1437">
        <f t="shared" si="386"/>
        <v>8.551E-6</v>
      </c>
      <c r="G2637" s="1437">
        <f t="shared" si="387"/>
        <v>0</v>
      </c>
      <c r="H2637" s="1437">
        <f t="shared" si="388"/>
        <v>8.551E-6</v>
      </c>
      <c r="I2637" s="1437">
        <v>0</v>
      </c>
      <c r="J2637" s="1437">
        <v>0</v>
      </c>
      <c r="K2637" s="1438"/>
      <c r="L2637" s="1438"/>
      <c r="M2637" s="1437">
        <f t="shared" si="385"/>
        <v>0</v>
      </c>
      <c r="N2637" s="1437">
        <f t="shared" si="389"/>
        <v>8.551E-6</v>
      </c>
    </row>
    <row r="2638" spans="1:14" outlineLevel="1">
      <c r="A2638" s="1499">
        <f t="shared" ref="A2638:E2653" si="390">A2245</f>
        <v>45</v>
      </c>
      <c r="B2638" s="1539" t="str">
        <f t="shared" si="390"/>
        <v>Asset Recived From Civil-U#8-AHP-Slurry Mixing Tank Fdn.-10501</v>
      </c>
      <c r="C2638" s="1491" t="str">
        <f t="shared" si="390"/>
        <v>N.A.</v>
      </c>
      <c r="D2638" s="1531" t="str">
        <f t="shared" si="390"/>
        <v>-</v>
      </c>
      <c r="E2638" s="1318">
        <f t="shared" si="390"/>
        <v>0</v>
      </c>
      <c r="F2638" s="1437">
        <f t="shared" si="386"/>
        <v>1.6923E-5</v>
      </c>
      <c r="G2638" s="1437">
        <f t="shared" si="387"/>
        <v>0</v>
      </c>
      <c r="H2638" s="1437">
        <f t="shared" si="388"/>
        <v>1.6923E-5</v>
      </c>
      <c r="I2638" s="1437">
        <v>0</v>
      </c>
      <c r="J2638" s="1437">
        <v>0</v>
      </c>
      <c r="K2638" s="1438"/>
      <c r="L2638" s="1438"/>
      <c r="M2638" s="1437">
        <f t="shared" si="385"/>
        <v>0</v>
      </c>
      <c r="N2638" s="1437">
        <f t="shared" si="389"/>
        <v>1.6923E-5</v>
      </c>
    </row>
    <row r="2639" spans="1:14" outlineLevel="1">
      <c r="A2639" s="1499">
        <f t="shared" si="390"/>
        <v>46</v>
      </c>
      <c r="B2639" s="1539" t="str">
        <f t="shared" si="390"/>
        <v>Asset Recived From Civil-U#8-AHP-HCSD PUMP HOUSE-10501</v>
      </c>
      <c r="C2639" s="1491" t="str">
        <f t="shared" si="390"/>
        <v>N.A.</v>
      </c>
      <c r="D2639" s="1531" t="str">
        <f t="shared" si="390"/>
        <v>-</v>
      </c>
      <c r="E2639" s="1318">
        <f t="shared" si="390"/>
        <v>0</v>
      </c>
      <c r="F2639" s="1437">
        <f t="shared" si="386"/>
        <v>5.8934000000000002E-5</v>
      </c>
      <c r="G2639" s="1437">
        <f t="shared" si="387"/>
        <v>0</v>
      </c>
      <c r="H2639" s="1437">
        <f t="shared" si="388"/>
        <v>5.8934000000000002E-5</v>
      </c>
      <c r="I2639" s="1437">
        <v>0</v>
      </c>
      <c r="J2639" s="1437">
        <v>0</v>
      </c>
      <c r="K2639" s="1438"/>
      <c r="L2639" s="1438"/>
      <c r="M2639" s="1437">
        <f t="shared" si="385"/>
        <v>0</v>
      </c>
      <c r="N2639" s="1437">
        <f t="shared" si="389"/>
        <v>5.8934000000000002E-5</v>
      </c>
    </row>
    <row r="2640" spans="1:14" outlineLevel="1">
      <c r="A2640" s="1499">
        <f t="shared" si="390"/>
        <v>47</v>
      </c>
      <c r="B2640" s="1539" t="str">
        <f t="shared" si="390"/>
        <v>Asset Recived From Civil-U#8-AHP-Ash Slurry Pump House -10501</v>
      </c>
      <c r="C2640" s="1491" t="str">
        <f t="shared" si="390"/>
        <v>N.A.</v>
      </c>
      <c r="D2640" s="1531" t="str">
        <f t="shared" si="390"/>
        <v>-</v>
      </c>
      <c r="E2640" s="1318">
        <f t="shared" si="390"/>
        <v>0</v>
      </c>
      <c r="F2640" s="1437">
        <f t="shared" si="386"/>
        <v>1.4947300000000001E-4</v>
      </c>
      <c r="G2640" s="1437">
        <f t="shared" si="387"/>
        <v>0</v>
      </c>
      <c r="H2640" s="1437">
        <f t="shared" si="388"/>
        <v>1.4947300000000001E-4</v>
      </c>
      <c r="I2640" s="1437">
        <v>0</v>
      </c>
      <c r="J2640" s="1437">
        <v>0</v>
      </c>
      <c r="K2640" s="1438"/>
      <c r="L2640" s="1438"/>
      <c r="M2640" s="1437">
        <f t="shared" si="385"/>
        <v>0</v>
      </c>
      <c r="N2640" s="1437">
        <f t="shared" si="389"/>
        <v>1.4947300000000001E-4</v>
      </c>
    </row>
    <row r="2641" spans="1:14" outlineLevel="1">
      <c r="A2641" s="1499">
        <f t="shared" si="390"/>
        <v>48</v>
      </c>
      <c r="B2641" s="1539" t="str">
        <f t="shared" si="390"/>
        <v>Asset Recived From Civil-U#8-AHP-Ash Slurry Sump-10501</v>
      </c>
      <c r="C2641" s="1491" t="str">
        <f t="shared" si="390"/>
        <v>N.A.</v>
      </c>
      <c r="D2641" s="1531" t="str">
        <f t="shared" si="390"/>
        <v>-</v>
      </c>
      <c r="E2641" s="1318">
        <f t="shared" si="390"/>
        <v>0</v>
      </c>
      <c r="F2641" s="1437">
        <f t="shared" si="386"/>
        <v>4.5158999999999999E-5</v>
      </c>
      <c r="G2641" s="1437">
        <f t="shared" si="387"/>
        <v>0</v>
      </c>
      <c r="H2641" s="1437">
        <f t="shared" si="388"/>
        <v>4.5158999999999999E-5</v>
      </c>
      <c r="I2641" s="1437">
        <v>0</v>
      </c>
      <c r="J2641" s="1437">
        <v>0</v>
      </c>
      <c r="K2641" s="1438"/>
      <c r="L2641" s="1438"/>
      <c r="M2641" s="1437">
        <f t="shared" si="385"/>
        <v>0</v>
      </c>
      <c r="N2641" s="1437">
        <f t="shared" si="389"/>
        <v>4.5158999999999999E-5</v>
      </c>
    </row>
    <row r="2642" spans="1:14" outlineLevel="1">
      <c r="A2642" s="1499">
        <f t="shared" si="390"/>
        <v>49</v>
      </c>
      <c r="B2642" s="1539" t="str">
        <f t="shared" si="390"/>
        <v>Asset Recived From Civil-U#8-AHP-Ash Water Tank-10501</v>
      </c>
      <c r="C2642" s="1491" t="str">
        <f t="shared" si="390"/>
        <v>N.A.</v>
      </c>
      <c r="D2642" s="1531" t="str">
        <f t="shared" si="390"/>
        <v>-</v>
      </c>
      <c r="E2642" s="1318">
        <f t="shared" si="390"/>
        <v>0</v>
      </c>
      <c r="F2642" s="1437">
        <f t="shared" si="386"/>
        <v>3.4220000000000001E-5</v>
      </c>
      <c r="G2642" s="1437">
        <f t="shared" si="387"/>
        <v>0</v>
      </c>
      <c r="H2642" s="1437">
        <f t="shared" si="388"/>
        <v>3.4220000000000001E-5</v>
      </c>
      <c r="I2642" s="1437">
        <v>0</v>
      </c>
      <c r="J2642" s="1437">
        <v>0</v>
      </c>
      <c r="K2642" s="1438"/>
      <c r="L2642" s="1438"/>
      <c r="M2642" s="1437">
        <f t="shared" si="385"/>
        <v>0</v>
      </c>
      <c r="N2642" s="1437">
        <f t="shared" si="389"/>
        <v>3.4220000000000001E-5</v>
      </c>
    </row>
    <row r="2643" spans="1:14" outlineLevel="1">
      <c r="A2643" s="1499">
        <f t="shared" si="390"/>
        <v>50</v>
      </c>
      <c r="B2643" s="1539" t="str">
        <f t="shared" si="390"/>
        <v>Asset Recived From Civil-U#8-AHP-Bottom Ash Hopper-10501</v>
      </c>
      <c r="C2643" s="1491" t="str">
        <f t="shared" si="390"/>
        <v>N.A.</v>
      </c>
      <c r="D2643" s="1531" t="str">
        <f t="shared" si="390"/>
        <v>-</v>
      </c>
      <c r="E2643" s="1318">
        <f t="shared" si="390"/>
        <v>0</v>
      </c>
      <c r="F2643" s="1437">
        <f t="shared" si="386"/>
        <v>4.409E-5</v>
      </c>
      <c r="G2643" s="1437">
        <f t="shared" si="387"/>
        <v>0</v>
      </c>
      <c r="H2643" s="1437">
        <f t="shared" si="388"/>
        <v>4.409E-5</v>
      </c>
      <c r="I2643" s="1437">
        <v>0</v>
      </c>
      <c r="J2643" s="1437">
        <v>0</v>
      </c>
      <c r="K2643" s="1438"/>
      <c r="L2643" s="1438"/>
      <c r="M2643" s="1437">
        <f t="shared" si="385"/>
        <v>0</v>
      </c>
      <c r="N2643" s="1437">
        <f t="shared" si="389"/>
        <v>4.409E-5</v>
      </c>
    </row>
    <row r="2644" spans="1:14" outlineLevel="1">
      <c r="A2644" s="1499">
        <f t="shared" si="390"/>
        <v>51</v>
      </c>
      <c r="B2644" s="1539" t="str">
        <f t="shared" si="390"/>
        <v>Asset Recived From Civil-U#8-AHP-Drain sump in BAH Area -10501</v>
      </c>
      <c r="C2644" s="1491" t="str">
        <f t="shared" si="390"/>
        <v>N.A.</v>
      </c>
      <c r="D2644" s="1531" t="str">
        <f t="shared" si="390"/>
        <v>-</v>
      </c>
      <c r="E2644" s="1318">
        <f t="shared" si="390"/>
        <v>0</v>
      </c>
      <c r="F2644" s="1437">
        <f t="shared" si="386"/>
        <v>8.5750000000000001E-6</v>
      </c>
      <c r="G2644" s="1437">
        <f t="shared" si="387"/>
        <v>0</v>
      </c>
      <c r="H2644" s="1437">
        <f t="shared" si="388"/>
        <v>8.5750000000000001E-6</v>
      </c>
      <c r="I2644" s="1437">
        <v>0</v>
      </c>
      <c r="J2644" s="1437">
        <v>0</v>
      </c>
      <c r="K2644" s="1438"/>
      <c r="L2644" s="1438"/>
      <c r="M2644" s="1437">
        <f t="shared" si="385"/>
        <v>0</v>
      </c>
      <c r="N2644" s="1437">
        <f t="shared" si="389"/>
        <v>8.5750000000000001E-6</v>
      </c>
    </row>
    <row r="2645" spans="1:14" ht="29" outlineLevel="1">
      <c r="A2645" s="1499">
        <f t="shared" si="390"/>
        <v>52</v>
      </c>
      <c r="B2645" s="1539" t="str">
        <f t="shared" si="390"/>
        <v>Asset Recived From Civil-U#8-Ash Slurry Pipe Line AHP-Pedestals-10501</v>
      </c>
      <c r="C2645" s="1491" t="str">
        <f t="shared" si="390"/>
        <v>N.A.</v>
      </c>
      <c r="D2645" s="1531" t="str">
        <f t="shared" si="390"/>
        <v>-</v>
      </c>
      <c r="E2645" s="1318">
        <f t="shared" si="390"/>
        <v>0</v>
      </c>
      <c r="F2645" s="1437">
        <f t="shared" si="386"/>
        <v>1.38462E-4</v>
      </c>
      <c r="G2645" s="1437">
        <f t="shared" si="387"/>
        <v>0</v>
      </c>
      <c r="H2645" s="1437">
        <f t="shared" si="388"/>
        <v>1.38462E-4</v>
      </c>
      <c r="I2645" s="1437">
        <v>0</v>
      </c>
      <c r="J2645" s="1437">
        <v>0</v>
      </c>
      <c r="K2645" s="1438"/>
      <c r="L2645" s="1438"/>
      <c r="M2645" s="1437">
        <f t="shared" si="385"/>
        <v>0</v>
      </c>
      <c r="N2645" s="1437">
        <f t="shared" si="389"/>
        <v>1.38462E-4</v>
      </c>
    </row>
    <row r="2646" spans="1:14" outlineLevel="1">
      <c r="A2646" s="1499">
        <f t="shared" si="390"/>
        <v>53</v>
      </c>
      <c r="B2646" s="1539" t="str">
        <f t="shared" si="390"/>
        <v>Asset Recived From Civil-U#8-AHP-Buffer Hopper Foundation-10501</v>
      </c>
      <c r="C2646" s="1491" t="str">
        <f t="shared" si="390"/>
        <v>N.A.</v>
      </c>
      <c r="D2646" s="1531" t="str">
        <f t="shared" si="390"/>
        <v>-</v>
      </c>
      <c r="E2646" s="1318">
        <f t="shared" si="390"/>
        <v>0</v>
      </c>
      <c r="F2646" s="1437">
        <f t="shared" si="386"/>
        <v>3.5627999999999998E-5</v>
      </c>
      <c r="G2646" s="1437">
        <f t="shared" si="387"/>
        <v>0</v>
      </c>
      <c r="H2646" s="1437">
        <f t="shared" si="388"/>
        <v>3.5627999999999998E-5</v>
      </c>
      <c r="I2646" s="1437">
        <v>0</v>
      </c>
      <c r="J2646" s="1437">
        <v>0</v>
      </c>
      <c r="K2646" s="1438"/>
      <c r="L2646" s="1438"/>
      <c r="M2646" s="1437">
        <f t="shared" si="385"/>
        <v>0</v>
      </c>
      <c r="N2646" s="1437">
        <f t="shared" si="389"/>
        <v>3.5627999999999998E-5</v>
      </c>
    </row>
    <row r="2647" spans="1:14" ht="29" outlineLevel="1">
      <c r="A2647" s="1499">
        <f t="shared" si="390"/>
        <v>54</v>
      </c>
      <c r="B2647" s="1539" t="str">
        <f t="shared" si="390"/>
        <v>Asset Recived From Civil-U#8-AHP-Mill reject hopper foundation-10501</v>
      </c>
      <c r="C2647" s="1491" t="str">
        <f t="shared" si="390"/>
        <v>N.A.</v>
      </c>
      <c r="D2647" s="1531" t="str">
        <f t="shared" si="390"/>
        <v>-</v>
      </c>
      <c r="E2647" s="1318">
        <f t="shared" si="390"/>
        <v>0</v>
      </c>
      <c r="F2647" s="1437">
        <f t="shared" si="386"/>
        <v>1.7813999999999999E-5</v>
      </c>
      <c r="G2647" s="1437">
        <f t="shared" si="387"/>
        <v>0</v>
      </c>
      <c r="H2647" s="1437">
        <f t="shared" si="388"/>
        <v>1.7813999999999999E-5</v>
      </c>
      <c r="I2647" s="1437">
        <v>0</v>
      </c>
      <c r="J2647" s="1437">
        <v>0</v>
      </c>
      <c r="K2647" s="1438"/>
      <c r="L2647" s="1438"/>
      <c r="M2647" s="1437">
        <f t="shared" si="385"/>
        <v>0</v>
      </c>
      <c r="N2647" s="1437">
        <f t="shared" si="389"/>
        <v>1.7813999999999999E-5</v>
      </c>
    </row>
    <row r="2648" spans="1:14" outlineLevel="1">
      <c r="A2648" s="1499">
        <f t="shared" si="390"/>
        <v>55</v>
      </c>
      <c r="B2648" s="1539" t="str">
        <f t="shared" si="390"/>
        <v>Asset Recived From Civil-U#8-FHP-Fuel Oil pump house-10516</v>
      </c>
      <c r="C2648" s="1491" t="str">
        <f t="shared" si="390"/>
        <v>N.A.</v>
      </c>
      <c r="D2648" s="1531" t="str">
        <f t="shared" si="390"/>
        <v>-</v>
      </c>
      <c r="E2648" s="1318">
        <f t="shared" si="390"/>
        <v>0</v>
      </c>
      <c r="F2648" s="1437">
        <f t="shared" si="386"/>
        <v>6.5769099999999996E-4</v>
      </c>
      <c r="G2648" s="1437">
        <f t="shared" si="387"/>
        <v>0</v>
      </c>
      <c r="H2648" s="1437">
        <f t="shared" si="388"/>
        <v>6.5769099999999996E-4</v>
      </c>
      <c r="I2648" s="1437">
        <v>0</v>
      </c>
      <c r="J2648" s="1437">
        <v>0</v>
      </c>
      <c r="K2648" s="1438"/>
      <c r="L2648" s="1438"/>
      <c r="M2648" s="1437">
        <f t="shared" si="385"/>
        <v>0</v>
      </c>
      <c r="N2648" s="1437">
        <f t="shared" si="389"/>
        <v>6.5769099999999996E-4</v>
      </c>
    </row>
    <row r="2649" spans="1:14" outlineLevel="1">
      <c r="A2649" s="1499">
        <f t="shared" si="390"/>
        <v>56</v>
      </c>
      <c r="B2649" s="1539" t="str">
        <f t="shared" si="390"/>
        <v>Asset Recived From Civil-U#8-FHP-DYKE AREA -10516</v>
      </c>
      <c r="C2649" s="1491" t="str">
        <f t="shared" si="390"/>
        <v>N.A.</v>
      </c>
      <c r="D2649" s="1531" t="str">
        <f t="shared" si="390"/>
        <v>-</v>
      </c>
      <c r="E2649" s="1318">
        <f t="shared" si="390"/>
        <v>0</v>
      </c>
      <c r="F2649" s="1437">
        <f t="shared" si="386"/>
        <v>1.9338999999999999E-5</v>
      </c>
      <c r="G2649" s="1437">
        <f t="shared" si="387"/>
        <v>0</v>
      </c>
      <c r="H2649" s="1437">
        <f t="shared" si="388"/>
        <v>1.9338999999999999E-5</v>
      </c>
      <c r="I2649" s="1437">
        <v>0</v>
      </c>
      <c r="J2649" s="1437">
        <v>0</v>
      </c>
      <c r="K2649" s="1438"/>
      <c r="L2649" s="1438"/>
      <c r="M2649" s="1437">
        <f t="shared" si="385"/>
        <v>0</v>
      </c>
      <c r="N2649" s="1437">
        <f t="shared" si="389"/>
        <v>1.9338999999999999E-5</v>
      </c>
    </row>
    <row r="2650" spans="1:14" outlineLevel="1">
      <c r="A2650" s="1499">
        <f t="shared" si="390"/>
        <v>57</v>
      </c>
      <c r="B2650" s="1539" t="str">
        <f t="shared" si="390"/>
        <v>Asset Recived From Civil-U#8-Effulent Treatment Plant -10509</v>
      </c>
      <c r="C2650" s="1491" t="str">
        <f t="shared" si="390"/>
        <v>N.A.</v>
      </c>
      <c r="D2650" s="1531" t="str">
        <f t="shared" si="390"/>
        <v>-</v>
      </c>
      <c r="E2650" s="1318">
        <f t="shared" si="390"/>
        <v>0</v>
      </c>
      <c r="F2650" s="1437">
        <f t="shared" si="386"/>
        <v>1.4134799999999999E-4</v>
      </c>
      <c r="G2650" s="1437">
        <f t="shared" si="387"/>
        <v>0</v>
      </c>
      <c r="H2650" s="1437">
        <f t="shared" si="388"/>
        <v>1.4134799999999999E-4</v>
      </c>
      <c r="I2650" s="1437">
        <v>0</v>
      </c>
      <c r="J2650" s="1437">
        <v>0</v>
      </c>
      <c r="K2650" s="1438"/>
      <c r="L2650" s="1438"/>
      <c r="M2650" s="1437">
        <f t="shared" si="385"/>
        <v>0</v>
      </c>
      <c r="N2650" s="1437">
        <f t="shared" si="389"/>
        <v>1.4134799999999999E-4</v>
      </c>
    </row>
    <row r="2651" spans="1:14" outlineLevel="1">
      <c r="A2651" s="1499">
        <f t="shared" si="390"/>
        <v>58</v>
      </c>
      <c r="B2651" s="1539" t="str">
        <f t="shared" si="390"/>
        <v>Asset Recived From Project-U#8-Boiler Pressure parts-10501</v>
      </c>
      <c r="C2651" s="1491" t="str">
        <f t="shared" si="390"/>
        <v>N.A.</v>
      </c>
      <c r="D2651" s="1531" t="str">
        <f t="shared" si="390"/>
        <v>-</v>
      </c>
      <c r="E2651" s="1318">
        <f t="shared" si="390"/>
        <v>0</v>
      </c>
      <c r="F2651" s="1437">
        <f t="shared" si="386"/>
        <v>6.5490000000000007E-2</v>
      </c>
      <c r="G2651" s="1437">
        <f t="shared" si="387"/>
        <v>0</v>
      </c>
      <c r="H2651" s="1437">
        <f t="shared" si="388"/>
        <v>6.5490000000000007E-2</v>
      </c>
      <c r="I2651" s="1437">
        <v>0</v>
      </c>
      <c r="J2651" s="1437">
        <v>0</v>
      </c>
      <c r="K2651" s="1438"/>
      <c r="L2651" s="1438"/>
      <c r="M2651" s="1437">
        <f t="shared" si="385"/>
        <v>0</v>
      </c>
      <c r="N2651" s="1437">
        <f t="shared" si="389"/>
        <v>6.5490000000000007E-2</v>
      </c>
    </row>
    <row r="2652" spans="1:14" outlineLevel="1">
      <c r="A2652" s="1499">
        <f t="shared" si="390"/>
        <v>59</v>
      </c>
      <c r="B2652" s="1539" t="str">
        <f t="shared" si="390"/>
        <v>Asset Recived From Project-U#8-Mandatory Spares from BHEL–Trichy</v>
      </c>
      <c r="C2652" s="1491" t="str">
        <f t="shared" si="390"/>
        <v>N.A.</v>
      </c>
      <c r="D2652" s="1531" t="str">
        <f t="shared" si="390"/>
        <v>-</v>
      </c>
      <c r="E2652" s="1318">
        <f t="shared" si="390"/>
        <v>0</v>
      </c>
      <c r="F2652" s="1437">
        <f t="shared" si="386"/>
        <v>7.4618999999999996E-3</v>
      </c>
      <c r="G2652" s="1437">
        <f t="shared" si="387"/>
        <v>0</v>
      </c>
      <c r="H2652" s="1437">
        <f t="shared" si="388"/>
        <v>7.4618999999999996E-3</v>
      </c>
      <c r="I2652" s="1437">
        <v>0</v>
      </c>
      <c r="J2652" s="1437">
        <v>0</v>
      </c>
      <c r="K2652" s="1438"/>
      <c r="L2652" s="1438"/>
      <c r="M2652" s="1437">
        <f t="shared" si="385"/>
        <v>0</v>
      </c>
      <c r="N2652" s="1437">
        <f t="shared" si="389"/>
        <v>7.4618999999999996E-3</v>
      </c>
    </row>
    <row r="2653" spans="1:14" outlineLevel="1">
      <c r="A2653" s="1499">
        <f t="shared" si="390"/>
        <v>60</v>
      </c>
      <c r="B2653" s="1539" t="str">
        <f t="shared" si="390"/>
        <v>Asset Recived From Civil-U#8-Coal mill reject trench at coal mill D&amp;E</v>
      </c>
      <c r="C2653" s="1491" t="str">
        <f t="shared" si="390"/>
        <v>N.A.</v>
      </c>
      <c r="D2653" s="1531" t="str">
        <f t="shared" si="390"/>
        <v>-</v>
      </c>
      <c r="E2653" s="1318">
        <f t="shared" si="390"/>
        <v>0</v>
      </c>
      <c r="F2653" s="1437">
        <f t="shared" si="386"/>
        <v>4.6610299000000001E-2</v>
      </c>
      <c r="G2653" s="1437">
        <f t="shared" si="387"/>
        <v>0</v>
      </c>
      <c r="H2653" s="1437">
        <f t="shared" si="388"/>
        <v>4.6610299000000001E-2</v>
      </c>
      <c r="I2653" s="1437">
        <v>0</v>
      </c>
      <c r="J2653" s="1437">
        <v>0</v>
      </c>
      <c r="K2653" s="1438"/>
      <c r="L2653" s="1438"/>
      <c r="M2653" s="1437">
        <f t="shared" si="385"/>
        <v>0</v>
      </c>
      <c r="N2653" s="1437">
        <f t="shared" si="389"/>
        <v>4.6610299000000001E-2</v>
      </c>
    </row>
    <row r="2654" spans="1:14" ht="29" outlineLevel="1">
      <c r="A2654" s="1499">
        <f t="shared" ref="A2654:E2669" si="391">A2261</f>
        <v>61</v>
      </c>
      <c r="B2654" s="1539" t="str">
        <f t="shared" si="391"/>
        <v>Asset Recived From Project-U#8-Canteen Equipments &amp; kitchen Utensils</v>
      </c>
      <c r="C2654" s="1491" t="str">
        <f t="shared" si="391"/>
        <v>N.A.</v>
      </c>
      <c r="D2654" s="1531" t="str">
        <f t="shared" si="391"/>
        <v>-</v>
      </c>
      <c r="E2654" s="1318">
        <f t="shared" si="391"/>
        <v>0</v>
      </c>
      <c r="F2654" s="1437">
        <f t="shared" si="386"/>
        <v>0.21887515400000002</v>
      </c>
      <c r="G2654" s="1437">
        <f t="shared" si="387"/>
        <v>0</v>
      </c>
      <c r="H2654" s="1437">
        <f t="shared" si="388"/>
        <v>0.21887515400000002</v>
      </c>
      <c r="I2654" s="1437">
        <v>0</v>
      </c>
      <c r="J2654" s="1437">
        <v>0</v>
      </c>
      <c r="K2654" s="1438"/>
      <c r="L2654" s="1438"/>
      <c r="M2654" s="1437">
        <f t="shared" si="385"/>
        <v>0</v>
      </c>
      <c r="N2654" s="1437">
        <f t="shared" si="389"/>
        <v>0.21887515400000002</v>
      </c>
    </row>
    <row r="2655" spans="1:14" ht="29" outlineLevel="1">
      <c r="A2655" s="1499">
        <f t="shared" si="391"/>
        <v>62</v>
      </c>
      <c r="B2655" s="1539" t="str">
        <f t="shared" si="391"/>
        <v>Asset Recived From Project-U#8-Supply &amp; Erection of ACW system-10310</v>
      </c>
      <c r="C2655" s="1491" t="str">
        <f t="shared" si="391"/>
        <v>N.A.</v>
      </c>
      <c r="D2655" s="1531" t="str">
        <f t="shared" si="391"/>
        <v>-</v>
      </c>
      <c r="E2655" s="1318">
        <f t="shared" si="391"/>
        <v>0</v>
      </c>
      <c r="F2655" s="1437">
        <f t="shared" si="386"/>
        <v>8.3684199999999997E-4</v>
      </c>
      <c r="G2655" s="1437">
        <f t="shared" si="387"/>
        <v>0</v>
      </c>
      <c r="H2655" s="1437">
        <f t="shared" si="388"/>
        <v>8.3684199999999997E-4</v>
      </c>
      <c r="I2655" s="1437">
        <v>0</v>
      </c>
      <c r="J2655" s="1437">
        <v>0</v>
      </c>
      <c r="K2655" s="1438"/>
      <c r="L2655" s="1438"/>
      <c r="M2655" s="1437">
        <f t="shared" si="385"/>
        <v>0</v>
      </c>
      <c r="N2655" s="1437">
        <f t="shared" si="389"/>
        <v>8.3684199999999997E-4</v>
      </c>
    </row>
    <row r="2656" spans="1:14" ht="29" outlineLevel="1">
      <c r="A2656" s="1499">
        <f t="shared" si="391"/>
        <v>63</v>
      </c>
      <c r="B2656" s="1539" t="str">
        <f t="shared" si="391"/>
        <v>Asset Recived From Project-U#8-SUPPLY &amp; ERECTION OF CCW SYSTEM-10310</v>
      </c>
      <c r="C2656" s="1491" t="str">
        <f t="shared" si="391"/>
        <v>N.A.</v>
      </c>
      <c r="D2656" s="1531" t="str">
        <f t="shared" si="391"/>
        <v>-</v>
      </c>
      <c r="E2656" s="1318">
        <f t="shared" si="391"/>
        <v>0</v>
      </c>
      <c r="F2656" s="1437">
        <f t="shared" si="386"/>
        <v>4.8560299999999999E-3</v>
      </c>
      <c r="G2656" s="1437">
        <f t="shared" si="387"/>
        <v>0</v>
      </c>
      <c r="H2656" s="1437">
        <f t="shared" si="388"/>
        <v>4.8560299999999999E-3</v>
      </c>
      <c r="I2656" s="1437">
        <v>0</v>
      </c>
      <c r="J2656" s="1437">
        <v>0</v>
      </c>
      <c r="K2656" s="1438"/>
      <c r="L2656" s="1438"/>
      <c r="M2656" s="1437">
        <f t="shared" si="385"/>
        <v>0</v>
      </c>
      <c r="N2656" s="1437">
        <f t="shared" si="389"/>
        <v>4.8560299999999999E-3</v>
      </c>
    </row>
    <row r="2657" spans="1:14" ht="29" outlineLevel="1">
      <c r="A2657" s="1499">
        <f t="shared" si="391"/>
        <v>64</v>
      </c>
      <c r="B2657" s="1539" t="str">
        <f t="shared" si="391"/>
        <v>Asset Recived From Project-U#8-TG set &amp; its auxilleries-HP/LPFeedWate</v>
      </c>
      <c r="C2657" s="1491" t="str">
        <f t="shared" si="391"/>
        <v>N.A.</v>
      </c>
      <c r="D2657" s="1531" t="str">
        <f t="shared" si="391"/>
        <v>-</v>
      </c>
      <c r="E2657" s="1318">
        <f t="shared" si="391"/>
        <v>0</v>
      </c>
      <c r="F2657" s="1437">
        <f t="shared" si="386"/>
        <v>1.6841648000000001E-2</v>
      </c>
      <c r="G2657" s="1437">
        <f t="shared" si="387"/>
        <v>0</v>
      </c>
      <c r="H2657" s="1437">
        <f t="shared" si="388"/>
        <v>1.6841648000000001E-2</v>
      </c>
      <c r="I2657" s="1437">
        <v>0</v>
      </c>
      <c r="J2657" s="1437">
        <v>0</v>
      </c>
      <c r="K2657" s="1438"/>
      <c r="L2657" s="1438"/>
      <c r="M2657" s="1437">
        <f t="shared" si="385"/>
        <v>0</v>
      </c>
      <c r="N2657" s="1437">
        <f t="shared" si="389"/>
        <v>1.6841648000000001E-2</v>
      </c>
    </row>
    <row r="2658" spans="1:14" outlineLevel="1">
      <c r="A2658" s="1499">
        <f t="shared" si="391"/>
        <v>65</v>
      </c>
      <c r="B2658" s="1539" t="str">
        <f t="shared" si="391"/>
        <v>Asset Recived From Project-U#8-TG set and its auxilleries- Boilerfeed</v>
      </c>
      <c r="C2658" s="1491" t="str">
        <f t="shared" si="391"/>
        <v>N.A.</v>
      </c>
      <c r="D2658" s="1531" t="str">
        <f t="shared" si="391"/>
        <v>-</v>
      </c>
      <c r="E2658" s="1318">
        <f t="shared" si="391"/>
        <v>0</v>
      </c>
      <c r="F2658" s="1437">
        <f t="shared" si="386"/>
        <v>1.8479445000000001E-2</v>
      </c>
      <c r="G2658" s="1437">
        <f t="shared" si="387"/>
        <v>0</v>
      </c>
      <c r="H2658" s="1437">
        <f t="shared" si="388"/>
        <v>1.8479445000000001E-2</v>
      </c>
      <c r="I2658" s="1437">
        <v>0</v>
      </c>
      <c r="J2658" s="1437">
        <v>0</v>
      </c>
      <c r="K2658" s="1438"/>
      <c r="L2658" s="1438"/>
      <c r="M2658" s="1437">
        <f t="shared" si="385"/>
        <v>0</v>
      </c>
      <c r="N2658" s="1437">
        <f t="shared" si="389"/>
        <v>1.8479445000000001E-2</v>
      </c>
    </row>
    <row r="2659" spans="1:14" ht="29" outlineLevel="1">
      <c r="A2659" s="1499">
        <f t="shared" si="391"/>
        <v>66</v>
      </c>
      <c r="B2659" s="1539" t="str">
        <f t="shared" si="391"/>
        <v>Asset Recived From Project-U#8-Air Conditioning-MandatorySpares-10576</v>
      </c>
      <c r="C2659" s="1491" t="str">
        <f t="shared" si="391"/>
        <v>N.A.</v>
      </c>
      <c r="D2659" s="1531" t="str">
        <f t="shared" si="391"/>
        <v>-</v>
      </c>
      <c r="E2659" s="1318">
        <f t="shared" si="391"/>
        <v>0</v>
      </c>
      <c r="F2659" s="1437">
        <f t="shared" si="386"/>
        <v>1.7255999999999999E-5</v>
      </c>
      <c r="G2659" s="1437">
        <f t="shared" si="387"/>
        <v>0</v>
      </c>
      <c r="H2659" s="1437">
        <f t="shared" si="388"/>
        <v>1.7255999999999999E-5</v>
      </c>
      <c r="I2659" s="1437">
        <v>0</v>
      </c>
      <c r="J2659" s="1437">
        <v>0</v>
      </c>
      <c r="K2659" s="1438"/>
      <c r="L2659" s="1438"/>
      <c r="M2659" s="1437">
        <f t="shared" si="385"/>
        <v>0</v>
      </c>
      <c r="N2659" s="1437">
        <f t="shared" si="389"/>
        <v>1.7255999999999999E-5</v>
      </c>
    </row>
    <row r="2660" spans="1:14" outlineLevel="1">
      <c r="A2660" s="1499">
        <f t="shared" si="391"/>
        <v>67</v>
      </c>
      <c r="B2660" s="1539" t="str">
        <f t="shared" si="391"/>
        <v>Asset Recived From Project-U#8-Air Conditioning system-10576</v>
      </c>
      <c r="C2660" s="1491" t="str">
        <f t="shared" si="391"/>
        <v>N.A.</v>
      </c>
      <c r="D2660" s="1531" t="str">
        <f t="shared" si="391"/>
        <v>-</v>
      </c>
      <c r="E2660" s="1318">
        <f t="shared" si="391"/>
        <v>0</v>
      </c>
      <c r="F2660" s="1437">
        <f t="shared" si="386"/>
        <v>1.344619E-3</v>
      </c>
      <c r="G2660" s="1437">
        <f t="shared" si="387"/>
        <v>0</v>
      </c>
      <c r="H2660" s="1437">
        <f t="shared" si="388"/>
        <v>1.344619E-3</v>
      </c>
      <c r="I2660" s="1437">
        <v>0</v>
      </c>
      <c r="J2660" s="1437">
        <v>0</v>
      </c>
      <c r="K2660" s="1438"/>
      <c r="L2660" s="1438"/>
      <c r="M2660" s="1437">
        <f t="shared" si="385"/>
        <v>0</v>
      </c>
      <c r="N2660" s="1437">
        <f t="shared" si="389"/>
        <v>1.344619E-3</v>
      </c>
    </row>
    <row r="2661" spans="1:14" outlineLevel="1">
      <c r="A2661" s="1499">
        <f t="shared" si="391"/>
        <v>68</v>
      </c>
      <c r="B2661" s="1539" t="str">
        <f t="shared" si="391"/>
        <v>Asset Recived From Project-U#8-AHP-FLY ASH &amp; HCSD-SYSTEM-10501</v>
      </c>
      <c r="C2661" s="1491" t="str">
        <f t="shared" si="391"/>
        <v>N.A.</v>
      </c>
      <c r="D2661" s="1531" t="str">
        <f t="shared" si="391"/>
        <v>-</v>
      </c>
      <c r="E2661" s="1318">
        <f t="shared" si="391"/>
        <v>0</v>
      </c>
      <c r="F2661" s="1437">
        <f t="shared" si="386"/>
        <v>2.1652109999999998E-3</v>
      </c>
      <c r="G2661" s="1437">
        <f t="shared" si="387"/>
        <v>0</v>
      </c>
      <c r="H2661" s="1437">
        <f t="shared" si="388"/>
        <v>2.1652109999999998E-3</v>
      </c>
      <c r="I2661" s="1437">
        <v>0</v>
      </c>
      <c r="J2661" s="1437">
        <v>0</v>
      </c>
      <c r="K2661" s="1438"/>
      <c r="L2661" s="1438"/>
      <c r="M2661" s="1437">
        <f t="shared" si="385"/>
        <v>0</v>
      </c>
      <c r="N2661" s="1437">
        <f t="shared" si="389"/>
        <v>2.1652109999999998E-3</v>
      </c>
    </row>
    <row r="2662" spans="1:14" ht="29" outlineLevel="1">
      <c r="A2662" s="1499">
        <f t="shared" si="391"/>
        <v>69</v>
      </c>
      <c r="B2662" s="1539" t="str">
        <f t="shared" si="391"/>
        <v>Asset Recived From Project-U#8-AHP-FLYASH&amp;HCSD-SYSTEMBOUGHT OUT-10501</v>
      </c>
      <c r="C2662" s="1491" t="str">
        <f t="shared" si="391"/>
        <v>N.A.</v>
      </c>
      <c r="D2662" s="1531" t="str">
        <f t="shared" si="391"/>
        <v>-</v>
      </c>
      <c r="E2662" s="1318">
        <f t="shared" si="391"/>
        <v>0</v>
      </c>
      <c r="F2662" s="1437">
        <f t="shared" si="386"/>
        <v>7.0969070000000004E-3</v>
      </c>
      <c r="G2662" s="1437">
        <f t="shared" si="387"/>
        <v>0</v>
      </c>
      <c r="H2662" s="1437">
        <f t="shared" si="388"/>
        <v>7.0969070000000004E-3</v>
      </c>
      <c r="I2662" s="1437">
        <v>0</v>
      </c>
      <c r="J2662" s="1437">
        <v>0</v>
      </c>
      <c r="K2662" s="1438"/>
      <c r="L2662" s="1438"/>
      <c r="M2662" s="1437">
        <f t="shared" si="385"/>
        <v>0</v>
      </c>
      <c r="N2662" s="1437">
        <f t="shared" si="389"/>
        <v>7.0969070000000004E-3</v>
      </c>
    </row>
    <row r="2663" spans="1:14" outlineLevel="1">
      <c r="A2663" s="1499">
        <f t="shared" si="391"/>
        <v>70</v>
      </c>
      <c r="B2663" s="1539" t="str">
        <f t="shared" si="391"/>
        <v>Asset Recived From Project-U#8-AHP-BOTTOM ASH SYSTEM-10501</v>
      </c>
      <c r="C2663" s="1491" t="str">
        <f t="shared" si="391"/>
        <v>N.A.</v>
      </c>
      <c r="D2663" s="1531" t="str">
        <f t="shared" si="391"/>
        <v>-</v>
      </c>
      <c r="E2663" s="1318">
        <f t="shared" si="391"/>
        <v>0</v>
      </c>
      <c r="F2663" s="1437">
        <f t="shared" si="386"/>
        <v>1.2125858999999999E-2</v>
      </c>
      <c r="G2663" s="1437">
        <f t="shared" si="387"/>
        <v>0</v>
      </c>
      <c r="H2663" s="1437">
        <f t="shared" si="388"/>
        <v>1.2125858999999999E-2</v>
      </c>
      <c r="I2663" s="1437">
        <v>0</v>
      </c>
      <c r="J2663" s="1437">
        <v>0</v>
      </c>
      <c r="K2663" s="1438"/>
      <c r="L2663" s="1438"/>
      <c r="M2663" s="1437">
        <f t="shared" si="385"/>
        <v>0</v>
      </c>
      <c r="N2663" s="1437">
        <f t="shared" si="389"/>
        <v>1.2125858999999999E-2</v>
      </c>
    </row>
    <row r="2664" spans="1:14" outlineLevel="1">
      <c r="A2664" s="1499">
        <f t="shared" si="391"/>
        <v>71</v>
      </c>
      <c r="B2664" s="1539" t="str">
        <f t="shared" si="391"/>
        <v>Asset Recived From Project-U#8-AHP-ELECTRICAL C &amp; I-10501</v>
      </c>
      <c r="C2664" s="1491" t="str">
        <f t="shared" si="391"/>
        <v>N.A.</v>
      </c>
      <c r="D2664" s="1531" t="str">
        <f t="shared" si="391"/>
        <v>-</v>
      </c>
      <c r="E2664" s="1318">
        <f t="shared" si="391"/>
        <v>0</v>
      </c>
      <c r="F2664" s="1437">
        <f t="shared" si="386"/>
        <v>4.0530039999999998E-3</v>
      </c>
      <c r="G2664" s="1437">
        <f t="shared" si="387"/>
        <v>0</v>
      </c>
      <c r="H2664" s="1437">
        <f t="shared" si="388"/>
        <v>4.0530039999999998E-3</v>
      </c>
      <c r="I2664" s="1437">
        <v>0</v>
      </c>
      <c r="J2664" s="1437">
        <v>0</v>
      </c>
      <c r="K2664" s="1438"/>
      <c r="L2664" s="1438"/>
      <c r="M2664" s="1437">
        <f t="shared" si="385"/>
        <v>0</v>
      </c>
      <c r="N2664" s="1437">
        <f t="shared" si="389"/>
        <v>4.0530039999999998E-3</v>
      </c>
    </row>
    <row r="2665" spans="1:14" outlineLevel="1">
      <c r="A2665" s="1499">
        <f t="shared" si="391"/>
        <v>72</v>
      </c>
      <c r="B2665" s="1539" t="str">
        <f t="shared" si="391"/>
        <v>Asset Recived From Project-U#8-AHP-GEHO PUMP-10501</v>
      </c>
      <c r="C2665" s="1491" t="str">
        <f t="shared" si="391"/>
        <v>N.A.</v>
      </c>
      <c r="D2665" s="1531" t="str">
        <f t="shared" si="391"/>
        <v>-</v>
      </c>
      <c r="E2665" s="1318">
        <f t="shared" si="391"/>
        <v>0</v>
      </c>
      <c r="F2665" s="1437">
        <f t="shared" si="386"/>
        <v>9.5127619999999993E-3</v>
      </c>
      <c r="G2665" s="1437">
        <f t="shared" si="387"/>
        <v>0</v>
      </c>
      <c r="H2665" s="1437">
        <f t="shared" si="388"/>
        <v>9.5127619999999993E-3</v>
      </c>
      <c r="I2665" s="1437">
        <v>0</v>
      </c>
      <c r="J2665" s="1437">
        <v>0</v>
      </c>
      <c r="K2665" s="1438"/>
      <c r="L2665" s="1438"/>
      <c r="M2665" s="1437">
        <f t="shared" si="385"/>
        <v>0</v>
      </c>
      <c r="N2665" s="1437">
        <f t="shared" si="389"/>
        <v>9.5127619999999993E-3</v>
      </c>
    </row>
    <row r="2666" spans="1:14" ht="29" outlineLevel="1">
      <c r="A2666" s="1499">
        <f t="shared" si="391"/>
        <v>73</v>
      </c>
      <c r="B2666" s="1539" t="str">
        <f t="shared" si="391"/>
        <v>Asset Recived FromProject-U#8-Boiler&amp;Aux -Power Cycle Piping-10501</v>
      </c>
      <c r="C2666" s="1491" t="str">
        <f t="shared" si="391"/>
        <v>N.A.</v>
      </c>
      <c r="D2666" s="1531" t="str">
        <f t="shared" si="391"/>
        <v>-</v>
      </c>
      <c r="E2666" s="1318">
        <f t="shared" si="391"/>
        <v>0</v>
      </c>
      <c r="F2666" s="1437">
        <f t="shared" si="386"/>
        <v>4.1004594999999998E-2</v>
      </c>
      <c r="G2666" s="1437">
        <f t="shared" si="387"/>
        <v>0</v>
      </c>
      <c r="H2666" s="1437">
        <f t="shared" si="388"/>
        <v>4.1004594999999998E-2</v>
      </c>
      <c r="I2666" s="1437">
        <v>0</v>
      </c>
      <c r="J2666" s="1437">
        <v>0</v>
      </c>
      <c r="K2666" s="1438"/>
      <c r="L2666" s="1438"/>
      <c r="M2666" s="1437">
        <f t="shared" si="385"/>
        <v>0</v>
      </c>
      <c r="N2666" s="1437">
        <f t="shared" si="389"/>
        <v>4.1004594999999998E-2</v>
      </c>
    </row>
    <row r="2667" spans="1:14" ht="29" outlineLevel="1">
      <c r="A2667" s="1499">
        <f t="shared" si="391"/>
        <v>74</v>
      </c>
      <c r="B2667" s="1539" t="str">
        <f t="shared" si="391"/>
        <v>Asset Recived From Project-U#8-Boiler&amp;Aux-SUIT BLOWER &amp; PIPING-10501</v>
      </c>
      <c r="C2667" s="1491" t="str">
        <f t="shared" si="391"/>
        <v>N.A.</v>
      </c>
      <c r="D2667" s="1531" t="str">
        <f t="shared" si="391"/>
        <v>-</v>
      </c>
      <c r="E2667" s="1318">
        <f t="shared" si="391"/>
        <v>0</v>
      </c>
      <c r="F2667" s="1437">
        <f t="shared" si="386"/>
        <v>8.3837327000000003E-2</v>
      </c>
      <c r="G2667" s="1437">
        <f t="shared" si="387"/>
        <v>0</v>
      </c>
      <c r="H2667" s="1437">
        <f t="shared" si="388"/>
        <v>8.3837327000000003E-2</v>
      </c>
      <c r="I2667" s="1437">
        <v>0</v>
      </c>
      <c r="J2667" s="1437">
        <v>0</v>
      </c>
      <c r="K2667" s="1438"/>
      <c r="L2667" s="1438"/>
      <c r="M2667" s="1437">
        <f t="shared" si="385"/>
        <v>0</v>
      </c>
      <c r="N2667" s="1437">
        <f t="shared" si="389"/>
        <v>8.3837327000000003E-2</v>
      </c>
    </row>
    <row r="2668" spans="1:14" outlineLevel="1">
      <c r="A2668" s="1499">
        <f t="shared" si="391"/>
        <v>75</v>
      </c>
      <c r="B2668" s="1539" t="str">
        <f t="shared" si="391"/>
        <v>Asset Recived From Project-U#8-Boiler &amp; Auxillaries - PA FAN-10501</v>
      </c>
      <c r="C2668" s="1491" t="str">
        <f t="shared" si="391"/>
        <v>N.A.</v>
      </c>
      <c r="D2668" s="1531" t="str">
        <f t="shared" si="391"/>
        <v>-</v>
      </c>
      <c r="E2668" s="1318">
        <f t="shared" si="391"/>
        <v>0</v>
      </c>
      <c r="F2668" s="1437">
        <f t="shared" si="386"/>
        <v>1.022551E-3</v>
      </c>
      <c r="G2668" s="1437">
        <f t="shared" si="387"/>
        <v>0</v>
      </c>
      <c r="H2668" s="1437">
        <f t="shared" si="388"/>
        <v>1.022551E-3</v>
      </c>
      <c r="I2668" s="1437">
        <v>0</v>
      </c>
      <c r="J2668" s="1437">
        <v>0</v>
      </c>
      <c r="K2668" s="1438"/>
      <c r="L2668" s="1438"/>
      <c r="M2668" s="1437">
        <f t="shared" si="385"/>
        <v>0</v>
      </c>
      <c r="N2668" s="1437">
        <f t="shared" si="389"/>
        <v>1.022551E-3</v>
      </c>
    </row>
    <row r="2669" spans="1:14" outlineLevel="1">
      <c r="A2669" s="1499">
        <f t="shared" si="391"/>
        <v>76</v>
      </c>
      <c r="B2669" s="1539" t="str">
        <f t="shared" si="391"/>
        <v>Asset Recived From Project-U#8-Boiler&amp;Aux-Air Preheaters-10501</v>
      </c>
      <c r="C2669" s="1491" t="str">
        <f t="shared" si="391"/>
        <v>N.A.</v>
      </c>
      <c r="D2669" s="1531" t="str">
        <f t="shared" si="391"/>
        <v>-</v>
      </c>
      <c r="E2669" s="1318">
        <f t="shared" si="391"/>
        <v>0</v>
      </c>
      <c r="F2669" s="1437">
        <f t="shared" si="386"/>
        <v>1.3280755999999999E-2</v>
      </c>
      <c r="G2669" s="1437">
        <f t="shared" si="387"/>
        <v>0</v>
      </c>
      <c r="H2669" s="1437">
        <f t="shared" si="388"/>
        <v>1.3280755999999999E-2</v>
      </c>
      <c r="I2669" s="1437">
        <v>0</v>
      </c>
      <c r="J2669" s="1437">
        <v>0</v>
      </c>
      <c r="K2669" s="1438"/>
      <c r="L2669" s="1438"/>
      <c r="M2669" s="1437">
        <f t="shared" si="385"/>
        <v>0</v>
      </c>
      <c r="N2669" s="1437">
        <f t="shared" si="389"/>
        <v>1.3280755999999999E-2</v>
      </c>
    </row>
    <row r="2670" spans="1:14" ht="29" outlineLevel="1">
      <c r="A2670" s="1499">
        <f t="shared" ref="A2670:E2685" si="392">A2277</f>
        <v>77</v>
      </c>
      <c r="B2670" s="1539" t="str">
        <f t="shared" si="392"/>
        <v>Asset Recived From Project-U#8-Boiler &amp; Auxillaries -COAL MILL-10501</v>
      </c>
      <c r="C2670" s="1491" t="str">
        <f t="shared" si="392"/>
        <v>N.A.</v>
      </c>
      <c r="D2670" s="1531" t="str">
        <f t="shared" si="392"/>
        <v>-</v>
      </c>
      <c r="E2670" s="1318">
        <f t="shared" si="392"/>
        <v>0</v>
      </c>
      <c r="F2670" s="1437">
        <f t="shared" si="386"/>
        <v>5.1243500999999997E-2</v>
      </c>
      <c r="G2670" s="1437">
        <f t="shared" si="387"/>
        <v>0</v>
      </c>
      <c r="H2670" s="1437">
        <f t="shared" si="388"/>
        <v>5.1243500999999997E-2</v>
      </c>
      <c r="I2670" s="1437">
        <v>0</v>
      </c>
      <c r="J2670" s="1437">
        <v>0</v>
      </c>
      <c r="K2670" s="1438"/>
      <c r="L2670" s="1438"/>
      <c r="M2670" s="1437">
        <f t="shared" si="385"/>
        <v>0</v>
      </c>
      <c r="N2670" s="1437">
        <f t="shared" si="389"/>
        <v>5.1243500999999997E-2</v>
      </c>
    </row>
    <row r="2671" spans="1:14" outlineLevel="1">
      <c r="A2671" s="1499">
        <f t="shared" si="392"/>
        <v>78</v>
      </c>
      <c r="B2671" s="1539" t="str">
        <f t="shared" si="392"/>
        <v>Asset Recived From Project-U#8-Boiler &amp; Auxillaries -FD FAN-10501</v>
      </c>
      <c r="C2671" s="1491" t="str">
        <f t="shared" si="392"/>
        <v>N.A.</v>
      </c>
      <c r="D2671" s="1531" t="str">
        <f t="shared" si="392"/>
        <v>-</v>
      </c>
      <c r="E2671" s="1318">
        <f t="shared" si="392"/>
        <v>0</v>
      </c>
      <c r="F2671" s="1437">
        <f t="shared" si="386"/>
        <v>6.8170000000000004E-4</v>
      </c>
      <c r="G2671" s="1437">
        <f t="shared" si="387"/>
        <v>0</v>
      </c>
      <c r="H2671" s="1437">
        <f t="shared" si="388"/>
        <v>6.8170000000000004E-4</v>
      </c>
      <c r="I2671" s="1437">
        <v>0</v>
      </c>
      <c r="J2671" s="1437">
        <v>0</v>
      </c>
      <c r="K2671" s="1438"/>
      <c r="L2671" s="1438"/>
      <c r="M2671" s="1437">
        <f t="shared" si="385"/>
        <v>0</v>
      </c>
      <c r="N2671" s="1437">
        <f t="shared" si="389"/>
        <v>6.8170000000000004E-4</v>
      </c>
    </row>
    <row r="2672" spans="1:14" outlineLevel="1">
      <c r="A2672" s="1499">
        <f t="shared" si="392"/>
        <v>79</v>
      </c>
      <c r="B2672" s="1539" t="str">
        <f t="shared" si="392"/>
        <v>Asset Recived From Project-U#8-Boiler &amp; Auxillaries- ID FAN-10501</v>
      </c>
      <c r="C2672" s="1491" t="str">
        <f t="shared" si="392"/>
        <v>N.A.</v>
      </c>
      <c r="D2672" s="1531" t="str">
        <f t="shared" si="392"/>
        <v>-</v>
      </c>
      <c r="E2672" s="1318">
        <f t="shared" si="392"/>
        <v>0</v>
      </c>
      <c r="F2672" s="1437">
        <f t="shared" si="386"/>
        <v>1.7042509999999999E-3</v>
      </c>
      <c r="G2672" s="1437">
        <f t="shared" si="387"/>
        <v>0</v>
      </c>
      <c r="H2672" s="1437">
        <f t="shared" si="388"/>
        <v>1.7042509999999999E-3</v>
      </c>
      <c r="I2672" s="1437">
        <v>0</v>
      </c>
      <c r="J2672" s="1437">
        <v>0</v>
      </c>
      <c r="K2672" s="1438"/>
      <c r="L2672" s="1438"/>
      <c r="M2672" s="1437">
        <f t="shared" si="385"/>
        <v>0</v>
      </c>
      <c r="N2672" s="1437">
        <f t="shared" si="389"/>
        <v>1.7042509999999999E-3</v>
      </c>
    </row>
    <row r="2673" spans="1:14" ht="29" outlineLevel="1">
      <c r="A2673" s="1499">
        <f t="shared" si="392"/>
        <v>80</v>
      </c>
      <c r="B2673" s="1539" t="str">
        <f t="shared" si="392"/>
        <v>Asset Recived From Project-U#8-Boiler&amp;Aux-Mandatory Spares-10501</v>
      </c>
      <c r="C2673" s="1491" t="str">
        <f t="shared" si="392"/>
        <v>N.A.</v>
      </c>
      <c r="D2673" s="1531" t="str">
        <f t="shared" si="392"/>
        <v>-</v>
      </c>
      <c r="E2673" s="1318">
        <f t="shared" si="392"/>
        <v>0</v>
      </c>
      <c r="F2673" s="1437">
        <f t="shared" si="386"/>
        <v>9.7934579999999997E-3</v>
      </c>
      <c r="G2673" s="1437">
        <f t="shared" si="387"/>
        <v>0</v>
      </c>
      <c r="H2673" s="1437">
        <f t="shared" si="388"/>
        <v>9.7934579999999997E-3</v>
      </c>
      <c r="I2673" s="1437">
        <v>0</v>
      </c>
      <c r="J2673" s="1437">
        <v>0</v>
      </c>
      <c r="K2673" s="1438"/>
      <c r="L2673" s="1438"/>
      <c r="M2673" s="1437">
        <f t="shared" si="385"/>
        <v>0</v>
      </c>
      <c r="N2673" s="1437">
        <f t="shared" si="389"/>
        <v>9.7934579999999997E-3</v>
      </c>
    </row>
    <row r="2674" spans="1:14" ht="29" outlineLevel="1">
      <c r="A2674" s="1499">
        <f t="shared" si="392"/>
        <v>81</v>
      </c>
      <c r="B2674" s="1539" t="str">
        <f t="shared" si="392"/>
        <v>Asset Recived From Project-U#8-Boiler&amp;Aux-PLATFORM,STAIRS,GRATINGS,</v>
      </c>
      <c r="C2674" s="1491" t="str">
        <f t="shared" si="392"/>
        <v>N.A.</v>
      </c>
      <c r="D2674" s="1531" t="str">
        <f t="shared" si="392"/>
        <v>-</v>
      </c>
      <c r="E2674" s="1318">
        <f t="shared" si="392"/>
        <v>0</v>
      </c>
      <c r="F2674" s="1437">
        <f t="shared" si="386"/>
        <v>3.0595908000000002E-2</v>
      </c>
      <c r="G2674" s="1437">
        <f t="shared" si="387"/>
        <v>0</v>
      </c>
      <c r="H2674" s="1437">
        <f t="shared" si="388"/>
        <v>3.0595908000000002E-2</v>
      </c>
      <c r="I2674" s="1437">
        <v>0</v>
      </c>
      <c r="J2674" s="1437">
        <v>0</v>
      </c>
      <c r="K2674" s="1438"/>
      <c r="L2674" s="1438"/>
      <c r="M2674" s="1437">
        <f t="shared" si="385"/>
        <v>0</v>
      </c>
      <c r="N2674" s="1437">
        <f t="shared" si="389"/>
        <v>3.0595908000000002E-2</v>
      </c>
    </row>
    <row r="2675" spans="1:14" outlineLevel="1">
      <c r="A2675" s="1499">
        <f t="shared" si="392"/>
        <v>82</v>
      </c>
      <c r="B2675" s="1539" t="str">
        <f t="shared" si="392"/>
        <v>Asset Recived From Project-U#8-Boiler Pressure parts-10501</v>
      </c>
      <c r="C2675" s="1491" t="str">
        <f t="shared" si="392"/>
        <v>N.A.</v>
      </c>
      <c r="D2675" s="1531" t="str">
        <f t="shared" si="392"/>
        <v>-</v>
      </c>
      <c r="E2675" s="1318">
        <f t="shared" si="392"/>
        <v>0</v>
      </c>
      <c r="F2675" s="1437">
        <f t="shared" si="386"/>
        <v>0.17807421000000001</v>
      </c>
      <c r="G2675" s="1437">
        <f t="shared" si="387"/>
        <v>0</v>
      </c>
      <c r="H2675" s="1437">
        <f t="shared" si="388"/>
        <v>0.17807421000000001</v>
      </c>
      <c r="I2675" s="1437">
        <v>0</v>
      </c>
      <c r="J2675" s="1437">
        <v>0</v>
      </c>
      <c r="K2675" s="1438"/>
      <c r="L2675" s="1438"/>
      <c r="M2675" s="1437">
        <f t="shared" si="385"/>
        <v>0</v>
      </c>
      <c r="N2675" s="1437">
        <f t="shared" si="389"/>
        <v>0.17807421000000001</v>
      </c>
    </row>
    <row r="2676" spans="1:14" ht="29" outlineLevel="1">
      <c r="A2676" s="1499">
        <f t="shared" si="392"/>
        <v>83</v>
      </c>
      <c r="B2676" s="1539" t="str">
        <f t="shared" si="392"/>
        <v>Asset Recived From Project-U#8-220V-BATTERY+CHARGERS-MAIN PLANT-10563</v>
      </c>
      <c r="C2676" s="1491" t="str">
        <f t="shared" si="392"/>
        <v>N.A.</v>
      </c>
      <c r="D2676" s="1531" t="str">
        <f t="shared" si="392"/>
        <v>-</v>
      </c>
      <c r="E2676" s="1318">
        <f t="shared" si="392"/>
        <v>0</v>
      </c>
      <c r="F2676" s="1437">
        <f t="shared" si="386"/>
        <v>2.0848189999999999E-3</v>
      </c>
      <c r="G2676" s="1437">
        <f t="shared" si="387"/>
        <v>0</v>
      </c>
      <c r="H2676" s="1437">
        <f t="shared" si="388"/>
        <v>2.0848189999999999E-3</v>
      </c>
      <c r="I2676" s="1437">
        <v>0</v>
      </c>
      <c r="J2676" s="1437">
        <v>0</v>
      </c>
      <c r="K2676" s="1438"/>
      <c r="L2676" s="1438"/>
      <c r="M2676" s="1437">
        <f t="shared" si="385"/>
        <v>0</v>
      </c>
      <c r="N2676" s="1437">
        <f t="shared" si="389"/>
        <v>2.0848189999999999E-3</v>
      </c>
    </row>
    <row r="2677" spans="1:14" ht="29" outlineLevel="1">
      <c r="A2677" s="1499">
        <f t="shared" si="392"/>
        <v>84</v>
      </c>
      <c r="B2677" s="1539" t="str">
        <f t="shared" si="392"/>
        <v>Asset Recived From Project-U#8-220V -BATTERY WITH CHARGERS(CHP)-10563</v>
      </c>
      <c r="C2677" s="1491" t="str">
        <f t="shared" si="392"/>
        <v>N.A.</v>
      </c>
      <c r="D2677" s="1531" t="str">
        <f t="shared" si="392"/>
        <v>-</v>
      </c>
      <c r="E2677" s="1318">
        <f t="shared" si="392"/>
        <v>0</v>
      </c>
      <c r="F2677" s="1437">
        <f t="shared" si="386"/>
        <v>2.0745099999999999E-4</v>
      </c>
      <c r="G2677" s="1437">
        <f t="shared" si="387"/>
        <v>0</v>
      </c>
      <c r="H2677" s="1437">
        <f t="shared" si="388"/>
        <v>2.0745099999999999E-4</v>
      </c>
      <c r="I2677" s="1437">
        <v>0</v>
      </c>
      <c r="J2677" s="1437">
        <v>0</v>
      </c>
      <c r="K2677" s="1438"/>
      <c r="L2677" s="1438"/>
      <c r="M2677" s="1437">
        <f t="shared" si="385"/>
        <v>0</v>
      </c>
      <c r="N2677" s="1437">
        <f t="shared" si="389"/>
        <v>2.0745099999999999E-4</v>
      </c>
    </row>
    <row r="2678" spans="1:14" ht="29" outlineLevel="1">
      <c r="A2678" s="1499">
        <f t="shared" si="392"/>
        <v>85</v>
      </c>
      <c r="B2678" s="1539" t="str">
        <f t="shared" si="392"/>
        <v>Asset Recived From Project-U#8-220V-BATTERY+CHARG-WAGON TRIP-2N-10563</v>
      </c>
      <c r="C2678" s="1491" t="str">
        <f t="shared" si="392"/>
        <v>N.A.</v>
      </c>
      <c r="D2678" s="1531" t="str">
        <f t="shared" si="392"/>
        <v>-</v>
      </c>
      <c r="E2678" s="1318">
        <f t="shared" si="392"/>
        <v>0</v>
      </c>
      <c r="F2678" s="1437">
        <f t="shared" si="386"/>
        <v>8.4673999999999996E-5</v>
      </c>
      <c r="G2678" s="1437">
        <f t="shared" si="387"/>
        <v>0</v>
      </c>
      <c r="H2678" s="1437">
        <f t="shared" si="388"/>
        <v>8.4673999999999996E-5</v>
      </c>
      <c r="I2678" s="1437">
        <v>0</v>
      </c>
      <c r="J2678" s="1437">
        <v>0</v>
      </c>
      <c r="K2678" s="1438"/>
      <c r="L2678" s="1438"/>
      <c r="M2678" s="1437">
        <f t="shared" si="385"/>
        <v>0</v>
      </c>
      <c r="N2678" s="1437">
        <f t="shared" si="389"/>
        <v>8.4673999999999996E-5</v>
      </c>
    </row>
    <row r="2679" spans="1:14" ht="29" outlineLevel="1">
      <c r="A2679" s="1499">
        <f t="shared" si="392"/>
        <v>86</v>
      </c>
      <c r="B2679" s="1539" t="str">
        <f t="shared" si="392"/>
        <v>Asset Recived From Project-U#8-BOP-OTHER C&amp; i INSTRUMENTS-10509</v>
      </c>
      <c r="C2679" s="1491" t="str">
        <f t="shared" si="392"/>
        <v>N.A.</v>
      </c>
      <c r="D2679" s="1531" t="str">
        <f t="shared" si="392"/>
        <v>-</v>
      </c>
      <c r="E2679" s="1318">
        <f t="shared" si="392"/>
        <v>0</v>
      </c>
      <c r="F2679" s="1437">
        <f t="shared" si="386"/>
        <v>1.3440609999999999E-3</v>
      </c>
      <c r="G2679" s="1437">
        <f t="shared" si="387"/>
        <v>0</v>
      </c>
      <c r="H2679" s="1437">
        <f t="shared" si="388"/>
        <v>1.3440609999999999E-3</v>
      </c>
      <c r="I2679" s="1437">
        <v>0</v>
      </c>
      <c r="J2679" s="1437">
        <v>0</v>
      </c>
      <c r="K2679" s="1438"/>
      <c r="L2679" s="1438"/>
      <c r="M2679" s="1437">
        <f t="shared" si="385"/>
        <v>0</v>
      </c>
      <c r="N2679" s="1437">
        <f t="shared" si="389"/>
        <v>1.3440609999999999E-3</v>
      </c>
    </row>
    <row r="2680" spans="1:14" outlineLevel="1">
      <c r="A2680" s="1499">
        <f t="shared" si="392"/>
        <v>87</v>
      </c>
      <c r="B2680" s="1539" t="str">
        <f t="shared" si="392"/>
        <v>Asset Recived From Project-U#8-CHP-CONVEYOR SYSTEM-10515</v>
      </c>
      <c r="C2680" s="1491" t="str">
        <f t="shared" si="392"/>
        <v>N.A.</v>
      </c>
      <c r="D2680" s="1531" t="str">
        <f t="shared" si="392"/>
        <v>-</v>
      </c>
      <c r="E2680" s="1318">
        <f t="shared" si="392"/>
        <v>0</v>
      </c>
      <c r="F2680" s="1437">
        <f t="shared" si="386"/>
        <v>1.540935E-2</v>
      </c>
      <c r="G2680" s="1437">
        <f t="shared" si="387"/>
        <v>0</v>
      </c>
      <c r="H2680" s="1437">
        <f t="shared" si="388"/>
        <v>1.540935E-2</v>
      </c>
      <c r="I2680" s="1437">
        <v>0</v>
      </c>
      <c r="J2680" s="1437">
        <v>0</v>
      </c>
      <c r="K2680" s="1438"/>
      <c r="L2680" s="1438"/>
      <c r="M2680" s="1437">
        <f t="shared" si="385"/>
        <v>0</v>
      </c>
      <c r="N2680" s="1437">
        <f t="shared" si="389"/>
        <v>1.540935E-2</v>
      </c>
    </row>
    <row r="2681" spans="1:14" outlineLevel="1">
      <c r="A2681" s="1499">
        <f t="shared" si="392"/>
        <v>88</v>
      </c>
      <c r="B2681" s="1539" t="str">
        <f t="shared" si="392"/>
        <v>Asset Recived From Project-U#8-CHP-WOBLER FEEDER-10515</v>
      </c>
      <c r="C2681" s="1491" t="str">
        <f t="shared" si="392"/>
        <v>N.A.</v>
      </c>
      <c r="D2681" s="1531" t="str">
        <f t="shared" si="392"/>
        <v>-</v>
      </c>
      <c r="E2681" s="1318">
        <f t="shared" si="392"/>
        <v>0</v>
      </c>
      <c r="F2681" s="1437">
        <f t="shared" si="386"/>
        <v>5.4613100000000005E-4</v>
      </c>
      <c r="G2681" s="1437">
        <f t="shared" si="387"/>
        <v>0</v>
      </c>
      <c r="H2681" s="1437">
        <f t="shared" si="388"/>
        <v>5.4613100000000005E-4</v>
      </c>
      <c r="I2681" s="1437">
        <v>0</v>
      </c>
      <c r="J2681" s="1437">
        <v>0</v>
      </c>
      <c r="K2681" s="1438"/>
      <c r="L2681" s="1438"/>
      <c r="M2681" s="1437">
        <f t="shared" si="385"/>
        <v>0</v>
      </c>
      <c r="N2681" s="1437">
        <f t="shared" si="389"/>
        <v>5.4613100000000005E-4</v>
      </c>
    </row>
    <row r="2682" spans="1:14" outlineLevel="1">
      <c r="A2682" s="1499">
        <f t="shared" si="392"/>
        <v>89</v>
      </c>
      <c r="B2682" s="1539" t="str">
        <f t="shared" si="392"/>
        <v>Asset Recived From Project-U#8-CHP-APRON FEEDER-10515</v>
      </c>
      <c r="C2682" s="1491" t="str">
        <f t="shared" si="392"/>
        <v>N.A.</v>
      </c>
      <c r="D2682" s="1531" t="str">
        <f t="shared" si="392"/>
        <v>-</v>
      </c>
      <c r="E2682" s="1318">
        <f t="shared" si="392"/>
        <v>0</v>
      </c>
      <c r="F2682" s="1437">
        <f t="shared" si="386"/>
        <v>2.8149E-3</v>
      </c>
      <c r="G2682" s="1437">
        <f t="shared" si="387"/>
        <v>0</v>
      </c>
      <c r="H2682" s="1437">
        <f t="shared" si="388"/>
        <v>2.8149E-3</v>
      </c>
      <c r="I2682" s="1437">
        <v>0</v>
      </c>
      <c r="J2682" s="1437">
        <v>0</v>
      </c>
      <c r="K2682" s="1438"/>
      <c r="L2682" s="1438"/>
      <c r="M2682" s="1437">
        <f t="shared" si="385"/>
        <v>0</v>
      </c>
      <c r="N2682" s="1437">
        <f t="shared" si="389"/>
        <v>2.8149E-3</v>
      </c>
    </row>
    <row r="2683" spans="1:14" ht="29" outlineLevel="1">
      <c r="A2683" s="1499">
        <f t="shared" si="392"/>
        <v>90</v>
      </c>
      <c r="B2683" s="1539" t="str">
        <f t="shared" si="392"/>
        <v>Asset Recived From Project-U#8-CHP-ILMS,METAL DETECTOR,BELT WEIGHER</v>
      </c>
      <c r="C2683" s="1491" t="str">
        <f t="shared" si="392"/>
        <v>N.A.</v>
      </c>
      <c r="D2683" s="1531" t="str">
        <f t="shared" si="392"/>
        <v>-</v>
      </c>
      <c r="E2683" s="1318">
        <f t="shared" si="392"/>
        <v>0</v>
      </c>
      <c r="F2683" s="1437">
        <f t="shared" si="386"/>
        <v>1.170412E-3</v>
      </c>
      <c r="G2683" s="1437">
        <f t="shared" si="387"/>
        <v>0</v>
      </c>
      <c r="H2683" s="1437">
        <f t="shared" si="388"/>
        <v>1.170412E-3</v>
      </c>
      <c r="I2683" s="1437">
        <v>0</v>
      </c>
      <c r="J2683" s="1437">
        <v>0</v>
      </c>
      <c r="K2683" s="1438"/>
      <c r="L2683" s="1438"/>
      <c r="M2683" s="1437">
        <f t="shared" si="385"/>
        <v>0</v>
      </c>
      <c r="N2683" s="1437">
        <f t="shared" si="389"/>
        <v>1.170412E-3</v>
      </c>
    </row>
    <row r="2684" spans="1:14" outlineLevel="1">
      <c r="A2684" s="1499">
        <f t="shared" si="392"/>
        <v>91</v>
      </c>
      <c r="B2684" s="1539" t="str">
        <f t="shared" si="392"/>
        <v>Asset Recived From Project-U#8-CHP-IMPACT CRUSHER-10515</v>
      </c>
      <c r="C2684" s="1491" t="str">
        <f t="shared" si="392"/>
        <v>N.A.</v>
      </c>
      <c r="D2684" s="1531" t="str">
        <f t="shared" si="392"/>
        <v>-</v>
      </c>
      <c r="E2684" s="1318">
        <f t="shared" si="392"/>
        <v>0</v>
      </c>
      <c r="F2684" s="1437">
        <f t="shared" si="386"/>
        <v>2.0637770000000001E-3</v>
      </c>
      <c r="G2684" s="1437">
        <f t="shared" si="387"/>
        <v>0</v>
      </c>
      <c r="H2684" s="1437">
        <f t="shared" si="388"/>
        <v>2.0637770000000001E-3</v>
      </c>
      <c r="I2684" s="1437">
        <v>0</v>
      </c>
      <c r="J2684" s="1437">
        <v>0</v>
      </c>
      <c r="K2684" s="1438"/>
      <c r="L2684" s="1438"/>
      <c r="M2684" s="1437">
        <f t="shared" si="385"/>
        <v>0</v>
      </c>
      <c r="N2684" s="1437">
        <f t="shared" si="389"/>
        <v>2.0637770000000001E-3</v>
      </c>
    </row>
    <row r="2685" spans="1:14" outlineLevel="1">
      <c r="A2685" s="1499">
        <f t="shared" si="392"/>
        <v>92</v>
      </c>
      <c r="B2685" s="1539" t="str">
        <f t="shared" si="392"/>
        <v>Project-U#8-CHP-STRACKER CUM RECLAIMER-10515</v>
      </c>
      <c r="C2685" s="1491" t="str">
        <f t="shared" si="392"/>
        <v>N.A.</v>
      </c>
      <c r="D2685" s="1531" t="str">
        <f t="shared" si="392"/>
        <v>-</v>
      </c>
      <c r="E2685" s="1318">
        <f t="shared" si="392"/>
        <v>0</v>
      </c>
      <c r="F2685" s="1437">
        <f t="shared" si="386"/>
        <v>8.2014210000000004E-3</v>
      </c>
      <c r="G2685" s="1437">
        <f t="shared" si="387"/>
        <v>0</v>
      </c>
      <c r="H2685" s="1437">
        <f t="shared" si="388"/>
        <v>8.2014210000000004E-3</v>
      </c>
      <c r="I2685" s="1437">
        <v>0</v>
      </c>
      <c r="J2685" s="1437">
        <v>0</v>
      </c>
      <c r="K2685" s="1438"/>
      <c r="L2685" s="1438"/>
      <c r="M2685" s="1437">
        <f t="shared" si="385"/>
        <v>0</v>
      </c>
      <c r="N2685" s="1437">
        <f t="shared" si="389"/>
        <v>8.2014210000000004E-3</v>
      </c>
    </row>
    <row r="2686" spans="1:14" outlineLevel="1">
      <c r="A2686" s="1499">
        <f t="shared" ref="A2686:E2701" si="393">A2293</f>
        <v>93</v>
      </c>
      <c r="B2686" s="1539" t="str">
        <f t="shared" si="393"/>
        <v>Project-U#8-CHP-SIDE DISCHARGE TYPE WAGON TRIPPLER</v>
      </c>
      <c r="C2686" s="1491" t="str">
        <f t="shared" si="393"/>
        <v>N.A.</v>
      </c>
      <c r="D2686" s="1531" t="str">
        <f t="shared" si="393"/>
        <v>-</v>
      </c>
      <c r="E2686" s="1318">
        <f t="shared" si="393"/>
        <v>0</v>
      </c>
      <c r="F2686" s="1437">
        <f t="shared" si="386"/>
        <v>7.783575E-3</v>
      </c>
      <c r="G2686" s="1437">
        <f t="shared" si="387"/>
        <v>0</v>
      </c>
      <c r="H2686" s="1437">
        <f t="shared" si="388"/>
        <v>7.783575E-3</v>
      </c>
      <c r="I2686" s="1437">
        <v>0</v>
      </c>
      <c r="J2686" s="1437">
        <v>0</v>
      </c>
      <c r="K2686" s="1438"/>
      <c r="L2686" s="1438"/>
      <c r="M2686" s="1437">
        <f t="shared" si="385"/>
        <v>0</v>
      </c>
      <c r="N2686" s="1437">
        <f t="shared" si="389"/>
        <v>7.783575E-3</v>
      </c>
    </row>
    <row r="2687" spans="1:14" outlineLevel="1">
      <c r="A2687" s="1499">
        <f t="shared" si="393"/>
        <v>94</v>
      </c>
      <c r="B2687" s="1539" t="str">
        <f t="shared" si="393"/>
        <v>Project-U#8-Coal Handling Plant-M.S.-10515</v>
      </c>
      <c r="C2687" s="1491" t="str">
        <f t="shared" si="393"/>
        <v>N.A.</v>
      </c>
      <c r="D2687" s="1531" t="str">
        <f t="shared" si="393"/>
        <v>-</v>
      </c>
      <c r="E2687" s="1318">
        <f t="shared" si="393"/>
        <v>0</v>
      </c>
      <c r="F2687" s="1437">
        <f t="shared" si="386"/>
        <v>3.4267400000000001E-4</v>
      </c>
      <c r="G2687" s="1437">
        <f t="shared" si="387"/>
        <v>0</v>
      </c>
      <c r="H2687" s="1437">
        <f t="shared" si="388"/>
        <v>3.4267400000000001E-4</v>
      </c>
      <c r="I2687" s="1437">
        <v>0</v>
      </c>
      <c r="J2687" s="1437">
        <v>0</v>
      </c>
      <c r="K2687" s="1438"/>
      <c r="L2687" s="1438"/>
      <c r="M2687" s="1437">
        <f t="shared" si="385"/>
        <v>0</v>
      </c>
      <c r="N2687" s="1437">
        <f t="shared" si="389"/>
        <v>3.4267400000000001E-4</v>
      </c>
    </row>
    <row r="2688" spans="1:14" outlineLevel="1">
      <c r="A2688" s="1499">
        <f t="shared" si="393"/>
        <v>95</v>
      </c>
      <c r="B2688" s="1539" t="str">
        <f t="shared" si="393"/>
        <v>Project-U#8-communication system-10572</v>
      </c>
      <c r="C2688" s="1491" t="str">
        <f t="shared" si="393"/>
        <v>N.A.</v>
      </c>
      <c r="D2688" s="1531" t="str">
        <f t="shared" si="393"/>
        <v>-</v>
      </c>
      <c r="E2688" s="1318">
        <f t="shared" si="393"/>
        <v>0</v>
      </c>
      <c r="F2688" s="1437">
        <f t="shared" si="386"/>
        <v>1.92531E-3</v>
      </c>
      <c r="G2688" s="1437">
        <f t="shared" si="387"/>
        <v>0</v>
      </c>
      <c r="H2688" s="1437">
        <f t="shared" si="388"/>
        <v>1.92531E-3</v>
      </c>
      <c r="I2688" s="1437">
        <v>0</v>
      </c>
      <c r="J2688" s="1437">
        <v>0</v>
      </c>
      <c r="K2688" s="1438"/>
      <c r="L2688" s="1438"/>
      <c r="M2688" s="1437">
        <f t="shared" ref="M2688:M2751" si="394">SUM(J2688:L2688)</f>
        <v>0</v>
      </c>
      <c r="N2688" s="1437">
        <f t="shared" si="389"/>
        <v>1.92531E-3</v>
      </c>
    </row>
    <row r="2689" spans="1:14" outlineLevel="1">
      <c r="A2689" s="1499">
        <f t="shared" si="393"/>
        <v>96</v>
      </c>
      <c r="B2689" s="1539" t="str">
        <f t="shared" si="393"/>
        <v>Project-U#8-UPS INVERTORS-10563</v>
      </c>
      <c r="C2689" s="1491" t="str">
        <f t="shared" si="393"/>
        <v>N.A.</v>
      </c>
      <c r="D2689" s="1531" t="str">
        <f t="shared" si="393"/>
        <v>-</v>
      </c>
      <c r="E2689" s="1318">
        <f t="shared" si="393"/>
        <v>0</v>
      </c>
      <c r="F2689" s="1437">
        <f t="shared" ref="F2689:F2752" si="395">F2296+I2296</f>
        <v>5.1465199999999999E-4</v>
      </c>
      <c r="G2689" s="1437">
        <f t="shared" ref="G2689:G2752" si="396">G2296+M2296</f>
        <v>0</v>
      </c>
      <c r="H2689" s="1437">
        <f t="shared" si="388"/>
        <v>5.1465199999999999E-4</v>
      </c>
      <c r="I2689" s="1437">
        <v>0</v>
      </c>
      <c r="J2689" s="1437">
        <v>0</v>
      </c>
      <c r="K2689" s="1438"/>
      <c r="L2689" s="1438"/>
      <c r="M2689" s="1437">
        <f t="shared" si="394"/>
        <v>0</v>
      </c>
      <c r="N2689" s="1437">
        <f t="shared" si="389"/>
        <v>5.1465199999999999E-4</v>
      </c>
    </row>
    <row r="2690" spans="1:14" outlineLevel="1">
      <c r="A2690" s="1499">
        <f t="shared" si="393"/>
        <v>97</v>
      </c>
      <c r="B2690" s="1539" t="str">
        <f t="shared" si="393"/>
        <v>Project-U#8-UPS ACDS-10563</v>
      </c>
      <c r="C2690" s="1491" t="str">
        <f t="shared" si="393"/>
        <v>N.A.</v>
      </c>
      <c r="D2690" s="1531" t="str">
        <f t="shared" si="393"/>
        <v>-</v>
      </c>
      <c r="E2690" s="1318">
        <f t="shared" si="393"/>
        <v>0</v>
      </c>
      <c r="F2690" s="1437">
        <f t="shared" si="395"/>
        <v>8.9956000000000004E-5</v>
      </c>
      <c r="G2690" s="1437">
        <f t="shared" si="396"/>
        <v>0</v>
      </c>
      <c r="H2690" s="1437">
        <f t="shared" ref="H2690:H2753" si="397">F2690-G2690</f>
        <v>8.9956000000000004E-5</v>
      </c>
      <c r="I2690" s="1437">
        <v>0</v>
      </c>
      <c r="J2690" s="1437">
        <v>0</v>
      </c>
      <c r="K2690" s="1438"/>
      <c r="L2690" s="1438"/>
      <c r="M2690" s="1437">
        <f t="shared" si="394"/>
        <v>0</v>
      </c>
      <c r="N2690" s="1437">
        <f t="shared" ref="N2690:N2753" si="398">H2690+I2690-M2690</f>
        <v>8.9956000000000004E-5</v>
      </c>
    </row>
    <row r="2691" spans="1:14" outlineLevel="1">
      <c r="A2691" s="1499">
        <f t="shared" si="393"/>
        <v>98</v>
      </c>
      <c r="B2691" s="1539" t="str">
        <f t="shared" si="393"/>
        <v>Project-U#8-UPS BATTERIRERS-10563</v>
      </c>
      <c r="C2691" s="1491" t="str">
        <f t="shared" si="393"/>
        <v>N.A.</v>
      </c>
      <c r="D2691" s="1531" t="str">
        <f t="shared" si="393"/>
        <v>-</v>
      </c>
      <c r="E2691" s="1318">
        <f t="shared" si="393"/>
        <v>0</v>
      </c>
      <c r="F2691" s="1437">
        <f t="shared" si="395"/>
        <v>5.1465199999999999E-4</v>
      </c>
      <c r="G2691" s="1437">
        <f t="shared" si="396"/>
        <v>0</v>
      </c>
      <c r="H2691" s="1437">
        <f t="shared" si="397"/>
        <v>5.1465199999999999E-4</v>
      </c>
      <c r="I2691" s="1437">
        <v>0</v>
      </c>
      <c r="J2691" s="1437">
        <v>0</v>
      </c>
      <c r="K2691" s="1438"/>
      <c r="L2691" s="1438"/>
      <c r="M2691" s="1437">
        <f t="shared" si="394"/>
        <v>0</v>
      </c>
      <c r="N2691" s="1437">
        <f t="shared" si="398"/>
        <v>5.1465199999999999E-4</v>
      </c>
    </row>
    <row r="2692" spans="1:14" outlineLevel="1">
      <c r="A2692" s="1499">
        <f t="shared" si="393"/>
        <v>99</v>
      </c>
      <c r="B2692" s="1539" t="str">
        <f t="shared" si="393"/>
        <v>Project-U#8-24V BATTERY CHARGERS (SGTG)-10563</v>
      </c>
      <c r="C2692" s="1491" t="str">
        <f t="shared" si="393"/>
        <v>N.A.</v>
      </c>
      <c r="D2692" s="1531" t="str">
        <f t="shared" si="393"/>
        <v>-</v>
      </c>
      <c r="E2692" s="1318">
        <f t="shared" si="393"/>
        <v>0</v>
      </c>
      <c r="F2692" s="1437">
        <f t="shared" si="395"/>
        <v>2.28734E-4</v>
      </c>
      <c r="G2692" s="1437">
        <f t="shared" si="396"/>
        <v>0</v>
      </c>
      <c r="H2692" s="1437">
        <f t="shared" si="397"/>
        <v>2.28734E-4</v>
      </c>
      <c r="I2692" s="1437">
        <v>0</v>
      </c>
      <c r="J2692" s="1437">
        <v>0</v>
      </c>
      <c r="K2692" s="1438"/>
      <c r="L2692" s="1438"/>
      <c r="M2692" s="1437">
        <f t="shared" si="394"/>
        <v>0</v>
      </c>
      <c r="N2692" s="1437">
        <f t="shared" si="398"/>
        <v>2.28734E-4</v>
      </c>
    </row>
    <row r="2693" spans="1:14" outlineLevel="1">
      <c r="A2693" s="1499">
        <f t="shared" si="393"/>
        <v>100</v>
      </c>
      <c r="B2693" s="1539" t="str">
        <f t="shared" si="393"/>
        <v>Project-U#8-24V BATTERY CHARGERS (BOP)-10563</v>
      </c>
      <c r="C2693" s="1491" t="str">
        <f t="shared" si="393"/>
        <v>N.A.</v>
      </c>
      <c r="D2693" s="1531" t="str">
        <f t="shared" si="393"/>
        <v>-</v>
      </c>
      <c r="E2693" s="1318">
        <f t="shared" si="393"/>
        <v>0</v>
      </c>
      <c r="F2693" s="1437">
        <f t="shared" si="395"/>
        <v>2.28734E-4</v>
      </c>
      <c r="G2693" s="1437">
        <f t="shared" si="396"/>
        <v>0</v>
      </c>
      <c r="H2693" s="1437">
        <f t="shared" si="397"/>
        <v>2.28734E-4</v>
      </c>
      <c r="I2693" s="1437">
        <v>0</v>
      </c>
      <c r="J2693" s="1437">
        <v>0</v>
      </c>
      <c r="K2693" s="1438"/>
      <c r="L2693" s="1438"/>
      <c r="M2693" s="1437">
        <f t="shared" si="394"/>
        <v>0</v>
      </c>
      <c r="N2693" s="1437">
        <f t="shared" si="398"/>
        <v>2.28734E-4</v>
      </c>
    </row>
    <row r="2694" spans="1:14" outlineLevel="1">
      <c r="A2694" s="1499">
        <f t="shared" si="393"/>
        <v>101</v>
      </c>
      <c r="B2694" s="1539" t="str">
        <f t="shared" si="393"/>
        <v>Project-U#8-BATTERIS FOR (SGTG)-10563</v>
      </c>
      <c r="C2694" s="1491" t="str">
        <f t="shared" si="393"/>
        <v>N.A.</v>
      </c>
      <c r="D2694" s="1531" t="str">
        <f t="shared" si="393"/>
        <v>-</v>
      </c>
      <c r="E2694" s="1318">
        <f t="shared" si="393"/>
        <v>0</v>
      </c>
      <c r="F2694" s="1437">
        <f t="shared" si="395"/>
        <v>2.28734E-4</v>
      </c>
      <c r="G2694" s="1437">
        <f t="shared" si="396"/>
        <v>0</v>
      </c>
      <c r="H2694" s="1437">
        <f t="shared" si="397"/>
        <v>2.28734E-4</v>
      </c>
      <c r="I2694" s="1437">
        <v>0</v>
      </c>
      <c r="J2694" s="1437">
        <v>0</v>
      </c>
      <c r="K2694" s="1438"/>
      <c r="L2694" s="1438"/>
      <c r="M2694" s="1437">
        <f t="shared" si="394"/>
        <v>0</v>
      </c>
      <c r="N2694" s="1437">
        <f t="shared" si="398"/>
        <v>2.28734E-4</v>
      </c>
    </row>
    <row r="2695" spans="1:14" outlineLevel="1">
      <c r="A2695" s="1499">
        <f t="shared" si="393"/>
        <v>102</v>
      </c>
      <c r="B2695" s="1539" t="str">
        <f t="shared" si="393"/>
        <v>Project-U#8-BATTERIS FOR (BOP)-10563</v>
      </c>
      <c r="C2695" s="1491" t="str">
        <f t="shared" si="393"/>
        <v>N.A.</v>
      </c>
      <c r="D2695" s="1531" t="str">
        <f t="shared" si="393"/>
        <v>-</v>
      </c>
      <c r="E2695" s="1318">
        <f t="shared" si="393"/>
        <v>0</v>
      </c>
      <c r="F2695" s="1437">
        <f t="shared" si="395"/>
        <v>2.28734E-4</v>
      </c>
      <c r="G2695" s="1437">
        <f t="shared" si="396"/>
        <v>0</v>
      </c>
      <c r="H2695" s="1437">
        <f t="shared" si="397"/>
        <v>2.28734E-4</v>
      </c>
      <c r="I2695" s="1437">
        <v>0</v>
      </c>
      <c r="J2695" s="1437">
        <v>0</v>
      </c>
      <c r="K2695" s="1438"/>
      <c r="L2695" s="1438"/>
      <c r="M2695" s="1437">
        <f t="shared" si="394"/>
        <v>0</v>
      </c>
      <c r="N2695" s="1437">
        <f t="shared" si="398"/>
        <v>2.28734E-4</v>
      </c>
    </row>
    <row r="2696" spans="1:14" outlineLevel="1">
      <c r="A2696" s="1499">
        <f t="shared" si="393"/>
        <v>103</v>
      </c>
      <c r="B2696" s="1539" t="str">
        <f t="shared" si="393"/>
        <v>Project-U#8-DCDB(SGTG)-10563</v>
      </c>
      <c r="C2696" s="1491" t="str">
        <f t="shared" si="393"/>
        <v>N.A.</v>
      </c>
      <c r="D2696" s="1531" t="str">
        <f t="shared" si="393"/>
        <v>-</v>
      </c>
      <c r="E2696" s="1318">
        <f t="shared" si="393"/>
        <v>0</v>
      </c>
      <c r="F2696" s="1437">
        <f t="shared" si="395"/>
        <v>5.7182999999999998E-5</v>
      </c>
      <c r="G2696" s="1437">
        <f t="shared" si="396"/>
        <v>0</v>
      </c>
      <c r="H2696" s="1437">
        <f t="shared" si="397"/>
        <v>5.7182999999999998E-5</v>
      </c>
      <c r="I2696" s="1437">
        <v>0</v>
      </c>
      <c r="J2696" s="1437">
        <v>0</v>
      </c>
      <c r="K2696" s="1438"/>
      <c r="L2696" s="1438"/>
      <c r="M2696" s="1437">
        <f t="shared" si="394"/>
        <v>0</v>
      </c>
      <c r="N2696" s="1437">
        <f t="shared" si="398"/>
        <v>5.7182999999999998E-5</v>
      </c>
    </row>
    <row r="2697" spans="1:14" outlineLevel="1">
      <c r="A2697" s="1499">
        <f t="shared" si="393"/>
        <v>104</v>
      </c>
      <c r="B2697" s="1539" t="str">
        <f t="shared" si="393"/>
        <v>Project-U#8-DCDB(BOP)-10563</v>
      </c>
      <c r="C2697" s="1491" t="str">
        <f t="shared" si="393"/>
        <v>N.A.</v>
      </c>
      <c r="D2697" s="1531" t="str">
        <f t="shared" si="393"/>
        <v>-</v>
      </c>
      <c r="E2697" s="1318">
        <f t="shared" si="393"/>
        <v>0</v>
      </c>
      <c r="F2697" s="1437">
        <f t="shared" si="395"/>
        <v>5.7182999999999998E-5</v>
      </c>
      <c r="G2697" s="1437">
        <f t="shared" si="396"/>
        <v>0</v>
      </c>
      <c r="H2697" s="1437">
        <f t="shared" si="397"/>
        <v>5.7182999999999998E-5</v>
      </c>
      <c r="I2697" s="1437">
        <v>0</v>
      </c>
      <c r="J2697" s="1437">
        <v>0</v>
      </c>
      <c r="K2697" s="1438"/>
      <c r="L2697" s="1438"/>
      <c r="M2697" s="1437">
        <f t="shared" si="394"/>
        <v>0</v>
      </c>
      <c r="N2697" s="1437">
        <f t="shared" si="398"/>
        <v>5.7182999999999998E-5</v>
      </c>
    </row>
    <row r="2698" spans="1:14" outlineLevel="1">
      <c r="A2698" s="1499">
        <f t="shared" si="393"/>
        <v>105</v>
      </c>
      <c r="B2698" s="1539" t="str">
        <f t="shared" si="393"/>
        <v>Project-U#8-Controls &amp; Instru. for Main Plant(BTG)</v>
      </c>
      <c r="C2698" s="1491" t="str">
        <f t="shared" si="393"/>
        <v>N.A.</v>
      </c>
      <c r="D2698" s="1531" t="str">
        <f t="shared" si="393"/>
        <v>-</v>
      </c>
      <c r="E2698" s="1318">
        <f t="shared" si="393"/>
        <v>0</v>
      </c>
      <c r="F2698" s="1437">
        <f t="shared" si="395"/>
        <v>4.4292073000000001E-2</v>
      </c>
      <c r="G2698" s="1437">
        <f t="shared" si="396"/>
        <v>0</v>
      </c>
      <c r="H2698" s="1437">
        <f t="shared" si="397"/>
        <v>4.4292073000000001E-2</v>
      </c>
      <c r="I2698" s="1437">
        <v>0</v>
      </c>
      <c r="J2698" s="1437">
        <v>0</v>
      </c>
      <c r="K2698" s="1438"/>
      <c r="L2698" s="1438"/>
      <c r="M2698" s="1437">
        <f t="shared" si="394"/>
        <v>0</v>
      </c>
      <c r="N2698" s="1437">
        <f t="shared" si="398"/>
        <v>4.4292073000000001E-2</v>
      </c>
    </row>
    <row r="2699" spans="1:14" outlineLevel="1">
      <c r="A2699" s="1499">
        <f t="shared" si="393"/>
        <v>106</v>
      </c>
      <c r="B2699" s="1539" t="str">
        <f t="shared" si="393"/>
        <v>Project-U#8-CW Chlorination system-10509</v>
      </c>
      <c r="C2699" s="1491" t="str">
        <f t="shared" si="393"/>
        <v>N.A.</v>
      </c>
      <c r="D2699" s="1531" t="str">
        <f t="shared" si="393"/>
        <v>-</v>
      </c>
      <c r="E2699" s="1318">
        <f t="shared" si="393"/>
        <v>0</v>
      </c>
      <c r="F2699" s="1437">
        <f t="shared" si="395"/>
        <v>1.1973800000000001E-3</v>
      </c>
      <c r="G2699" s="1437">
        <f t="shared" si="396"/>
        <v>0</v>
      </c>
      <c r="H2699" s="1437">
        <f t="shared" si="397"/>
        <v>1.1973800000000001E-3</v>
      </c>
      <c r="I2699" s="1437">
        <v>0</v>
      </c>
      <c r="J2699" s="1437">
        <v>0</v>
      </c>
      <c r="K2699" s="1438"/>
      <c r="L2699" s="1438"/>
      <c r="M2699" s="1437">
        <f t="shared" si="394"/>
        <v>0</v>
      </c>
      <c r="N2699" s="1437">
        <f t="shared" si="398"/>
        <v>1.1973800000000001E-3</v>
      </c>
    </row>
    <row r="2700" spans="1:14" outlineLevel="1">
      <c r="A2700" s="1499">
        <f t="shared" si="393"/>
        <v>107</v>
      </c>
      <c r="B2700" s="1539" t="str">
        <f t="shared" si="393"/>
        <v>Project-U#8-D.G.SET-10509</v>
      </c>
      <c r="C2700" s="1491" t="str">
        <f t="shared" si="393"/>
        <v>N.A.</v>
      </c>
      <c r="D2700" s="1531" t="str">
        <f t="shared" si="393"/>
        <v>-</v>
      </c>
      <c r="E2700" s="1318">
        <f t="shared" si="393"/>
        <v>0</v>
      </c>
      <c r="F2700" s="1437">
        <f t="shared" si="395"/>
        <v>3.7894E-5</v>
      </c>
      <c r="G2700" s="1437">
        <f t="shared" si="396"/>
        <v>0</v>
      </c>
      <c r="H2700" s="1437">
        <f t="shared" si="397"/>
        <v>3.7894E-5</v>
      </c>
      <c r="I2700" s="1437">
        <v>0</v>
      </c>
      <c r="J2700" s="1437">
        <v>0</v>
      </c>
      <c r="K2700" s="1438"/>
      <c r="L2700" s="1438"/>
      <c r="M2700" s="1437">
        <f t="shared" si="394"/>
        <v>0</v>
      </c>
      <c r="N2700" s="1437">
        <f t="shared" si="398"/>
        <v>3.7894E-5</v>
      </c>
    </row>
    <row r="2701" spans="1:14" outlineLevel="1">
      <c r="A2701" s="1499">
        <f t="shared" si="393"/>
        <v>108</v>
      </c>
      <c r="B2701" s="1539" t="str">
        <f t="shared" si="393"/>
        <v>Project-U#8-D.M.Water System-10509</v>
      </c>
      <c r="C2701" s="1491" t="str">
        <f t="shared" si="393"/>
        <v>N.A.</v>
      </c>
      <c r="D2701" s="1531" t="str">
        <f t="shared" si="393"/>
        <v>-</v>
      </c>
      <c r="E2701" s="1318">
        <f t="shared" si="393"/>
        <v>0</v>
      </c>
      <c r="F2701" s="1437">
        <f t="shared" si="395"/>
        <v>5.7850250000000001E-3</v>
      </c>
      <c r="G2701" s="1437">
        <f t="shared" si="396"/>
        <v>0</v>
      </c>
      <c r="H2701" s="1437">
        <f t="shared" si="397"/>
        <v>5.7850250000000001E-3</v>
      </c>
      <c r="I2701" s="1437">
        <v>0</v>
      </c>
      <c r="J2701" s="1437">
        <v>0</v>
      </c>
      <c r="K2701" s="1438"/>
      <c r="L2701" s="1438"/>
      <c r="M2701" s="1437">
        <f t="shared" si="394"/>
        <v>0</v>
      </c>
      <c r="N2701" s="1437">
        <f t="shared" si="398"/>
        <v>5.7850250000000001E-3</v>
      </c>
    </row>
    <row r="2702" spans="1:14" outlineLevel="1">
      <c r="A2702" s="1499">
        <f t="shared" ref="A2702:E2717" si="399">A2309</f>
        <v>109</v>
      </c>
      <c r="B2702" s="1539" t="str">
        <f t="shared" si="399"/>
        <v>Project-U#8-DG set- Manadatory Spares-10509</v>
      </c>
      <c r="C2702" s="1491" t="str">
        <f t="shared" si="399"/>
        <v>N.A.</v>
      </c>
      <c r="D2702" s="1531" t="str">
        <f t="shared" si="399"/>
        <v>-</v>
      </c>
      <c r="E2702" s="1318">
        <f t="shared" si="399"/>
        <v>0</v>
      </c>
      <c r="F2702" s="1437">
        <f t="shared" si="395"/>
        <v>2.5003999999999998E-4</v>
      </c>
      <c r="G2702" s="1437">
        <f t="shared" si="396"/>
        <v>0</v>
      </c>
      <c r="H2702" s="1437">
        <f t="shared" si="397"/>
        <v>2.5003999999999998E-4</v>
      </c>
      <c r="I2702" s="1437">
        <v>0</v>
      </c>
      <c r="J2702" s="1437">
        <v>0</v>
      </c>
      <c r="K2702" s="1438"/>
      <c r="L2702" s="1438"/>
      <c r="M2702" s="1437">
        <f t="shared" si="394"/>
        <v>0</v>
      </c>
      <c r="N2702" s="1437">
        <f t="shared" si="398"/>
        <v>2.5003999999999998E-4</v>
      </c>
    </row>
    <row r="2703" spans="1:14" outlineLevel="1">
      <c r="A2703" s="1499">
        <f t="shared" si="399"/>
        <v>110</v>
      </c>
      <c r="B2703" s="1539" t="str">
        <f t="shared" si="399"/>
        <v>Project-U#8-DG Set Room cum Air Compressor House</v>
      </c>
      <c r="C2703" s="1491" t="str">
        <f t="shared" si="399"/>
        <v>N.A.</v>
      </c>
      <c r="D2703" s="1531" t="str">
        <f t="shared" si="399"/>
        <v>-</v>
      </c>
      <c r="E2703" s="1318">
        <f t="shared" si="399"/>
        <v>0</v>
      </c>
      <c r="F2703" s="1437">
        <f t="shared" si="395"/>
        <v>5.5794089999999996E-3</v>
      </c>
      <c r="G2703" s="1437">
        <f t="shared" si="396"/>
        <v>0</v>
      </c>
      <c r="H2703" s="1437">
        <f t="shared" si="397"/>
        <v>5.5794089999999996E-3</v>
      </c>
      <c r="I2703" s="1437">
        <v>0</v>
      </c>
      <c r="J2703" s="1437">
        <v>0</v>
      </c>
      <c r="K2703" s="1438"/>
      <c r="L2703" s="1438"/>
      <c r="M2703" s="1437">
        <f t="shared" si="394"/>
        <v>0</v>
      </c>
      <c r="N2703" s="1437">
        <f t="shared" si="398"/>
        <v>5.5794089999999996E-3</v>
      </c>
    </row>
    <row r="2704" spans="1:14" outlineLevel="1">
      <c r="A2704" s="1499">
        <f t="shared" si="399"/>
        <v>111</v>
      </c>
      <c r="B2704" s="1539" t="str">
        <f t="shared" si="399"/>
        <v>Project-U#8-Steel for TechnologicalStructure-10501</v>
      </c>
      <c r="C2704" s="1491" t="str">
        <f t="shared" si="399"/>
        <v>N.A.</v>
      </c>
      <c r="D2704" s="1531" t="str">
        <f t="shared" si="399"/>
        <v>-</v>
      </c>
      <c r="E2704" s="1318">
        <f t="shared" si="399"/>
        <v>0</v>
      </c>
      <c r="F2704" s="1437">
        <f t="shared" si="395"/>
        <v>0.14835727600000001</v>
      </c>
      <c r="G2704" s="1437">
        <f t="shared" si="396"/>
        <v>0</v>
      </c>
      <c r="H2704" s="1437">
        <f t="shared" si="397"/>
        <v>0.14835727600000001</v>
      </c>
      <c r="I2704" s="1437">
        <v>0</v>
      </c>
      <c r="J2704" s="1437">
        <v>0</v>
      </c>
      <c r="K2704" s="1438"/>
      <c r="L2704" s="1438"/>
      <c r="M2704" s="1437">
        <f t="shared" si="394"/>
        <v>0</v>
      </c>
      <c r="N2704" s="1437">
        <f t="shared" si="398"/>
        <v>0.14835727600000001</v>
      </c>
    </row>
    <row r="2705" spans="1:14" outlineLevel="1">
      <c r="A2705" s="1499">
        <f t="shared" si="399"/>
        <v>112</v>
      </c>
      <c r="B2705" s="1539" t="str">
        <f t="shared" si="399"/>
        <v>Project-U#8-Electrical Package for BOP-10509</v>
      </c>
      <c r="C2705" s="1491" t="str">
        <f t="shared" si="399"/>
        <v>N.A.</v>
      </c>
      <c r="D2705" s="1531" t="str">
        <f t="shared" si="399"/>
        <v>-</v>
      </c>
      <c r="E2705" s="1318">
        <f t="shared" si="399"/>
        <v>0</v>
      </c>
      <c r="F2705" s="1437">
        <f t="shared" si="395"/>
        <v>2.4904469999999998E-3</v>
      </c>
      <c r="G2705" s="1437">
        <f t="shared" si="396"/>
        <v>0</v>
      </c>
      <c r="H2705" s="1437">
        <f t="shared" si="397"/>
        <v>2.4904469999999998E-3</v>
      </c>
      <c r="I2705" s="1437">
        <v>0</v>
      </c>
      <c r="J2705" s="1437">
        <v>0</v>
      </c>
      <c r="K2705" s="1438"/>
      <c r="L2705" s="1438"/>
      <c r="M2705" s="1437">
        <f t="shared" si="394"/>
        <v>0</v>
      </c>
      <c r="N2705" s="1437">
        <f t="shared" si="398"/>
        <v>2.4904469999999998E-3</v>
      </c>
    </row>
    <row r="2706" spans="1:14" outlineLevel="1">
      <c r="A2706" s="1499">
        <f t="shared" si="399"/>
        <v>113</v>
      </c>
      <c r="B2706" s="1539" t="str">
        <f t="shared" si="399"/>
        <v>Project-U#8-Electrical CHARGES-10509</v>
      </c>
      <c r="C2706" s="1491" t="str">
        <f t="shared" si="399"/>
        <v>N.A.</v>
      </c>
      <c r="D2706" s="1531" t="str">
        <f t="shared" si="399"/>
        <v>-</v>
      </c>
      <c r="E2706" s="1318">
        <f t="shared" si="399"/>
        <v>0</v>
      </c>
      <c r="F2706" s="1437">
        <f t="shared" si="395"/>
        <v>4.1155000000000002E-5</v>
      </c>
      <c r="G2706" s="1437">
        <f t="shared" si="396"/>
        <v>0</v>
      </c>
      <c r="H2706" s="1437">
        <f t="shared" si="397"/>
        <v>4.1155000000000002E-5</v>
      </c>
      <c r="I2706" s="1437">
        <v>0</v>
      </c>
      <c r="J2706" s="1437">
        <v>0</v>
      </c>
      <c r="K2706" s="1438"/>
      <c r="L2706" s="1438"/>
      <c r="M2706" s="1437">
        <f t="shared" si="394"/>
        <v>0</v>
      </c>
      <c r="N2706" s="1437">
        <f t="shared" si="398"/>
        <v>4.1155000000000002E-5</v>
      </c>
    </row>
    <row r="2707" spans="1:14" outlineLevel="1">
      <c r="A2707" s="1499">
        <f t="shared" si="399"/>
        <v>114</v>
      </c>
      <c r="B2707" s="1539" t="str">
        <f t="shared" si="399"/>
        <v>Project-U#8-Electrical Package for BOP-Mandatory</v>
      </c>
      <c r="C2707" s="1491" t="str">
        <f t="shared" si="399"/>
        <v>N.A.</v>
      </c>
      <c r="D2707" s="1531" t="str">
        <f t="shared" si="399"/>
        <v>-</v>
      </c>
      <c r="E2707" s="1318">
        <f t="shared" si="399"/>
        <v>0</v>
      </c>
      <c r="F2707" s="1437">
        <f t="shared" si="395"/>
        <v>2.7569600000000002E-4</v>
      </c>
      <c r="G2707" s="1437">
        <f t="shared" si="396"/>
        <v>0</v>
      </c>
      <c r="H2707" s="1437">
        <f t="shared" si="397"/>
        <v>2.7569600000000002E-4</v>
      </c>
      <c r="I2707" s="1437">
        <v>0</v>
      </c>
      <c r="J2707" s="1437">
        <v>0</v>
      </c>
      <c r="K2707" s="1438"/>
      <c r="L2707" s="1438"/>
      <c r="M2707" s="1437">
        <f t="shared" si="394"/>
        <v>0</v>
      </c>
      <c r="N2707" s="1437">
        <f t="shared" si="398"/>
        <v>2.7569600000000002E-4</v>
      </c>
    </row>
    <row r="2708" spans="1:14" outlineLevel="1">
      <c r="A2708" s="1499">
        <f t="shared" si="399"/>
        <v>115</v>
      </c>
      <c r="B2708" s="1539" t="str">
        <f t="shared" si="399"/>
        <v>Project-U#8-Fire Protection, Alarm &amp; Detection</v>
      </c>
      <c r="C2708" s="1491" t="str">
        <f t="shared" si="399"/>
        <v>N.A.</v>
      </c>
      <c r="D2708" s="1531" t="str">
        <f t="shared" si="399"/>
        <v>-</v>
      </c>
      <c r="E2708" s="1318">
        <f t="shared" si="399"/>
        <v>0</v>
      </c>
      <c r="F2708" s="1437">
        <f t="shared" si="395"/>
        <v>7.1787910000000003E-3</v>
      </c>
      <c r="G2708" s="1437">
        <f t="shared" si="396"/>
        <v>0</v>
      </c>
      <c r="H2708" s="1437">
        <f t="shared" si="397"/>
        <v>7.1787910000000003E-3</v>
      </c>
      <c r="I2708" s="1437">
        <v>0</v>
      </c>
      <c r="J2708" s="1437">
        <v>0</v>
      </c>
      <c r="K2708" s="1438"/>
      <c r="L2708" s="1438"/>
      <c r="M2708" s="1437">
        <f t="shared" si="394"/>
        <v>0</v>
      </c>
      <c r="N2708" s="1437">
        <f t="shared" si="398"/>
        <v>7.1787910000000003E-3</v>
      </c>
    </row>
    <row r="2709" spans="1:14" outlineLevel="1">
      <c r="A2709" s="1499">
        <f t="shared" si="399"/>
        <v>116</v>
      </c>
      <c r="B2709" s="1539" t="str">
        <f t="shared" si="399"/>
        <v>Project-U#8-Fuel Oil Pump House-10516</v>
      </c>
      <c r="C2709" s="1491" t="str">
        <f t="shared" si="399"/>
        <v>N.A.</v>
      </c>
      <c r="D2709" s="1531" t="str">
        <f t="shared" si="399"/>
        <v>-</v>
      </c>
      <c r="E2709" s="1318">
        <f t="shared" si="399"/>
        <v>0</v>
      </c>
      <c r="F2709" s="1437">
        <f t="shared" si="395"/>
        <v>4.0925400000000004E-3</v>
      </c>
      <c r="G2709" s="1437">
        <f t="shared" si="396"/>
        <v>0</v>
      </c>
      <c r="H2709" s="1437">
        <f t="shared" si="397"/>
        <v>4.0925400000000004E-3</v>
      </c>
      <c r="I2709" s="1437">
        <v>0</v>
      </c>
      <c r="J2709" s="1437">
        <v>0</v>
      </c>
      <c r="K2709" s="1438"/>
      <c r="L2709" s="1438"/>
      <c r="M2709" s="1437">
        <f t="shared" si="394"/>
        <v>0</v>
      </c>
      <c r="N2709" s="1437">
        <f t="shared" si="398"/>
        <v>4.0925400000000004E-3</v>
      </c>
    </row>
    <row r="2710" spans="1:14" outlineLevel="1">
      <c r="A2710" s="1499">
        <f t="shared" si="399"/>
        <v>117</v>
      </c>
      <c r="B2710" s="1539" t="str">
        <f t="shared" si="399"/>
        <v>Project-U#8-Generator Transformer-10541</v>
      </c>
      <c r="C2710" s="1491" t="str">
        <f t="shared" si="399"/>
        <v>N.A.</v>
      </c>
      <c r="D2710" s="1531" t="str">
        <f t="shared" si="399"/>
        <v>-</v>
      </c>
      <c r="E2710" s="1318">
        <f t="shared" si="399"/>
        <v>0</v>
      </c>
      <c r="F2710" s="1437">
        <f t="shared" si="395"/>
        <v>1.2655415999999999E-2</v>
      </c>
      <c r="G2710" s="1437">
        <f t="shared" si="396"/>
        <v>0</v>
      </c>
      <c r="H2710" s="1437">
        <f t="shared" si="397"/>
        <v>1.2655415999999999E-2</v>
      </c>
      <c r="I2710" s="1437">
        <v>0</v>
      </c>
      <c r="J2710" s="1437">
        <v>0</v>
      </c>
      <c r="K2710" s="1438"/>
      <c r="L2710" s="1438"/>
      <c r="M2710" s="1437">
        <f t="shared" si="394"/>
        <v>0</v>
      </c>
      <c r="N2710" s="1437">
        <f t="shared" si="398"/>
        <v>1.2655415999999999E-2</v>
      </c>
    </row>
    <row r="2711" spans="1:14" outlineLevel="1">
      <c r="A2711" s="1499">
        <f t="shared" si="399"/>
        <v>118</v>
      </c>
      <c r="B2711" s="1539" t="str">
        <f t="shared" si="399"/>
        <v>Project-U#8-Generator/Transformer protection</v>
      </c>
      <c r="C2711" s="1491" t="str">
        <f t="shared" si="399"/>
        <v>N.A.</v>
      </c>
      <c r="D2711" s="1531" t="str">
        <f t="shared" si="399"/>
        <v>-</v>
      </c>
      <c r="E2711" s="1318">
        <f t="shared" si="399"/>
        <v>0</v>
      </c>
      <c r="F2711" s="1437">
        <f t="shared" si="395"/>
        <v>2.45393E-4</v>
      </c>
      <c r="G2711" s="1437">
        <f t="shared" si="396"/>
        <v>0</v>
      </c>
      <c r="H2711" s="1437">
        <f t="shared" si="397"/>
        <v>2.45393E-4</v>
      </c>
      <c r="I2711" s="1437">
        <v>0</v>
      </c>
      <c r="J2711" s="1437">
        <v>0</v>
      </c>
      <c r="K2711" s="1438"/>
      <c r="L2711" s="1438"/>
      <c r="M2711" s="1437">
        <f t="shared" si="394"/>
        <v>0</v>
      </c>
      <c r="N2711" s="1437">
        <f t="shared" si="398"/>
        <v>2.45393E-4</v>
      </c>
    </row>
    <row r="2712" spans="1:14" outlineLevel="1">
      <c r="A2712" s="1499">
        <f t="shared" si="399"/>
        <v>119</v>
      </c>
      <c r="B2712" s="1539" t="str">
        <f t="shared" si="399"/>
        <v>Project-U#8-H.T.Switchgear for main plant-10561</v>
      </c>
      <c r="C2712" s="1491" t="str">
        <f t="shared" si="399"/>
        <v>N.A.</v>
      </c>
      <c r="D2712" s="1531" t="str">
        <f t="shared" si="399"/>
        <v>-</v>
      </c>
      <c r="E2712" s="1318">
        <f t="shared" si="399"/>
        <v>0</v>
      </c>
      <c r="F2712" s="1437">
        <f t="shared" si="395"/>
        <v>2.5188164999999998E-2</v>
      </c>
      <c r="G2712" s="1437">
        <f t="shared" si="396"/>
        <v>0</v>
      </c>
      <c r="H2712" s="1437">
        <f t="shared" si="397"/>
        <v>2.5188164999999998E-2</v>
      </c>
      <c r="I2712" s="1437">
        <v>0</v>
      </c>
      <c r="J2712" s="1437">
        <v>0</v>
      </c>
      <c r="K2712" s="1438"/>
      <c r="L2712" s="1438"/>
      <c r="M2712" s="1437">
        <f t="shared" si="394"/>
        <v>0</v>
      </c>
      <c r="N2712" s="1437">
        <f t="shared" si="398"/>
        <v>2.5188164999999998E-2</v>
      </c>
    </row>
    <row r="2713" spans="1:14" outlineLevel="1">
      <c r="A2713" s="1499">
        <f t="shared" si="399"/>
        <v>120</v>
      </c>
      <c r="B2713" s="1539" t="str">
        <f t="shared" si="399"/>
        <v>Project-U#8-Indoor &amp; Outdoor plant lighting-10599</v>
      </c>
      <c r="C2713" s="1491" t="str">
        <f t="shared" si="399"/>
        <v>N.A.</v>
      </c>
      <c r="D2713" s="1531" t="str">
        <f t="shared" si="399"/>
        <v>-</v>
      </c>
      <c r="E2713" s="1318">
        <f t="shared" si="399"/>
        <v>0</v>
      </c>
      <c r="F2713" s="1437">
        <f t="shared" si="395"/>
        <v>4.0770299999999998E-4</v>
      </c>
      <c r="G2713" s="1437">
        <f t="shared" si="396"/>
        <v>0</v>
      </c>
      <c r="H2713" s="1437">
        <f t="shared" si="397"/>
        <v>4.0770299999999998E-4</v>
      </c>
      <c r="I2713" s="1437">
        <v>0</v>
      </c>
      <c r="J2713" s="1437">
        <v>0</v>
      </c>
      <c r="K2713" s="1438"/>
      <c r="L2713" s="1438"/>
      <c r="M2713" s="1437">
        <f t="shared" si="394"/>
        <v>0</v>
      </c>
      <c r="N2713" s="1437">
        <f t="shared" si="398"/>
        <v>4.0770299999999998E-4</v>
      </c>
    </row>
    <row r="2714" spans="1:14" outlineLevel="1">
      <c r="A2714" s="1499">
        <f t="shared" si="399"/>
        <v>121</v>
      </c>
      <c r="B2714" s="1539" t="str">
        <f t="shared" si="399"/>
        <v>Project-U#8-L.P.Piping including valves-10509</v>
      </c>
      <c r="C2714" s="1491" t="str">
        <f t="shared" si="399"/>
        <v>N.A.</v>
      </c>
      <c r="D2714" s="1531" t="str">
        <f t="shared" si="399"/>
        <v>-</v>
      </c>
      <c r="E2714" s="1318">
        <f t="shared" si="399"/>
        <v>0</v>
      </c>
      <c r="F2714" s="1437">
        <f t="shared" si="395"/>
        <v>3.8246069999999998E-3</v>
      </c>
      <c r="G2714" s="1437">
        <f t="shared" si="396"/>
        <v>0</v>
      </c>
      <c r="H2714" s="1437">
        <f t="shared" si="397"/>
        <v>3.8246069999999998E-3</v>
      </c>
      <c r="I2714" s="1437">
        <v>0</v>
      </c>
      <c r="J2714" s="1437">
        <v>0</v>
      </c>
      <c r="K2714" s="1438"/>
      <c r="L2714" s="1438"/>
      <c r="M2714" s="1437">
        <f t="shared" si="394"/>
        <v>0</v>
      </c>
      <c r="N2714" s="1437">
        <f t="shared" si="398"/>
        <v>3.8246069999999998E-3</v>
      </c>
    </row>
    <row r="2715" spans="1:14" outlineLevel="1">
      <c r="A2715" s="1499">
        <f t="shared" si="399"/>
        <v>122</v>
      </c>
      <c r="B2715" s="1539" t="str">
        <f t="shared" si="399"/>
        <v>Project-U#8-L.T. Electrical for main plant.-10561</v>
      </c>
      <c r="C2715" s="1491" t="str">
        <f t="shared" si="399"/>
        <v>N.A.</v>
      </c>
      <c r="D2715" s="1531" t="str">
        <f t="shared" si="399"/>
        <v>-</v>
      </c>
      <c r="E2715" s="1318">
        <f t="shared" si="399"/>
        <v>0</v>
      </c>
      <c r="F2715" s="1437">
        <f t="shared" si="395"/>
        <v>8.7066999999999998E-5</v>
      </c>
      <c r="G2715" s="1437">
        <f t="shared" si="396"/>
        <v>0</v>
      </c>
      <c r="H2715" s="1437">
        <f t="shared" si="397"/>
        <v>8.7066999999999998E-5</v>
      </c>
      <c r="I2715" s="1437">
        <v>0</v>
      </c>
      <c r="J2715" s="1437">
        <v>0</v>
      </c>
      <c r="K2715" s="1438"/>
      <c r="L2715" s="1438"/>
      <c r="M2715" s="1437">
        <f t="shared" si="394"/>
        <v>0</v>
      </c>
      <c r="N2715" s="1437">
        <f t="shared" si="398"/>
        <v>8.7066999999999998E-5</v>
      </c>
    </row>
    <row r="2716" spans="1:14" outlineLevel="1">
      <c r="A2716" s="1499">
        <f t="shared" si="399"/>
        <v>123</v>
      </c>
      <c r="B2716" s="1539" t="str">
        <f t="shared" si="399"/>
        <v>Project-U#8-Laying&amp;Termination of HT cables-10561</v>
      </c>
      <c r="C2716" s="1491" t="str">
        <f t="shared" si="399"/>
        <v>N.A.</v>
      </c>
      <c r="D2716" s="1531" t="str">
        <f t="shared" si="399"/>
        <v>-</v>
      </c>
      <c r="E2716" s="1318">
        <f t="shared" si="399"/>
        <v>0</v>
      </c>
      <c r="F2716" s="1437">
        <f t="shared" si="395"/>
        <v>8.2310499999999997E-4</v>
      </c>
      <c r="G2716" s="1437">
        <f t="shared" si="396"/>
        <v>0</v>
      </c>
      <c r="H2716" s="1437">
        <f t="shared" si="397"/>
        <v>8.2310499999999997E-4</v>
      </c>
      <c r="I2716" s="1437">
        <v>0</v>
      </c>
      <c r="J2716" s="1437">
        <v>0</v>
      </c>
      <c r="K2716" s="1438"/>
      <c r="L2716" s="1438"/>
      <c r="M2716" s="1437">
        <f t="shared" si="394"/>
        <v>0</v>
      </c>
      <c r="N2716" s="1437">
        <f t="shared" si="398"/>
        <v>8.2310499999999997E-4</v>
      </c>
    </row>
    <row r="2717" spans="1:14" outlineLevel="1">
      <c r="A2717" s="1499">
        <f t="shared" si="399"/>
        <v>124</v>
      </c>
      <c r="B2717" s="1539" t="str">
        <f t="shared" si="399"/>
        <v>Project-U#8-MainBoiler Structure&amp;foundations-10501</v>
      </c>
      <c r="C2717" s="1491" t="str">
        <f t="shared" si="399"/>
        <v>N.A.</v>
      </c>
      <c r="D2717" s="1531" t="str">
        <f t="shared" si="399"/>
        <v>-</v>
      </c>
      <c r="E2717" s="1318">
        <f t="shared" si="399"/>
        <v>0</v>
      </c>
      <c r="F2717" s="1437">
        <f t="shared" si="395"/>
        <v>9.9409977999999996E-2</v>
      </c>
      <c r="G2717" s="1437">
        <f t="shared" si="396"/>
        <v>0</v>
      </c>
      <c r="H2717" s="1437">
        <f t="shared" si="397"/>
        <v>9.9409977999999996E-2</v>
      </c>
      <c r="I2717" s="1437">
        <v>0</v>
      </c>
      <c r="J2717" s="1437">
        <v>0</v>
      </c>
      <c r="K2717" s="1438"/>
      <c r="L2717" s="1438"/>
      <c r="M2717" s="1437">
        <f t="shared" si="394"/>
        <v>0</v>
      </c>
      <c r="N2717" s="1437">
        <f t="shared" si="398"/>
        <v>9.9409977999999996E-2</v>
      </c>
    </row>
    <row r="2718" spans="1:14" outlineLevel="1">
      <c r="A2718" s="1499">
        <f t="shared" ref="A2718:E2733" si="400">A2325</f>
        <v>125</v>
      </c>
      <c r="B2718" s="1539" t="str">
        <f t="shared" si="400"/>
        <v>Project-U#8-Mandatory Spares for Ash HandlingPlant</v>
      </c>
      <c r="C2718" s="1491" t="str">
        <f t="shared" si="400"/>
        <v>N.A.</v>
      </c>
      <c r="D2718" s="1531" t="str">
        <f t="shared" si="400"/>
        <v>-</v>
      </c>
      <c r="E2718" s="1318">
        <f t="shared" si="400"/>
        <v>0</v>
      </c>
      <c r="F2718" s="1437">
        <f t="shared" si="395"/>
        <v>1.561633E-3</v>
      </c>
      <c r="G2718" s="1437">
        <f t="shared" si="396"/>
        <v>0</v>
      </c>
      <c r="H2718" s="1437">
        <f t="shared" si="397"/>
        <v>1.561633E-3</v>
      </c>
      <c r="I2718" s="1437">
        <v>0</v>
      </c>
      <c r="J2718" s="1437">
        <v>0</v>
      </c>
      <c r="K2718" s="1438"/>
      <c r="L2718" s="1438"/>
      <c r="M2718" s="1437">
        <f t="shared" si="394"/>
        <v>0</v>
      </c>
      <c r="N2718" s="1437">
        <f t="shared" si="398"/>
        <v>1.561633E-3</v>
      </c>
    </row>
    <row r="2719" spans="1:14" outlineLevel="1">
      <c r="A2719" s="1499">
        <f t="shared" si="400"/>
        <v>126</v>
      </c>
      <c r="B2719" s="1539" t="str">
        <f t="shared" si="400"/>
        <v>Project-U#8-Mandatory spares for C&amp;I of Main Plant</v>
      </c>
      <c r="C2719" s="1491" t="str">
        <f t="shared" si="400"/>
        <v>N.A.</v>
      </c>
      <c r="D2719" s="1531" t="str">
        <f t="shared" si="400"/>
        <v>-</v>
      </c>
      <c r="E2719" s="1318">
        <f t="shared" si="400"/>
        <v>0</v>
      </c>
      <c r="F2719" s="1437">
        <f t="shared" si="395"/>
        <v>5.0294800000000002E-3</v>
      </c>
      <c r="G2719" s="1437">
        <f t="shared" si="396"/>
        <v>0</v>
      </c>
      <c r="H2719" s="1437">
        <f t="shared" si="397"/>
        <v>5.0294800000000002E-3</v>
      </c>
      <c r="I2719" s="1437">
        <v>0</v>
      </c>
      <c r="J2719" s="1437">
        <v>0</v>
      </c>
      <c r="K2719" s="1438"/>
      <c r="L2719" s="1438"/>
      <c r="M2719" s="1437">
        <f t="shared" si="394"/>
        <v>0</v>
      </c>
      <c r="N2719" s="1437">
        <f t="shared" si="398"/>
        <v>5.0294800000000002E-3</v>
      </c>
    </row>
    <row r="2720" spans="1:14" outlineLevel="1">
      <c r="A2720" s="1499">
        <f t="shared" si="400"/>
        <v>127</v>
      </c>
      <c r="B2720" s="1539" t="str">
        <f t="shared" si="400"/>
        <v>Project-U#8-Mandatory Spares for Electrical MainPa</v>
      </c>
      <c r="C2720" s="1491" t="str">
        <f t="shared" si="400"/>
        <v>N.A.</v>
      </c>
      <c r="D2720" s="1531" t="str">
        <f t="shared" si="400"/>
        <v>-</v>
      </c>
      <c r="E2720" s="1318">
        <f t="shared" si="400"/>
        <v>0</v>
      </c>
      <c r="F2720" s="1437">
        <f t="shared" si="395"/>
        <v>1.5600531000000001E-2</v>
      </c>
      <c r="G2720" s="1437">
        <f t="shared" si="396"/>
        <v>0</v>
      </c>
      <c r="H2720" s="1437">
        <f t="shared" si="397"/>
        <v>1.5600531000000001E-2</v>
      </c>
      <c r="I2720" s="1437">
        <v>0</v>
      </c>
      <c r="J2720" s="1437">
        <v>0</v>
      </c>
      <c r="K2720" s="1438"/>
      <c r="L2720" s="1438"/>
      <c r="M2720" s="1437">
        <f t="shared" si="394"/>
        <v>0</v>
      </c>
      <c r="N2720" s="1437">
        <f t="shared" si="398"/>
        <v>1.5600531000000001E-2</v>
      </c>
    </row>
    <row r="2721" spans="1:14" outlineLevel="1">
      <c r="A2721" s="1499">
        <f t="shared" si="400"/>
        <v>128</v>
      </c>
      <c r="B2721" s="1539" t="str">
        <f t="shared" si="400"/>
        <v>Project-U#8-Mandatory Spares For TG &amp; Auxilliaries</v>
      </c>
      <c r="C2721" s="1491" t="str">
        <f t="shared" si="400"/>
        <v>N.A.</v>
      </c>
      <c r="D2721" s="1531" t="str">
        <f t="shared" si="400"/>
        <v>-</v>
      </c>
      <c r="E2721" s="1318">
        <f t="shared" si="400"/>
        <v>0</v>
      </c>
      <c r="F2721" s="1437">
        <f t="shared" si="395"/>
        <v>6.2588310000000003E-3</v>
      </c>
      <c r="G2721" s="1437">
        <f t="shared" si="396"/>
        <v>0</v>
      </c>
      <c r="H2721" s="1437">
        <f t="shared" si="397"/>
        <v>6.2588310000000003E-3</v>
      </c>
      <c r="I2721" s="1437">
        <v>0</v>
      </c>
      <c r="J2721" s="1437">
        <v>0</v>
      </c>
      <c r="K2721" s="1438"/>
      <c r="L2721" s="1438"/>
      <c r="M2721" s="1437">
        <f t="shared" si="394"/>
        <v>0</v>
      </c>
      <c r="N2721" s="1437">
        <f t="shared" si="398"/>
        <v>6.2588310000000003E-3</v>
      </c>
    </row>
    <row r="2722" spans="1:14" outlineLevel="1">
      <c r="A2722" s="1499">
        <f t="shared" si="400"/>
        <v>129</v>
      </c>
      <c r="B2722" s="1539" t="str">
        <f t="shared" si="400"/>
        <v>Project-U#8-Misc. Cranes &amp; hoists-10553</v>
      </c>
      <c r="C2722" s="1491" t="str">
        <f t="shared" si="400"/>
        <v>N.A.</v>
      </c>
      <c r="D2722" s="1531" t="str">
        <f t="shared" si="400"/>
        <v>-</v>
      </c>
      <c r="E2722" s="1318">
        <f t="shared" si="400"/>
        <v>0</v>
      </c>
      <c r="F2722" s="1437">
        <f t="shared" si="395"/>
        <v>2.353651E-3</v>
      </c>
      <c r="G2722" s="1437">
        <f t="shared" si="396"/>
        <v>0</v>
      </c>
      <c r="H2722" s="1437">
        <f t="shared" si="397"/>
        <v>2.353651E-3</v>
      </c>
      <c r="I2722" s="1437">
        <v>0</v>
      </c>
      <c r="J2722" s="1437">
        <v>0</v>
      </c>
      <c r="K2722" s="1438"/>
      <c r="L2722" s="1438"/>
      <c r="M2722" s="1437">
        <f t="shared" si="394"/>
        <v>0</v>
      </c>
      <c r="N2722" s="1437">
        <f t="shared" si="398"/>
        <v>2.353651E-3</v>
      </c>
    </row>
    <row r="2723" spans="1:14" outlineLevel="1">
      <c r="A2723" s="1499">
        <f t="shared" si="400"/>
        <v>130</v>
      </c>
      <c r="B2723" s="1539" t="str">
        <f t="shared" si="400"/>
        <v>Project-U#8-Miscellaneous Pumps -10599</v>
      </c>
      <c r="C2723" s="1491" t="str">
        <f t="shared" si="400"/>
        <v>N.A.</v>
      </c>
      <c r="D2723" s="1531" t="str">
        <f t="shared" si="400"/>
        <v>-</v>
      </c>
      <c r="E2723" s="1318">
        <f t="shared" si="400"/>
        <v>0</v>
      </c>
      <c r="F2723" s="1437">
        <f t="shared" si="395"/>
        <v>1.5672209999999999E-3</v>
      </c>
      <c r="G2723" s="1437">
        <f t="shared" si="396"/>
        <v>0</v>
      </c>
      <c r="H2723" s="1437">
        <f t="shared" si="397"/>
        <v>1.5672209999999999E-3</v>
      </c>
      <c r="I2723" s="1437">
        <v>0</v>
      </c>
      <c r="J2723" s="1437">
        <v>0</v>
      </c>
      <c r="K2723" s="1438"/>
      <c r="L2723" s="1438"/>
      <c r="M2723" s="1437">
        <f t="shared" si="394"/>
        <v>0</v>
      </c>
      <c r="N2723" s="1437">
        <f t="shared" si="398"/>
        <v>1.5672209999999999E-3</v>
      </c>
    </row>
    <row r="2724" spans="1:14" outlineLevel="1">
      <c r="A2724" s="1499">
        <f t="shared" si="400"/>
        <v>131</v>
      </c>
      <c r="B2724" s="1539" t="str">
        <f t="shared" si="400"/>
        <v>Project-U#8-Passanger lift for TG Building-10599</v>
      </c>
      <c r="C2724" s="1491" t="str">
        <f t="shared" si="400"/>
        <v>N.A.</v>
      </c>
      <c r="D2724" s="1531" t="str">
        <f t="shared" si="400"/>
        <v>-</v>
      </c>
      <c r="E2724" s="1318">
        <f t="shared" si="400"/>
        <v>0</v>
      </c>
      <c r="F2724" s="1437">
        <f t="shared" si="395"/>
        <v>1.635811E-3</v>
      </c>
      <c r="G2724" s="1437">
        <f t="shared" si="396"/>
        <v>0</v>
      </c>
      <c r="H2724" s="1437">
        <f t="shared" si="397"/>
        <v>1.635811E-3</v>
      </c>
      <c r="I2724" s="1437">
        <v>0</v>
      </c>
      <c r="J2724" s="1437">
        <v>0</v>
      </c>
      <c r="K2724" s="1438"/>
      <c r="L2724" s="1438"/>
      <c r="M2724" s="1437">
        <f t="shared" si="394"/>
        <v>0</v>
      </c>
      <c r="N2724" s="1437">
        <f t="shared" si="398"/>
        <v>1.635811E-3</v>
      </c>
    </row>
    <row r="2725" spans="1:14" outlineLevel="1">
      <c r="A2725" s="1499">
        <f t="shared" si="400"/>
        <v>132</v>
      </c>
      <c r="B2725" s="1539" t="str">
        <f t="shared" si="400"/>
        <v>Project-U#8-Passanger/Material Lift at boiler side</v>
      </c>
      <c r="C2725" s="1491" t="str">
        <f t="shared" si="400"/>
        <v>N.A.</v>
      </c>
      <c r="D2725" s="1531" t="str">
        <f t="shared" si="400"/>
        <v>-</v>
      </c>
      <c r="E2725" s="1318">
        <f t="shared" si="400"/>
        <v>0</v>
      </c>
      <c r="F2725" s="1437">
        <f t="shared" si="395"/>
        <v>8.4731499999999996E-4</v>
      </c>
      <c r="G2725" s="1437">
        <f t="shared" si="396"/>
        <v>0</v>
      </c>
      <c r="H2725" s="1437">
        <f t="shared" si="397"/>
        <v>8.4731499999999996E-4</v>
      </c>
      <c r="I2725" s="1437">
        <v>0</v>
      </c>
      <c r="J2725" s="1437">
        <v>0</v>
      </c>
      <c r="K2725" s="1438"/>
      <c r="L2725" s="1438"/>
      <c r="M2725" s="1437">
        <f t="shared" si="394"/>
        <v>0</v>
      </c>
      <c r="N2725" s="1437">
        <f t="shared" si="398"/>
        <v>8.4731499999999996E-4</v>
      </c>
    </row>
    <row r="2726" spans="1:14" outlineLevel="1">
      <c r="A2726" s="1499">
        <f t="shared" si="400"/>
        <v>133</v>
      </c>
      <c r="B2726" s="1539" t="str">
        <f t="shared" si="400"/>
        <v>Project-U#8-Chemical Laboratory -10509</v>
      </c>
      <c r="C2726" s="1491" t="str">
        <f t="shared" si="400"/>
        <v>N.A.</v>
      </c>
      <c r="D2726" s="1531" t="str">
        <f t="shared" si="400"/>
        <v>-</v>
      </c>
      <c r="E2726" s="1318">
        <f t="shared" si="400"/>
        <v>0</v>
      </c>
      <c r="F2726" s="1437">
        <f t="shared" si="395"/>
        <v>1.1647579999999999E-3</v>
      </c>
      <c r="G2726" s="1437">
        <f t="shared" si="396"/>
        <v>0</v>
      </c>
      <c r="H2726" s="1437">
        <f t="shared" si="397"/>
        <v>1.1647579999999999E-3</v>
      </c>
      <c r="I2726" s="1437">
        <v>0</v>
      </c>
      <c r="J2726" s="1437">
        <v>0</v>
      </c>
      <c r="K2726" s="1438"/>
      <c r="L2726" s="1438"/>
      <c r="M2726" s="1437">
        <f t="shared" si="394"/>
        <v>0</v>
      </c>
      <c r="N2726" s="1437">
        <f t="shared" si="398"/>
        <v>1.1647579999999999E-3</v>
      </c>
    </row>
    <row r="2727" spans="1:14" outlineLevel="1">
      <c r="A2727" s="1499">
        <f t="shared" si="400"/>
        <v>134</v>
      </c>
      <c r="B2727" s="1539" t="str">
        <f t="shared" si="400"/>
        <v>Project-U#8-Sewage Treatment Plant-10509</v>
      </c>
      <c r="C2727" s="1491" t="str">
        <f t="shared" si="400"/>
        <v>N.A.</v>
      </c>
      <c r="D2727" s="1531" t="str">
        <f t="shared" si="400"/>
        <v>-</v>
      </c>
      <c r="E2727" s="1318">
        <f t="shared" si="400"/>
        <v>0</v>
      </c>
      <c r="F2727" s="1437">
        <f t="shared" si="395"/>
        <v>1.90058E-3</v>
      </c>
      <c r="G2727" s="1437">
        <f t="shared" si="396"/>
        <v>0</v>
      </c>
      <c r="H2727" s="1437">
        <f t="shared" si="397"/>
        <v>1.90058E-3</v>
      </c>
      <c r="I2727" s="1437">
        <v>0</v>
      </c>
      <c r="J2727" s="1437">
        <v>0</v>
      </c>
      <c r="K2727" s="1438"/>
      <c r="L2727" s="1438"/>
      <c r="M2727" s="1437">
        <f t="shared" si="394"/>
        <v>0</v>
      </c>
      <c r="N2727" s="1437">
        <f t="shared" si="398"/>
        <v>1.90058E-3</v>
      </c>
    </row>
    <row r="2728" spans="1:14" outlineLevel="1">
      <c r="A2728" s="1499">
        <f t="shared" si="400"/>
        <v>135</v>
      </c>
      <c r="B2728" s="1539" t="str">
        <f t="shared" si="400"/>
        <v>Project-U#8-Station Transformer-10541</v>
      </c>
      <c r="C2728" s="1491" t="str">
        <f t="shared" si="400"/>
        <v>N.A.</v>
      </c>
      <c r="D2728" s="1531" t="str">
        <f t="shared" si="400"/>
        <v>-</v>
      </c>
      <c r="E2728" s="1318">
        <f t="shared" si="400"/>
        <v>0</v>
      </c>
      <c r="F2728" s="1437">
        <f t="shared" si="395"/>
        <v>2.6575694E-2</v>
      </c>
      <c r="G2728" s="1437">
        <f t="shared" si="396"/>
        <v>0</v>
      </c>
      <c r="H2728" s="1437">
        <f t="shared" si="397"/>
        <v>2.6575694E-2</v>
      </c>
      <c r="I2728" s="1437">
        <v>0</v>
      </c>
      <c r="J2728" s="1437">
        <v>0</v>
      </c>
      <c r="K2728" s="1438"/>
      <c r="L2728" s="1438"/>
      <c r="M2728" s="1437">
        <f t="shared" si="394"/>
        <v>0</v>
      </c>
      <c r="N2728" s="1437">
        <f t="shared" si="398"/>
        <v>2.6575694E-2</v>
      </c>
    </row>
    <row r="2729" spans="1:14" outlineLevel="1">
      <c r="A2729" s="1499">
        <f t="shared" si="400"/>
        <v>136</v>
      </c>
      <c r="B2729" s="1539" t="str">
        <f t="shared" si="400"/>
        <v>Project-U#8-Steam Turbine set-10503</v>
      </c>
      <c r="C2729" s="1491" t="str">
        <f t="shared" si="400"/>
        <v>N.A.</v>
      </c>
      <c r="D2729" s="1531" t="str">
        <f t="shared" si="400"/>
        <v>-</v>
      </c>
      <c r="E2729" s="1318">
        <f t="shared" si="400"/>
        <v>0</v>
      </c>
      <c r="F2729" s="1437">
        <f t="shared" si="395"/>
        <v>0.138637134</v>
      </c>
      <c r="G2729" s="1437">
        <f t="shared" si="396"/>
        <v>0</v>
      </c>
      <c r="H2729" s="1437">
        <f t="shared" si="397"/>
        <v>0.138637134</v>
      </c>
      <c r="I2729" s="1437">
        <v>0</v>
      </c>
      <c r="J2729" s="1437">
        <v>0</v>
      </c>
      <c r="K2729" s="1438"/>
      <c r="L2729" s="1438"/>
      <c r="M2729" s="1437">
        <f t="shared" si="394"/>
        <v>0</v>
      </c>
      <c r="N2729" s="1437">
        <f t="shared" si="398"/>
        <v>0.138637134</v>
      </c>
    </row>
    <row r="2730" spans="1:14" outlineLevel="1">
      <c r="A2730" s="1499">
        <f t="shared" si="400"/>
        <v>137</v>
      </c>
      <c r="B2730" s="1539" t="str">
        <f t="shared" si="400"/>
        <v>Project-U#8-TG set and its auxilleries- Condensor</v>
      </c>
      <c r="C2730" s="1491" t="str">
        <f t="shared" si="400"/>
        <v>N.A.</v>
      </c>
      <c r="D2730" s="1531" t="str">
        <f t="shared" si="400"/>
        <v>-</v>
      </c>
      <c r="E2730" s="1318">
        <f t="shared" si="400"/>
        <v>0</v>
      </c>
      <c r="F2730" s="1437">
        <f t="shared" si="395"/>
        <v>1.2702985999999999E-2</v>
      </c>
      <c r="G2730" s="1437">
        <f t="shared" si="396"/>
        <v>0</v>
      </c>
      <c r="H2730" s="1437">
        <f t="shared" si="397"/>
        <v>1.2702985999999999E-2</v>
      </c>
      <c r="I2730" s="1437">
        <v>0</v>
      </c>
      <c r="J2730" s="1437">
        <v>0</v>
      </c>
      <c r="K2730" s="1438"/>
      <c r="L2730" s="1438"/>
      <c r="M2730" s="1437">
        <f t="shared" si="394"/>
        <v>0</v>
      </c>
      <c r="N2730" s="1437">
        <f t="shared" si="398"/>
        <v>1.2702985999999999E-2</v>
      </c>
    </row>
    <row r="2731" spans="1:14" outlineLevel="1">
      <c r="A2731" s="1499">
        <f t="shared" si="400"/>
        <v>138</v>
      </c>
      <c r="B2731" s="1539" t="str">
        <f t="shared" si="400"/>
        <v>Project-U#8-TG set and its auxilleries -Generator</v>
      </c>
      <c r="C2731" s="1491" t="str">
        <f t="shared" si="400"/>
        <v>N.A.</v>
      </c>
      <c r="D2731" s="1531" t="str">
        <f t="shared" si="400"/>
        <v>-</v>
      </c>
      <c r="E2731" s="1318">
        <f t="shared" si="400"/>
        <v>0</v>
      </c>
      <c r="F2731" s="1437">
        <f t="shared" si="395"/>
        <v>3.2544958999999998E-2</v>
      </c>
      <c r="G2731" s="1437">
        <f t="shared" si="396"/>
        <v>0</v>
      </c>
      <c r="H2731" s="1437">
        <f t="shared" si="397"/>
        <v>3.2544958999999998E-2</v>
      </c>
      <c r="I2731" s="1437">
        <v>0</v>
      </c>
      <c r="J2731" s="1437">
        <v>0</v>
      </c>
      <c r="K2731" s="1438"/>
      <c r="L2731" s="1438"/>
      <c r="M2731" s="1437">
        <f t="shared" si="394"/>
        <v>0</v>
      </c>
      <c r="N2731" s="1437">
        <f t="shared" si="398"/>
        <v>3.2544958999999998E-2</v>
      </c>
    </row>
    <row r="2732" spans="1:14" outlineLevel="1">
      <c r="A2732" s="1499">
        <f t="shared" si="400"/>
        <v>139</v>
      </c>
      <c r="B2732" s="1539" t="str">
        <f t="shared" si="400"/>
        <v>Project-U#8-TG set and its auxilleries-Condensor</v>
      </c>
      <c r="C2732" s="1491" t="str">
        <f t="shared" si="400"/>
        <v>N.A.</v>
      </c>
      <c r="D2732" s="1531" t="str">
        <f t="shared" si="400"/>
        <v>-</v>
      </c>
      <c r="E2732" s="1318">
        <f t="shared" si="400"/>
        <v>0</v>
      </c>
      <c r="F2732" s="1437">
        <f t="shared" si="395"/>
        <v>2.9272968E-2</v>
      </c>
      <c r="G2732" s="1437">
        <f t="shared" si="396"/>
        <v>0</v>
      </c>
      <c r="H2732" s="1437">
        <f t="shared" si="397"/>
        <v>2.9272968E-2</v>
      </c>
      <c r="I2732" s="1437">
        <v>0</v>
      </c>
      <c r="J2732" s="1437">
        <v>0</v>
      </c>
      <c r="K2732" s="1438"/>
      <c r="L2732" s="1438"/>
      <c r="M2732" s="1437">
        <f t="shared" si="394"/>
        <v>0</v>
      </c>
      <c r="N2732" s="1437">
        <f t="shared" si="398"/>
        <v>2.9272968E-2</v>
      </c>
    </row>
    <row r="2733" spans="1:14" outlineLevel="1">
      <c r="A2733" s="1499">
        <f t="shared" si="400"/>
        <v>140</v>
      </c>
      <c r="B2733" s="1539" t="str">
        <f t="shared" si="400"/>
        <v>Project-U#8-TG set &amp; its auxilleries-Derator-10503</v>
      </c>
      <c r="C2733" s="1491" t="str">
        <f t="shared" si="400"/>
        <v>N.A.</v>
      </c>
      <c r="D2733" s="1531" t="str">
        <f t="shared" si="400"/>
        <v>-</v>
      </c>
      <c r="E2733" s="1318">
        <f t="shared" si="400"/>
        <v>0</v>
      </c>
      <c r="F2733" s="1437">
        <f t="shared" si="395"/>
        <v>2.7579689999999999E-3</v>
      </c>
      <c r="G2733" s="1437">
        <f t="shared" si="396"/>
        <v>0</v>
      </c>
      <c r="H2733" s="1437">
        <f t="shared" si="397"/>
        <v>2.7579689999999999E-3</v>
      </c>
      <c r="I2733" s="1437">
        <v>0</v>
      </c>
      <c r="J2733" s="1437">
        <v>0</v>
      </c>
      <c r="K2733" s="1438"/>
      <c r="L2733" s="1438"/>
      <c r="M2733" s="1437">
        <f t="shared" si="394"/>
        <v>0</v>
      </c>
      <c r="N2733" s="1437">
        <f t="shared" si="398"/>
        <v>2.7579689999999999E-3</v>
      </c>
    </row>
    <row r="2734" spans="1:14" outlineLevel="1">
      <c r="A2734" s="1499">
        <f t="shared" ref="A2734:E2749" si="401">A2341</f>
        <v>141</v>
      </c>
      <c r="B2734" s="1539" t="str">
        <f t="shared" si="401"/>
        <v>Project-U#8-TG set and its auxilleries-DMMakeUpSys</v>
      </c>
      <c r="C2734" s="1491" t="str">
        <f t="shared" si="401"/>
        <v>N.A.</v>
      </c>
      <c r="D2734" s="1531" t="str">
        <f t="shared" si="401"/>
        <v>-</v>
      </c>
      <c r="E2734" s="1318">
        <f t="shared" si="401"/>
        <v>0</v>
      </c>
      <c r="F2734" s="1437">
        <f t="shared" si="395"/>
        <v>1.049073E-3</v>
      </c>
      <c r="G2734" s="1437">
        <f t="shared" si="396"/>
        <v>0</v>
      </c>
      <c r="H2734" s="1437">
        <f t="shared" si="397"/>
        <v>1.049073E-3</v>
      </c>
      <c r="I2734" s="1437">
        <v>0</v>
      </c>
      <c r="J2734" s="1437">
        <v>0</v>
      </c>
      <c r="K2734" s="1438"/>
      <c r="L2734" s="1438"/>
      <c r="M2734" s="1437">
        <f t="shared" si="394"/>
        <v>0</v>
      </c>
      <c r="N2734" s="1437">
        <f t="shared" si="398"/>
        <v>1.049073E-3</v>
      </c>
    </row>
    <row r="2735" spans="1:14" outlineLevel="1">
      <c r="A2735" s="1499">
        <f t="shared" si="401"/>
        <v>142</v>
      </c>
      <c r="B2735" s="1539" t="str">
        <f t="shared" si="401"/>
        <v>Project-U#8-TG set and its auxilleries-Gas System</v>
      </c>
      <c r="C2735" s="1491" t="str">
        <f t="shared" si="401"/>
        <v>N.A.</v>
      </c>
      <c r="D2735" s="1531" t="str">
        <f t="shared" si="401"/>
        <v>-</v>
      </c>
      <c r="E2735" s="1318">
        <f t="shared" si="401"/>
        <v>0</v>
      </c>
      <c r="F2735" s="1437">
        <f t="shared" si="395"/>
        <v>5.6178390000000003E-3</v>
      </c>
      <c r="G2735" s="1437">
        <f t="shared" si="396"/>
        <v>0</v>
      </c>
      <c r="H2735" s="1437">
        <f t="shared" si="397"/>
        <v>5.6178390000000003E-3</v>
      </c>
      <c r="I2735" s="1437">
        <v>0</v>
      </c>
      <c r="J2735" s="1437">
        <v>0</v>
      </c>
      <c r="K2735" s="1438"/>
      <c r="L2735" s="1438"/>
      <c r="M2735" s="1437">
        <f t="shared" si="394"/>
        <v>0</v>
      </c>
      <c r="N2735" s="1437">
        <f t="shared" si="398"/>
        <v>5.6178390000000003E-3</v>
      </c>
    </row>
    <row r="2736" spans="1:14" outlineLevel="1">
      <c r="A2736" s="1499">
        <f t="shared" si="401"/>
        <v>143</v>
      </c>
      <c r="B2736" s="1539" t="str">
        <f t="shared" si="401"/>
        <v>Project-U#8-TG set and its auxilleries-GoveringSys</v>
      </c>
      <c r="C2736" s="1491" t="str">
        <f t="shared" si="401"/>
        <v>N.A.</v>
      </c>
      <c r="D2736" s="1531" t="str">
        <f t="shared" si="401"/>
        <v>-</v>
      </c>
      <c r="E2736" s="1318">
        <f t="shared" si="401"/>
        <v>0</v>
      </c>
      <c r="F2736" s="1437">
        <f t="shared" si="395"/>
        <v>4.9465999999999997E-5</v>
      </c>
      <c r="G2736" s="1437">
        <f t="shared" si="396"/>
        <v>0</v>
      </c>
      <c r="H2736" s="1437">
        <f t="shared" si="397"/>
        <v>4.9465999999999997E-5</v>
      </c>
      <c r="I2736" s="1437">
        <v>0</v>
      </c>
      <c r="J2736" s="1437">
        <v>0</v>
      </c>
      <c r="K2736" s="1438"/>
      <c r="L2736" s="1438"/>
      <c r="M2736" s="1437">
        <f t="shared" si="394"/>
        <v>0</v>
      </c>
      <c r="N2736" s="1437">
        <f t="shared" si="398"/>
        <v>4.9465999999999997E-5</v>
      </c>
    </row>
    <row r="2737" spans="1:14" outlineLevel="1">
      <c r="A2737" s="1499">
        <f t="shared" si="401"/>
        <v>144</v>
      </c>
      <c r="B2737" s="1539" t="str">
        <f t="shared" si="401"/>
        <v>Project-U#8-TG set and its auxilleries-HP/LP By-pa</v>
      </c>
      <c r="C2737" s="1491" t="str">
        <f t="shared" si="401"/>
        <v>N.A.</v>
      </c>
      <c r="D2737" s="1531" t="str">
        <f t="shared" si="401"/>
        <v>-</v>
      </c>
      <c r="E2737" s="1318">
        <f t="shared" si="401"/>
        <v>0</v>
      </c>
      <c r="F2737" s="1437">
        <f t="shared" si="395"/>
        <v>1.0752108999999999E-2</v>
      </c>
      <c r="G2737" s="1437">
        <f t="shared" si="396"/>
        <v>0</v>
      </c>
      <c r="H2737" s="1437">
        <f t="shared" si="397"/>
        <v>1.0752108999999999E-2</v>
      </c>
      <c r="I2737" s="1437">
        <v>0</v>
      </c>
      <c r="J2737" s="1437">
        <v>0</v>
      </c>
      <c r="K2737" s="1438"/>
      <c r="L2737" s="1438"/>
      <c r="M2737" s="1437">
        <f t="shared" si="394"/>
        <v>0</v>
      </c>
      <c r="N2737" s="1437">
        <f t="shared" si="398"/>
        <v>1.0752108999999999E-2</v>
      </c>
    </row>
    <row r="2738" spans="1:14" outlineLevel="1">
      <c r="A2738" s="1499">
        <f t="shared" si="401"/>
        <v>145</v>
      </c>
      <c r="B2738" s="1539" t="str">
        <f t="shared" si="401"/>
        <v>Project-U#8-TG set and its auxilleries-HP/LP Dozin</v>
      </c>
      <c r="C2738" s="1491" t="str">
        <f t="shared" si="401"/>
        <v>N.A.</v>
      </c>
      <c r="D2738" s="1531" t="str">
        <f t="shared" si="401"/>
        <v>-</v>
      </c>
      <c r="E2738" s="1318">
        <f t="shared" si="401"/>
        <v>0</v>
      </c>
      <c r="F2738" s="1437">
        <f t="shared" si="395"/>
        <v>3.9941100000000002E-4</v>
      </c>
      <c r="G2738" s="1437">
        <f t="shared" si="396"/>
        <v>0</v>
      </c>
      <c r="H2738" s="1437">
        <f t="shared" si="397"/>
        <v>3.9941100000000002E-4</v>
      </c>
      <c r="I2738" s="1437">
        <v>0</v>
      </c>
      <c r="J2738" s="1437">
        <v>0</v>
      </c>
      <c r="K2738" s="1438"/>
      <c r="L2738" s="1438"/>
      <c r="M2738" s="1437">
        <f t="shared" si="394"/>
        <v>0</v>
      </c>
      <c r="N2738" s="1437">
        <f t="shared" si="398"/>
        <v>3.9941100000000002E-4</v>
      </c>
    </row>
    <row r="2739" spans="1:14" outlineLevel="1">
      <c r="A2739" s="1499">
        <f t="shared" si="401"/>
        <v>146</v>
      </c>
      <c r="B2739" s="1539" t="str">
        <f t="shared" si="401"/>
        <v>Project-U#8-TG set and its auxilleries-SealOilPump</v>
      </c>
      <c r="C2739" s="1491" t="str">
        <f t="shared" si="401"/>
        <v>N.A.</v>
      </c>
      <c r="D2739" s="1531" t="str">
        <f t="shared" si="401"/>
        <v>-</v>
      </c>
      <c r="E2739" s="1318">
        <f t="shared" si="401"/>
        <v>0</v>
      </c>
      <c r="F2739" s="1437">
        <f t="shared" si="395"/>
        <v>9.8566000000000005E-5</v>
      </c>
      <c r="G2739" s="1437">
        <f t="shared" si="396"/>
        <v>0</v>
      </c>
      <c r="H2739" s="1437">
        <f t="shared" si="397"/>
        <v>9.8566000000000005E-5</v>
      </c>
      <c r="I2739" s="1437">
        <v>0</v>
      </c>
      <c r="J2739" s="1437">
        <v>0</v>
      </c>
      <c r="K2739" s="1438"/>
      <c r="L2739" s="1438"/>
      <c r="M2739" s="1437">
        <f t="shared" si="394"/>
        <v>0</v>
      </c>
      <c r="N2739" s="1437">
        <f t="shared" si="398"/>
        <v>9.8566000000000005E-5</v>
      </c>
    </row>
    <row r="2740" spans="1:14" outlineLevel="1">
      <c r="A2740" s="1499">
        <f t="shared" si="401"/>
        <v>147</v>
      </c>
      <c r="B2740" s="1539" t="str">
        <f t="shared" si="401"/>
        <v>Project-U#8-TG set and its auxilleries-Vaccum Syst</v>
      </c>
      <c r="C2740" s="1491" t="str">
        <f t="shared" si="401"/>
        <v>N.A.</v>
      </c>
      <c r="D2740" s="1531" t="str">
        <f t="shared" si="401"/>
        <v>-</v>
      </c>
      <c r="E2740" s="1318">
        <f t="shared" si="401"/>
        <v>0</v>
      </c>
      <c r="F2740" s="1437">
        <f t="shared" si="395"/>
        <v>1.0304429E-2</v>
      </c>
      <c r="G2740" s="1437">
        <f t="shared" si="396"/>
        <v>0</v>
      </c>
      <c r="H2740" s="1437">
        <f t="shared" si="397"/>
        <v>1.0304429E-2</v>
      </c>
      <c r="I2740" s="1437">
        <v>0</v>
      </c>
      <c r="J2740" s="1437">
        <v>0</v>
      </c>
      <c r="K2740" s="1438"/>
      <c r="L2740" s="1438"/>
      <c r="M2740" s="1437">
        <f t="shared" si="394"/>
        <v>0</v>
      </c>
      <c r="N2740" s="1437">
        <f t="shared" si="398"/>
        <v>1.0304429E-2</v>
      </c>
    </row>
    <row r="2741" spans="1:14" outlineLevel="1">
      <c r="A2741" s="1499">
        <f t="shared" si="401"/>
        <v>148</v>
      </c>
      <c r="B2741" s="1539" t="str">
        <f t="shared" si="401"/>
        <v>Project-U#8-Turbine Lub. Oil System With Purifier</v>
      </c>
      <c r="C2741" s="1491" t="str">
        <f t="shared" si="401"/>
        <v>N.A.</v>
      </c>
      <c r="D2741" s="1531" t="str">
        <f t="shared" si="401"/>
        <v>-</v>
      </c>
      <c r="E2741" s="1318">
        <f t="shared" si="401"/>
        <v>0</v>
      </c>
      <c r="F2741" s="1437">
        <f t="shared" si="395"/>
        <v>2.2363740000000002E-3</v>
      </c>
      <c r="G2741" s="1437">
        <f t="shared" si="396"/>
        <v>0</v>
      </c>
      <c r="H2741" s="1437">
        <f t="shared" si="397"/>
        <v>2.2363740000000002E-3</v>
      </c>
      <c r="I2741" s="1437">
        <v>0</v>
      </c>
      <c r="J2741" s="1437">
        <v>0</v>
      </c>
      <c r="K2741" s="1438"/>
      <c r="L2741" s="1438"/>
      <c r="M2741" s="1437">
        <f t="shared" si="394"/>
        <v>0</v>
      </c>
      <c r="N2741" s="1437">
        <f t="shared" si="398"/>
        <v>2.2363740000000002E-3</v>
      </c>
    </row>
    <row r="2742" spans="1:14" outlineLevel="1">
      <c r="A2742" s="1499">
        <f t="shared" si="401"/>
        <v>149</v>
      </c>
      <c r="B2742" s="1539" t="str">
        <f t="shared" si="401"/>
        <v>Project-U#8-Ventillation system-10599</v>
      </c>
      <c r="C2742" s="1491" t="str">
        <f t="shared" si="401"/>
        <v>N.A.</v>
      </c>
      <c r="D2742" s="1531" t="str">
        <f t="shared" si="401"/>
        <v>-</v>
      </c>
      <c r="E2742" s="1318">
        <f t="shared" si="401"/>
        <v>0</v>
      </c>
      <c r="F2742" s="1437">
        <f t="shared" si="395"/>
        <v>1.438855E-3</v>
      </c>
      <c r="G2742" s="1437">
        <f t="shared" si="396"/>
        <v>0</v>
      </c>
      <c r="H2742" s="1437">
        <f t="shared" si="397"/>
        <v>1.438855E-3</v>
      </c>
      <c r="I2742" s="1437">
        <v>0</v>
      </c>
      <c r="J2742" s="1437">
        <v>0</v>
      </c>
      <c r="K2742" s="1438"/>
      <c r="L2742" s="1438"/>
      <c r="M2742" s="1437">
        <f t="shared" si="394"/>
        <v>0</v>
      </c>
      <c r="N2742" s="1437">
        <f t="shared" si="398"/>
        <v>1.438855E-3</v>
      </c>
    </row>
    <row r="2743" spans="1:14" outlineLevel="1">
      <c r="A2743" s="1499">
        <f t="shared" si="401"/>
        <v>150</v>
      </c>
      <c r="B2743" s="1539" t="str">
        <f t="shared" si="401"/>
        <v>Asset Recived From Project-U#8-M.SPARE_Ventillation system-10599</v>
      </c>
      <c r="C2743" s="1491" t="str">
        <f t="shared" si="401"/>
        <v>N.A.</v>
      </c>
      <c r="D2743" s="1531" t="str">
        <f t="shared" si="401"/>
        <v>-</v>
      </c>
      <c r="E2743" s="1318">
        <f t="shared" si="401"/>
        <v>0</v>
      </c>
      <c r="F2743" s="1437">
        <f t="shared" si="395"/>
        <v>8.5482000000000006E-5</v>
      </c>
      <c r="G2743" s="1437">
        <f t="shared" si="396"/>
        <v>0</v>
      </c>
      <c r="H2743" s="1437">
        <f t="shared" si="397"/>
        <v>8.5482000000000006E-5</v>
      </c>
      <c r="I2743" s="1437">
        <v>0</v>
      </c>
      <c r="J2743" s="1437">
        <v>0</v>
      </c>
      <c r="K2743" s="1438"/>
      <c r="L2743" s="1438"/>
      <c r="M2743" s="1437">
        <f t="shared" si="394"/>
        <v>0</v>
      </c>
      <c r="N2743" s="1437">
        <f t="shared" si="398"/>
        <v>8.5482000000000006E-5</v>
      </c>
    </row>
    <row r="2744" spans="1:14" outlineLevel="1">
      <c r="A2744" s="1499">
        <f t="shared" si="401"/>
        <v>151</v>
      </c>
      <c r="B2744" s="1539" t="str">
        <f t="shared" si="401"/>
        <v>Asset Recived From Project-U#8-Water Treatment Plant-10509</v>
      </c>
      <c r="C2744" s="1491" t="str">
        <f t="shared" si="401"/>
        <v>N.A.</v>
      </c>
      <c r="D2744" s="1531" t="str">
        <f t="shared" si="401"/>
        <v>-</v>
      </c>
      <c r="E2744" s="1318">
        <f t="shared" si="401"/>
        <v>0</v>
      </c>
      <c r="F2744" s="1437">
        <f t="shared" si="395"/>
        <v>4.2384409999999999E-3</v>
      </c>
      <c r="G2744" s="1437">
        <f t="shared" si="396"/>
        <v>0</v>
      </c>
      <c r="H2744" s="1437">
        <f t="shared" si="397"/>
        <v>4.2384409999999999E-3</v>
      </c>
      <c r="I2744" s="1437">
        <v>0</v>
      </c>
      <c r="J2744" s="1437">
        <v>0</v>
      </c>
      <c r="K2744" s="1438"/>
      <c r="L2744" s="1438"/>
      <c r="M2744" s="1437">
        <f t="shared" si="394"/>
        <v>0</v>
      </c>
      <c r="N2744" s="1437">
        <f t="shared" si="398"/>
        <v>4.2384409999999999E-3</v>
      </c>
    </row>
    <row r="2745" spans="1:14" outlineLevel="1">
      <c r="A2745" s="1499">
        <f t="shared" si="401"/>
        <v>152</v>
      </c>
      <c r="B2745" s="1539" t="str">
        <f t="shared" si="401"/>
        <v>Asset Recived From Project-U#8-WORK SHOP MAD_SPARE-10565</v>
      </c>
      <c r="C2745" s="1491" t="str">
        <f t="shared" si="401"/>
        <v>N.A.</v>
      </c>
      <c r="D2745" s="1531" t="str">
        <f t="shared" si="401"/>
        <v>-</v>
      </c>
      <c r="E2745" s="1318">
        <f t="shared" si="401"/>
        <v>0</v>
      </c>
      <c r="F2745" s="1437">
        <f t="shared" si="395"/>
        <v>3.0444899999999998E-4</v>
      </c>
      <c r="G2745" s="1437">
        <f t="shared" si="396"/>
        <v>0</v>
      </c>
      <c r="H2745" s="1437">
        <f t="shared" si="397"/>
        <v>3.0444899999999998E-4</v>
      </c>
      <c r="I2745" s="1437">
        <v>0</v>
      </c>
      <c r="J2745" s="1437">
        <v>0</v>
      </c>
      <c r="K2745" s="1438"/>
      <c r="L2745" s="1438"/>
      <c r="M2745" s="1437">
        <f t="shared" si="394"/>
        <v>0</v>
      </c>
      <c r="N2745" s="1437">
        <f t="shared" si="398"/>
        <v>3.0444899999999998E-4</v>
      </c>
    </row>
    <row r="2746" spans="1:14" outlineLevel="1">
      <c r="A2746" s="1499">
        <f t="shared" si="401"/>
        <v>153</v>
      </c>
      <c r="B2746" s="1539" t="str">
        <f t="shared" si="401"/>
        <v>Asset Recived From Project-U#8-Workshop-10565</v>
      </c>
      <c r="C2746" s="1491" t="str">
        <f t="shared" si="401"/>
        <v>N.A.</v>
      </c>
      <c r="D2746" s="1531" t="str">
        <f t="shared" si="401"/>
        <v>-</v>
      </c>
      <c r="E2746" s="1318">
        <f t="shared" si="401"/>
        <v>0</v>
      </c>
      <c r="F2746" s="1437">
        <f t="shared" si="395"/>
        <v>1.3285770000000001E-3</v>
      </c>
      <c r="G2746" s="1437">
        <f t="shared" si="396"/>
        <v>0</v>
      </c>
      <c r="H2746" s="1437">
        <f t="shared" si="397"/>
        <v>1.3285770000000001E-3</v>
      </c>
      <c r="I2746" s="1437">
        <v>0</v>
      </c>
      <c r="J2746" s="1437">
        <v>0</v>
      </c>
      <c r="K2746" s="1438"/>
      <c r="L2746" s="1438"/>
      <c r="M2746" s="1437">
        <f t="shared" si="394"/>
        <v>0</v>
      </c>
      <c r="N2746" s="1437">
        <f t="shared" si="398"/>
        <v>1.3285770000000001E-3</v>
      </c>
    </row>
    <row r="2747" spans="1:14" outlineLevel="1">
      <c r="A2747" s="1499">
        <f t="shared" si="401"/>
        <v>154</v>
      </c>
      <c r="B2747" s="1539" t="str">
        <f t="shared" si="401"/>
        <v>Asset Recived From Project-U#8-CMR SYSTEM-10501</v>
      </c>
      <c r="C2747" s="1491" t="str">
        <f t="shared" si="401"/>
        <v>N.A.</v>
      </c>
      <c r="D2747" s="1531" t="str">
        <f t="shared" si="401"/>
        <v>-</v>
      </c>
      <c r="E2747" s="1318">
        <f t="shared" si="401"/>
        <v>0</v>
      </c>
      <c r="F2747" s="1437">
        <f t="shared" si="395"/>
        <v>2.0736180000000002E-3</v>
      </c>
      <c r="G2747" s="1437">
        <f t="shared" si="396"/>
        <v>0</v>
      </c>
      <c r="H2747" s="1437">
        <f t="shared" si="397"/>
        <v>2.0736180000000002E-3</v>
      </c>
      <c r="I2747" s="1437">
        <v>0</v>
      </c>
      <c r="J2747" s="1437">
        <v>0</v>
      </c>
      <c r="K2747" s="1438"/>
      <c r="L2747" s="1438"/>
      <c r="M2747" s="1437">
        <f t="shared" si="394"/>
        <v>0</v>
      </c>
      <c r="N2747" s="1437">
        <f t="shared" si="398"/>
        <v>2.0736180000000002E-3</v>
      </c>
    </row>
    <row r="2748" spans="1:14" outlineLevel="1">
      <c r="A2748" s="1499">
        <f t="shared" si="401"/>
        <v>155</v>
      </c>
      <c r="B2748" s="1539" t="str">
        <f t="shared" si="401"/>
        <v>Asset Recived From Project-U#8-MandatorySpares-WTP-10.509</v>
      </c>
      <c r="C2748" s="1491" t="str">
        <f t="shared" si="401"/>
        <v>N.A.</v>
      </c>
      <c r="D2748" s="1531" t="str">
        <f t="shared" si="401"/>
        <v>-</v>
      </c>
      <c r="E2748" s="1318">
        <f t="shared" si="401"/>
        <v>0</v>
      </c>
      <c r="F2748" s="1437">
        <f t="shared" si="395"/>
        <v>8.1516999999999999E-5</v>
      </c>
      <c r="G2748" s="1437">
        <f t="shared" si="396"/>
        <v>0</v>
      </c>
      <c r="H2748" s="1437">
        <f t="shared" si="397"/>
        <v>8.1516999999999999E-5</v>
      </c>
      <c r="I2748" s="1437">
        <v>0</v>
      </c>
      <c r="J2748" s="1437">
        <v>0</v>
      </c>
      <c r="K2748" s="1438"/>
      <c r="L2748" s="1438"/>
      <c r="M2748" s="1437">
        <f t="shared" si="394"/>
        <v>0</v>
      </c>
      <c r="N2748" s="1437">
        <f t="shared" si="398"/>
        <v>8.1516999999999999E-5</v>
      </c>
    </row>
    <row r="2749" spans="1:14" ht="29" outlineLevel="1">
      <c r="A2749" s="1499">
        <f t="shared" si="401"/>
        <v>156</v>
      </c>
      <c r="B2749" s="1539" t="str">
        <f t="shared" si="401"/>
        <v>Asset Recived From Project-U#8-E.1.07_MandSpar 4 C&amp;I MS 4MeasuringIns E.1.07_M S for C&amp;I_ MS For Measuring Ins</v>
      </c>
      <c r="C2749" s="1491" t="str">
        <f t="shared" si="401"/>
        <v>N.A.</v>
      </c>
      <c r="D2749" s="1531" t="str">
        <f t="shared" si="401"/>
        <v>-</v>
      </c>
      <c r="E2749" s="1318">
        <f t="shared" si="401"/>
        <v>0</v>
      </c>
      <c r="F2749" s="1437">
        <f t="shared" si="395"/>
        <v>7.8696799999999997E-2</v>
      </c>
      <c r="G2749" s="1437">
        <f t="shared" si="396"/>
        <v>0</v>
      </c>
      <c r="H2749" s="1437">
        <f t="shared" si="397"/>
        <v>7.8696799999999997E-2</v>
      </c>
      <c r="I2749" s="1437">
        <v>0</v>
      </c>
      <c r="J2749" s="1437">
        <v>0</v>
      </c>
      <c r="K2749" s="1438"/>
      <c r="L2749" s="1438"/>
      <c r="M2749" s="1437">
        <f t="shared" si="394"/>
        <v>0</v>
      </c>
      <c r="N2749" s="1437">
        <f t="shared" si="398"/>
        <v>7.8696799999999997E-2</v>
      </c>
    </row>
    <row r="2750" spans="1:14" outlineLevel="1">
      <c r="A2750" s="1499">
        <f t="shared" ref="A2750:E2755" si="402">A2357</f>
        <v>157</v>
      </c>
      <c r="B2750" s="1539" t="str">
        <f t="shared" si="402"/>
        <v>Asset Recived From Project-U#8-BOP_ELECTRICAL-10612</v>
      </c>
      <c r="C2750" s="1491" t="str">
        <f t="shared" si="402"/>
        <v>N.A.</v>
      </c>
      <c r="D2750" s="1531" t="str">
        <f t="shared" si="402"/>
        <v>-</v>
      </c>
      <c r="E2750" s="1318">
        <f t="shared" si="402"/>
        <v>0</v>
      </c>
      <c r="F2750" s="1437">
        <f t="shared" si="395"/>
        <v>1.6370498000000001E-2</v>
      </c>
      <c r="G2750" s="1437">
        <f t="shared" si="396"/>
        <v>0</v>
      </c>
      <c r="H2750" s="1437">
        <f t="shared" si="397"/>
        <v>1.6370498000000001E-2</v>
      </c>
      <c r="I2750" s="1437">
        <v>0</v>
      </c>
      <c r="J2750" s="1437">
        <v>0</v>
      </c>
      <c r="K2750" s="1438"/>
      <c r="L2750" s="1438"/>
      <c r="M2750" s="1437">
        <f t="shared" si="394"/>
        <v>0</v>
      </c>
      <c r="N2750" s="1437">
        <f t="shared" si="398"/>
        <v>1.6370498000000001E-2</v>
      </c>
    </row>
    <row r="2751" spans="1:14" outlineLevel="1">
      <c r="A2751" s="1499">
        <f t="shared" si="402"/>
        <v>158</v>
      </c>
      <c r="B2751" s="1539" t="str">
        <f t="shared" si="402"/>
        <v>Asset Recived From Project-U#8-Bus Ducts-10612</v>
      </c>
      <c r="C2751" s="1491" t="str">
        <f t="shared" si="402"/>
        <v>N.A.</v>
      </c>
      <c r="D2751" s="1531" t="str">
        <f t="shared" si="402"/>
        <v>-</v>
      </c>
      <c r="E2751" s="1318">
        <f t="shared" si="402"/>
        <v>0</v>
      </c>
      <c r="F2751" s="1437">
        <f t="shared" si="395"/>
        <v>1.2547599E-2</v>
      </c>
      <c r="G2751" s="1437">
        <f t="shared" si="396"/>
        <v>0</v>
      </c>
      <c r="H2751" s="1437">
        <f t="shared" si="397"/>
        <v>1.2547599E-2</v>
      </c>
      <c r="I2751" s="1437">
        <v>0</v>
      </c>
      <c r="J2751" s="1437">
        <v>0</v>
      </c>
      <c r="K2751" s="1438"/>
      <c r="L2751" s="1438"/>
      <c r="M2751" s="1437">
        <f t="shared" si="394"/>
        <v>0</v>
      </c>
      <c r="N2751" s="1437">
        <f t="shared" si="398"/>
        <v>1.2547599E-2</v>
      </c>
    </row>
    <row r="2752" spans="1:14" outlineLevel="1">
      <c r="A2752" s="1499">
        <f t="shared" si="402"/>
        <v>159</v>
      </c>
      <c r="B2752" s="1539" t="str">
        <f t="shared" si="402"/>
        <v>Asset Recived From Project-U#8-Cable trays &amp; supports-10612</v>
      </c>
      <c r="C2752" s="1491" t="str">
        <f t="shared" si="402"/>
        <v>N.A.</v>
      </c>
      <c r="D2752" s="1531" t="str">
        <f t="shared" si="402"/>
        <v>-</v>
      </c>
      <c r="E2752" s="1318">
        <f t="shared" si="402"/>
        <v>0</v>
      </c>
      <c r="F2752" s="1437">
        <f t="shared" si="395"/>
        <v>3.6008699999999998E-4</v>
      </c>
      <c r="G2752" s="1437">
        <f t="shared" si="396"/>
        <v>0</v>
      </c>
      <c r="H2752" s="1437">
        <f t="shared" si="397"/>
        <v>3.6008699999999998E-4</v>
      </c>
      <c r="I2752" s="1437">
        <v>0</v>
      </c>
      <c r="J2752" s="1437">
        <v>0</v>
      </c>
      <c r="K2752" s="1438"/>
      <c r="L2752" s="1438"/>
      <c r="M2752" s="1437">
        <f t="shared" ref="M2752:M2755" si="403">SUM(J2752:L2752)</f>
        <v>0</v>
      </c>
      <c r="N2752" s="1437">
        <f t="shared" si="398"/>
        <v>3.6008699999999998E-4</v>
      </c>
    </row>
    <row r="2753" spans="1:14" outlineLevel="1">
      <c r="A2753" s="1499">
        <f t="shared" si="402"/>
        <v>160</v>
      </c>
      <c r="B2753" s="1539" t="str">
        <f t="shared" si="402"/>
        <v>Project-U#8-PCR FURNITURE-10810</v>
      </c>
      <c r="C2753" s="1491" t="str">
        <f t="shared" si="402"/>
        <v>N.A.</v>
      </c>
      <c r="D2753" s="1531" t="str">
        <f t="shared" si="402"/>
        <v>-</v>
      </c>
      <c r="E2753" s="1318">
        <f t="shared" si="402"/>
        <v>0</v>
      </c>
      <c r="F2753" s="1437">
        <f t="shared" ref="F2753:F2755" si="404">F2360+I2360</f>
        <v>3.0684199999999999E-4</v>
      </c>
      <c r="G2753" s="1437">
        <f t="shared" ref="G2753:G2755" si="405">G2360+M2360</f>
        <v>0</v>
      </c>
      <c r="H2753" s="1437">
        <f t="shared" si="397"/>
        <v>3.0684199999999999E-4</v>
      </c>
      <c r="I2753" s="1437">
        <v>0</v>
      </c>
      <c r="J2753" s="1437">
        <v>0</v>
      </c>
      <c r="K2753" s="1438"/>
      <c r="L2753" s="1438"/>
      <c r="M2753" s="1437">
        <f t="shared" si="403"/>
        <v>0</v>
      </c>
      <c r="N2753" s="1437">
        <f t="shared" si="398"/>
        <v>3.0684199999999999E-4</v>
      </c>
    </row>
    <row r="2754" spans="1:14" outlineLevel="1">
      <c r="A2754" s="1499">
        <f t="shared" si="402"/>
        <v>161</v>
      </c>
      <c r="B2754" s="1539" t="str">
        <f t="shared" si="402"/>
        <v>Project-U#8 Server Intel QUAD CORE 02No. HP Office Server</v>
      </c>
      <c r="C2754" s="1491" t="str">
        <f t="shared" si="402"/>
        <v>N.A.</v>
      </c>
      <c r="D2754" s="1531" t="str">
        <f t="shared" si="402"/>
        <v>-</v>
      </c>
      <c r="E2754" s="1318">
        <f t="shared" si="402"/>
        <v>0</v>
      </c>
      <c r="F2754" s="1437">
        <f t="shared" si="404"/>
        <v>0.11917999999999999</v>
      </c>
      <c r="G2754" s="1437">
        <f t="shared" si="405"/>
        <v>0.11917999999999999</v>
      </c>
      <c r="H2754" s="1437">
        <f t="shared" ref="H2754:H2755" si="406">F2754-G2754</f>
        <v>0</v>
      </c>
      <c r="I2754" s="1437">
        <v>0</v>
      </c>
      <c r="J2754" s="1437">
        <v>0</v>
      </c>
      <c r="K2754" s="1438"/>
      <c r="L2754" s="1438"/>
      <c r="M2754" s="1437">
        <f t="shared" si="403"/>
        <v>0</v>
      </c>
      <c r="N2754" s="1437">
        <f t="shared" ref="N2754:N2755" si="407">H2754+I2754-M2754</f>
        <v>0</v>
      </c>
    </row>
    <row r="2755" spans="1:14" ht="15" outlineLevel="1" thickBot="1">
      <c r="A2755" s="1499">
        <f t="shared" si="402"/>
        <v>162</v>
      </c>
      <c r="B2755" s="1539" t="str">
        <f t="shared" si="402"/>
        <v>Supply Erection testing and commissining of 1000 m3 ETP Civil works</v>
      </c>
      <c r="C2755" s="1491" t="str">
        <f t="shared" si="402"/>
        <v>N.A.</v>
      </c>
      <c r="D2755" s="1531" t="str">
        <f t="shared" si="402"/>
        <v>-</v>
      </c>
      <c r="E2755" s="1318">
        <f t="shared" si="402"/>
        <v>0</v>
      </c>
      <c r="F2755" s="1437">
        <f t="shared" si="404"/>
        <v>0.68323680199999992</v>
      </c>
      <c r="G2755" s="1437">
        <f t="shared" si="405"/>
        <v>0.68323680199999992</v>
      </c>
      <c r="H2755" s="1437">
        <f t="shared" si="406"/>
        <v>0</v>
      </c>
      <c r="I2755" s="1437">
        <v>0</v>
      </c>
      <c r="J2755" s="1437">
        <v>0</v>
      </c>
      <c r="K2755" s="1438"/>
      <c r="L2755" s="1438"/>
      <c r="M2755" s="1437">
        <f t="shared" si="403"/>
        <v>0</v>
      </c>
      <c r="N2755" s="1437">
        <f t="shared" si="407"/>
        <v>0</v>
      </c>
    </row>
    <row r="2756" spans="1:14" ht="15" thickBot="1">
      <c r="A2756" s="1311"/>
      <c r="B2756" s="1431"/>
      <c r="C2756" s="1311"/>
      <c r="D2756" s="1432"/>
      <c r="E2756" s="1431"/>
      <c r="F2756" s="1543">
        <f>SUM(F2369:F2755)</f>
        <v>826.3635451509989</v>
      </c>
      <c r="G2756" s="1543">
        <f t="shared" ref="G2756:N2756" si="408">SUM(G2369:G2755)</f>
        <v>832.64262843100005</v>
      </c>
      <c r="H2756" s="1543">
        <f t="shared" si="408"/>
        <v>-6.279083280000016</v>
      </c>
      <c r="I2756" s="1543">
        <f t="shared" si="408"/>
        <v>11.79</v>
      </c>
      <c r="J2756" s="1543">
        <f t="shared" si="408"/>
        <v>11.79</v>
      </c>
      <c r="K2756" s="1543">
        <f t="shared" si="408"/>
        <v>0</v>
      </c>
      <c r="L2756" s="1543">
        <f t="shared" si="408"/>
        <v>0</v>
      </c>
      <c r="M2756" s="1543">
        <f t="shared" si="408"/>
        <v>11.79</v>
      </c>
      <c r="N2756" s="1543">
        <f t="shared" si="408"/>
        <v>-6.279083280000016</v>
      </c>
    </row>
    <row r="2758" spans="1:14">
      <c r="A2758" s="1486"/>
      <c r="B2758" s="1433" t="s">
        <v>962</v>
      </c>
      <c r="C2758" s="1309"/>
      <c r="D2758" s="1432"/>
      <c r="E2758" s="1309"/>
      <c r="F2758" s="1433"/>
      <c r="G2758" s="1433"/>
      <c r="H2758" s="1433"/>
      <c r="I2758" s="1433"/>
      <c r="J2758" s="1433"/>
      <c r="K2758" s="1433"/>
      <c r="L2758" s="1433"/>
      <c r="M2758" s="1433"/>
      <c r="N2758" s="1433"/>
    </row>
    <row r="2759" spans="1:14" outlineLevel="1">
      <c r="A2759" s="1487">
        <f t="shared" ref="A2759:E2774" si="409">A2366</f>
        <v>0</v>
      </c>
      <c r="B2759" s="1332" t="str">
        <f t="shared" si="409"/>
        <v>Add Cap (As per 296 of 2019)</v>
      </c>
      <c r="C2759" s="1488"/>
      <c r="D2759" s="1489"/>
      <c r="E2759" s="1490"/>
      <c r="F2759" s="1437"/>
      <c r="G2759" s="1437"/>
      <c r="H2759" s="1437"/>
      <c r="I2759" s="1437"/>
      <c r="J2759" s="1437"/>
      <c r="K2759" s="1438"/>
      <c r="L2759" s="1438"/>
      <c r="M2759" s="1437"/>
      <c r="N2759" s="1437"/>
    </row>
    <row r="2760" spans="1:14" ht="17.5" outlineLevel="1">
      <c r="A2760" s="1491" t="str">
        <f t="shared" si="409"/>
        <v>A</v>
      </c>
      <c r="B2760" s="1333" t="str">
        <f t="shared" si="409"/>
        <v xml:space="preserve">Initial spares </v>
      </c>
      <c r="C2760" s="1492" t="str">
        <f t="shared" si="409"/>
        <v>Add Cap (As per 296 of 2019)</v>
      </c>
      <c r="D2760" s="1334" t="str">
        <f t="shared" si="409"/>
        <v>-</v>
      </c>
      <c r="E2760" s="1335">
        <f t="shared" si="409"/>
        <v>0</v>
      </c>
      <c r="F2760" s="1437"/>
      <c r="G2760" s="1437"/>
      <c r="H2760" s="1437"/>
      <c r="I2760" s="1437"/>
      <c r="J2760" s="1437"/>
      <c r="K2760" s="1438"/>
      <c r="L2760" s="1438"/>
      <c r="M2760" s="1437"/>
      <c r="N2760" s="1437"/>
    </row>
    <row r="2761" spans="1:14" ht="15.5" outlineLevel="1">
      <c r="A2761" s="1493">
        <f t="shared" si="409"/>
        <v>1</v>
      </c>
      <c r="B2761" s="1494" t="str">
        <f t="shared" si="409"/>
        <v>Boiler and Auxiliaries</v>
      </c>
      <c r="C2761" s="1495" t="str">
        <f t="shared" si="409"/>
        <v>Add Cap (As per 296 of 2019)</v>
      </c>
      <c r="D2761" s="1341" t="str">
        <f t="shared" si="409"/>
        <v>-</v>
      </c>
      <c r="E2761" s="1496">
        <f t="shared" si="409"/>
        <v>7.2</v>
      </c>
      <c r="F2761" s="1437"/>
      <c r="G2761" s="1437"/>
      <c r="H2761" s="1437"/>
      <c r="I2761" s="1437"/>
      <c r="J2761" s="1437"/>
      <c r="K2761" s="1438"/>
      <c r="L2761" s="1438"/>
      <c r="M2761" s="1437"/>
      <c r="N2761" s="1437"/>
    </row>
    <row r="2762" spans="1:14" ht="31" outlineLevel="1">
      <c r="A2762" s="1491">
        <f t="shared" si="409"/>
        <v>1</v>
      </c>
      <c r="B2762" s="1497" t="str">
        <f t="shared" si="409"/>
        <v>Procurement of Coal Mill XRP-903 Gear Box Type KMP-280 Spares of Unit # 8 at BM-NPTPS Parli-Vaijnath</v>
      </c>
      <c r="C2762" s="1492" t="str">
        <f t="shared" si="409"/>
        <v>Add Cap (As per 296 of 2019)</v>
      </c>
      <c r="D2762" s="1334" t="str">
        <f t="shared" si="409"/>
        <v>-</v>
      </c>
      <c r="E2762" s="1498">
        <f t="shared" si="409"/>
        <v>0</v>
      </c>
      <c r="F2762" s="1437">
        <f t="shared" ref="F2762:F2825" si="410">F2369+I2369</f>
        <v>1.35</v>
      </c>
      <c r="G2762" s="1437">
        <f t="shared" ref="G2762:G2825" si="411">G2369+M2369</f>
        <v>1.35</v>
      </c>
      <c r="H2762" s="1437">
        <f t="shared" ref="H2762:H2825" si="412">F2762-G2762</f>
        <v>0</v>
      </c>
      <c r="I2762" s="1437">
        <v>0</v>
      </c>
      <c r="J2762" s="1437">
        <v>0</v>
      </c>
      <c r="K2762" s="1438"/>
      <c r="L2762" s="1438"/>
      <c r="M2762" s="1437">
        <f t="shared" ref="M2762:M2825" si="413">SUM(J2762:L2762)</f>
        <v>0</v>
      </c>
      <c r="N2762" s="1437">
        <f t="shared" ref="N2762:N2825" si="414">H2762+I2762-M2762</f>
        <v>0</v>
      </c>
    </row>
    <row r="2763" spans="1:14" ht="31" outlineLevel="1">
      <c r="A2763" s="1491">
        <f t="shared" si="409"/>
        <v>2</v>
      </c>
      <c r="B2763" s="1497" t="str">
        <f t="shared" si="409"/>
        <v>Supply of Labyrinth Seal Rings with replaceable Inner liners for Coal Mill XRP-903 required for BM Unit-8, NPTPS, Parli-V.</v>
      </c>
      <c r="C2763" s="1492" t="str">
        <f t="shared" si="409"/>
        <v>Add Cap (As per 296 of 2019)</v>
      </c>
      <c r="D2763" s="1334" t="str">
        <f t="shared" si="409"/>
        <v>-</v>
      </c>
      <c r="E2763" s="1498">
        <f t="shared" si="409"/>
        <v>0</v>
      </c>
      <c r="F2763" s="1437">
        <f t="shared" si="410"/>
        <v>0.33134400000000003</v>
      </c>
      <c r="G2763" s="1437">
        <f t="shared" si="411"/>
        <v>0.33134400000000003</v>
      </c>
      <c r="H2763" s="1437">
        <f t="shared" si="412"/>
        <v>0</v>
      </c>
      <c r="I2763" s="1437">
        <v>0</v>
      </c>
      <c r="J2763" s="1437">
        <v>0</v>
      </c>
      <c r="K2763" s="1438"/>
      <c r="L2763" s="1438"/>
      <c r="M2763" s="1437">
        <f t="shared" si="413"/>
        <v>0</v>
      </c>
      <c r="N2763" s="1437">
        <f t="shared" si="414"/>
        <v>0</v>
      </c>
    </row>
    <row r="2764" spans="1:14" ht="31" outlineLevel="1">
      <c r="A2764" s="1491">
        <f t="shared" si="409"/>
        <v>3</v>
      </c>
      <c r="B2764" s="1497" t="str">
        <f t="shared" si="409"/>
        <v>Supply and Installation of coal mill  liners(weld overlay) of XRP-903 Coal Mill in BM U-8, NPTPS,Parli-V.</v>
      </c>
      <c r="C2764" s="1492" t="str">
        <f t="shared" si="409"/>
        <v>Add Cap (As per 296 of 2019)</v>
      </c>
      <c r="D2764" s="1334" t="str">
        <f t="shared" si="409"/>
        <v>-</v>
      </c>
      <c r="E2764" s="1498">
        <f t="shared" si="409"/>
        <v>0</v>
      </c>
      <c r="F2764" s="1437">
        <f t="shared" si="410"/>
        <v>0.33134400000000003</v>
      </c>
      <c r="G2764" s="1437">
        <f t="shared" si="411"/>
        <v>0.33134400000000003</v>
      </c>
      <c r="H2764" s="1437">
        <f t="shared" si="412"/>
        <v>0</v>
      </c>
      <c r="I2764" s="1437">
        <v>0</v>
      </c>
      <c r="J2764" s="1437">
        <v>0</v>
      </c>
      <c r="K2764" s="1438"/>
      <c r="L2764" s="1438"/>
      <c r="M2764" s="1437">
        <f t="shared" si="413"/>
        <v>0</v>
      </c>
      <c r="N2764" s="1437">
        <f t="shared" si="414"/>
        <v>0</v>
      </c>
    </row>
    <row r="2765" spans="1:14" ht="31" outlineLevel="1">
      <c r="A2765" s="1491">
        <f t="shared" si="409"/>
        <v>4</v>
      </c>
      <c r="B2765" s="1497" t="str">
        <f t="shared" si="409"/>
        <v>Procurement of Coal Mill XRP-903 Bowl &amp; Bowl Hub of Unit # 8 at BM-NPTPS Parli-Vaijnath</v>
      </c>
      <c r="C2765" s="1492" t="str">
        <f t="shared" si="409"/>
        <v>Add Cap (As per 296 of 2019)</v>
      </c>
      <c r="D2765" s="1334" t="str">
        <f t="shared" si="409"/>
        <v>-</v>
      </c>
      <c r="E2765" s="1498">
        <f t="shared" si="409"/>
        <v>0</v>
      </c>
      <c r="F2765" s="1437">
        <f t="shared" si="410"/>
        <v>0.73326380000000002</v>
      </c>
      <c r="G2765" s="1437">
        <f t="shared" si="411"/>
        <v>0.73326380000000002</v>
      </c>
      <c r="H2765" s="1437">
        <f t="shared" si="412"/>
        <v>0</v>
      </c>
      <c r="I2765" s="1437">
        <v>0</v>
      </c>
      <c r="J2765" s="1437">
        <v>0</v>
      </c>
      <c r="K2765" s="1438"/>
      <c r="L2765" s="1438"/>
      <c r="M2765" s="1437">
        <f t="shared" si="413"/>
        <v>0</v>
      </c>
      <c r="N2765" s="1437">
        <f t="shared" si="414"/>
        <v>0</v>
      </c>
    </row>
    <row r="2766" spans="1:14" ht="15.5" outlineLevel="1">
      <c r="A2766" s="1491">
        <f t="shared" si="409"/>
        <v>5</v>
      </c>
      <c r="B2766" s="1497" t="str">
        <f t="shared" si="409"/>
        <v>Supply of impeller assembly for ID fan</v>
      </c>
      <c r="C2766" s="1492" t="str">
        <f t="shared" si="409"/>
        <v>Add Cap (As per 296 of 2019)</v>
      </c>
      <c r="D2766" s="1334" t="str">
        <f t="shared" si="409"/>
        <v>-</v>
      </c>
      <c r="E2766" s="1358">
        <f t="shared" si="409"/>
        <v>0</v>
      </c>
      <c r="F2766" s="1437">
        <f t="shared" si="410"/>
        <v>0.52329999999999999</v>
      </c>
      <c r="G2766" s="1437">
        <f t="shared" si="411"/>
        <v>0.52329999999999999</v>
      </c>
      <c r="H2766" s="1437">
        <f t="shared" si="412"/>
        <v>0</v>
      </c>
      <c r="I2766" s="1437">
        <v>0</v>
      </c>
      <c r="J2766" s="1437">
        <v>0</v>
      </c>
      <c r="K2766" s="1438"/>
      <c r="L2766" s="1438"/>
      <c r="M2766" s="1437">
        <f t="shared" si="413"/>
        <v>0</v>
      </c>
      <c r="N2766" s="1437">
        <f t="shared" si="414"/>
        <v>0</v>
      </c>
    </row>
    <row r="2767" spans="1:14" ht="31" outlineLevel="1">
      <c r="A2767" s="1491">
        <f t="shared" si="409"/>
        <v>6</v>
      </c>
      <c r="B2767" s="1497" t="str">
        <f t="shared" si="409"/>
        <v>Procurement of Primary Air Fan &amp; Forced Draught Fan Drive Coupling on OEM basis required at BM U-8, NPTPS, Parli-V</v>
      </c>
      <c r="C2767" s="1492" t="str">
        <f t="shared" si="409"/>
        <v>Add Cap (As per 296 of 2019)</v>
      </c>
      <c r="D2767" s="1334" t="str">
        <f t="shared" si="409"/>
        <v>-</v>
      </c>
      <c r="E2767" s="1358">
        <f t="shared" si="409"/>
        <v>0</v>
      </c>
      <c r="F2767" s="1437">
        <f t="shared" si="410"/>
        <v>0.19409999999999999</v>
      </c>
      <c r="G2767" s="1437">
        <f t="shared" si="411"/>
        <v>0.19409999999999999</v>
      </c>
      <c r="H2767" s="1437">
        <f t="shared" si="412"/>
        <v>0</v>
      </c>
      <c r="I2767" s="1437">
        <v>0</v>
      </c>
      <c r="J2767" s="1437">
        <v>0</v>
      </c>
      <c r="K2767" s="1438"/>
      <c r="L2767" s="1438"/>
      <c r="M2767" s="1437">
        <f t="shared" si="413"/>
        <v>0</v>
      </c>
      <c r="N2767" s="1437">
        <f t="shared" si="414"/>
        <v>0</v>
      </c>
    </row>
    <row r="2768" spans="1:14" ht="46.5" outlineLevel="1">
      <c r="A2768" s="1491">
        <f t="shared" si="409"/>
        <v>7</v>
      </c>
      <c r="B2768" s="1497" t="str">
        <f t="shared" si="409"/>
        <v>Procurement of  Primary Air Fan PAF 17/11.8-2 Hydraulic Adjustment Device on OEM basis required at BM U-8 NPTPS Parli-V</v>
      </c>
      <c r="C2768" s="1492" t="str">
        <f t="shared" si="409"/>
        <v>Add Cap (As per 296 of 2019)</v>
      </c>
      <c r="D2768" s="1334" t="str">
        <f t="shared" si="409"/>
        <v>-</v>
      </c>
      <c r="E2768" s="1359">
        <f t="shared" si="409"/>
        <v>0</v>
      </c>
      <c r="F2768" s="1437">
        <f t="shared" si="410"/>
        <v>0.53521083000000003</v>
      </c>
      <c r="G2768" s="1437">
        <f t="shared" si="411"/>
        <v>0.53521083000000003</v>
      </c>
      <c r="H2768" s="1437">
        <f t="shared" si="412"/>
        <v>0</v>
      </c>
      <c r="I2768" s="1437">
        <v>0</v>
      </c>
      <c r="J2768" s="1437">
        <v>0</v>
      </c>
      <c r="K2768" s="1438"/>
      <c r="L2768" s="1438"/>
      <c r="M2768" s="1437">
        <f t="shared" si="413"/>
        <v>0</v>
      </c>
      <c r="N2768" s="1437">
        <f t="shared" si="414"/>
        <v>0</v>
      </c>
    </row>
    <row r="2769" spans="1:14" ht="31" outlineLevel="1">
      <c r="A2769" s="1491">
        <f t="shared" si="409"/>
        <v>8</v>
      </c>
      <c r="B2769" s="1497" t="str">
        <f t="shared" si="409"/>
        <v>Proc of spares for fabric expansion joints required at BM U-8, NPTPS, Parli-V.</v>
      </c>
      <c r="C2769" s="1492" t="str">
        <f t="shared" si="409"/>
        <v>Add Cap (As per 296 of 2019)</v>
      </c>
      <c r="D2769" s="1334" t="str">
        <f t="shared" si="409"/>
        <v>-</v>
      </c>
      <c r="E2769" s="1358">
        <f t="shared" si="409"/>
        <v>0</v>
      </c>
      <c r="F2769" s="1437">
        <f t="shared" si="410"/>
        <v>0.56971689999999997</v>
      </c>
      <c r="G2769" s="1437">
        <f t="shared" si="411"/>
        <v>0.56971689999999997</v>
      </c>
      <c r="H2769" s="1437">
        <f t="shared" si="412"/>
        <v>0</v>
      </c>
      <c r="I2769" s="1437">
        <v>0</v>
      </c>
      <c r="J2769" s="1437">
        <v>0</v>
      </c>
      <c r="K2769" s="1438"/>
      <c r="L2769" s="1438"/>
      <c r="M2769" s="1437">
        <f t="shared" si="413"/>
        <v>0</v>
      </c>
      <c r="N2769" s="1437">
        <f t="shared" si="414"/>
        <v>0</v>
      </c>
    </row>
    <row r="2770" spans="1:14" ht="31" outlineLevel="1">
      <c r="A2770" s="1491">
        <f t="shared" si="409"/>
        <v>9</v>
      </c>
      <c r="B2770" s="1497" t="str">
        <f t="shared" si="409"/>
        <v>Proc of separator body and seperator top spares for coal mill XRP-903 at BM U-8, NPTPS Parli-V.</v>
      </c>
      <c r="C2770" s="1492" t="str">
        <f t="shared" si="409"/>
        <v>Add Cap (As per 296 of 2019)</v>
      </c>
      <c r="D2770" s="1334" t="str">
        <f t="shared" si="409"/>
        <v>-</v>
      </c>
      <c r="E2770" s="1358">
        <f t="shared" si="409"/>
        <v>0</v>
      </c>
      <c r="F2770" s="1437">
        <f t="shared" si="410"/>
        <v>0.42568995599999998</v>
      </c>
      <c r="G2770" s="1437">
        <f t="shared" si="411"/>
        <v>0.42568995599999998</v>
      </c>
      <c r="H2770" s="1437">
        <f t="shared" si="412"/>
        <v>0</v>
      </c>
      <c r="I2770" s="1437">
        <v>0</v>
      </c>
      <c r="J2770" s="1437">
        <v>0</v>
      </c>
      <c r="K2770" s="1438"/>
      <c r="L2770" s="1438"/>
      <c r="M2770" s="1437">
        <f t="shared" si="413"/>
        <v>0</v>
      </c>
      <c r="N2770" s="1437">
        <f t="shared" si="414"/>
        <v>0</v>
      </c>
    </row>
    <row r="2771" spans="1:14" ht="31" outlineLevel="1">
      <c r="A2771" s="1491">
        <f t="shared" si="409"/>
        <v>10</v>
      </c>
      <c r="B2771" s="1497" t="str">
        <f t="shared" si="409"/>
        <v>Proc of scrapper area &amp; reject system spares for coal mill XRP-903 at BM U-8, NPTPS Parli-V.</v>
      </c>
      <c r="C2771" s="1492" t="str">
        <f t="shared" si="409"/>
        <v>Add Cap (As per 296 of 2019)</v>
      </c>
      <c r="D2771" s="1334" t="str">
        <f t="shared" si="409"/>
        <v>-</v>
      </c>
      <c r="E2771" s="1358">
        <f t="shared" si="409"/>
        <v>0</v>
      </c>
      <c r="F2771" s="1437">
        <f t="shared" si="410"/>
        <v>0.27832896000000001</v>
      </c>
      <c r="G2771" s="1437">
        <f t="shared" si="411"/>
        <v>0.27832896000000001</v>
      </c>
      <c r="H2771" s="1437">
        <f t="shared" si="412"/>
        <v>0</v>
      </c>
      <c r="I2771" s="1437">
        <v>0</v>
      </c>
      <c r="J2771" s="1437">
        <v>0</v>
      </c>
      <c r="K2771" s="1438"/>
      <c r="L2771" s="1438"/>
      <c r="M2771" s="1437">
        <f t="shared" si="413"/>
        <v>0</v>
      </c>
      <c r="N2771" s="1437">
        <f t="shared" si="414"/>
        <v>0</v>
      </c>
    </row>
    <row r="2772" spans="1:14" ht="15.5" outlineLevel="1">
      <c r="A2772" s="1491">
        <f t="shared" si="409"/>
        <v>11</v>
      </c>
      <c r="B2772" s="1497" t="str">
        <f t="shared" si="409"/>
        <v>Proc of seal air fan spares at BM-8 NPTPS, Parli-V.</v>
      </c>
      <c r="C2772" s="1492" t="str">
        <f t="shared" si="409"/>
        <v>Add Cap (As per 296 of 2019)</v>
      </c>
      <c r="D2772" s="1334" t="str">
        <f t="shared" si="409"/>
        <v>-</v>
      </c>
      <c r="E2772" s="1359">
        <f t="shared" si="409"/>
        <v>0</v>
      </c>
      <c r="F2772" s="1437">
        <f t="shared" si="410"/>
        <v>0.26431690000000002</v>
      </c>
      <c r="G2772" s="1437">
        <f t="shared" si="411"/>
        <v>0.26431690000000002</v>
      </c>
      <c r="H2772" s="1437">
        <f t="shared" si="412"/>
        <v>0</v>
      </c>
      <c r="I2772" s="1437">
        <v>0</v>
      </c>
      <c r="J2772" s="1437">
        <v>0</v>
      </c>
      <c r="K2772" s="1438"/>
      <c r="L2772" s="1438"/>
      <c r="M2772" s="1437">
        <f t="shared" si="413"/>
        <v>0</v>
      </c>
      <c r="N2772" s="1437">
        <f t="shared" si="414"/>
        <v>0</v>
      </c>
    </row>
    <row r="2773" spans="1:14" ht="31" outlineLevel="1">
      <c r="A2773" s="1491">
        <f t="shared" si="409"/>
        <v>12</v>
      </c>
      <c r="B2773" s="1497" t="str">
        <f t="shared" si="409"/>
        <v>Procurement of  FD Fan Type FAF 17/9.5-1 Drive Coupling required at BM U-8 NPTPS Parli-V</v>
      </c>
      <c r="C2773" s="1492" t="str">
        <f t="shared" si="409"/>
        <v>Add Cap (As per 296 of 2019)</v>
      </c>
      <c r="D2773" s="1334" t="str">
        <f t="shared" si="409"/>
        <v>-</v>
      </c>
      <c r="E2773" s="1358">
        <f t="shared" si="409"/>
        <v>0</v>
      </c>
      <c r="F2773" s="1437">
        <f t="shared" si="410"/>
        <v>0</v>
      </c>
      <c r="G2773" s="1437">
        <f t="shared" si="411"/>
        <v>0</v>
      </c>
      <c r="H2773" s="1437">
        <f t="shared" si="412"/>
        <v>0</v>
      </c>
      <c r="I2773" s="1437">
        <v>0</v>
      </c>
      <c r="J2773" s="1437">
        <v>0</v>
      </c>
      <c r="K2773" s="1438"/>
      <c r="L2773" s="1438"/>
      <c r="M2773" s="1437">
        <f t="shared" si="413"/>
        <v>0</v>
      </c>
      <c r="N2773" s="1437">
        <f t="shared" si="414"/>
        <v>0</v>
      </c>
    </row>
    <row r="2774" spans="1:14" ht="31" outlineLevel="1">
      <c r="A2774" s="1491">
        <f t="shared" si="409"/>
        <v>13</v>
      </c>
      <c r="B2774" s="1497" t="str">
        <f t="shared" si="409"/>
        <v>Procurement of complete planatary gear box-KMP -280/300 for coal mill XRP-903 at BM U-8 NPTPS Parli-V</v>
      </c>
      <c r="C2774" s="1492" t="str">
        <f t="shared" si="409"/>
        <v>Add Cap (As per 296 of 2019)</v>
      </c>
      <c r="D2774" s="1334" t="str">
        <f t="shared" si="409"/>
        <v>-</v>
      </c>
      <c r="E2774" s="1358">
        <f t="shared" si="409"/>
        <v>0</v>
      </c>
      <c r="F2774" s="1437">
        <f t="shared" si="410"/>
        <v>0</v>
      </c>
      <c r="G2774" s="1437">
        <f t="shared" si="411"/>
        <v>0</v>
      </c>
      <c r="H2774" s="1437">
        <f t="shared" si="412"/>
        <v>0</v>
      </c>
      <c r="I2774" s="1437">
        <v>0</v>
      </c>
      <c r="J2774" s="1437">
        <v>0</v>
      </c>
      <c r="K2774" s="1438"/>
      <c r="L2774" s="1438"/>
      <c r="M2774" s="1437">
        <f t="shared" si="413"/>
        <v>0</v>
      </c>
      <c r="N2774" s="1437">
        <f t="shared" si="414"/>
        <v>0</v>
      </c>
    </row>
    <row r="2775" spans="1:14" ht="15.5" outlineLevel="1">
      <c r="A2775" s="1493">
        <f t="shared" ref="A2775:E2790" si="415">A2382</f>
        <v>2</v>
      </c>
      <c r="B2775" s="1494" t="str">
        <f t="shared" si="415"/>
        <v>Turbine and Auxiliaries</v>
      </c>
      <c r="C2775" s="1495" t="str">
        <f t="shared" si="415"/>
        <v>Add Cap (As per 296 of 2019)</v>
      </c>
      <c r="D2775" s="1341" t="str">
        <f t="shared" si="415"/>
        <v>-</v>
      </c>
      <c r="E2775" s="1496">
        <f t="shared" si="415"/>
        <v>4.3</v>
      </c>
      <c r="F2775" s="1437">
        <f t="shared" si="410"/>
        <v>0</v>
      </c>
      <c r="G2775" s="1437">
        <f t="shared" si="411"/>
        <v>0</v>
      </c>
      <c r="H2775" s="1437">
        <f t="shared" si="412"/>
        <v>0</v>
      </c>
      <c r="I2775" s="1437">
        <v>0</v>
      </c>
      <c r="J2775" s="1437">
        <v>0</v>
      </c>
      <c r="K2775" s="1438"/>
      <c r="L2775" s="1438"/>
      <c r="M2775" s="1437">
        <f t="shared" si="413"/>
        <v>0</v>
      </c>
      <c r="N2775" s="1437">
        <f t="shared" si="414"/>
        <v>0</v>
      </c>
    </row>
    <row r="2776" spans="1:14" ht="46.5" outlineLevel="1">
      <c r="A2776" s="1499">
        <f t="shared" si="415"/>
        <v>1</v>
      </c>
      <c r="B2776" s="1497" t="str">
        <f t="shared" si="415"/>
        <v>Procurement of spares for Equipment Cooling Water Pumps (Make-FLOWMORE) of model FIG-5824 (SG Side) and FIG-5822 (TG side) at Unit-8 NPTPS Parli-V</v>
      </c>
      <c r="C2776" s="1492" t="str">
        <f t="shared" si="415"/>
        <v>Add Cap (As per 296 of 2019)</v>
      </c>
      <c r="D2776" s="1334" t="str">
        <f t="shared" si="415"/>
        <v>-</v>
      </c>
      <c r="E2776" s="1358">
        <f t="shared" si="415"/>
        <v>0</v>
      </c>
      <c r="F2776" s="1437">
        <f t="shared" si="410"/>
        <v>0.51811829399999998</v>
      </c>
      <c r="G2776" s="1437">
        <f t="shared" si="411"/>
        <v>0.51811829399999998</v>
      </c>
      <c r="H2776" s="1437">
        <f t="shared" si="412"/>
        <v>0</v>
      </c>
      <c r="I2776" s="1437">
        <v>0</v>
      </c>
      <c r="J2776" s="1437">
        <v>0</v>
      </c>
      <c r="K2776" s="1438"/>
      <c r="L2776" s="1438"/>
      <c r="M2776" s="1437">
        <f t="shared" si="413"/>
        <v>0</v>
      </c>
      <c r="N2776" s="1437">
        <f t="shared" si="414"/>
        <v>0</v>
      </c>
    </row>
    <row r="2777" spans="1:14" ht="15.5" outlineLevel="1">
      <c r="A2777" s="1499">
        <f t="shared" si="415"/>
        <v>2</v>
      </c>
      <c r="B2777" s="1497" t="str">
        <f t="shared" si="415"/>
        <v>Supply of spars for recovery &amp; FF Pumps along with work  at U#8</v>
      </c>
      <c r="C2777" s="1492" t="str">
        <f t="shared" si="415"/>
        <v>Add Cap (As per 296 of 2019)</v>
      </c>
      <c r="D2777" s="1334" t="str">
        <f t="shared" si="415"/>
        <v>-</v>
      </c>
      <c r="E2777" s="1359">
        <f t="shared" si="415"/>
        <v>0</v>
      </c>
      <c r="F2777" s="1437">
        <f t="shared" si="410"/>
        <v>0.37712800000000002</v>
      </c>
      <c r="G2777" s="1437">
        <f t="shared" si="411"/>
        <v>0.37712800000000002</v>
      </c>
      <c r="H2777" s="1437">
        <f t="shared" si="412"/>
        <v>0</v>
      </c>
      <c r="I2777" s="1437">
        <v>0</v>
      </c>
      <c r="J2777" s="1437">
        <v>0</v>
      </c>
      <c r="K2777" s="1438"/>
      <c r="L2777" s="1438"/>
      <c r="M2777" s="1437">
        <f t="shared" si="413"/>
        <v>0</v>
      </c>
      <c r="N2777" s="1437">
        <f t="shared" si="414"/>
        <v>0</v>
      </c>
    </row>
    <row r="2778" spans="1:14" ht="15.5" outlineLevel="1">
      <c r="A2778" s="1499">
        <f t="shared" si="415"/>
        <v>3</v>
      </c>
      <c r="B2778" s="1497" t="str">
        <f t="shared" si="415"/>
        <v>Supply of seal oil vacuum pump  in unit 08</v>
      </c>
      <c r="C2778" s="1492" t="str">
        <f t="shared" si="415"/>
        <v>Add Cap (As per 296 of 2019)</v>
      </c>
      <c r="D2778" s="1334" t="str">
        <f t="shared" si="415"/>
        <v>-</v>
      </c>
      <c r="E2778" s="1358">
        <f t="shared" si="415"/>
        <v>0</v>
      </c>
      <c r="F2778" s="1437">
        <f t="shared" si="410"/>
        <v>0.27501740000000002</v>
      </c>
      <c r="G2778" s="1437">
        <f t="shared" si="411"/>
        <v>0.27501740000000002</v>
      </c>
      <c r="H2778" s="1437">
        <f t="shared" si="412"/>
        <v>0</v>
      </c>
      <c r="I2778" s="1437">
        <v>0</v>
      </c>
      <c r="J2778" s="1437">
        <v>0</v>
      </c>
      <c r="K2778" s="1438"/>
      <c r="L2778" s="1438"/>
      <c r="M2778" s="1437">
        <f t="shared" si="413"/>
        <v>0</v>
      </c>
      <c r="N2778" s="1437">
        <f t="shared" si="414"/>
        <v>0</v>
      </c>
    </row>
    <row r="2779" spans="1:14" ht="46.5" outlineLevel="1">
      <c r="A2779" s="1499">
        <f t="shared" si="415"/>
        <v>4</v>
      </c>
      <c r="B2779" s="1497" t="str">
        <f t="shared" si="415"/>
        <v>Procurement of AC pressure pipes (235MM OD, 200MM ID, 4.5M Length) for NDCT hot spray water distribution system in Unit-8 NPTPS Parli-Vaijnath</v>
      </c>
      <c r="C2779" s="1492" t="str">
        <f t="shared" si="415"/>
        <v>Add Cap (As per 296 of 2019)</v>
      </c>
      <c r="D2779" s="1334" t="str">
        <f t="shared" si="415"/>
        <v>-</v>
      </c>
      <c r="E2779" s="1358">
        <f t="shared" si="415"/>
        <v>0</v>
      </c>
      <c r="F2779" s="1437">
        <f t="shared" si="410"/>
        <v>0.42522480000000001</v>
      </c>
      <c r="G2779" s="1437">
        <f t="shared" si="411"/>
        <v>0.42522480000000001</v>
      </c>
      <c r="H2779" s="1437">
        <f t="shared" si="412"/>
        <v>0</v>
      </c>
      <c r="I2779" s="1437">
        <v>0</v>
      </c>
      <c r="J2779" s="1437">
        <v>0</v>
      </c>
      <c r="K2779" s="1438"/>
      <c r="L2779" s="1438"/>
      <c r="M2779" s="1437">
        <f t="shared" si="413"/>
        <v>0</v>
      </c>
      <c r="N2779" s="1437">
        <f t="shared" si="414"/>
        <v>0</v>
      </c>
    </row>
    <row r="2780" spans="1:14" ht="31" outlineLevel="1">
      <c r="A2780" s="1499">
        <f t="shared" si="415"/>
        <v>5</v>
      </c>
      <c r="B2780" s="1497" t="str">
        <f t="shared" si="415"/>
        <v>Supply of M/s Summits make Instrument Air Dryer &amp; spares at U # 8 TM, Parli-V</v>
      </c>
      <c r="C2780" s="1492" t="str">
        <f t="shared" si="415"/>
        <v>Add Cap (As per 296 of 2019)</v>
      </c>
      <c r="D2780" s="1334" t="str">
        <f t="shared" si="415"/>
        <v>-</v>
      </c>
      <c r="E2780" s="1358">
        <f t="shared" si="415"/>
        <v>0</v>
      </c>
      <c r="F2780" s="1437">
        <f t="shared" si="410"/>
        <v>0.54787163999999999</v>
      </c>
      <c r="G2780" s="1437">
        <f t="shared" si="411"/>
        <v>0.54787163999999999</v>
      </c>
      <c r="H2780" s="1437">
        <f t="shared" si="412"/>
        <v>0</v>
      </c>
      <c r="I2780" s="1437">
        <v>0</v>
      </c>
      <c r="J2780" s="1437">
        <v>0</v>
      </c>
      <c r="K2780" s="1438"/>
      <c r="L2780" s="1438"/>
      <c r="M2780" s="1437">
        <f t="shared" si="413"/>
        <v>0</v>
      </c>
      <c r="N2780" s="1437">
        <f t="shared" si="414"/>
        <v>0</v>
      </c>
    </row>
    <row r="2781" spans="1:14" ht="15.5" outlineLevel="1">
      <c r="A2781" s="1499">
        <f t="shared" si="415"/>
        <v>6</v>
      </c>
      <c r="B2781" s="1497" t="str">
        <f t="shared" si="415"/>
        <v>Supply of PVC fills for NDCTs at U # 8 TM, Parli-V</v>
      </c>
      <c r="C2781" s="1492" t="str">
        <f t="shared" si="415"/>
        <v>Add Cap (As per 296 of 2019)</v>
      </c>
      <c r="D2781" s="1334" t="str">
        <f t="shared" si="415"/>
        <v>-</v>
      </c>
      <c r="E2781" s="1358">
        <f t="shared" si="415"/>
        <v>0</v>
      </c>
      <c r="F2781" s="1437">
        <f t="shared" si="410"/>
        <v>0.58244799999999997</v>
      </c>
      <c r="G2781" s="1437">
        <f t="shared" si="411"/>
        <v>0.58244799999999997</v>
      </c>
      <c r="H2781" s="1437">
        <f t="shared" si="412"/>
        <v>0</v>
      </c>
      <c r="I2781" s="1437">
        <v>0</v>
      </c>
      <c r="J2781" s="1437">
        <v>0</v>
      </c>
      <c r="K2781" s="1438"/>
      <c r="L2781" s="1438"/>
      <c r="M2781" s="1437">
        <f t="shared" si="413"/>
        <v>0</v>
      </c>
      <c r="N2781" s="1437">
        <f t="shared" si="414"/>
        <v>0</v>
      </c>
    </row>
    <row r="2782" spans="1:14" ht="31" outlineLevel="1">
      <c r="A2782" s="1499">
        <f t="shared" si="415"/>
        <v>7</v>
      </c>
      <c r="B2782" s="1497" t="str">
        <f t="shared" si="415"/>
        <v>Procurement of NB 600MM Gate valves for ACW self cleaning strainers in U#8 TM NPTPS Parli-V</v>
      </c>
      <c r="C2782" s="1492" t="str">
        <f t="shared" si="415"/>
        <v>Add Cap (As per 296 of 2019)</v>
      </c>
      <c r="D2782" s="1334" t="str">
        <f t="shared" si="415"/>
        <v>-</v>
      </c>
      <c r="E2782" s="1358">
        <f t="shared" si="415"/>
        <v>0</v>
      </c>
      <c r="F2782" s="1437">
        <f t="shared" si="410"/>
        <v>0.42338399999999998</v>
      </c>
      <c r="G2782" s="1437">
        <f t="shared" si="411"/>
        <v>0.42338399999999998</v>
      </c>
      <c r="H2782" s="1437">
        <f t="shared" si="412"/>
        <v>0</v>
      </c>
      <c r="I2782" s="1437">
        <v>0</v>
      </c>
      <c r="J2782" s="1437">
        <v>0</v>
      </c>
      <c r="K2782" s="1438"/>
      <c r="L2782" s="1438"/>
      <c r="M2782" s="1437">
        <f t="shared" si="413"/>
        <v>0</v>
      </c>
      <c r="N2782" s="1437">
        <f t="shared" si="414"/>
        <v>0</v>
      </c>
    </row>
    <row r="2783" spans="1:14" ht="31" outlineLevel="1">
      <c r="A2783" s="1499">
        <f t="shared" si="415"/>
        <v>8</v>
      </c>
      <c r="B2783" s="1497" t="str">
        <f t="shared" si="415"/>
        <v>Procurement of Mechanical seals ( Make Leak-Proof) for various pumps in TM Unit-8 NPTPS Parli.</v>
      </c>
      <c r="C2783" s="1492" t="str">
        <f t="shared" si="415"/>
        <v>Add Cap (As per 296 of 2019)</v>
      </c>
      <c r="D2783" s="1334" t="str">
        <f t="shared" si="415"/>
        <v>-</v>
      </c>
      <c r="E2783" s="1359">
        <f t="shared" si="415"/>
        <v>0</v>
      </c>
      <c r="F2783" s="1437">
        <f t="shared" si="410"/>
        <v>0.49233139999999997</v>
      </c>
      <c r="G2783" s="1437">
        <f t="shared" si="411"/>
        <v>0.49233139999999997</v>
      </c>
      <c r="H2783" s="1437">
        <f t="shared" si="412"/>
        <v>0</v>
      </c>
      <c r="I2783" s="1437">
        <v>0</v>
      </c>
      <c r="J2783" s="1437">
        <v>0</v>
      </c>
      <c r="K2783" s="1438"/>
      <c r="L2783" s="1438"/>
      <c r="M2783" s="1437">
        <f t="shared" si="413"/>
        <v>0</v>
      </c>
      <c r="N2783" s="1437">
        <f t="shared" si="414"/>
        <v>0</v>
      </c>
    </row>
    <row r="2784" spans="1:14" ht="15.5" outlineLevel="1">
      <c r="A2784" s="1499">
        <f t="shared" si="415"/>
        <v>9</v>
      </c>
      <c r="B2784" s="1497" t="str">
        <f t="shared" si="415"/>
        <v>Supply of SS 304 pipes &amp; others at U # 8 TM, Parli-V.</v>
      </c>
      <c r="C2784" s="1492" t="str">
        <f t="shared" si="415"/>
        <v>Add Cap (As per 296 of 2019)</v>
      </c>
      <c r="D2784" s="1334" t="str">
        <f t="shared" si="415"/>
        <v>-</v>
      </c>
      <c r="E2784" s="1366">
        <f t="shared" si="415"/>
        <v>0</v>
      </c>
      <c r="F2784" s="1437">
        <f t="shared" si="410"/>
        <v>0.52905441600000003</v>
      </c>
      <c r="G2784" s="1437">
        <f t="shared" si="411"/>
        <v>0.52905441600000003</v>
      </c>
      <c r="H2784" s="1437">
        <f t="shared" si="412"/>
        <v>0</v>
      </c>
      <c r="I2784" s="1437">
        <v>0</v>
      </c>
      <c r="J2784" s="1437">
        <v>0</v>
      </c>
      <c r="K2784" s="1438"/>
      <c r="L2784" s="1438"/>
      <c r="M2784" s="1437">
        <f t="shared" si="413"/>
        <v>0</v>
      </c>
      <c r="N2784" s="1437">
        <f t="shared" si="414"/>
        <v>0</v>
      </c>
    </row>
    <row r="2785" spans="1:14" ht="15.5" outlineLevel="1">
      <c r="A2785" s="1493">
        <f t="shared" si="415"/>
        <v>3</v>
      </c>
      <c r="B2785" s="1494" t="str">
        <f t="shared" si="415"/>
        <v xml:space="preserve">Electrical and Instrumentation </v>
      </c>
      <c r="C2785" s="1495" t="str">
        <f t="shared" si="415"/>
        <v>Add Cap (As per 296 of 2019)</v>
      </c>
      <c r="D2785" s="1341" t="str">
        <f t="shared" si="415"/>
        <v>-</v>
      </c>
      <c r="E2785" s="1496">
        <f t="shared" si="415"/>
        <v>6.1</v>
      </c>
      <c r="F2785" s="1437">
        <f t="shared" si="410"/>
        <v>0</v>
      </c>
      <c r="G2785" s="1437">
        <f t="shared" si="411"/>
        <v>0</v>
      </c>
      <c r="H2785" s="1437">
        <f t="shared" si="412"/>
        <v>0</v>
      </c>
      <c r="I2785" s="1437">
        <v>0</v>
      </c>
      <c r="J2785" s="1437">
        <v>0</v>
      </c>
      <c r="K2785" s="1438"/>
      <c r="L2785" s="1438"/>
      <c r="M2785" s="1437">
        <f t="shared" si="413"/>
        <v>0</v>
      </c>
      <c r="N2785" s="1437">
        <f t="shared" si="414"/>
        <v>0</v>
      </c>
    </row>
    <row r="2786" spans="1:14" ht="31" outlineLevel="1">
      <c r="A2786" s="1499">
        <f t="shared" si="415"/>
        <v>1</v>
      </c>
      <c r="B2786" s="1500" t="str">
        <f t="shared" si="415"/>
        <v>Supply of Instrumentation Spares of LP Bypass System at Unit-8.</v>
      </c>
      <c r="C2786" s="1492" t="str">
        <f t="shared" si="415"/>
        <v>Add Cap (As per 296 of 2019)</v>
      </c>
      <c r="D2786" s="1334" t="str">
        <f t="shared" si="415"/>
        <v>-</v>
      </c>
      <c r="E2786" s="1366">
        <f t="shared" si="415"/>
        <v>0</v>
      </c>
      <c r="F2786" s="1437">
        <f t="shared" si="410"/>
        <v>1.9614571240000001</v>
      </c>
      <c r="G2786" s="1437">
        <f t="shared" si="411"/>
        <v>1.9614571240000001</v>
      </c>
      <c r="H2786" s="1437">
        <f t="shared" si="412"/>
        <v>0</v>
      </c>
      <c r="I2786" s="1437">
        <v>0</v>
      </c>
      <c r="J2786" s="1437">
        <v>0</v>
      </c>
      <c r="K2786" s="1438"/>
      <c r="L2786" s="1438"/>
      <c r="M2786" s="1437">
        <f t="shared" si="413"/>
        <v>0</v>
      </c>
      <c r="N2786" s="1437">
        <f t="shared" si="414"/>
        <v>0</v>
      </c>
    </row>
    <row r="2787" spans="1:14" ht="31" outlineLevel="1">
      <c r="A2787" s="1499">
        <f t="shared" si="415"/>
        <v>2</v>
      </c>
      <c r="B2787" s="1501" t="str">
        <f t="shared" si="415"/>
        <v>Procurement of Schneider MICOM Numerical Relays for GRP and STPR swithcgear at NPTPS Unit-8 Testing</v>
      </c>
      <c r="C2787" s="1492" t="str">
        <f t="shared" si="415"/>
        <v>Add Cap (As per 296 of 2019)</v>
      </c>
      <c r="D2787" s="1334" t="str">
        <f t="shared" si="415"/>
        <v>-</v>
      </c>
      <c r="E2787" s="1366">
        <f t="shared" si="415"/>
        <v>0</v>
      </c>
      <c r="F2787" s="1437">
        <f t="shared" si="410"/>
        <v>0.47613</v>
      </c>
      <c r="G2787" s="1437">
        <f t="shared" si="411"/>
        <v>0.47613</v>
      </c>
      <c r="H2787" s="1437">
        <f t="shared" si="412"/>
        <v>0</v>
      </c>
      <c r="I2787" s="1437">
        <v>0</v>
      </c>
      <c r="J2787" s="1437">
        <v>0</v>
      </c>
      <c r="K2787" s="1438"/>
      <c r="L2787" s="1438"/>
      <c r="M2787" s="1437">
        <f t="shared" si="413"/>
        <v>0</v>
      </c>
      <c r="N2787" s="1437">
        <f t="shared" si="414"/>
        <v>0</v>
      </c>
    </row>
    <row r="2788" spans="1:14" ht="31" outlineLevel="1">
      <c r="A2788" s="1502">
        <f t="shared" si="415"/>
        <v>3</v>
      </c>
      <c r="B2788" s="1501" t="str">
        <f t="shared" si="415"/>
        <v xml:space="preserve">Procurement of 220V DC Chloride make (formally caldyne) make battery chargers Spre of Unit 8 NPTPS Parli-V                           </v>
      </c>
      <c r="C2788" s="1492" t="str">
        <f t="shared" si="415"/>
        <v>Add Cap (As per 296 of 2019)</v>
      </c>
      <c r="D2788" s="1334" t="str">
        <f t="shared" si="415"/>
        <v>-</v>
      </c>
      <c r="E2788" s="1359">
        <f t="shared" si="415"/>
        <v>0</v>
      </c>
      <c r="F2788" s="1437">
        <f t="shared" si="410"/>
        <v>0.23365298000000001</v>
      </c>
      <c r="G2788" s="1437">
        <f t="shared" si="411"/>
        <v>0.23365298000000001</v>
      </c>
      <c r="H2788" s="1437">
        <f t="shared" si="412"/>
        <v>0</v>
      </c>
      <c r="I2788" s="1437">
        <v>0</v>
      </c>
      <c r="J2788" s="1437">
        <v>0</v>
      </c>
      <c r="K2788" s="1438"/>
      <c r="L2788" s="1438"/>
      <c r="M2788" s="1437">
        <f t="shared" si="413"/>
        <v>0</v>
      </c>
      <c r="N2788" s="1437">
        <f t="shared" si="414"/>
        <v>0</v>
      </c>
    </row>
    <row r="2789" spans="1:14" ht="31" outlineLevel="1">
      <c r="A2789" s="1502">
        <f t="shared" si="415"/>
        <v>4</v>
      </c>
      <c r="B2789" s="1501" t="str">
        <f t="shared" si="415"/>
        <v>Procurement of 24V DC Chhabi make make battery chargers Spare of Unit 8 NPTPS Parli-V</v>
      </c>
      <c r="C2789" s="1492" t="str">
        <f t="shared" si="415"/>
        <v>Add Cap (As per 296 of 2019)</v>
      </c>
      <c r="D2789" s="1334" t="str">
        <f t="shared" si="415"/>
        <v>-</v>
      </c>
      <c r="E2789" s="1358">
        <f t="shared" si="415"/>
        <v>0</v>
      </c>
      <c r="F2789" s="1437">
        <f t="shared" si="410"/>
        <v>0.22464893999999999</v>
      </c>
      <c r="G2789" s="1437">
        <f t="shared" si="411"/>
        <v>0.22464893999999999</v>
      </c>
      <c r="H2789" s="1437">
        <f t="shared" si="412"/>
        <v>0</v>
      </c>
      <c r="I2789" s="1437">
        <v>0</v>
      </c>
      <c r="J2789" s="1437">
        <v>0</v>
      </c>
      <c r="K2789" s="1438"/>
      <c r="L2789" s="1438"/>
      <c r="M2789" s="1437">
        <f t="shared" si="413"/>
        <v>0</v>
      </c>
      <c r="N2789" s="1437">
        <f t="shared" si="414"/>
        <v>0</v>
      </c>
    </row>
    <row r="2790" spans="1:14" ht="31" outlineLevel="1">
      <c r="A2790" s="1499">
        <f t="shared" si="415"/>
        <v>5</v>
      </c>
      <c r="B2790" s="1501" t="str">
        <f t="shared" si="415"/>
        <v xml:space="preserve"> Procurement of Spare for Hitachi Hi-Rel make UPS systems installed at Unit-8 NPTPS Parli Vaijnath.</v>
      </c>
      <c r="C2790" s="1492" t="str">
        <f t="shared" si="415"/>
        <v>Add Cap (As per 296 of 2019)</v>
      </c>
      <c r="D2790" s="1334" t="str">
        <f t="shared" si="415"/>
        <v>-</v>
      </c>
      <c r="E2790" s="1358">
        <f t="shared" si="415"/>
        <v>0</v>
      </c>
      <c r="F2790" s="1437">
        <f t="shared" si="410"/>
        <v>0.19186271399999999</v>
      </c>
      <c r="G2790" s="1437">
        <f t="shared" si="411"/>
        <v>0.19186271399999999</v>
      </c>
      <c r="H2790" s="1437">
        <f t="shared" si="412"/>
        <v>0</v>
      </c>
      <c r="I2790" s="1437">
        <v>0</v>
      </c>
      <c r="J2790" s="1437">
        <v>0</v>
      </c>
      <c r="K2790" s="1438"/>
      <c r="L2790" s="1438"/>
      <c r="M2790" s="1437">
        <f t="shared" si="413"/>
        <v>0</v>
      </c>
      <c r="N2790" s="1437">
        <f t="shared" si="414"/>
        <v>0</v>
      </c>
    </row>
    <row r="2791" spans="1:14" ht="62" outlineLevel="1">
      <c r="A2791" s="1502">
        <f t="shared" ref="A2791:E2806" si="416">A2398</f>
        <v>6</v>
      </c>
      <c r="B2791" s="1501" t="str">
        <f t="shared" si="416"/>
        <v>Procurement of various test kit for testing U#8 such as energy meter calibration kit, DC earth faulth locator kit, promary current injection kit, breaker time measurement kit, numeric relay test kit and other testing instruments.</v>
      </c>
      <c r="C2791" s="1492" t="str">
        <f t="shared" si="416"/>
        <v>Add Cap (As per 296 of 2019)</v>
      </c>
      <c r="D2791" s="1334" t="str">
        <f t="shared" si="416"/>
        <v>-</v>
      </c>
      <c r="E2791" s="1359">
        <f t="shared" si="416"/>
        <v>0</v>
      </c>
      <c r="F2791" s="1437">
        <f t="shared" si="410"/>
        <v>0.6734502</v>
      </c>
      <c r="G2791" s="1437">
        <f t="shared" si="411"/>
        <v>0.6734502</v>
      </c>
      <c r="H2791" s="1437">
        <f t="shared" si="412"/>
        <v>0</v>
      </c>
      <c r="I2791" s="1437">
        <v>0</v>
      </c>
      <c r="J2791" s="1437">
        <v>0</v>
      </c>
      <c r="K2791" s="1438"/>
      <c r="L2791" s="1438"/>
      <c r="M2791" s="1437">
        <f t="shared" si="413"/>
        <v>0</v>
      </c>
      <c r="N2791" s="1437">
        <f t="shared" si="414"/>
        <v>0</v>
      </c>
    </row>
    <row r="2792" spans="1:14" ht="46.5" outlineLevel="1">
      <c r="A2792" s="1499">
        <f t="shared" si="416"/>
        <v>7</v>
      </c>
      <c r="B2792" s="1501" t="str">
        <f t="shared" si="416"/>
        <v>Procurement of   Energymeter Caliberation Software Module and hardware for upgrading Numeric Relay Test kit at Unit -8 Testing.</v>
      </c>
      <c r="C2792" s="1492" t="str">
        <f t="shared" si="416"/>
        <v>Add Cap (As per 296 of 2019)</v>
      </c>
      <c r="D2792" s="1334" t="str">
        <f t="shared" si="416"/>
        <v>-</v>
      </c>
      <c r="E2792" s="1367">
        <f t="shared" si="416"/>
        <v>0</v>
      </c>
      <c r="F2792" s="1437">
        <f t="shared" si="410"/>
        <v>0.118629766</v>
      </c>
      <c r="G2792" s="1437">
        <f t="shared" si="411"/>
        <v>0.118629766</v>
      </c>
      <c r="H2792" s="1437">
        <f t="shared" si="412"/>
        <v>0</v>
      </c>
      <c r="I2792" s="1437">
        <v>0</v>
      </c>
      <c r="J2792" s="1437">
        <v>0</v>
      </c>
      <c r="K2792" s="1438"/>
      <c r="L2792" s="1438"/>
      <c r="M2792" s="1437">
        <f t="shared" si="413"/>
        <v>0</v>
      </c>
      <c r="N2792" s="1437">
        <f t="shared" si="414"/>
        <v>0</v>
      </c>
    </row>
    <row r="2793" spans="1:14" ht="15.5" outlineLevel="1">
      <c r="A2793" s="1502">
        <f t="shared" si="416"/>
        <v>8</v>
      </c>
      <c r="B2793" s="1503" t="str">
        <f t="shared" si="416"/>
        <v>Procurement of H T Motors.</v>
      </c>
      <c r="C2793" s="1492" t="str">
        <f t="shared" si="416"/>
        <v>Add Cap (As per 296 of 2019)</v>
      </c>
      <c r="D2793" s="1334" t="str">
        <f t="shared" si="416"/>
        <v>-</v>
      </c>
      <c r="E2793" s="1359">
        <f t="shared" si="416"/>
        <v>0</v>
      </c>
      <c r="F2793" s="1437">
        <f t="shared" si="410"/>
        <v>0</v>
      </c>
      <c r="G2793" s="1437">
        <f t="shared" si="411"/>
        <v>0</v>
      </c>
      <c r="H2793" s="1437">
        <f t="shared" si="412"/>
        <v>0</v>
      </c>
      <c r="I2793" s="1437">
        <v>0</v>
      </c>
      <c r="J2793" s="1437">
        <v>0</v>
      </c>
      <c r="K2793" s="1438"/>
      <c r="L2793" s="1438"/>
      <c r="M2793" s="1437">
        <f t="shared" si="413"/>
        <v>0</v>
      </c>
      <c r="N2793" s="1437">
        <f t="shared" si="414"/>
        <v>0</v>
      </c>
    </row>
    <row r="2794" spans="1:14" ht="15.5" outlineLevel="1">
      <c r="A2794" s="1499">
        <f t="shared" si="416"/>
        <v>9</v>
      </c>
      <c r="B2794" s="1503" t="str">
        <f t="shared" si="416"/>
        <v>Procurement of critical L T Motors</v>
      </c>
      <c r="C2794" s="1492" t="str">
        <f t="shared" si="416"/>
        <v>Add Cap (As per 296 of 2019)</v>
      </c>
      <c r="D2794" s="1334" t="str">
        <f t="shared" si="416"/>
        <v>-</v>
      </c>
      <c r="E2794" s="1368">
        <f t="shared" si="416"/>
        <v>0</v>
      </c>
      <c r="F2794" s="1437">
        <f t="shared" si="410"/>
        <v>0</v>
      </c>
      <c r="G2794" s="1437">
        <f t="shared" si="411"/>
        <v>0</v>
      </c>
      <c r="H2794" s="1437">
        <f t="shared" si="412"/>
        <v>0</v>
      </c>
      <c r="I2794" s="1437">
        <v>0</v>
      </c>
      <c r="J2794" s="1437">
        <v>0</v>
      </c>
      <c r="K2794" s="1438"/>
      <c r="L2794" s="1438"/>
      <c r="M2794" s="1437">
        <f t="shared" si="413"/>
        <v>0</v>
      </c>
      <c r="N2794" s="1437">
        <f t="shared" si="414"/>
        <v>0</v>
      </c>
    </row>
    <row r="2795" spans="1:14" ht="62" outlineLevel="1">
      <c r="A2795" s="1502">
        <f t="shared" si="416"/>
        <v>10</v>
      </c>
      <c r="B2795" s="1501" t="str">
        <f t="shared" si="416"/>
        <v xml:space="preserve">Procurement  of ESP Hopper heaters (As a initial spares) Installed at EM U-8, NPTPS, Parli-Vaijnath under add cap scheme.
</v>
      </c>
      <c r="C2795" s="1492" t="str">
        <f t="shared" si="416"/>
        <v>Add Cap (As per 296 of 2019)</v>
      </c>
      <c r="D2795" s="1334" t="str">
        <f t="shared" si="416"/>
        <v>-</v>
      </c>
      <c r="E2795" s="1359">
        <f t="shared" si="416"/>
        <v>0</v>
      </c>
      <c r="F2795" s="1437">
        <f t="shared" si="410"/>
        <v>0.38585999999999998</v>
      </c>
      <c r="G2795" s="1437">
        <f t="shared" si="411"/>
        <v>0.38585999999999998</v>
      </c>
      <c r="H2795" s="1437">
        <f t="shared" si="412"/>
        <v>0</v>
      </c>
      <c r="I2795" s="1437">
        <v>0</v>
      </c>
      <c r="J2795" s="1437">
        <v>0</v>
      </c>
      <c r="K2795" s="1438"/>
      <c r="L2795" s="1438"/>
      <c r="M2795" s="1437">
        <f t="shared" si="413"/>
        <v>0</v>
      </c>
      <c r="N2795" s="1437">
        <f t="shared" si="414"/>
        <v>0</v>
      </c>
    </row>
    <row r="2796" spans="1:14" ht="15.5" outlineLevel="1">
      <c r="A2796" s="1493">
        <f t="shared" si="416"/>
        <v>4</v>
      </c>
      <c r="B2796" s="1494" t="str">
        <f t="shared" si="416"/>
        <v>Outdoor Plant(CHP/AHP/WTP)</v>
      </c>
      <c r="C2796" s="1495" t="str">
        <f t="shared" si="416"/>
        <v>Add Cap (As per 296 of 2019)</v>
      </c>
      <c r="D2796" s="1341" t="str">
        <f t="shared" si="416"/>
        <v>-</v>
      </c>
      <c r="E2796" s="1496">
        <f t="shared" si="416"/>
        <v>6.64</v>
      </c>
      <c r="F2796" s="1437">
        <f t="shared" si="410"/>
        <v>0</v>
      </c>
      <c r="G2796" s="1437">
        <f t="shared" si="411"/>
        <v>0</v>
      </c>
      <c r="H2796" s="1437">
        <f t="shared" si="412"/>
        <v>0</v>
      </c>
      <c r="I2796" s="1437">
        <v>0</v>
      </c>
      <c r="J2796" s="1437">
        <v>0</v>
      </c>
      <c r="K2796" s="1438"/>
      <c r="L2796" s="1438"/>
      <c r="M2796" s="1437">
        <f t="shared" si="413"/>
        <v>0</v>
      </c>
      <c r="N2796" s="1437">
        <f t="shared" si="414"/>
        <v>0</v>
      </c>
    </row>
    <row r="2797" spans="1:14" ht="15.5" outlineLevel="1">
      <c r="A2797" s="1504">
        <f t="shared" si="416"/>
        <v>1</v>
      </c>
      <c r="B2797" s="1497" t="str">
        <f t="shared" si="416"/>
        <v>Supply of Apron Feeder spares installed at CHP NPTPS Parli-V</v>
      </c>
      <c r="C2797" s="1492" t="str">
        <f t="shared" si="416"/>
        <v>Add Cap (As per 296 of 2019)</v>
      </c>
      <c r="D2797" s="1334" t="str">
        <f t="shared" si="416"/>
        <v>-</v>
      </c>
      <c r="E2797" s="1359">
        <f t="shared" si="416"/>
        <v>0</v>
      </c>
      <c r="F2797" s="1437">
        <f t="shared" si="410"/>
        <v>1.6232788</v>
      </c>
      <c r="G2797" s="1437">
        <f t="shared" si="411"/>
        <v>1.6232788</v>
      </c>
      <c r="H2797" s="1437">
        <f t="shared" si="412"/>
        <v>0</v>
      </c>
      <c r="I2797" s="1437">
        <v>0</v>
      </c>
      <c r="J2797" s="1437">
        <v>0</v>
      </c>
      <c r="K2797" s="1438"/>
      <c r="L2797" s="1438"/>
      <c r="M2797" s="1437">
        <f t="shared" si="413"/>
        <v>0</v>
      </c>
      <c r="N2797" s="1437">
        <f t="shared" si="414"/>
        <v>0</v>
      </c>
    </row>
    <row r="2798" spans="1:14" ht="15.5" outlineLevel="1">
      <c r="A2798" s="1504">
        <f t="shared" si="416"/>
        <v>2</v>
      </c>
      <c r="B2798" s="1497" t="str">
        <f t="shared" si="416"/>
        <v>Supply of various drive and non drive pulleys for CHP U-8.</v>
      </c>
      <c r="C2798" s="1492" t="str">
        <f t="shared" si="416"/>
        <v>Add Cap (As per 296 of 2019)</v>
      </c>
      <c r="D2798" s="1334" t="str">
        <f t="shared" si="416"/>
        <v>-</v>
      </c>
      <c r="E2798" s="1368">
        <f t="shared" si="416"/>
        <v>0</v>
      </c>
      <c r="F2798" s="1437">
        <f t="shared" si="410"/>
        <v>0.54529209999999995</v>
      </c>
      <c r="G2798" s="1437">
        <f t="shared" si="411"/>
        <v>0.54529209999999995</v>
      </c>
      <c r="H2798" s="1437">
        <f t="shared" si="412"/>
        <v>0</v>
      </c>
      <c r="I2798" s="1437">
        <v>0</v>
      </c>
      <c r="J2798" s="1437">
        <v>0</v>
      </c>
      <c r="K2798" s="1438"/>
      <c r="L2798" s="1438"/>
      <c r="M2798" s="1437">
        <f t="shared" si="413"/>
        <v>0</v>
      </c>
      <c r="N2798" s="1437">
        <f t="shared" si="414"/>
        <v>0</v>
      </c>
    </row>
    <row r="2799" spans="1:14" ht="31" outlineLevel="1">
      <c r="A2799" s="1504">
        <f t="shared" si="416"/>
        <v>3</v>
      </c>
      <c r="B2799" s="1497" t="str">
        <f t="shared" si="416"/>
        <v>Supply and installation of clamp pads &amp; resting pads for Side Beam of Wagon Tippler for CHP U-8</v>
      </c>
      <c r="C2799" s="1492" t="str">
        <f t="shared" si="416"/>
        <v>Add Cap (As per 296 of 2019)</v>
      </c>
      <c r="D2799" s="1334" t="str">
        <f t="shared" si="416"/>
        <v>-</v>
      </c>
      <c r="E2799" s="1368">
        <f t="shared" si="416"/>
        <v>0</v>
      </c>
      <c r="F2799" s="1437">
        <f t="shared" si="410"/>
        <v>0.54801796000000003</v>
      </c>
      <c r="G2799" s="1437">
        <f t="shared" si="411"/>
        <v>0.54801796000000003</v>
      </c>
      <c r="H2799" s="1437">
        <f t="shared" si="412"/>
        <v>0</v>
      </c>
      <c r="I2799" s="1437">
        <v>0</v>
      </c>
      <c r="J2799" s="1437">
        <v>0</v>
      </c>
      <c r="K2799" s="1438"/>
      <c r="L2799" s="1438"/>
      <c r="M2799" s="1437">
        <f t="shared" si="413"/>
        <v>0</v>
      </c>
      <c r="N2799" s="1437">
        <f t="shared" si="414"/>
        <v>0</v>
      </c>
    </row>
    <row r="2800" spans="1:14" ht="31" outlineLevel="1">
      <c r="A2800" s="1504">
        <f t="shared" si="416"/>
        <v>4</v>
      </c>
      <c r="B2800" s="1497" t="str">
        <f t="shared" si="416"/>
        <v>Supply of unbalance motorozied vibrating feeder for S/R of U-7/8 CHP NPTPS Parli-V.</v>
      </c>
      <c r="C2800" s="1492" t="str">
        <f t="shared" si="416"/>
        <v>Add Cap (As per 296 of 2019)</v>
      </c>
      <c r="D2800" s="1334" t="str">
        <f t="shared" si="416"/>
        <v>-</v>
      </c>
      <c r="E2800" s="1318">
        <f t="shared" si="416"/>
        <v>0</v>
      </c>
      <c r="F2800" s="1437">
        <f t="shared" si="410"/>
        <v>0.39579560000000003</v>
      </c>
      <c r="G2800" s="1437">
        <f t="shared" si="411"/>
        <v>0.39579560000000003</v>
      </c>
      <c r="H2800" s="1437">
        <f t="shared" si="412"/>
        <v>0</v>
      </c>
      <c r="I2800" s="1437">
        <v>0</v>
      </c>
      <c r="J2800" s="1437">
        <v>0</v>
      </c>
      <c r="K2800" s="1438"/>
      <c r="L2800" s="1438"/>
      <c r="M2800" s="1437">
        <f t="shared" si="413"/>
        <v>0</v>
      </c>
      <c r="N2800" s="1437">
        <f t="shared" si="414"/>
        <v>0</v>
      </c>
    </row>
    <row r="2801" spans="1:14" ht="31" outlineLevel="1">
      <c r="A2801" s="1504">
        <f t="shared" si="416"/>
        <v>5</v>
      </c>
      <c r="B2801" s="1501" t="str">
        <f t="shared" si="416"/>
        <v>Procurement of conveying and Instrument air compressor spares at AHP U#8</v>
      </c>
      <c r="C2801" s="1492" t="str">
        <f t="shared" si="416"/>
        <v>Add Cap (As per 296 of 2019)</v>
      </c>
      <c r="D2801" s="1334" t="str">
        <f t="shared" si="416"/>
        <v>-</v>
      </c>
      <c r="E2801" s="1359">
        <f t="shared" si="416"/>
        <v>0</v>
      </c>
      <c r="F2801" s="1437">
        <f t="shared" si="410"/>
        <v>1.769983804</v>
      </c>
      <c r="G2801" s="1437">
        <f t="shared" si="411"/>
        <v>1.769983804</v>
      </c>
      <c r="H2801" s="1437">
        <f t="shared" si="412"/>
        <v>0</v>
      </c>
      <c r="I2801" s="1437">
        <v>0</v>
      </c>
      <c r="J2801" s="1437">
        <v>0</v>
      </c>
      <c r="K2801" s="1438"/>
      <c r="L2801" s="1438"/>
      <c r="M2801" s="1437">
        <f t="shared" si="413"/>
        <v>0</v>
      </c>
      <c r="N2801" s="1437">
        <f t="shared" si="414"/>
        <v>0</v>
      </c>
    </row>
    <row r="2802" spans="1:14" ht="15.5" outlineLevel="1">
      <c r="A2802" s="1504">
        <f t="shared" si="416"/>
        <v>6</v>
      </c>
      <c r="B2802" s="1501" t="str">
        <f t="shared" si="416"/>
        <v>Procurement of vacuum pump spares at AHP U#8</v>
      </c>
      <c r="C2802" s="1492" t="str">
        <f t="shared" si="416"/>
        <v>Add Cap (As per 296 of 2019)</v>
      </c>
      <c r="D2802" s="1334" t="str">
        <f t="shared" si="416"/>
        <v>-</v>
      </c>
      <c r="E2802" s="1368">
        <f t="shared" si="416"/>
        <v>0</v>
      </c>
      <c r="F2802" s="1437">
        <f t="shared" si="410"/>
        <v>0.229104904</v>
      </c>
      <c r="G2802" s="1437">
        <f t="shared" si="411"/>
        <v>0.229104904</v>
      </c>
      <c r="H2802" s="1437">
        <f t="shared" si="412"/>
        <v>0</v>
      </c>
      <c r="I2802" s="1437">
        <v>0</v>
      </c>
      <c r="J2802" s="1437">
        <v>0</v>
      </c>
      <c r="K2802" s="1438"/>
      <c r="L2802" s="1438"/>
      <c r="M2802" s="1437">
        <f t="shared" si="413"/>
        <v>0</v>
      </c>
      <c r="N2802" s="1437">
        <f t="shared" si="414"/>
        <v>0</v>
      </c>
    </row>
    <row r="2803" spans="1:14" ht="15.5" outlineLevel="1">
      <c r="A2803" s="1504">
        <f t="shared" si="416"/>
        <v>7</v>
      </c>
      <c r="B2803" s="1501" t="str">
        <f t="shared" si="416"/>
        <v>Procurement of fluidizing blower spares at AHP U#8</v>
      </c>
      <c r="C2803" s="1492" t="str">
        <f t="shared" si="416"/>
        <v>Add Cap (As per 296 of 2019)</v>
      </c>
      <c r="D2803" s="1334" t="str">
        <f t="shared" si="416"/>
        <v>-</v>
      </c>
      <c r="E2803" s="1359">
        <f t="shared" si="416"/>
        <v>0</v>
      </c>
      <c r="F2803" s="1437">
        <f t="shared" si="410"/>
        <v>0.11795988</v>
      </c>
      <c r="G2803" s="1437">
        <f t="shared" si="411"/>
        <v>0.11795988</v>
      </c>
      <c r="H2803" s="1437">
        <f t="shared" si="412"/>
        <v>0</v>
      </c>
      <c r="I2803" s="1437">
        <v>0</v>
      </c>
      <c r="J2803" s="1437">
        <v>0</v>
      </c>
      <c r="K2803" s="1438"/>
      <c r="L2803" s="1438"/>
      <c r="M2803" s="1437">
        <f t="shared" si="413"/>
        <v>0</v>
      </c>
      <c r="N2803" s="1437">
        <f t="shared" si="414"/>
        <v>0</v>
      </c>
    </row>
    <row r="2804" spans="1:14" ht="15.5" outlineLevel="1">
      <c r="A2804" s="1504">
        <f t="shared" si="416"/>
        <v>8</v>
      </c>
      <c r="B2804" s="1501" t="str">
        <f t="shared" si="416"/>
        <v>Procurement of slurry pump spares at AHP U#8</v>
      </c>
      <c r="C2804" s="1492" t="str">
        <f t="shared" si="416"/>
        <v>Add Cap (As per 296 of 2019)</v>
      </c>
      <c r="D2804" s="1334" t="str">
        <f t="shared" si="416"/>
        <v>-</v>
      </c>
      <c r="E2804" s="1368">
        <f t="shared" si="416"/>
        <v>0</v>
      </c>
      <c r="F2804" s="1437">
        <f t="shared" si="410"/>
        <v>0</v>
      </c>
      <c r="G2804" s="1437">
        <f t="shared" si="411"/>
        <v>0</v>
      </c>
      <c r="H2804" s="1437">
        <f t="shared" si="412"/>
        <v>0</v>
      </c>
      <c r="I2804" s="1437">
        <v>0</v>
      </c>
      <c r="J2804" s="1437">
        <v>0</v>
      </c>
      <c r="K2804" s="1438"/>
      <c r="L2804" s="1438"/>
      <c r="M2804" s="1437">
        <f t="shared" si="413"/>
        <v>0</v>
      </c>
      <c r="N2804" s="1437">
        <f t="shared" si="414"/>
        <v>0</v>
      </c>
    </row>
    <row r="2805" spans="1:14" ht="15.5" outlineLevel="1">
      <c r="A2805" s="1504">
        <f t="shared" si="416"/>
        <v>9</v>
      </c>
      <c r="B2805" s="1501" t="str">
        <f t="shared" si="416"/>
        <v>Procurement of Clinker grinder spares at AHP U#8</v>
      </c>
      <c r="C2805" s="1492" t="str">
        <f t="shared" si="416"/>
        <v>Add Cap (As per 296 of 2019)</v>
      </c>
      <c r="D2805" s="1334" t="str">
        <f t="shared" si="416"/>
        <v>-</v>
      </c>
      <c r="E2805" s="1368">
        <f t="shared" si="416"/>
        <v>0</v>
      </c>
      <c r="F2805" s="1437">
        <f t="shared" si="410"/>
        <v>0.1233369</v>
      </c>
      <c r="G2805" s="1437">
        <f t="shared" si="411"/>
        <v>0.1233369</v>
      </c>
      <c r="H2805" s="1437">
        <f t="shared" si="412"/>
        <v>0</v>
      </c>
      <c r="I2805" s="1437">
        <v>0</v>
      </c>
      <c r="J2805" s="1437">
        <v>0</v>
      </c>
      <c r="K2805" s="1438"/>
      <c r="L2805" s="1438"/>
      <c r="M2805" s="1437">
        <f t="shared" si="413"/>
        <v>0</v>
      </c>
      <c r="N2805" s="1437">
        <f t="shared" si="414"/>
        <v>0</v>
      </c>
    </row>
    <row r="2806" spans="1:14" outlineLevel="1">
      <c r="A2806" s="1505">
        <f t="shared" si="416"/>
        <v>0</v>
      </c>
      <c r="B2806" s="1506">
        <f t="shared" si="416"/>
        <v>0</v>
      </c>
      <c r="C2806" s="1507">
        <f t="shared" si="416"/>
        <v>0</v>
      </c>
      <c r="D2806" s="1508" t="str">
        <f t="shared" si="416"/>
        <v>-</v>
      </c>
      <c r="E2806" s="1359">
        <f t="shared" si="416"/>
        <v>0</v>
      </c>
      <c r="F2806" s="1437">
        <f t="shared" si="410"/>
        <v>0</v>
      </c>
      <c r="G2806" s="1437">
        <f t="shared" si="411"/>
        <v>0</v>
      </c>
      <c r="H2806" s="1437">
        <f t="shared" si="412"/>
        <v>0</v>
      </c>
      <c r="I2806" s="1437">
        <v>0</v>
      </c>
      <c r="J2806" s="1437">
        <v>0</v>
      </c>
      <c r="K2806" s="1438"/>
      <c r="L2806" s="1438"/>
      <c r="M2806" s="1437">
        <f t="shared" si="413"/>
        <v>0</v>
      </c>
      <c r="N2806" s="1437">
        <f t="shared" si="414"/>
        <v>0</v>
      </c>
    </row>
    <row r="2807" spans="1:14" ht="31" outlineLevel="1">
      <c r="A2807" s="1493" t="str">
        <f t="shared" ref="A2807:E2822" si="417">A2414</f>
        <v>B</v>
      </c>
      <c r="B2807" s="1494" t="str">
        <f t="shared" si="417"/>
        <v>Reassessment of remaining BOP work after insolvency of M/s Sunil Hi-Tech</v>
      </c>
      <c r="C2807" s="1495">
        <f t="shared" si="417"/>
        <v>0</v>
      </c>
      <c r="D2807" s="1341" t="str">
        <f t="shared" si="417"/>
        <v>-</v>
      </c>
      <c r="E2807" s="1496">
        <f t="shared" si="417"/>
        <v>0</v>
      </c>
      <c r="F2807" s="1437">
        <f t="shared" si="410"/>
        <v>0</v>
      </c>
      <c r="G2807" s="1437">
        <f t="shared" si="411"/>
        <v>0</v>
      </c>
      <c r="H2807" s="1437">
        <f t="shared" si="412"/>
        <v>0</v>
      </c>
      <c r="I2807" s="1437">
        <v>0</v>
      </c>
      <c r="J2807" s="1437">
        <v>0</v>
      </c>
      <c r="K2807" s="1438"/>
      <c r="L2807" s="1438"/>
      <c r="M2807" s="1437">
        <f t="shared" si="413"/>
        <v>0</v>
      </c>
      <c r="N2807" s="1437">
        <f t="shared" si="414"/>
        <v>0</v>
      </c>
    </row>
    <row r="2808" spans="1:14" ht="31" outlineLevel="1">
      <c r="A2808" s="1493">
        <f t="shared" si="417"/>
        <v>0</v>
      </c>
      <c r="B2808" s="1494" t="str">
        <f t="shared" si="417"/>
        <v>Project balance E&amp;M  and procurement of mandetory spares</v>
      </c>
      <c r="C2808" s="1495" t="str">
        <f t="shared" si="417"/>
        <v>MERC CAPEX Approval in MTR Order 296 of 2019</v>
      </c>
      <c r="D2808" s="1341" t="str">
        <f t="shared" si="417"/>
        <v>Order 296 of 2019</v>
      </c>
      <c r="E2808" s="1509">
        <f t="shared" si="417"/>
        <v>41.453400000000002</v>
      </c>
      <c r="F2808" s="1437">
        <f t="shared" si="410"/>
        <v>0</v>
      </c>
      <c r="G2808" s="1437">
        <f t="shared" si="411"/>
        <v>0</v>
      </c>
      <c r="H2808" s="1437">
        <f t="shared" si="412"/>
        <v>0</v>
      </c>
      <c r="I2808" s="1437">
        <v>0</v>
      </c>
      <c r="J2808" s="1437">
        <v>0</v>
      </c>
      <c r="K2808" s="1438"/>
      <c r="L2808" s="1438"/>
      <c r="M2808" s="1437">
        <f t="shared" si="413"/>
        <v>0</v>
      </c>
      <c r="N2808" s="1437">
        <f t="shared" si="414"/>
        <v>0</v>
      </c>
    </row>
    <row r="2809" spans="1:14" ht="43.5" outlineLevel="1">
      <c r="A2809" s="1499">
        <f t="shared" si="417"/>
        <v>1</v>
      </c>
      <c r="B2809" s="1510" t="str">
        <f t="shared" si="417"/>
        <v>Work order for Contract of Supply and application of Fire Stop Mortar Seal and Fire Retardant Cable Coating Compound at NPTP U-8 Parli Project</v>
      </c>
      <c r="C2809" s="1511" t="str">
        <f t="shared" si="417"/>
        <v>MERC CAPEX Approval in MTR Order 296 of 2019</v>
      </c>
      <c r="D2809" s="1334" t="str">
        <f t="shared" si="417"/>
        <v>-</v>
      </c>
      <c r="E2809" s="1430">
        <f t="shared" si="417"/>
        <v>0</v>
      </c>
      <c r="F2809" s="1437">
        <f t="shared" si="410"/>
        <v>3.4589155919999999</v>
      </c>
      <c r="G2809" s="1437">
        <f t="shared" si="411"/>
        <v>3.4589155919999999</v>
      </c>
      <c r="H2809" s="1437">
        <f t="shared" si="412"/>
        <v>0</v>
      </c>
      <c r="I2809" s="1437">
        <v>0</v>
      </c>
      <c r="J2809" s="1437">
        <v>0</v>
      </c>
      <c r="K2809" s="1438"/>
      <c r="L2809" s="1438"/>
      <c r="M2809" s="1437">
        <f t="shared" si="413"/>
        <v>0</v>
      </c>
      <c r="N2809" s="1437">
        <f t="shared" si="414"/>
        <v>0</v>
      </c>
    </row>
    <row r="2810" spans="1:14" ht="29" outlineLevel="1">
      <c r="A2810" s="1499">
        <f t="shared" si="417"/>
        <v>2</v>
      </c>
      <c r="B2810" s="1510" t="str">
        <f t="shared" si="417"/>
        <v>Work order for contract for Supply Installaion Testing &amp; Commissioning Smoke Detection &amp; alaram system</v>
      </c>
      <c r="C2810" s="1511" t="str">
        <f t="shared" si="417"/>
        <v>MERC CAPEX Approval in MTR Order 296 of 2019</v>
      </c>
      <c r="D2810" s="1334" t="str">
        <f t="shared" si="417"/>
        <v>-</v>
      </c>
      <c r="E2810" s="1430">
        <f t="shared" si="417"/>
        <v>0</v>
      </c>
      <c r="F2810" s="1437">
        <f t="shared" si="410"/>
        <v>2.5606</v>
      </c>
      <c r="G2810" s="1437">
        <f t="shared" si="411"/>
        <v>2.5606</v>
      </c>
      <c r="H2810" s="1437">
        <f t="shared" si="412"/>
        <v>0</v>
      </c>
      <c r="I2810" s="1437">
        <v>0</v>
      </c>
      <c r="J2810" s="1437">
        <v>0</v>
      </c>
      <c r="K2810" s="1438"/>
      <c r="L2810" s="1438"/>
      <c r="M2810" s="1437">
        <f t="shared" si="413"/>
        <v>0</v>
      </c>
      <c r="N2810" s="1437">
        <f t="shared" si="414"/>
        <v>0</v>
      </c>
    </row>
    <row r="2811" spans="1:14" ht="43.5" outlineLevel="1">
      <c r="A2811" s="1499">
        <f t="shared" si="417"/>
        <v>3</v>
      </c>
      <c r="B2811" s="1510" t="str">
        <f t="shared" si="417"/>
        <v>Work order for contract for Supply Installaion Testing &amp; Commissioning of Balance Fire Fighting System at NPTP U-8 Parli Project</v>
      </c>
      <c r="C2811" s="1511" t="str">
        <f t="shared" si="417"/>
        <v>MERC CAPEX Approval in MTR Order 296 of 2019</v>
      </c>
      <c r="D2811" s="1334" t="str">
        <f t="shared" si="417"/>
        <v>-</v>
      </c>
      <c r="E2811" s="1430">
        <f t="shared" si="417"/>
        <v>0</v>
      </c>
      <c r="F2811" s="1437">
        <f t="shared" si="410"/>
        <v>1.0502</v>
      </c>
      <c r="G2811" s="1437">
        <f t="shared" si="411"/>
        <v>1.0502</v>
      </c>
      <c r="H2811" s="1437">
        <f t="shared" si="412"/>
        <v>0</v>
      </c>
      <c r="I2811" s="1437">
        <v>0</v>
      </c>
      <c r="J2811" s="1437">
        <v>0</v>
      </c>
      <c r="K2811" s="1438"/>
      <c r="L2811" s="1438"/>
      <c r="M2811" s="1437">
        <f t="shared" si="413"/>
        <v>0</v>
      </c>
      <c r="N2811" s="1437">
        <f t="shared" si="414"/>
        <v>0</v>
      </c>
    </row>
    <row r="2812" spans="1:14" ht="58" outlineLevel="1">
      <c r="A2812" s="1499">
        <f t="shared" si="417"/>
        <v>4</v>
      </c>
      <c r="B2812" s="1510" t="str">
        <f t="shared" si="417"/>
        <v>Supply, Errection, testing &amp; commissioning works of RWP, PT potable chlorination system, ETP system control panel, automation of LDO, HFO tank foam system Hose boxes with RRL hoses and branch pipe and allied system at NPTP</v>
      </c>
      <c r="C2812" s="1511" t="str">
        <f t="shared" si="417"/>
        <v>MERC CAPEX Approval in MTR Order 296 of 2019</v>
      </c>
      <c r="D2812" s="1334" t="str">
        <f t="shared" si="417"/>
        <v>-</v>
      </c>
      <c r="E2812" s="1430">
        <f t="shared" si="417"/>
        <v>0</v>
      </c>
      <c r="F2812" s="1437">
        <f t="shared" si="410"/>
        <v>0.84960000000000002</v>
      </c>
      <c r="G2812" s="1437">
        <f t="shared" si="411"/>
        <v>0.84960000000000002</v>
      </c>
      <c r="H2812" s="1437">
        <f t="shared" si="412"/>
        <v>0</v>
      </c>
      <c r="I2812" s="1437">
        <v>0</v>
      </c>
      <c r="J2812" s="1437">
        <v>0</v>
      </c>
      <c r="K2812" s="1438"/>
      <c r="L2812" s="1438"/>
      <c r="M2812" s="1437">
        <f t="shared" si="413"/>
        <v>0</v>
      </c>
      <c r="N2812" s="1437">
        <f t="shared" si="414"/>
        <v>0</v>
      </c>
    </row>
    <row r="2813" spans="1:14" ht="43.5" outlineLevel="1">
      <c r="A2813" s="1499">
        <f t="shared" si="417"/>
        <v>5</v>
      </c>
      <c r="B2813" s="1510" t="str">
        <f t="shared" si="417"/>
        <v xml:space="preserve">Work Order contract for supply, installation Testing &amp; Commissioning of telephone exchange (EPBAX) &amp; Telephone System at NPTP U-8 Parli project  </v>
      </c>
      <c r="C2813" s="1511" t="str">
        <f t="shared" si="417"/>
        <v>MERC CAPEX Approval in MTR Order 296 of 2019</v>
      </c>
      <c r="D2813" s="1334" t="str">
        <f t="shared" si="417"/>
        <v>-</v>
      </c>
      <c r="E2813" s="1430">
        <f t="shared" si="417"/>
        <v>0</v>
      </c>
      <c r="F2813" s="1437">
        <f t="shared" si="410"/>
        <v>0.91256150000000003</v>
      </c>
      <c r="G2813" s="1437">
        <f t="shared" si="411"/>
        <v>0.91256150000000003</v>
      </c>
      <c r="H2813" s="1437">
        <f t="shared" si="412"/>
        <v>0</v>
      </c>
      <c r="I2813" s="1437">
        <v>0</v>
      </c>
      <c r="J2813" s="1437">
        <v>0</v>
      </c>
      <c r="K2813" s="1438"/>
      <c r="L2813" s="1438"/>
      <c r="M2813" s="1437">
        <f t="shared" si="413"/>
        <v>0</v>
      </c>
      <c r="N2813" s="1437">
        <f t="shared" si="414"/>
        <v>0</v>
      </c>
    </row>
    <row r="2814" spans="1:14" ht="29" outlineLevel="1">
      <c r="A2814" s="1499">
        <f t="shared" si="417"/>
        <v>6</v>
      </c>
      <c r="B2814" s="1510" t="str">
        <f t="shared" si="417"/>
        <v>Balance Supply of Electrical Lab Equipment  at NPTP parli-V</v>
      </c>
      <c r="C2814" s="1511" t="str">
        <f t="shared" si="417"/>
        <v>MERC CAPEX Approval in MTR Order 296 of 2019</v>
      </c>
      <c r="D2814" s="1334" t="str">
        <f t="shared" si="417"/>
        <v>-</v>
      </c>
      <c r="E2814" s="1430">
        <f t="shared" si="417"/>
        <v>0</v>
      </c>
      <c r="F2814" s="1437">
        <f t="shared" si="410"/>
        <v>0.60826469999999999</v>
      </c>
      <c r="G2814" s="1437">
        <f t="shared" si="411"/>
        <v>0.60826469999999999</v>
      </c>
      <c r="H2814" s="1437">
        <f t="shared" si="412"/>
        <v>0</v>
      </c>
      <c r="I2814" s="1437">
        <v>0</v>
      </c>
      <c r="J2814" s="1437">
        <v>0</v>
      </c>
      <c r="K2814" s="1438"/>
      <c r="L2814" s="1438"/>
      <c r="M2814" s="1437">
        <f t="shared" si="413"/>
        <v>0</v>
      </c>
      <c r="N2814" s="1437">
        <f t="shared" si="414"/>
        <v>0</v>
      </c>
    </row>
    <row r="2815" spans="1:14" ht="43.5" outlineLevel="1">
      <c r="A2815" s="1499">
        <f t="shared" si="417"/>
        <v>7</v>
      </c>
      <c r="B2815" s="1510" t="str">
        <f t="shared" si="417"/>
        <v>Work order for contract for Supply Installaion Testing &amp; Commissioning with required material to complete  Balance CHP work at NPTP U-8 Parli Project</v>
      </c>
      <c r="C2815" s="1511" t="str">
        <f t="shared" si="417"/>
        <v>MERC CAPEX Approval in MTR Order 296 of 2019</v>
      </c>
      <c r="D2815" s="1334" t="str">
        <f t="shared" si="417"/>
        <v>-</v>
      </c>
      <c r="E2815" s="1430">
        <f t="shared" si="417"/>
        <v>0</v>
      </c>
      <c r="F2815" s="1437">
        <f t="shared" si="410"/>
        <v>0.41</v>
      </c>
      <c r="G2815" s="1437">
        <f t="shared" si="411"/>
        <v>0.41</v>
      </c>
      <c r="H2815" s="1437">
        <f t="shared" si="412"/>
        <v>0</v>
      </c>
      <c r="I2815" s="1437">
        <v>0</v>
      </c>
      <c r="J2815" s="1437">
        <v>0</v>
      </c>
      <c r="K2815" s="1438"/>
      <c r="L2815" s="1438"/>
      <c r="M2815" s="1437">
        <f t="shared" si="413"/>
        <v>0</v>
      </c>
      <c r="N2815" s="1437">
        <f t="shared" si="414"/>
        <v>0</v>
      </c>
    </row>
    <row r="2816" spans="1:14" ht="43.5" outlineLevel="1">
      <c r="A2816" s="1499">
        <f t="shared" si="417"/>
        <v>8</v>
      </c>
      <c r="B2816" s="1510" t="str">
        <f t="shared" si="417"/>
        <v>Supply, Errection, testing &amp; commissioning of Interconnecting Conveyor no.9 &amp; 10 from U-8 to U-6&amp;7 of CHP at NPTP U-8, Parli-V</v>
      </c>
      <c r="C2816" s="1511" t="str">
        <f t="shared" si="417"/>
        <v>MERC CAPEX Approval in MTR Order 296 of 2019</v>
      </c>
      <c r="D2816" s="1334" t="str">
        <f t="shared" si="417"/>
        <v>-</v>
      </c>
      <c r="E2816" s="1430">
        <f t="shared" si="417"/>
        <v>0</v>
      </c>
      <c r="F2816" s="1437">
        <f t="shared" si="410"/>
        <v>5.3318899999999996</v>
      </c>
      <c r="G2816" s="1437">
        <f t="shared" si="411"/>
        <v>5.3262307</v>
      </c>
      <c r="H2816" s="1437">
        <f t="shared" si="412"/>
        <v>5.6592999999995897E-3</v>
      </c>
      <c r="I2816" s="1437">
        <v>0</v>
      </c>
      <c r="J2816" s="1437">
        <v>0</v>
      </c>
      <c r="K2816" s="1438"/>
      <c r="L2816" s="1438"/>
      <c r="M2816" s="1437">
        <f t="shared" si="413"/>
        <v>0</v>
      </c>
      <c r="N2816" s="1437">
        <f t="shared" si="414"/>
        <v>5.6592999999995897E-3</v>
      </c>
    </row>
    <row r="2817" spans="1:14" ht="29" outlineLevel="1">
      <c r="A2817" s="1499">
        <f t="shared" si="417"/>
        <v>9</v>
      </c>
      <c r="B2817" s="1510" t="str">
        <f t="shared" si="417"/>
        <v>SUPPLY ,INSTA,TEST ,COMM ELECTRICAL SYS</v>
      </c>
      <c r="C2817" s="1511" t="str">
        <f t="shared" si="417"/>
        <v>MERC CAPEX Approval in MTR Order 296 of 2019</v>
      </c>
      <c r="D2817" s="1334" t="str">
        <f t="shared" si="417"/>
        <v>-</v>
      </c>
      <c r="E2817" s="1430">
        <f t="shared" si="417"/>
        <v>0</v>
      </c>
      <c r="F2817" s="1437">
        <f t="shared" si="410"/>
        <v>0</v>
      </c>
      <c r="G2817" s="1437">
        <f t="shared" si="411"/>
        <v>0</v>
      </c>
      <c r="H2817" s="1437">
        <f t="shared" si="412"/>
        <v>0</v>
      </c>
      <c r="I2817" s="1437">
        <v>0</v>
      </c>
      <c r="J2817" s="1437">
        <v>0</v>
      </c>
      <c r="K2817" s="1438"/>
      <c r="L2817" s="1438"/>
      <c r="M2817" s="1437">
        <f t="shared" si="413"/>
        <v>0</v>
      </c>
      <c r="N2817" s="1437">
        <f t="shared" si="414"/>
        <v>0</v>
      </c>
    </row>
    <row r="2818" spans="1:14" ht="29" outlineLevel="1">
      <c r="A2818" s="1499">
        <f t="shared" si="417"/>
        <v>10</v>
      </c>
      <c r="B2818" s="1510" t="str">
        <f t="shared" si="417"/>
        <v>SUPPLY,INSTAL,TEST,COMM OF  CRANS&amp;HOIST</v>
      </c>
      <c r="C2818" s="1511" t="str">
        <f t="shared" si="417"/>
        <v>MERC CAPEX Approval in MTR Order 296 of 2019</v>
      </c>
      <c r="D2818" s="1334" t="str">
        <f t="shared" si="417"/>
        <v>-</v>
      </c>
      <c r="E2818" s="1430">
        <f t="shared" si="417"/>
        <v>0</v>
      </c>
      <c r="F2818" s="1437">
        <f t="shared" si="410"/>
        <v>1.8104819999999999</v>
      </c>
      <c r="G2818" s="1437">
        <f t="shared" si="411"/>
        <v>3.6223049999999999</v>
      </c>
      <c r="H2818" s="1437">
        <f t="shared" si="412"/>
        <v>-1.811823</v>
      </c>
      <c r="I2818" s="1437">
        <v>0</v>
      </c>
      <c r="J2818" s="1437">
        <v>0</v>
      </c>
      <c r="K2818" s="1438"/>
      <c r="L2818" s="1438"/>
      <c r="M2818" s="1437">
        <f t="shared" si="413"/>
        <v>0</v>
      </c>
      <c r="N2818" s="1437">
        <f t="shared" si="414"/>
        <v>-1.811823</v>
      </c>
    </row>
    <row r="2819" spans="1:14" ht="29" outlineLevel="1">
      <c r="A2819" s="1499">
        <f t="shared" si="417"/>
        <v>11</v>
      </c>
      <c r="B2819" s="1510" t="str">
        <f t="shared" si="417"/>
        <v>Supply, Errection, testing &amp; commissioning of Dust Extraction system at NPTP U-8, Parli-V</v>
      </c>
      <c r="C2819" s="1511" t="str">
        <f t="shared" si="417"/>
        <v>MERC CAPEX Approval in MTR Order 296 of 2019</v>
      </c>
      <c r="D2819" s="1334" t="str">
        <f t="shared" si="417"/>
        <v>-</v>
      </c>
      <c r="E2819" s="1430">
        <f t="shared" si="417"/>
        <v>0</v>
      </c>
      <c r="F2819" s="1437">
        <f t="shared" si="410"/>
        <v>1.8060844</v>
      </c>
      <c r="G2819" s="1437">
        <f t="shared" si="411"/>
        <v>0</v>
      </c>
      <c r="H2819" s="1437">
        <f t="shared" si="412"/>
        <v>1.8060844</v>
      </c>
      <c r="I2819" s="1437">
        <v>0</v>
      </c>
      <c r="J2819" s="1437">
        <v>0</v>
      </c>
      <c r="K2819" s="1438"/>
      <c r="L2819" s="1438"/>
      <c r="M2819" s="1437">
        <f t="shared" si="413"/>
        <v>0</v>
      </c>
      <c r="N2819" s="1437">
        <f t="shared" si="414"/>
        <v>1.8060844</v>
      </c>
    </row>
    <row r="2820" spans="1:14" ht="29" outlineLevel="1">
      <c r="A2820" s="1499">
        <f t="shared" si="417"/>
        <v>12</v>
      </c>
      <c r="B2820" s="1510" t="str">
        <f t="shared" si="417"/>
        <v>Supply, Errection, testing &amp; commissioning of DSS &amp; DFDS at NPTP U-8, Parli-V</v>
      </c>
      <c r="C2820" s="1511" t="str">
        <f t="shared" si="417"/>
        <v>MERC CAPEX Approval in MTR Order 296 of 2019</v>
      </c>
      <c r="D2820" s="1334" t="str">
        <f t="shared" si="417"/>
        <v>-</v>
      </c>
      <c r="E2820" s="1430">
        <f t="shared" si="417"/>
        <v>0</v>
      </c>
      <c r="F2820" s="1437">
        <f t="shared" si="410"/>
        <v>4.3391143999999997</v>
      </c>
      <c r="G2820" s="1437">
        <f t="shared" si="411"/>
        <v>4.34</v>
      </c>
      <c r="H2820" s="1437">
        <f t="shared" si="412"/>
        <v>-8.8560000000015293E-4</v>
      </c>
      <c r="I2820" s="1437">
        <v>0</v>
      </c>
      <c r="J2820" s="1437">
        <v>0</v>
      </c>
      <c r="K2820" s="1438"/>
      <c r="L2820" s="1438"/>
      <c r="M2820" s="1437">
        <f t="shared" si="413"/>
        <v>0</v>
      </c>
      <c r="N2820" s="1437">
        <f t="shared" si="414"/>
        <v>-8.8560000000015293E-4</v>
      </c>
    </row>
    <row r="2821" spans="1:14" ht="29" outlineLevel="1">
      <c r="A2821" s="1499">
        <f t="shared" si="417"/>
        <v>13</v>
      </c>
      <c r="B2821" s="1510" t="str">
        <f t="shared" si="417"/>
        <v>Supply, Errection, testing &amp; commissioning of Monorail at NPTP U-8, Parli-V</v>
      </c>
      <c r="C2821" s="1511" t="str">
        <f t="shared" si="417"/>
        <v>MERC CAPEX Approval in MTR Order 296 of 2019</v>
      </c>
      <c r="D2821" s="1334" t="str">
        <f t="shared" si="417"/>
        <v>-</v>
      </c>
      <c r="E2821" s="1430">
        <f t="shared" si="417"/>
        <v>0</v>
      </c>
      <c r="F2821" s="1437">
        <f t="shared" si="410"/>
        <v>1.1891777000000001</v>
      </c>
      <c r="G2821" s="1437">
        <f t="shared" si="411"/>
        <v>1.1891</v>
      </c>
      <c r="H2821" s="1437">
        <f t="shared" si="412"/>
        <v>7.770000000006938E-5</v>
      </c>
      <c r="I2821" s="1437">
        <v>0</v>
      </c>
      <c r="J2821" s="1437">
        <v>0</v>
      </c>
      <c r="K2821" s="1438"/>
      <c r="L2821" s="1438"/>
      <c r="M2821" s="1437">
        <f t="shared" si="413"/>
        <v>0</v>
      </c>
      <c r="N2821" s="1437">
        <f t="shared" si="414"/>
        <v>7.770000000006938E-5</v>
      </c>
    </row>
    <row r="2822" spans="1:14" ht="29" outlineLevel="1">
      <c r="A2822" s="1499">
        <f t="shared" si="417"/>
        <v>14</v>
      </c>
      <c r="B2822" s="1510" t="str">
        <f t="shared" si="417"/>
        <v>Supply, Errection, testing &amp; commissioning of various Control &amp; Instrumentation equipments at NPTP U-8, Parli-V</v>
      </c>
      <c r="C2822" s="1511" t="str">
        <f t="shared" si="417"/>
        <v>MERC CAPEX Approval in MTR Order 296 of 2019</v>
      </c>
      <c r="D2822" s="1334" t="str">
        <f t="shared" si="417"/>
        <v>-</v>
      </c>
      <c r="E2822" s="1430">
        <f t="shared" si="417"/>
        <v>0</v>
      </c>
      <c r="F2822" s="1437">
        <f t="shared" si="410"/>
        <v>0.72225269999999997</v>
      </c>
      <c r="G2822" s="1437">
        <f t="shared" si="411"/>
        <v>0.72225269999999997</v>
      </c>
      <c r="H2822" s="1437">
        <f t="shared" si="412"/>
        <v>0</v>
      </c>
      <c r="I2822" s="1437">
        <v>0</v>
      </c>
      <c r="J2822" s="1437">
        <v>0</v>
      </c>
      <c r="K2822" s="1438"/>
      <c r="L2822" s="1438"/>
      <c r="M2822" s="1437">
        <f t="shared" si="413"/>
        <v>0</v>
      </c>
      <c r="N2822" s="1437">
        <f t="shared" si="414"/>
        <v>0</v>
      </c>
    </row>
    <row r="2823" spans="1:14" ht="29" outlineLevel="1">
      <c r="A2823" s="1499">
        <f t="shared" ref="A2823:E2838" si="418">A2430</f>
        <v>15</v>
      </c>
      <c r="B2823" s="1510" t="str">
        <f t="shared" si="418"/>
        <v>Supply, Errection, testing &amp; commissioning of Air Conditioning System at NPTP U-8, Parli-V</v>
      </c>
      <c r="C2823" s="1511" t="str">
        <f t="shared" si="418"/>
        <v>MERC CAPEX Approval in MTR Order 296 of 2019</v>
      </c>
      <c r="D2823" s="1334" t="str">
        <f t="shared" si="418"/>
        <v>-</v>
      </c>
      <c r="E2823" s="1430">
        <f t="shared" si="418"/>
        <v>0</v>
      </c>
      <c r="F2823" s="1437">
        <f t="shared" si="410"/>
        <v>0.15304309999999999</v>
      </c>
      <c r="G2823" s="1437">
        <f t="shared" si="411"/>
        <v>0.44729429999999998</v>
      </c>
      <c r="H2823" s="1437">
        <f t="shared" si="412"/>
        <v>-0.29425119999999999</v>
      </c>
      <c r="I2823" s="1437">
        <v>0</v>
      </c>
      <c r="J2823" s="1437">
        <v>0</v>
      </c>
      <c r="K2823" s="1438"/>
      <c r="L2823" s="1438"/>
      <c r="M2823" s="1437">
        <f t="shared" si="413"/>
        <v>0</v>
      </c>
      <c r="N2823" s="1437">
        <f t="shared" si="414"/>
        <v>-0.29425119999999999</v>
      </c>
    </row>
    <row r="2824" spans="1:14" ht="29" outlineLevel="1">
      <c r="A2824" s="1499">
        <f t="shared" si="418"/>
        <v>16</v>
      </c>
      <c r="B2824" s="1510" t="str">
        <f t="shared" si="418"/>
        <v>Supply, Errection, testing &amp; commissioning of Ventilation  System at NPTP U-8, Parli-V</v>
      </c>
      <c r="C2824" s="1511" t="str">
        <f t="shared" si="418"/>
        <v>MERC CAPEX Approval in MTR Order 296 of 2019</v>
      </c>
      <c r="D2824" s="1334" t="str">
        <f t="shared" si="418"/>
        <v>-</v>
      </c>
      <c r="E2824" s="1430">
        <f t="shared" si="418"/>
        <v>0</v>
      </c>
      <c r="F2824" s="1437">
        <f t="shared" si="410"/>
        <v>2.1135999999999999</v>
      </c>
      <c r="G2824" s="1437">
        <f t="shared" si="411"/>
        <v>1.2036</v>
      </c>
      <c r="H2824" s="1437">
        <f t="shared" si="412"/>
        <v>0.90999999999999992</v>
      </c>
      <c r="I2824" s="1437">
        <v>0</v>
      </c>
      <c r="J2824" s="1437">
        <v>0</v>
      </c>
      <c r="K2824" s="1438"/>
      <c r="L2824" s="1438"/>
      <c r="M2824" s="1437">
        <f t="shared" si="413"/>
        <v>0</v>
      </c>
      <c r="N2824" s="1437">
        <f t="shared" si="414"/>
        <v>0.90999999999999992</v>
      </c>
    </row>
    <row r="2825" spans="1:14" ht="29" outlineLevel="1">
      <c r="A2825" s="1499">
        <f t="shared" si="418"/>
        <v>17</v>
      </c>
      <c r="B2825" s="1510" t="str">
        <f t="shared" si="418"/>
        <v>Supply, Errection, testing &amp; commissioning of Elevator works.</v>
      </c>
      <c r="C2825" s="1511" t="str">
        <f t="shared" si="418"/>
        <v>MERC CAPEX Approval in MTR Order 296 of 2019</v>
      </c>
      <c r="D2825" s="1334" t="str">
        <f t="shared" si="418"/>
        <v>-</v>
      </c>
      <c r="E2825" s="1430">
        <f t="shared" si="418"/>
        <v>0</v>
      </c>
      <c r="F2825" s="1437">
        <f t="shared" si="410"/>
        <v>3.5173187000000001</v>
      </c>
      <c r="G2825" s="1437">
        <f t="shared" si="411"/>
        <v>4.4273186999999998</v>
      </c>
      <c r="H2825" s="1437">
        <f t="shared" si="412"/>
        <v>-0.9099999999999997</v>
      </c>
      <c r="I2825" s="1437">
        <v>0</v>
      </c>
      <c r="J2825" s="1437">
        <v>0</v>
      </c>
      <c r="K2825" s="1438"/>
      <c r="L2825" s="1438"/>
      <c r="M2825" s="1437">
        <f t="shared" si="413"/>
        <v>0</v>
      </c>
      <c r="N2825" s="1437">
        <f t="shared" si="414"/>
        <v>-0.9099999999999997</v>
      </c>
    </row>
    <row r="2826" spans="1:14" ht="29" outlineLevel="1">
      <c r="A2826" s="1499">
        <f t="shared" si="418"/>
        <v>18</v>
      </c>
      <c r="B2826" s="1510" t="str">
        <f t="shared" si="418"/>
        <v>Work contract for dismentaling, supply, erection &amp; commissioning of MRHS</v>
      </c>
      <c r="C2826" s="1511" t="str">
        <f t="shared" si="418"/>
        <v>MERC CAPEX Approval in MTR Order 296 of 2019</v>
      </c>
      <c r="D2826" s="1334" t="str">
        <f t="shared" si="418"/>
        <v>-</v>
      </c>
      <c r="E2826" s="1430">
        <f t="shared" si="418"/>
        <v>0</v>
      </c>
      <c r="F2826" s="1437">
        <f t="shared" ref="F2826:F2889" si="419">F2433+I2433</f>
        <v>2.2335039999999999</v>
      </c>
      <c r="G2826" s="1437">
        <f t="shared" ref="G2826:G2889" si="420">G2433+M2433</f>
        <v>2.2335039999999999</v>
      </c>
      <c r="H2826" s="1437">
        <f t="shared" ref="H2826:H2889" si="421">F2826-G2826</f>
        <v>0</v>
      </c>
      <c r="I2826" s="1437">
        <v>0</v>
      </c>
      <c r="J2826" s="1437">
        <v>0</v>
      </c>
      <c r="K2826" s="1438"/>
      <c r="L2826" s="1438"/>
      <c r="M2826" s="1437">
        <f t="shared" ref="M2826:M2886" si="422">SUM(J2826:L2826)</f>
        <v>0</v>
      </c>
      <c r="N2826" s="1437">
        <f t="shared" ref="N2826:N2889" si="423">H2826+I2826-M2826</f>
        <v>0</v>
      </c>
    </row>
    <row r="2827" spans="1:14" ht="43.5" outlineLevel="1">
      <c r="A2827" s="1499">
        <f t="shared" si="418"/>
        <v>19</v>
      </c>
      <c r="B2827" s="1510" t="str">
        <f t="shared" si="418"/>
        <v>Supply, Errection, testing &amp; commissioning of FF System, Smoke detection &amp; Fire stop mortar &amp; Fire retradant cable coating for conveyor 09 &amp; 10</v>
      </c>
      <c r="C2827" s="1511" t="str">
        <f t="shared" si="418"/>
        <v>MERC CAPEX Approval in MTR Order 296 of 2019</v>
      </c>
      <c r="D2827" s="1334" t="str">
        <f t="shared" si="418"/>
        <v>-</v>
      </c>
      <c r="E2827" s="1430">
        <f t="shared" si="418"/>
        <v>0</v>
      </c>
      <c r="F2827" s="1437">
        <f t="shared" si="419"/>
        <v>0.22170519999999999</v>
      </c>
      <c r="G2827" s="1437">
        <f t="shared" si="420"/>
        <v>0.51866310000000004</v>
      </c>
      <c r="H2827" s="1437">
        <f t="shared" si="421"/>
        <v>-0.29695790000000005</v>
      </c>
      <c r="I2827" s="1437">
        <v>0</v>
      </c>
      <c r="J2827" s="1437">
        <v>0</v>
      </c>
      <c r="K2827" s="1438"/>
      <c r="L2827" s="1438"/>
      <c r="M2827" s="1437">
        <f t="shared" si="422"/>
        <v>0</v>
      </c>
      <c r="N2827" s="1437">
        <f t="shared" si="423"/>
        <v>-0.29695790000000005</v>
      </c>
    </row>
    <row r="2828" spans="1:14" ht="29" outlineLevel="1">
      <c r="A2828" s="1499">
        <f t="shared" si="418"/>
        <v>20</v>
      </c>
      <c r="B2828" s="1510" t="str">
        <f t="shared" si="418"/>
        <v>Supply, Errection, testing &amp; commissioning of Chimney Elevator</v>
      </c>
      <c r="C2828" s="1511" t="str">
        <f t="shared" si="418"/>
        <v>MERC CAPEX Approval in MTR Order 296 of 2019</v>
      </c>
      <c r="D2828" s="1334" t="str">
        <f t="shared" si="418"/>
        <v>-</v>
      </c>
      <c r="E2828" s="1430">
        <f t="shared" si="418"/>
        <v>0</v>
      </c>
      <c r="F2828" s="1437">
        <f t="shared" si="419"/>
        <v>1.060802</v>
      </c>
      <c r="G2828" s="1437">
        <f t="shared" si="420"/>
        <v>0</v>
      </c>
      <c r="H2828" s="1437">
        <f t="shared" si="421"/>
        <v>1.060802</v>
      </c>
      <c r="I2828" s="1437">
        <v>0</v>
      </c>
      <c r="J2828" s="1437">
        <v>0</v>
      </c>
      <c r="K2828" s="1438"/>
      <c r="L2828" s="1438"/>
      <c r="M2828" s="1437">
        <f t="shared" si="422"/>
        <v>0</v>
      </c>
      <c r="N2828" s="1437">
        <f t="shared" si="423"/>
        <v>1.060802</v>
      </c>
    </row>
    <row r="2829" spans="1:14" ht="29" outlineLevel="1">
      <c r="A2829" s="1499">
        <f t="shared" si="418"/>
        <v>21</v>
      </c>
      <c r="B2829" s="1510" t="str">
        <f t="shared" si="418"/>
        <v>Supply, Errection, testing &amp; commissioning work of GEHO Pumps.</v>
      </c>
      <c r="C2829" s="1511" t="str">
        <f t="shared" si="418"/>
        <v>MERC CAPEX Approval in MTR Order 296 of 2019</v>
      </c>
      <c r="D2829" s="1334" t="str">
        <f t="shared" si="418"/>
        <v>-</v>
      </c>
      <c r="E2829" s="1430">
        <f t="shared" si="418"/>
        <v>0</v>
      </c>
      <c r="F2829" s="1437">
        <f t="shared" si="419"/>
        <v>0</v>
      </c>
      <c r="G2829" s="1437">
        <f t="shared" si="420"/>
        <v>1.06</v>
      </c>
      <c r="H2829" s="1437">
        <f t="shared" si="421"/>
        <v>-1.06</v>
      </c>
      <c r="I2829" s="1437">
        <v>0</v>
      </c>
      <c r="J2829" s="1437">
        <v>0</v>
      </c>
      <c r="K2829" s="1438"/>
      <c r="L2829" s="1438"/>
      <c r="M2829" s="1437">
        <f t="shared" si="422"/>
        <v>0</v>
      </c>
      <c r="N2829" s="1437">
        <f t="shared" si="423"/>
        <v>-1.06</v>
      </c>
    </row>
    <row r="2830" spans="1:14" ht="29" outlineLevel="1">
      <c r="A2830" s="1499">
        <f t="shared" si="418"/>
        <v>22</v>
      </c>
      <c r="B2830" s="1510" t="str">
        <f t="shared" si="418"/>
        <v>Procurement of various Mandetory spares of BOP packages</v>
      </c>
      <c r="C2830" s="1511" t="str">
        <f t="shared" si="418"/>
        <v>MERC CAPEX Approval in MTR Order 296 of 2019</v>
      </c>
      <c r="D2830" s="1334" t="str">
        <f t="shared" si="418"/>
        <v>-</v>
      </c>
      <c r="E2830" s="1430">
        <f t="shared" si="418"/>
        <v>0</v>
      </c>
      <c r="F2830" s="1437">
        <f t="shared" si="419"/>
        <v>5.47</v>
      </c>
      <c r="G2830" s="1437">
        <f t="shared" si="420"/>
        <v>6.54</v>
      </c>
      <c r="H2830" s="1437">
        <f t="shared" si="421"/>
        <v>-1.0700000000000003</v>
      </c>
      <c r="I2830" s="1437">
        <v>0</v>
      </c>
      <c r="J2830" s="1437">
        <v>0</v>
      </c>
      <c r="K2830" s="1438"/>
      <c r="L2830" s="1438"/>
      <c r="M2830" s="1437">
        <f t="shared" si="422"/>
        <v>0</v>
      </c>
      <c r="N2830" s="1437">
        <f t="shared" si="423"/>
        <v>-1.0700000000000003</v>
      </c>
    </row>
    <row r="2831" spans="1:14" ht="31" outlineLevel="1">
      <c r="A2831" s="1493">
        <f t="shared" si="418"/>
        <v>0</v>
      </c>
      <c r="B2831" s="1494" t="str">
        <f t="shared" si="418"/>
        <v>Balance civil work of BOP scope at 250 MW Parli-V</v>
      </c>
      <c r="C2831" s="1495" t="str">
        <f t="shared" si="418"/>
        <v>MERC CAPEX Approval in MTR Order 296 of 2019</v>
      </c>
      <c r="D2831" s="1341" t="str">
        <f t="shared" si="418"/>
        <v>-</v>
      </c>
      <c r="E2831" s="1509">
        <f t="shared" si="418"/>
        <v>45.323799999999991</v>
      </c>
      <c r="F2831" s="1437">
        <f t="shared" si="419"/>
        <v>0.55711806000000097</v>
      </c>
      <c r="G2831" s="1437">
        <f t="shared" si="420"/>
        <v>16.720000000000002</v>
      </c>
      <c r="H2831" s="1437">
        <f t="shared" si="421"/>
        <v>-16.162881940000002</v>
      </c>
      <c r="I2831" s="1437">
        <v>0</v>
      </c>
      <c r="J2831" s="1437">
        <v>0</v>
      </c>
      <c r="K2831" s="1438"/>
      <c r="L2831" s="1438"/>
      <c r="M2831" s="1437">
        <f t="shared" si="422"/>
        <v>0</v>
      </c>
      <c r="N2831" s="1437">
        <f t="shared" si="423"/>
        <v>-16.162881940000002</v>
      </c>
    </row>
    <row r="2832" spans="1:14" ht="29" outlineLevel="1">
      <c r="A2832" s="1499">
        <f t="shared" si="418"/>
        <v>1</v>
      </c>
      <c r="B2832" s="1512" t="str">
        <f t="shared" si="418"/>
        <v>Area grading</v>
      </c>
      <c r="C2832" s="1511" t="str">
        <f t="shared" si="418"/>
        <v>MERC CAPEX Approval in MTR Order 296 of 2019</v>
      </c>
      <c r="D2832" s="1334" t="str">
        <f t="shared" si="418"/>
        <v>-</v>
      </c>
      <c r="E2832" s="1430">
        <f t="shared" si="418"/>
        <v>0</v>
      </c>
      <c r="F2832" s="1437">
        <f t="shared" si="419"/>
        <v>6.9866406799999998</v>
      </c>
      <c r="G2832" s="1437">
        <f t="shared" si="420"/>
        <v>0.89</v>
      </c>
      <c r="H2832" s="1437">
        <f t="shared" si="421"/>
        <v>6.0966406800000001</v>
      </c>
      <c r="I2832" s="1437">
        <v>0</v>
      </c>
      <c r="J2832" s="1437">
        <v>0</v>
      </c>
      <c r="K2832" s="1438"/>
      <c r="L2832" s="1438"/>
      <c r="M2832" s="1437">
        <f t="shared" si="422"/>
        <v>0</v>
      </c>
      <c r="N2832" s="1437">
        <f t="shared" si="423"/>
        <v>6.0966406800000001</v>
      </c>
    </row>
    <row r="2833" spans="1:16" ht="29" outlineLevel="1">
      <c r="A2833" s="1499">
        <f t="shared" si="418"/>
        <v>2</v>
      </c>
      <c r="B2833" s="1512" t="str">
        <f t="shared" si="418"/>
        <v>CMD</v>
      </c>
      <c r="C2833" s="1511" t="str">
        <f t="shared" si="418"/>
        <v>MERC CAPEX Approval in MTR Order 296 of 2019</v>
      </c>
      <c r="D2833" s="1334" t="str">
        <f t="shared" si="418"/>
        <v>-</v>
      </c>
      <c r="E2833" s="1430">
        <f t="shared" si="418"/>
        <v>0</v>
      </c>
      <c r="F2833" s="1437">
        <f t="shared" si="419"/>
        <v>1.2410745000000012</v>
      </c>
      <c r="G2833" s="1437">
        <f t="shared" si="420"/>
        <v>1.3549000000000009</v>
      </c>
      <c r="H2833" s="1437">
        <f t="shared" si="421"/>
        <v>-0.11382549999999969</v>
      </c>
      <c r="I2833" s="1437">
        <v>0</v>
      </c>
      <c r="J2833" s="1437">
        <v>0</v>
      </c>
      <c r="K2833" s="1438"/>
      <c r="L2833" s="1438"/>
      <c r="M2833" s="1437">
        <f t="shared" si="422"/>
        <v>0</v>
      </c>
      <c r="N2833" s="1437">
        <f t="shared" si="423"/>
        <v>-0.11382549999999969</v>
      </c>
    </row>
    <row r="2834" spans="1:16" ht="29" outlineLevel="1">
      <c r="A2834" s="1499">
        <f t="shared" si="418"/>
        <v>3</v>
      </c>
      <c r="B2834" s="1512" t="str">
        <f t="shared" si="418"/>
        <v>Conveyor 09, 10 &amp; TP 06</v>
      </c>
      <c r="C2834" s="1511" t="str">
        <f t="shared" si="418"/>
        <v>MERC CAPEX Approval in MTR Order 296 of 2019</v>
      </c>
      <c r="D2834" s="1334" t="str">
        <f t="shared" si="418"/>
        <v>-</v>
      </c>
      <c r="E2834" s="1430">
        <f t="shared" si="418"/>
        <v>0</v>
      </c>
      <c r="F2834" s="1437">
        <f t="shared" si="419"/>
        <v>14.560539259999999</v>
      </c>
      <c r="G2834" s="1437">
        <f t="shared" si="420"/>
        <v>12.129999999999999</v>
      </c>
      <c r="H2834" s="1437">
        <f t="shared" si="421"/>
        <v>2.4305392599999998</v>
      </c>
      <c r="I2834" s="1437">
        <v>0</v>
      </c>
      <c r="J2834" s="1437">
        <v>0</v>
      </c>
      <c r="K2834" s="1438"/>
      <c r="L2834" s="1438"/>
      <c r="M2834" s="1437">
        <f t="shared" si="422"/>
        <v>0</v>
      </c>
      <c r="N2834" s="1437">
        <f t="shared" si="423"/>
        <v>2.4305392599999998</v>
      </c>
    </row>
    <row r="2835" spans="1:16" ht="29" outlineLevel="1">
      <c r="A2835" s="1499">
        <f t="shared" si="418"/>
        <v>4</v>
      </c>
      <c r="B2835" s="1512" t="str">
        <f t="shared" si="418"/>
        <v>Finishing item</v>
      </c>
      <c r="C2835" s="1511" t="str">
        <f t="shared" si="418"/>
        <v>MERC CAPEX Approval in MTR Order 296 of 2019</v>
      </c>
      <c r="D2835" s="1334" t="str">
        <f t="shared" si="418"/>
        <v>-</v>
      </c>
      <c r="E2835" s="1430">
        <f t="shared" si="418"/>
        <v>0</v>
      </c>
      <c r="F2835" s="1437">
        <f t="shared" si="419"/>
        <v>8.0849650400000002</v>
      </c>
      <c r="G2835" s="1437">
        <f t="shared" si="420"/>
        <v>4.6505999999999998</v>
      </c>
      <c r="H2835" s="1437">
        <f t="shared" si="421"/>
        <v>3.4343650400000003</v>
      </c>
      <c r="I2835" s="1437">
        <v>0</v>
      </c>
      <c r="J2835" s="1437">
        <v>0</v>
      </c>
      <c r="K2835" s="1438"/>
      <c r="L2835" s="1438"/>
      <c r="M2835" s="1437">
        <f t="shared" si="422"/>
        <v>0</v>
      </c>
      <c r="N2835" s="1437">
        <f t="shared" si="423"/>
        <v>3.4343650400000003</v>
      </c>
    </row>
    <row r="2836" spans="1:16" ht="29" outlineLevel="1">
      <c r="A2836" s="1499">
        <f t="shared" si="418"/>
        <v>5</v>
      </c>
      <c r="B2836" s="1512" t="str">
        <f t="shared" si="418"/>
        <v>Drain &amp; nala</v>
      </c>
      <c r="C2836" s="1511" t="str">
        <f t="shared" si="418"/>
        <v>MERC CAPEX Approval in MTR Order 296 of 2019</v>
      </c>
      <c r="D2836" s="1334" t="str">
        <f t="shared" si="418"/>
        <v>-</v>
      </c>
      <c r="E2836" s="1430">
        <f t="shared" si="418"/>
        <v>0</v>
      </c>
      <c r="F2836" s="1437">
        <f t="shared" si="419"/>
        <v>5.08483324</v>
      </c>
      <c r="G2836" s="1437">
        <f t="shared" si="420"/>
        <v>11.79</v>
      </c>
      <c r="H2836" s="1437">
        <f t="shared" si="421"/>
        <v>-6.7051667599999991</v>
      </c>
      <c r="I2836" s="1437">
        <v>0</v>
      </c>
      <c r="J2836" s="1437">
        <v>0</v>
      </c>
      <c r="K2836" s="1438"/>
      <c r="L2836" s="1438"/>
      <c r="M2836" s="1437">
        <f t="shared" si="422"/>
        <v>0</v>
      </c>
      <c r="N2836" s="1437">
        <f t="shared" si="423"/>
        <v>-6.7051667599999991</v>
      </c>
    </row>
    <row r="2837" spans="1:16" ht="29" outlineLevel="1">
      <c r="A2837" s="1499">
        <f t="shared" si="418"/>
        <v>6</v>
      </c>
      <c r="B2837" s="1512" t="str">
        <f t="shared" si="418"/>
        <v>Internal roads</v>
      </c>
      <c r="C2837" s="1511" t="str">
        <f t="shared" si="418"/>
        <v>MERC CAPEX Approval in MTR Order 296 of 2019</v>
      </c>
      <c r="D2837" s="1334" t="str">
        <f t="shared" si="418"/>
        <v>-</v>
      </c>
      <c r="E2837" s="1430">
        <f t="shared" si="418"/>
        <v>0</v>
      </c>
      <c r="F2837" s="1437">
        <f t="shared" si="419"/>
        <v>9.7521449799999989</v>
      </c>
      <c r="G2837" s="1437">
        <f t="shared" si="420"/>
        <v>1.5</v>
      </c>
      <c r="H2837" s="1437">
        <f t="shared" si="421"/>
        <v>8.2521449799999989</v>
      </c>
      <c r="I2837" s="1437">
        <v>0</v>
      </c>
      <c r="J2837" s="1437">
        <v>0</v>
      </c>
      <c r="K2837" s="1438"/>
      <c r="L2837" s="1438"/>
      <c r="M2837" s="1437">
        <f t="shared" si="422"/>
        <v>0</v>
      </c>
      <c r="N2837" s="1437">
        <f t="shared" si="423"/>
        <v>8.2521449799999989</v>
      </c>
    </row>
    <row r="2838" spans="1:16" ht="29" outlineLevel="1">
      <c r="A2838" s="1499">
        <f t="shared" si="418"/>
        <v>7</v>
      </c>
      <c r="B2838" s="1512" t="str">
        <f t="shared" si="418"/>
        <v>Stacker &amp; reclaimer</v>
      </c>
      <c r="C2838" s="1511" t="str">
        <f t="shared" si="418"/>
        <v>MERC CAPEX Approval in MTR Order 296 of 2019</v>
      </c>
      <c r="D2838" s="1334" t="str">
        <f t="shared" si="418"/>
        <v>-</v>
      </c>
      <c r="E2838" s="1430">
        <f t="shared" si="418"/>
        <v>0</v>
      </c>
      <c r="F2838" s="1437">
        <f t="shared" si="419"/>
        <v>1.1626842399999999</v>
      </c>
      <c r="G2838" s="1437">
        <f t="shared" si="420"/>
        <v>0</v>
      </c>
      <c r="H2838" s="1437">
        <f t="shared" si="421"/>
        <v>1.1626842399999999</v>
      </c>
      <c r="I2838" s="1437">
        <v>0</v>
      </c>
      <c r="J2838" s="1437">
        <v>0</v>
      </c>
      <c r="K2838" s="1438"/>
      <c r="L2838" s="1438"/>
      <c r="M2838" s="1437">
        <f t="shared" si="422"/>
        <v>0</v>
      </c>
      <c r="N2838" s="1437">
        <f t="shared" si="423"/>
        <v>1.1626842399999999</v>
      </c>
    </row>
    <row r="2839" spans="1:16" ht="15.5" outlineLevel="1">
      <c r="A2839" s="1493">
        <f t="shared" ref="A2839:E2854" si="424">A2446</f>
        <v>0</v>
      </c>
      <c r="B2839" s="1494" t="str">
        <f t="shared" si="424"/>
        <v>Other Add Cap</v>
      </c>
      <c r="C2839" s="1495">
        <f t="shared" si="424"/>
        <v>0</v>
      </c>
      <c r="D2839" s="1341" t="str">
        <f t="shared" si="424"/>
        <v>-</v>
      </c>
      <c r="E2839" s="1496">
        <f t="shared" si="424"/>
        <v>0</v>
      </c>
      <c r="F2839" s="1437">
        <f t="shared" si="419"/>
        <v>0</v>
      </c>
      <c r="G2839" s="1437">
        <f t="shared" si="420"/>
        <v>0</v>
      </c>
      <c r="H2839" s="1437">
        <f t="shared" si="421"/>
        <v>0</v>
      </c>
      <c r="I2839" s="1437">
        <v>0</v>
      </c>
      <c r="J2839" s="1437">
        <v>0</v>
      </c>
      <c r="K2839" s="1438"/>
      <c r="L2839" s="1438"/>
      <c r="M2839" s="1437">
        <f t="shared" si="422"/>
        <v>0</v>
      </c>
      <c r="N2839" s="1437">
        <f t="shared" si="423"/>
        <v>0</v>
      </c>
    </row>
    <row r="2840" spans="1:16" ht="15.5" outlineLevel="1">
      <c r="A2840" s="1491">
        <f t="shared" si="424"/>
        <v>0</v>
      </c>
      <c r="B2840" s="1377" t="str">
        <f t="shared" si="424"/>
        <v>Laboratory set up</v>
      </c>
      <c r="C2840" s="1492" t="str">
        <f t="shared" si="424"/>
        <v>Add Cap (As per 296 of 2019)</v>
      </c>
      <c r="D2840" s="1334" t="str">
        <f t="shared" si="424"/>
        <v>-</v>
      </c>
      <c r="E2840" s="1378">
        <f t="shared" si="424"/>
        <v>0</v>
      </c>
      <c r="F2840" s="1437">
        <f t="shared" si="419"/>
        <v>0</v>
      </c>
      <c r="G2840" s="1437">
        <f t="shared" si="420"/>
        <v>0</v>
      </c>
      <c r="H2840" s="1437">
        <f t="shared" si="421"/>
        <v>0</v>
      </c>
      <c r="I2840" s="1437">
        <v>0</v>
      </c>
      <c r="J2840" s="1437">
        <v>0</v>
      </c>
      <c r="K2840" s="1438"/>
      <c r="L2840" s="1438"/>
      <c r="M2840" s="1437">
        <f t="shared" si="422"/>
        <v>0</v>
      </c>
      <c r="N2840" s="1437">
        <f t="shared" si="423"/>
        <v>0</v>
      </c>
    </row>
    <row r="2841" spans="1:16" ht="31" outlineLevel="1">
      <c r="A2841" s="1491">
        <f t="shared" si="424"/>
        <v>1</v>
      </c>
      <c r="B2841" s="1513" t="str">
        <f t="shared" si="424"/>
        <v>Supply of Analytical Instruments for condition monitoring Laboratory for 1X250 MW of   NPTPS, Parli-V.</v>
      </c>
      <c r="C2841" s="1492" t="str">
        <f t="shared" si="424"/>
        <v>Add Cap (As per 296 of 2019)</v>
      </c>
      <c r="D2841" s="1514" t="str">
        <f t="shared" si="424"/>
        <v>-</v>
      </c>
      <c r="E2841" s="1382">
        <f t="shared" si="424"/>
        <v>0.5</v>
      </c>
      <c r="F2841" s="1437">
        <f t="shared" si="419"/>
        <v>0.49655460000000001</v>
      </c>
      <c r="G2841" s="1437">
        <f t="shared" si="420"/>
        <v>0.49655460000000001</v>
      </c>
      <c r="H2841" s="1437">
        <f t="shared" si="421"/>
        <v>0</v>
      </c>
      <c r="I2841" s="1437">
        <v>0</v>
      </c>
      <c r="J2841" s="1437">
        <v>0</v>
      </c>
      <c r="K2841" s="1438"/>
      <c r="L2841" s="1438"/>
      <c r="M2841" s="1437">
        <f t="shared" si="422"/>
        <v>0</v>
      </c>
      <c r="N2841" s="1437">
        <f t="shared" si="423"/>
        <v>0</v>
      </c>
    </row>
    <row r="2842" spans="1:16" ht="31" outlineLevel="1">
      <c r="A2842" s="1491">
        <f t="shared" si="424"/>
        <v>2</v>
      </c>
      <c r="B2842" s="1513" t="str">
        <f t="shared" si="424"/>
        <v>Supply of Analytical Instruments for Water Analysis Laboratory for 1X250 MW of   NPTPS, Parli-V</v>
      </c>
      <c r="C2842" s="1492" t="str">
        <f t="shared" si="424"/>
        <v>Add Cap (As per 296 of 2019)</v>
      </c>
      <c r="D2842" s="1334" t="str">
        <f t="shared" si="424"/>
        <v>-</v>
      </c>
      <c r="E2842" s="1382">
        <f t="shared" si="424"/>
        <v>1.23</v>
      </c>
      <c r="F2842" s="1437">
        <f t="shared" si="419"/>
        <v>0.29846889999999998</v>
      </c>
      <c r="G2842" s="1437">
        <f t="shared" si="420"/>
        <v>0.29846889999999998</v>
      </c>
      <c r="H2842" s="1437">
        <f t="shared" si="421"/>
        <v>0</v>
      </c>
      <c r="I2842" s="1437">
        <v>0</v>
      </c>
      <c r="J2842" s="1437">
        <v>0</v>
      </c>
      <c r="K2842" s="1438"/>
      <c r="L2842" s="1438"/>
      <c r="M2842" s="1437">
        <f t="shared" si="422"/>
        <v>0</v>
      </c>
      <c r="N2842" s="1437">
        <f t="shared" si="423"/>
        <v>0</v>
      </c>
    </row>
    <row r="2843" spans="1:16" ht="31" outlineLevel="1">
      <c r="A2843" s="1491">
        <f t="shared" si="424"/>
        <v>3</v>
      </c>
      <c r="B2843" s="1513" t="str">
        <f t="shared" si="424"/>
        <v>Supply of Analytical Instruments for Environment Laboratory for 1 x 250 MW, NPTPS, Parli-V.</v>
      </c>
      <c r="C2843" s="1492" t="str">
        <f t="shared" si="424"/>
        <v>Add Cap (As per 296 of 2019)</v>
      </c>
      <c r="D2843" s="1514" t="str">
        <f t="shared" si="424"/>
        <v>-</v>
      </c>
      <c r="E2843" s="1382">
        <f t="shared" si="424"/>
        <v>0.39</v>
      </c>
      <c r="F2843" s="1437">
        <f t="shared" si="419"/>
        <v>0.36579919999999999</v>
      </c>
      <c r="G2843" s="1437">
        <f t="shared" si="420"/>
        <v>0.36579919999999999</v>
      </c>
      <c r="H2843" s="1437">
        <f t="shared" si="421"/>
        <v>0</v>
      </c>
      <c r="I2843" s="1437">
        <v>0</v>
      </c>
      <c r="J2843" s="1437">
        <v>0</v>
      </c>
      <c r="K2843" s="1438"/>
      <c r="L2843" s="1438"/>
      <c r="M2843" s="1437">
        <f t="shared" si="422"/>
        <v>0</v>
      </c>
      <c r="N2843" s="1437">
        <f t="shared" si="423"/>
        <v>0</v>
      </c>
    </row>
    <row r="2844" spans="1:16" ht="31" outlineLevel="1">
      <c r="A2844" s="1491">
        <f t="shared" si="424"/>
        <v>4</v>
      </c>
      <c r="B2844" s="1513" t="str">
        <f t="shared" si="424"/>
        <v>Supply of Analytical Instruments for Precision Laboratory for 1 x 250 MW, NPTPS, Parli-V.</v>
      </c>
      <c r="C2844" s="1492" t="str">
        <f t="shared" si="424"/>
        <v>Add Cap (As per 296 of 2019)</v>
      </c>
      <c r="D2844" s="1334" t="str">
        <f t="shared" si="424"/>
        <v>-</v>
      </c>
      <c r="E2844" s="1382">
        <f t="shared" si="424"/>
        <v>1</v>
      </c>
      <c r="F2844" s="1437">
        <f t="shared" si="419"/>
        <v>0</v>
      </c>
      <c r="G2844" s="1437">
        <f t="shared" si="420"/>
        <v>0</v>
      </c>
      <c r="H2844" s="1437">
        <f t="shared" si="421"/>
        <v>0</v>
      </c>
      <c r="I2844" s="1437">
        <v>0</v>
      </c>
      <c r="J2844" s="1437">
        <v>0</v>
      </c>
      <c r="K2844" s="1438"/>
      <c r="L2844" s="1438"/>
      <c r="M2844" s="1437">
        <f t="shared" si="422"/>
        <v>0</v>
      </c>
      <c r="N2844" s="1437">
        <f t="shared" si="423"/>
        <v>0</v>
      </c>
    </row>
    <row r="2845" spans="1:16" ht="31" outlineLevel="1">
      <c r="A2845" s="1491">
        <f t="shared" si="424"/>
        <v>5</v>
      </c>
      <c r="B2845" s="1513" t="str">
        <f t="shared" si="424"/>
        <v>Supply of Analytical Instruments for General Laboratory of Water Treatment Plant of 1 x 250 MW, NPTPS, Parli-V.</v>
      </c>
      <c r="C2845" s="1492" t="str">
        <f t="shared" si="424"/>
        <v>Add Cap (As per 296 of 2019)</v>
      </c>
      <c r="D2845" s="1334" t="str">
        <f t="shared" si="424"/>
        <v>-</v>
      </c>
      <c r="E2845" s="1382">
        <f t="shared" si="424"/>
        <v>0.93</v>
      </c>
      <c r="F2845" s="1437">
        <f t="shared" si="419"/>
        <v>0</v>
      </c>
      <c r="G2845" s="1437">
        <f t="shared" si="420"/>
        <v>0</v>
      </c>
      <c r="H2845" s="1437">
        <f t="shared" si="421"/>
        <v>0</v>
      </c>
      <c r="I2845" s="1437">
        <v>0</v>
      </c>
      <c r="J2845" s="1437">
        <v>0</v>
      </c>
      <c r="K2845" s="1438"/>
      <c r="L2845" s="1438"/>
      <c r="M2845" s="1437">
        <f t="shared" si="422"/>
        <v>0</v>
      </c>
      <c r="N2845" s="1437">
        <f t="shared" si="423"/>
        <v>0</v>
      </c>
    </row>
    <row r="2846" spans="1:16" ht="31" outlineLevel="1">
      <c r="A2846" s="1491">
        <f t="shared" si="424"/>
        <v>6</v>
      </c>
      <c r="B2846" s="1513" t="str">
        <f t="shared" si="424"/>
        <v>Supply of Corrosion Monitor/Meter, Corrosion Coupon &amp; Coupon Rack for 1X250 MW of   NPTPS, Parli-V.</v>
      </c>
      <c r="C2846" s="1492" t="str">
        <f t="shared" si="424"/>
        <v>Add Cap (As per 296 of 2019)</v>
      </c>
      <c r="D2846" s="1334" t="str">
        <f t="shared" si="424"/>
        <v>-</v>
      </c>
      <c r="E2846" s="1382">
        <f t="shared" si="424"/>
        <v>0.34</v>
      </c>
      <c r="F2846" s="1437">
        <f t="shared" si="419"/>
        <v>0.347356836</v>
      </c>
      <c r="G2846" s="1437">
        <f t="shared" si="420"/>
        <v>0.347356836</v>
      </c>
      <c r="H2846" s="1437">
        <f t="shared" si="421"/>
        <v>0</v>
      </c>
      <c r="I2846" s="1437">
        <v>0</v>
      </c>
      <c r="J2846" s="1437">
        <v>0</v>
      </c>
      <c r="K2846" s="1438"/>
      <c r="L2846" s="1438"/>
      <c r="M2846" s="1437">
        <f t="shared" si="422"/>
        <v>0</v>
      </c>
      <c r="N2846" s="1437">
        <f t="shared" si="423"/>
        <v>0</v>
      </c>
    </row>
    <row r="2847" spans="1:16" ht="31" outlineLevel="1">
      <c r="A2847" s="1491">
        <f t="shared" si="424"/>
        <v>7</v>
      </c>
      <c r="B2847" s="1515" t="str">
        <f t="shared" si="424"/>
        <v>Supply of Analytical Instruments for Coal Analysis Laboratory for 1X250 MW of   NPTPS, Parli-V</v>
      </c>
      <c r="C2847" s="1492" t="str">
        <f t="shared" si="424"/>
        <v>Add Cap (As per 296 of 2019)</v>
      </c>
      <c r="D2847" s="1334" t="str">
        <f t="shared" si="424"/>
        <v>-</v>
      </c>
      <c r="E2847" s="1382">
        <f t="shared" si="424"/>
        <v>1.65</v>
      </c>
      <c r="F2847" s="1437">
        <f t="shared" si="419"/>
        <v>0.39444410000000002</v>
      </c>
      <c r="G2847" s="1437">
        <f t="shared" si="420"/>
        <v>0.39444410000000002</v>
      </c>
      <c r="H2847" s="1437">
        <f t="shared" si="421"/>
        <v>0</v>
      </c>
      <c r="I2847" s="1437">
        <v>0</v>
      </c>
      <c r="J2847" s="1437">
        <v>0</v>
      </c>
      <c r="K2847" s="1438"/>
      <c r="L2847" s="1438"/>
      <c r="M2847" s="1437">
        <f t="shared" si="422"/>
        <v>0</v>
      </c>
      <c r="N2847" s="1437">
        <f t="shared" si="423"/>
        <v>0</v>
      </c>
      <c r="O2847" s="1529">
        <f t="shared" ref="O2847:O2849" si="425">MAX(0,IF(M2847=0,0,IF(G2847+M2847&lt;E2847,M2847,E2847-G2847)))</f>
        <v>0</v>
      </c>
      <c r="P2847" s="1439">
        <f t="shared" ref="P2847:P2849" si="426">M2847-O2847</f>
        <v>0</v>
      </c>
    </row>
    <row r="2848" spans="1:16" ht="15.5" outlineLevel="1">
      <c r="A2848" s="1491">
        <f t="shared" si="424"/>
        <v>9</v>
      </c>
      <c r="B2848" s="1377" t="str">
        <f t="shared" si="424"/>
        <v>Grade slab (WTP Area)</v>
      </c>
      <c r="C2848" s="1492" t="str">
        <f t="shared" si="424"/>
        <v>Add Cap (As per 296 of 2019)</v>
      </c>
      <c r="D2848" s="1334" t="str">
        <f t="shared" si="424"/>
        <v>-</v>
      </c>
      <c r="E2848" s="1378">
        <f t="shared" si="424"/>
        <v>1</v>
      </c>
      <c r="F2848" s="1437">
        <f t="shared" si="419"/>
        <v>0.99752063400000002</v>
      </c>
      <c r="G2848" s="1437">
        <f t="shared" si="420"/>
        <v>0.99752063400000002</v>
      </c>
      <c r="H2848" s="1437">
        <f t="shared" si="421"/>
        <v>0</v>
      </c>
      <c r="I2848" s="1437">
        <v>0</v>
      </c>
      <c r="J2848" s="1437">
        <v>0</v>
      </c>
      <c r="K2848" s="1438"/>
      <c r="L2848" s="1438"/>
      <c r="M2848" s="1437">
        <f t="shared" si="422"/>
        <v>0</v>
      </c>
      <c r="N2848" s="1437">
        <f t="shared" si="423"/>
        <v>0</v>
      </c>
      <c r="O2848" s="1529">
        <f t="shared" si="425"/>
        <v>0</v>
      </c>
      <c r="P2848" s="1439">
        <f t="shared" si="426"/>
        <v>0</v>
      </c>
    </row>
    <row r="2849" spans="1:16" ht="15.5" outlineLevel="1">
      <c r="A2849" s="1491">
        <f t="shared" si="424"/>
        <v>10</v>
      </c>
      <c r="B2849" s="1377" t="str">
        <f t="shared" si="424"/>
        <v>Grade slab (Near AHP Building)</v>
      </c>
      <c r="C2849" s="1492" t="str">
        <f t="shared" si="424"/>
        <v>Add Cap (As per 296 of 2019)</v>
      </c>
      <c r="D2849" s="1334" t="str">
        <f t="shared" si="424"/>
        <v>-</v>
      </c>
      <c r="E2849" s="1384">
        <f t="shared" si="424"/>
        <v>0.75</v>
      </c>
      <c r="F2849" s="1437">
        <f t="shared" si="419"/>
        <v>0.74556261000000001</v>
      </c>
      <c r="G2849" s="1437">
        <f t="shared" si="420"/>
        <v>0.74556261000000001</v>
      </c>
      <c r="H2849" s="1437">
        <f t="shared" si="421"/>
        <v>0</v>
      </c>
      <c r="I2849" s="1437">
        <v>0</v>
      </c>
      <c r="J2849" s="1437">
        <v>0</v>
      </c>
      <c r="K2849" s="1438"/>
      <c r="L2849" s="1438"/>
      <c r="M2849" s="1437">
        <f t="shared" si="422"/>
        <v>0</v>
      </c>
      <c r="N2849" s="1437">
        <f t="shared" si="423"/>
        <v>0</v>
      </c>
      <c r="O2849" s="1529">
        <f t="shared" si="425"/>
        <v>0</v>
      </c>
      <c r="P2849" s="1439">
        <f t="shared" si="426"/>
        <v>0</v>
      </c>
    </row>
    <row r="2850" spans="1:16" ht="15.5" outlineLevel="1">
      <c r="A2850" s="1516">
        <f t="shared" si="424"/>
        <v>11</v>
      </c>
      <c r="B2850" s="1385" t="str">
        <f t="shared" si="424"/>
        <v>Temporary shed for empty barrles &amp; filled barrles</v>
      </c>
      <c r="C2850" s="1492" t="str">
        <f t="shared" si="424"/>
        <v>Add Cap (As per 296 of 2019)</v>
      </c>
      <c r="D2850" s="1514" t="str">
        <f t="shared" si="424"/>
        <v>-</v>
      </c>
      <c r="E2850" s="1384">
        <f t="shared" si="424"/>
        <v>0.5</v>
      </c>
      <c r="F2850" s="1437">
        <f t="shared" si="419"/>
        <v>0.45635233799999997</v>
      </c>
      <c r="G2850" s="1437">
        <f t="shared" si="420"/>
        <v>0.45635233799999997</v>
      </c>
      <c r="H2850" s="1437">
        <f t="shared" si="421"/>
        <v>0</v>
      </c>
      <c r="I2850" s="1437">
        <v>0</v>
      </c>
      <c r="J2850" s="1437">
        <v>0</v>
      </c>
      <c r="K2850" s="1438"/>
      <c r="L2850" s="1438"/>
      <c r="M2850" s="1437">
        <f t="shared" si="422"/>
        <v>0</v>
      </c>
      <c r="N2850" s="1437">
        <f t="shared" si="423"/>
        <v>0</v>
      </c>
    </row>
    <row r="2851" spans="1:16" ht="15.5" outlineLevel="1">
      <c r="A2851" s="1491">
        <f t="shared" si="424"/>
        <v>12</v>
      </c>
      <c r="B2851" s="1386" t="str">
        <f t="shared" si="424"/>
        <v>Cabins for operators at TP.</v>
      </c>
      <c r="C2851" s="1492" t="str">
        <f t="shared" si="424"/>
        <v>Add Cap (As per 296 of 2019)</v>
      </c>
      <c r="D2851" s="1334" t="str">
        <f t="shared" si="424"/>
        <v>-</v>
      </c>
      <c r="E2851" s="1384">
        <f t="shared" si="424"/>
        <v>0.2</v>
      </c>
      <c r="F2851" s="1437">
        <f t="shared" si="419"/>
        <v>0.18583111099999999</v>
      </c>
      <c r="G2851" s="1437">
        <f t="shared" si="420"/>
        <v>0.18583111099999999</v>
      </c>
      <c r="H2851" s="1437">
        <f t="shared" si="421"/>
        <v>0</v>
      </c>
      <c r="I2851" s="1437">
        <v>0</v>
      </c>
      <c r="J2851" s="1437">
        <v>0</v>
      </c>
      <c r="K2851" s="1438"/>
      <c r="L2851" s="1438"/>
      <c r="M2851" s="1437">
        <f t="shared" si="422"/>
        <v>0</v>
      </c>
      <c r="N2851" s="1437">
        <f t="shared" si="423"/>
        <v>0</v>
      </c>
    </row>
    <row r="2852" spans="1:16" ht="15.5" outlineLevel="1">
      <c r="A2852" s="1491">
        <f t="shared" si="424"/>
        <v>13</v>
      </c>
      <c r="B2852" s="1385" t="str">
        <f t="shared" si="424"/>
        <v>Compound wall for isolation of administrative building.</v>
      </c>
      <c r="C2852" s="1492" t="str">
        <f t="shared" si="424"/>
        <v>Add Cap (As per 296 of 2019)</v>
      </c>
      <c r="D2852" s="1334" t="str">
        <f t="shared" si="424"/>
        <v>-</v>
      </c>
      <c r="E2852" s="1384">
        <f t="shared" si="424"/>
        <v>0.5</v>
      </c>
      <c r="F2852" s="1437">
        <f t="shared" si="419"/>
        <v>0</v>
      </c>
      <c r="G2852" s="1437">
        <f t="shared" si="420"/>
        <v>0</v>
      </c>
      <c r="H2852" s="1437">
        <f t="shared" si="421"/>
        <v>0</v>
      </c>
      <c r="I2852" s="1437">
        <v>0</v>
      </c>
      <c r="J2852" s="1437">
        <v>0</v>
      </c>
      <c r="K2852" s="1438"/>
      <c r="L2852" s="1438"/>
      <c r="M2852" s="1437">
        <f t="shared" si="422"/>
        <v>0</v>
      </c>
      <c r="N2852" s="1437">
        <f t="shared" si="423"/>
        <v>0</v>
      </c>
    </row>
    <row r="2853" spans="1:16" ht="46.5" outlineLevel="1">
      <c r="A2853" s="1491">
        <f t="shared" si="424"/>
        <v>14</v>
      </c>
      <c r="B2853" s="1386" t="str">
        <f t="shared" si="424"/>
        <v>Work of providing/ fixing of internal partitions of aluminium/Nova palm/glass/wooden for Unit 8 service building &amp; other allied builings in the premises.</v>
      </c>
      <c r="C2853" s="1492" t="str">
        <f t="shared" si="424"/>
        <v>Add Cap (As per 296 of 2019)</v>
      </c>
      <c r="D2853" s="1334" t="str">
        <f t="shared" si="424"/>
        <v>-</v>
      </c>
      <c r="E2853" s="1378">
        <f t="shared" si="424"/>
        <v>0.7</v>
      </c>
      <c r="F2853" s="1437">
        <f t="shared" si="419"/>
        <v>0.67356391299999996</v>
      </c>
      <c r="G2853" s="1437">
        <f t="shared" si="420"/>
        <v>0.67356391299999996</v>
      </c>
      <c r="H2853" s="1437">
        <f t="shared" si="421"/>
        <v>0</v>
      </c>
      <c r="I2853" s="1437">
        <v>0</v>
      </c>
      <c r="J2853" s="1437">
        <v>0</v>
      </c>
      <c r="K2853" s="1438"/>
      <c r="L2853" s="1438"/>
      <c r="M2853" s="1437">
        <f t="shared" si="422"/>
        <v>0</v>
      </c>
      <c r="N2853" s="1437">
        <f t="shared" si="423"/>
        <v>0</v>
      </c>
    </row>
    <row r="2854" spans="1:16" ht="46.5" outlineLevel="1">
      <c r="A2854" s="1517">
        <f t="shared" si="424"/>
        <v>15</v>
      </c>
      <c r="B2854" s="1518" t="str">
        <f t="shared" si="424"/>
        <v>Provision of DM and softening water line interconnection from u-6,7 to u-8 &amp; Provision of recovery of waste water from sandava pump house,NDCT.</v>
      </c>
      <c r="C2854" s="1492" t="str">
        <f t="shared" si="424"/>
        <v>Add Cap (As per 296 of 2019)</v>
      </c>
      <c r="D2854" s="1334" t="str">
        <f t="shared" si="424"/>
        <v>-</v>
      </c>
      <c r="E2854" s="1378">
        <f t="shared" si="424"/>
        <v>3</v>
      </c>
      <c r="F2854" s="1437">
        <f t="shared" si="419"/>
        <v>1.0266339840000001</v>
      </c>
      <c r="G2854" s="1437">
        <f t="shared" si="420"/>
        <v>1.0266339840000001</v>
      </c>
      <c r="H2854" s="1437">
        <f t="shared" si="421"/>
        <v>0</v>
      </c>
      <c r="I2854" s="1437">
        <v>0</v>
      </c>
      <c r="J2854" s="1437">
        <v>0</v>
      </c>
      <c r="K2854" s="1438"/>
      <c r="L2854" s="1438"/>
      <c r="M2854" s="1437">
        <f t="shared" si="422"/>
        <v>0</v>
      </c>
      <c r="N2854" s="1437">
        <f t="shared" si="423"/>
        <v>0</v>
      </c>
    </row>
    <row r="2855" spans="1:16" ht="15.5" outlineLevel="1">
      <c r="A2855" s="1519">
        <f t="shared" ref="A2855:E2870" si="427">A2462</f>
        <v>0</v>
      </c>
      <c r="B2855" s="1520">
        <f t="shared" si="427"/>
        <v>0</v>
      </c>
      <c r="C2855" s="1492" t="str">
        <f t="shared" si="427"/>
        <v>Add Cap (As per 296 of 2019)</v>
      </c>
      <c r="D2855" s="1334" t="str">
        <f t="shared" si="427"/>
        <v>-</v>
      </c>
      <c r="E2855" s="1378">
        <f t="shared" si="427"/>
        <v>0</v>
      </c>
      <c r="F2855" s="1437">
        <f t="shared" si="419"/>
        <v>1.8371300820000001</v>
      </c>
      <c r="G2855" s="1437">
        <f t="shared" si="420"/>
        <v>1.8371300820000001</v>
      </c>
      <c r="H2855" s="1437">
        <f t="shared" si="421"/>
        <v>0</v>
      </c>
      <c r="I2855" s="1437">
        <v>0</v>
      </c>
      <c r="J2855" s="1437">
        <v>0</v>
      </c>
      <c r="K2855" s="1438"/>
      <c r="L2855" s="1438"/>
      <c r="M2855" s="1437">
        <f t="shared" si="422"/>
        <v>0</v>
      </c>
      <c r="N2855" s="1437">
        <f t="shared" si="423"/>
        <v>0</v>
      </c>
    </row>
    <row r="2856" spans="1:16" ht="15.5" outlineLevel="1">
      <c r="A2856" s="1491">
        <f t="shared" si="427"/>
        <v>16</v>
      </c>
      <c r="B2856" s="1513" t="str">
        <f t="shared" si="427"/>
        <v xml:space="preserve"> Hydraulic drive system modification.    </v>
      </c>
      <c r="C2856" s="1492" t="str">
        <f t="shared" si="427"/>
        <v>Add Cap (As per 296 of 2019)</v>
      </c>
      <c r="D2856" s="1334" t="str">
        <f t="shared" si="427"/>
        <v>-</v>
      </c>
      <c r="E2856" s="1521">
        <f t="shared" si="427"/>
        <v>2.5</v>
      </c>
      <c r="F2856" s="1437">
        <f t="shared" si="419"/>
        <v>2.4383865259999999</v>
      </c>
      <c r="G2856" s="1437">
        <f t="shared" si="420"/>
        <v>2.4383865259999999</v>
      </c>
      <c r="H2856" s="1437">
        <f t="shared" si="421"/>
        <v>0</v>
      </c>
      <c r="I2856" s="1437">
        <v>0</v>
      </c>
      <c r="J2856" s="1437">
        <v>0</v>
      </c>
      <c r="K2856" s="1438"/>
      <c r="L2856" s="1438"/>
      <c r="M2856" s="1437">
        <f t="shared" si="422"/>
        <v>0</v>
      </c>
      <c r="N2856" s="1437">
        <f t="shared" si="423"/>
        <v>0</v>
      </c>
    </row>
    <row r="2857" spans="1:16" ht="15.5" outlineLevel="1">
      <c r="A2857" s="1491">
        <f t="shared" si="427"/>
        <v>17</v>
      </c>
      <c r="B2857" s="1513" t="str">
        <f t="shared" si="427"/>
        <v xml:space="preserve">Link conveyor from Con-2 of U-6/7 to Con.-2AB of U-8. </v>
      </c>
      <c r="C2857" s="1492" t="str">
        <f t="shared" si="427"/>
        <v>Add Cap (As per 296 of 2019)</v>
      </c>
      <c r="D2857" s="1334" t="str">
        <f t="shared" si="427"/>
        <v>-</v>
      </c>
      <c r="E2857" s="1521">
        <f t="shared" si="427"/>
        <v>3.7</v>
      </c>
      <c r="F2857" s="1437">
        <f t="shared" si="419"/>
        <v>4.6434434319999998</v>
      </c>
      <c r="G2857" s="1437">
        <f t="shared" si="420"/>
        <v>22.656371991</v>
      </c>
      <c r="H2857" s="1437">
        <f t="shared" si="421"/>
        <v>-18.012928559000002</v>
      </c>
      <c r="I2857" s="1437">
        <v>0</v>
      </c>
      <c r="J2857" s="1437">
        <v>0</v>
      </c>
      <c r="K2857" s="1438"/>
      <c r="L2857" s="1438"/>
      <c r="M2857" s="1437">
        <f t="shared" si="422"/>
        <v>0</v>
      </c>
      <c r="N2857" s="1437">
        <f t="shared" si="423"/>
        <v>-18.012928559000002</v>
      </c>
    </row>
    <row r="2858" spans="1:16" ht="15.5" outlineLevel="1">
      <c r="A2858" s="1491">
        <f t="shared" si="427"/>
        <v>18</v>
      </c>
      <c r="B2858" s="1513" t="str">
        <f t="shared" si="427"/>
        <v>Ozone plant for Unit -8</v>
      </c>
      <c r="C2858" s="1492" t="str">
        <f t="shared" si="427"/>
        <v>Add Cap (As per 296 of 2019)</v>
      </c>
      <c r="D2858" s="1334" t="str">
        <f t="shared" si="427"/>
        <v>-</v>
      </c>
      <c r="E2858" s="1521">
        <f t="shared" si="427"/>
        <v>20</v>
      </c>
      <c r="F2858" s="1437">
        <f t="shared" si="419"/>
        <v>20.094708300000001</v>
      </c>
      <c r="G2858" s="1437">
        <f t="shared" si="420"/>
        <v>2.1929439999999998</v>
      </c>
      <c r="H2858" s="1437">
        <f t="shared" si="421"/>
        <v>17.9017643</v>
      </c>
      <c r="I2858" s="1437">
        <v>0</v>
      </c>
      <c r="J2858" s="1437">
        <v>0</v>
      </c>
      <c r="K2858" s="1438"/>
      <c r="L2858" s="1438"/>
      <c r="M2858" s="1437">
        <f t="shared" si="422"/>
        <v>0</v>
      </c>
      <c r="N2858" s="1437">
        <f t="shared" si="423"/>
        <v>17.9017643</v>
      </c>
    </row>
    <row r="2859" spans="1:16" ht="15.5" outlineLevel="1">
      <c r="A2859" s="1499">
        <f t="shared" si="427"/>
        <v>0</v>
      </c>
      <c r="B2859" s="1522" t="str">
        <f t="shared" si="427"/>
        <v>IDC</v>
      </c>
      <c r="C2859" s="1492">
        <f t="shared" si="427"/>
        <v>0</v>
      </c>
      <c r="D2859" s="1334" t="str">
        <f t="shared" si="427"/>
        <v>-</v>
      </c>
      <c r="E2859" s="1521">
        <f t="shared" si="427"/>
        <v>0</v>
      </c>
      <c r="F2859" s="1437">
        <f t="shared" si="419"/>
        <v>0</v>
      </c>
      <c r="G2859" s="1437">
        <f t="shared" si="420"/>
        <v>0</v>
      </c>
      <c r="H2859" s="1437">
        <f t="shared" si="421"/>
        <v>0</v>
      </c>
      <c r="I2859" s="1437">
        <v>0</v>
      </c>
      <c r="J2859" s="1437">
        <v>0</v>
      </c>
      <c r="K2859" s="1438"/>
      <c r="L2859" s="1438"/>
      <c r="M2859" s="1437">
        <f t="shared" si="422"/>
        <v>0</v>
      </c>
      <c r="N2859" s="1437">
        <f t="shared" si="423"/>
        <v>0</v>
      </c>
    </row>
    <row r="2860" spans="1:16" ht="15.5" outlineLevel="1">
      <c r="A2860" s="1491">
        <f t="shared" si="427"/>
        <v>19</v>
      </c>
      <c r="B2860" s="1377" t="str">
        <f t="shared" si="427"/>
        <v>Water management system</v>
      </c>
      <c r="C2860" s="1492" t="str">
        <f t="shared" si="427"/>
        <v>Add Cap (As per 296 of 2019)</v>
      </c>
      <c r="D2860" s="1334" t="str">
        <f t="shared" si="427"/>
        <v>-</v>
      </c>
      <c r="E2860" s="1378">
        <f t="shared" si="427"/>
        <v>2</v>
      </c>
      <c r="F2860" s="1437">
        <f t="shared" si="419"/>
        <v>0</v>
      </c>
      <c r="G2860" s="1437">
        <f t="shared" si="420"/>
        <v>0</v>
      </c>
      <c r="H2860" s="1437">
        <f t="shared" si="421"/>
        <v>0</v>
      </c>
      <c r="I2860" s="1437">
        <v>0</v>
      </c>
      <c r="J2860" s="1437">
        <v>0</v>
      </c>
      <c r="K2860" s="1438"/>
      <c r="L2860" s="1438"/>
      <c r="M2860" s="1437">
        <f t="shared" si="422"/>
        <v>0</v>
      </c>
      <c r="N2860" s="1437">
        <f t="shared" si="423"/>
        <v>0</v>
      </c>
    </row>
    <row r="2861" spans="1:16" ht="31" outlineLevel="1">
      <c r="A2861" s="1491" t="str">
        <f t="shared" si="427"/>
        <v>8, 20</v>
      </c>
      <c r="B2861" s="1523" t="str">
        <f t="shared" si="427"/>
        <v>Procurement &amp; Installation of EMS system at Unit-8 NPTPS Parli-Vaijnath</v>
      </c>
      <c r="C2861" s="1492" t="str">
        <f t="shared" si="427"/>
        <v>Add Cap (As per 296 of 2019)</v>
      </c>
      <c r="D2861" s="1514" t="str">
        <f t="shared" si="427"/>
        <v>-</v>
      </c>
      <c r="E2861" s="1394">
        <f t="shared" si="427"/>
        <v>1</v>
      </c>
      <c r="F2861" s="1437">
        <f t="shared" si="419"/>
        <v>0.144170512</v>
      </c>
      <c r="G2861" s="1437">
        <f t="shared" si="420"/>
        <v>0.144170512</v>
      </c>
      <c r="H2861" s="1437">
        <f t="shared" si="421"/>
        <v>0</v>
      </c>
      <c r="I2861" s="1437">
        <v>0</v>
      </c>
      <c r="J2861" s="1437">
        <v>0</v>
      </c>
      <c r="K2861" s="1438"/>
      <c r="L2861" s="1438"/>
      <c r="M2861" s="1437">
        <f t="shared" si="422"/>
        <v>0</v>
      </c>
      <c r="N2861" s="1437">
        <f t="shared" si="423"/>
        <v>0</v>
      </c>
    </row>
    <row r="2862" spans="1:16" ht="31" outlineLevel="1">
      <c r="A2862" s="1491">
        <f t="shared" si="427"/>
        <v>21</v>
      </c>
      <c r="B2862" s="1515" t="str">
        <f t="shared" si="427"/>
        <v>Conveyor-5 of  stacking/reclaiming belt double drive arrangement.</v>
      </c>
      <c r="C2862" s="1492" t="str">
        <f t="shared" si="427"/>
        <v>Add Cap (As per 296 of 2019)</v>
      </c>
      <c r="D2862" s="1334" t="str">
        <f t="shared" si="427"/>
        <v>-</v>
      </c>
      <c r="E2862" s="1524">
        <f t="shared" si="427"/>
        <v>2</v>
      </c>
      <c r="F2862" s="1437">
        <f t="shared" si="419"/>
        <v>2.0431699999999999</v>
      </c>
      <c r="G2862" s="1437">
        <f t="shared" si="420"/>
        <v>2.0431699999999999</v>
      </c>
      <c r="H2862" s="1437">
        <f t="shared" si="421"/>
        <v>0</v>
      </c>
      <c r="I2862" s="1437">
        <v>0</v>
      </c>
      <c r="J2862" s="1437">
        <v>0</v>
      </c>
      <c r="K2862" s="1438"/>
      <c r="L2862" s="1438"/>
      <c r="M2862" s="1437">
        <f t="shared" si="422"/>
        <v>0</v>
      </c>
      <c r="N2862" s="1437">
        <f t="shared" si="423"/>
        <v>0</v>
      </c>
    </row>
    <row r="2863" spans="1:16" ht="15.5" outlineLevel="1">
      <c r="A2863" s="1491">
        <f t="shared" si="427"/>
        <v>22</v>
      </c>
      <c r="B2863" s="1377" t="str">
        <f t="shared" si="427"/>
        <v>Chemical lab building</v>
      </c>
      <c r="C2863" s="1492" t="str">
        <f t="shared" si="427"/>
        <v>Add Cap (As per 296 of 2019)</v>
      </c>
      <c r="D2863" s="1334" t="str">
        <f t="shared" si="427"/>
        <v>-</v>
      </c>
      <c r="E2863" s="1384">
        <f t="shared" si="427"/>
        <v>1.5</v>
      </c>
      <c r="F2863" s="1437">
        <f t="shared" si="419"/>
        <v>0</v>
      </c>
      <c r="G2863" s="1437">
        <f t="shared" si="420"/>
        <v>0</v>
      </c>
      <c r="H2863" s="1437">
        <f t="shared" si="421"/>
        <v>0</v>
      </c>
      <c r="I2863" s="1437">
        <v>0</v>
      </c>
      <c r="J2863" s="1437">
        <v>0</v>
      </c>
      <c r="K2863" s="1438"/>
      <c r="L2863" s="1438"/>
      <c r="M2863" s="1437">
        <f t="shared" si="422"/>
        <v>0</v>
      </c>
      <c r="N2863" s="1437">
        <f t="shared" si="423"/>
        <v>0</v>
      </c>
    </row>
    <row r="2864" spans="1:16" ht="15.5" outlineLevel="1">
      <c r="A2864" s="1491">
        <f t="shared" si="427"/>
        <v>23</v>
      </c>
      <c r="B2864" s="1377" t="str">
        <f t="shared" si="427"/>
        <v>Chemical store</v>
      </c>
      <c r="C2864" s="1492" t="str">
        <f t="shared" si="427"/>
        <v>Add Cap (As per 296 of 2019)</v>
      </c>
      <c r="D2864" s="1334" t="str">
        <f t="shared" si="427"/>
        <v>-</v>
      </c>
      <c r="E2864" s="1384">
        <f t="shared" si="427"/>
        <v>2.5</v>
      </c>
      <c r="F2864" s="1437">
        <f t="shared" si="419"/>
        <v>0</v>
      </c>
      <c r="G2864" s="1437">
        <f t="shared" si="420"/>
        <v>0</v>
      </c>
      <c r="H2864" s="1437">
        <f t="shared" si="421"/>
        <v>0</v>
      </c>
      <c r="I2864" s="1437">
        <v>0</v>
      </c>
      <c r="J2864" s="1437">
        <v>0</v>
      </c>
      <c r="K2864" s="1438"/>
      <c r="L2864" s="1438"/>
      <c r="M2864" s="1437">
        <f t="shared" si="422"/>
        <v>0</v>
      </c>
      <c r="N2864" s="1437">
        <f t="shared" si="423"/>
        <v>0</v>
      </c>
    </row>
    <row r="2865" spans="1:14" outlineLevel="1">
      <c r="A2865" s="1491">
        <f t="shared" si="427"/>
        <v>24</v>
      </c>
      <c r="B2865" s="1397" t="str">
        <f t="shared" si="427"/>
        <v xml:space="preserve"> Lawn development around NDCT.</v>
      </c>
      <c r="C2865" s="1492" t="str">
        <f t="shared" si="427"/>
        <v>Add Cap (As per 296 of 2019)</v>
      </c>
      <c r="D2865" s="1514" t="str">
        <f t="shared" si="427"/>
        <v>-</v>
      </c>
      <c r="E2865" s="1398">
        <f t="shared" si="427"/>
        <v>0.75</v>
      </c>
      <c r="F2865" s="1437">
        <f t="shared" si="419"/>
        <v>0</v>
      </c>
      <c r="G2865" s="1437">
        <f t="shared" si="420"/>
        <v>0</v>
      </c>
      <c r="H2865" s="1437">
        <f t="shared" si="421"/>
        <v>0</v>
      </c>
      <c r="I2865" s="1437">
        <v>0</v>
      </c>
      <c r="J2865" s="1437">
        <v>0</v>
      </c>
      <c r="K2865" s="1438"/>
      <c r="L2865" s="1438"/>
      <c r="M2865" s="1437">
        <f t="shared" si="422"/>
        <v>0</v>
      </c>
      <c r="N2865" s="1437">
        <f t="shared" si="423"/>
        <v>0</v>
      </c>
    </row>
    <row r="2866" spans="1:14" outlineLevel="1">
      <c r="A2866" s="1491">
        <f t="shared" si="427"/>
        <v>25</v>
      </c>
      <c r="B2866" s="1399" t="str">
        <f t="shared" si="427"/>
        <v>Tree plantation &amp; greenery along road side.</v>
      </c>
      <c r="C2866" s="1492" t="str">
        <f t="shared" si="427"/>
        <v>Add Cap (As per 296 of 2019)</v>
      </c>
      <c r="D2866" s="1334" t="str">
        <f t="shared" si="427"/>
        <v>-</v>
      </c>
      <c r="E2866" s="1400">
        <f t="shared" si="427"/>
        <v>0.5</v>
      </c>
      <c r="F2866" s="1437">
        <f t="shared" si="419"/>
        <v>0</v>
      </c>
      <c r="G2866" s="1437">
        <f t="shared" si="420"/>
        <v>0</v>
      </c>
      <c r="H2866" s="1437">
        <f t="shared" si="421"/>
        <v>0</v>
      </c>
      <c r="I2866" s="1437">
        <v>0</v>
      </c>
      <c r="J2866" s="1437">
        <v>0</v>
      </c>
      <c r="K2866" s="1438"/>
      <c r="L2866" s="1438"/>
      <c r="M2866" s="1437">
        <f t="shared" si="422"/>
        <v>0</v>
      </c>
      <c r="N2866" s="1437">
        <f t="shared" si="423"/>
        <v>0</v>
      </c>
    </row>
    <row r="2867" spans="1:14" outlineLevel="1">
      <c r="A2867" s="1491">
        <f t="shared" si="427"/>
        <v>26</v>
      </c>
      <c r="B2867" s="1399" t="str">
        <f t="shared" si="427"/>
        <v>Greenery development in area between  WTP &amp; main plant.</v>
      </c>
      <c r="C2867" s="1492" t="str">
        <f t="shared" si="427"/>
        <v>Add Cap (As per 296 of 2019)</v>
      </c>
      <c r="D2867" s="1334" t="str">
        <f t="shared" si="427"/>
        <v>-</v>
      </c>
      <c r="E2867" s="1400">
        <f t="shared" si="427"/>
        <v>1.25</v>
      </c>
      <c r="F2867" s="1437">
        <f t="shared" si="419"/>
        <v>0</v>
      </c>
      <c r="G2867" s="1437">
        <f t="shared" si="420"/>
        <v>0</v>
      </c>
      <c r="H2867" s="1437">
        <f t="shared" si="421"/>
        <v>0</v>
      </c>
      <c r="I2867" s="1437">
        <v>0</v>
      </c>
      <c r="J2867" s="1437">
        <v>0</v>
      </c>
      <c r="K2867" s="1438"/>
      <c r="L2867" s="1438"/>
      <c r="M2867" s="1437">
        <f t="shared" si="422"/>
        <v>0</v>
      </c>
      <c r="N2867" s="1437">
        <f t="shared" si="423"/>
        <v>0</v>
      </c>
    </row>
    <row r="2868" spans="1:14" ht="15.5" outlineLevel="1">
      <c r="A2868" s="1491">
        <f t="shared" si="427"/>
        <v>27</v>
      </c>
      <c r="B2868" s="1385" t="str">
        <f t="shared" si="427"/>
        <v>Construction of staff rooms &amp; store for CHP maint..</v>
      </c>
      <c r="C2868" s="1492" t="str">
        <f t="shared" si="427"/>
        <v>Add Cap (As per 296 of 2019)</v>
      </c>
      <c r="D2868" s="1334" t="str">
        <f t="shared" si="427"/>
        <v>-</v>
      </c>
      <c r="E2868" s="1378">
        <f t="shared" si="427"/>
        <v>1</v>
      </c>
      <c r="F2868" s="1437">
        <f t="shared" si="419"/>
        <v>0.90702717499999985</v>
      </c>
      <c r="G2868" s="1437">
        <f t="shared" si="420"/>
        <v>0.90702717499999996</v>
      </c>
      <c r="H2868" s="1437">
        <f t="shared" si="421"/>
        <v>0</v>
      </c>
      <c r="I2868" s="1437">
        <v>0</v>
      </c>
      <c r="J2868" s="1437">
        <v>0</v>
      </c>
      <c r="K2868" s="1438"/>
      <c r="L2868" s="1438"/>
      <c r="M2868" s="1437">
        <f t="shared" si="422"/>
        <v>0</v>
      </c>
      <c r="N2868" s="1437">
        <f t="shared" si="423"/>
        <v>0</v>
      </c>
    </row>
    <row r="2869" spans="1:14" ht="15.5" outlineLevel="1">
      <c r="A2869" s="1491">
        <f t="shared" si="427"/>
        <v>28</v>
      </c>
      <c r="B2869" s="1377" t="str">
        <f t="shared" si="427"/>
        <v xml:space="preserve">Dsludg filteration for raw water </v>
      </c>
      <c r="C2869" s="1492" t="str">
        <f t="shared" si="427"/>
        <v>Add Cap (As per 296 of 2019)</v>
      </c>
      <c r="D2869" s="1334" t="str">
        <f t="shared" si="427"/>
        <v>-</v>
      </c>
      <c r="E2869" s="1401">
        <f t="shared" si="427"/>
        <v>17</v>
      </c>
      <c r="F2869" s="1437">
        <f t="shared" si="419"/>
        <v>0</v>
      </c>
      <c r="G2869" s="1437">
        <f t="shared" si="420"/>
        <v>0</v>
      </c>
      <c r="H2869" s="1437">
        <f t="shared" si="421"/>
        <v>0</v>
      </c>
      <c r="I2869" s="1437">
        <v>0</v>
      </c>
      <c r="J2869" s="1437">
        <v>0</v>
      </c>
      <c r="K2869" s="1438"/>
      <c r="L2869" s="1438"/>
      <c r="M2869" s="1437">
        <f t="shared" si="422"/>
        <v>0</v>
      </c>
      <c r="N2869" s="1437">
        <f t="shared" si="423"/>
        <v>0</v>
      </c>
    </row>
    <row r="2870" spans="1:14" ht="15.5" outlineLevel="1">
      <c r="A2870" s="1491">
        <f t="shared" si="427"/>
        <v>29</v>
      </c>
      <c r="B2870" s="1525" t="str">
        <f t="shared" si="427"/>
        <v>PLC/UPS system  upgradation</v>
      </c>
      <c r="C2870" s="1492" t="str">
        <f t="shared" si="427"/>
        <v>Add Cap (As per 296 of 2019)</v>
      </c>
      <c r="D2870" s="1514" t="str">
        <f t="shared" si="427"/>
        <v>-</v>
      </c>
      <c r="E2870" s="1498">
        <f t="shared" si="427"/>
        <v>0.5</v>
      </c>
      <c r="F2870" s="1437">
        <f t="shared" si="419"/>
        <v>0.40149499999999999</v>
      </c>
      <c r="G2870" s="1437">
        <f t="shared" si="420"/>
        <v>0.40149499999999999</v>
      </c>
      <c r="H2870" s="1437">
        <f t="shared" si="421"/>
        <v>0</v>
      </c>
      <c r="I2870" s="1437">
        <v>0</v>
      </c>
      <c r="J2870" s="1437">
        <v>0</v>
      </c>
      <c r="K2870" s="1438"/>
      <c r="L2870" s="1438"/>
      <c r="M2870" s="1437">
        <f t="shared" si="422"/>
        <v>0</v>
      </c>
      <c r="N2870" s="1437">
        <f t="shared" si="423"/>
        <v>0</v>
      </c>
    </row>
    <row r="2871" spans="1:14" outlineLevel="1">
      <c r="A2871" s="1392">
        <f t="shared" ref="A2871:E2886" si="428">A2478</f>
        <v>0</v>
      </c>
      <c r="B2871" s="1332" t="str">
        <f t="shared" si="428"/>
        <v>DPR Schemes</v>
      </c>
      <c r="C2871" s="1338">
        <f t="shared" si="428"/>
        <v>0</v>
      </c>
      <c r="D2871" s="1334" t="str">
        <f t="shared" si="428"/>
        <v>-</v>
      </c>
      <c r="E2871" s="1336">
        <f t="shared" si="428"/>
        <v>0</v>
      </c>
      <c r="F2871" s="1437">
        <f t="shared" si="419"/>
        <v>0</v>
      </c>
      <c r="G2871" s="1437">
        <f t="shared" si="420"/>
        <v>0</v>
      </c>
      <c r="H2871" s="1437">
        <f t="shared" si="421"/>
        <v>0</v>
      </c>
      <c r="I2871" s="1437">
        <v>0</v>
      </c>
      <c r="J2871" s="1437">
        <v>0</v>
      </c>
      <c r="K2871" s="1438"/>
      <c r="L2871" s="1438"/>
      <c r="M2871" s="1437">
        <f t="shared" si="422"/>
        <v>0</v>
      </c>
      <c r="N2871" s="1437">
        <f t="shared" si="423"/>
        <v>0</v>
      </c>
    </row>
    <row r="2872" spans="1:14" outlineLevel="1">
      <c r="A2872" s="1526">
        <f t="shared" si="428"/>
        <v>22</v>
      </c>
      <c r="B2872" s="1527" t="str">
        <f t="shared" si="428"/>
        <v>FGD at Parli Unit # 8</v>
      </c>
      <c r="C2872" s="1526" t="str">
        <f t="shared" si="428"/>
        <v>MERC/CAPEX/2021-2022/0284</v>
      </c>
      <c r="D2872" s="1528">
        <f t="shared" si="428"/>
        <v>44739</v>
      </c>
      <c r="E2872" s="1405">
        <f t="shared" si="428"/>
        <v>89.240000000000009</v>
      </c>
      <c r="F2872" s="1437">
        <f t="shared" si="419"/>
        <v>4.0999999999999996</v>
      </c>
      <c r="G2872" s="1437">
        <f t="shared" si="420"/>
        <v>0</v>
      </c>
      <c r="H2872" s="1437">
        <f t="shared" si="421"/>
        <v>4.0999999999999996</v>
      </c>
      <c r="I2872" s="1437">
        <v>0</v>
      </c>
      <c r="J2872" s="1437">
        <v>0</v>
      </c>
      <c r="K2872" s="1438"/>
      <c r="L2872" s="1438"/>
      <c r="M2872" s="1437">
        <f t="shared" si="422"/>
        <v>0</v>
      </c>
      <c r="N2872" s="1437">
        <f t="shared" si="423"/>
        <v>4.0999999999999996</v>
      </c>
    </row>
    <row r="2873" spans="1:14" outlineLevel="1">
      <c r="A2873" s="1499">
        <f t="shared" si="428"/>
        <v>22.1</v>
      </c>
      <c r="B2873" s="1530" t="str">
        <f t="shared" si="428"/>
        <v>FGD at Parli Unit # 8</v>
      </c>
      <c r="C2873" s="1491" t="str">
        <f t="shared" si="428"/>
        <v>MERC/CAPEX/2021-2022/0284</v>
      </c>
      <c r="D2873" s="1531">
        <f t="shared" si="428"/>
        <v>44739</v>
      </c>
      <c r="E2873" s="1318">
        <f t="shared" si="428"/>
        <v>85.2</v>
      </c>
      <c r="F2873" s="1437">
        <f t="shared" si="419"/>
        <v>95.21</v>
      </c>
      <c r="G2873" s="1437">
        <f t="shared" si="420"/>
        <v>108.86</v>
      </c>
      <c r="H2873" s="1437">
        <f t="shared" si="421"/>
        <v>-13.650000000000006</v>
      </c>
      <c r="I2873" s="1437">
        <v>0</v>
      </c>
      <c r="J2873" s="1437">
        <v>0</v>
      </c>
      <c r="K2873" s="1438"/>
      <c r="L2873" s="1438"/>
      <c r="M2873" s="1437">
        <f t="shared" si="422"/>
        <v>0</v>
      </c>
      <c r="N2873" s="1437">
        <f t="shared" si="423"/>
        <v>-13.650000000000006</v>
      </c>
    </row>
    <row r="2874" spans="1:14" outlineLevel="1">
      <c r="A2874" s="1511">
        <f t="shared" si="428"/>
        <v>0</v>
      </c>
      <c r="B2874" s="1532" t="str">
        <f t="shared" si="428"/>
        <v>IDC</v>
      </c>
      <c r="C2874" s="1491" t="str">
        <f t="shared" si="428"/>
        <v>MERC/CAPEX/2021-2022/0284</v>
      </c>
      <c r="D2874" s="1531">
        <f t="shared" si="428"/>
        <v>44739</v>
      </c>
      <c r="E2874" s="1318">
        <f t="shared" si="428"/>
        <v>4.04</v>
      </c>
      <c r="F2874" s="1437">
        <f t="shared" si="419"/>
        <v>4.04</v>
      </c>
      <c r="G2874" s="1437">
        <f t="shared" si="420"/>
        <v>0</v>
      </c>
      <c r="H2874" s="1437">
        <f t="shared" si="421"/>
        <v>4.04</v>
      </c>
      <c r="I2874" s="1437">
        <v>0</v>
      </c>
      <c r="J2874" s="1437">
        <v>0</v>
      </c>
      <c r="K2874" s="1438"/>
      <c r="L2874" s="1438"/>
      <c r="M2874" s="1437">
        <f t="shared" si="422"/>
        <v>0</v>
      </c>
      <c r="N2874" s="1437">
        <f t="shared" si="423"/>
        <v>4.04</v>
      </c>
    </row>
    <row r="2875" spans="1:14" ht="31" outlineLevel="1">
      <c r="A2875" s="1533" t="str">
        <f t="shared" si="428"/>
        <v>HO
DPR 16</v>
      </c>
      <c r="B2875" s="1534" t="str">
        <f t="shared" si="428"/>
        <v>Construction of new Administrative Building for Mahagenco at Vidyut Bhawan, Katol Road, Nagpur</v>
      </c>
      <c r="C2875" s="1526" t="str">
        <f t="shared" si="428"/>
        <v>MERC/CAPEX/2021-2022/MSPGCL/063</v>
      </c>
      <c r="D2875" s="1528">
        <f t="shared" si="428"/>
        <v>44604</v>
      </c>
      <c r="E2875" s="1405">
        <f t="shared" si="428"/>
        <v>57</v>
      </c>
      <c r="F2875" s="1437">
        <f t="shared" si="419"/>
        <v>0</v>
      </c>
      <c r="G2875" s="1437">
        <f t="shared" si="420"/>
        <v>0</v>
      </c>
      <c r="H2875" s="1437">
        <f t="shared" si="421"/>
        <v>0</v>
      </c>
      <c r="I2875" s="1437">
        <v>0</v>
      </c>
      <c r="J2875" s="1437">
        <v>0</v>
      </c>
      <c r="K2875" s="1438"/>
      <c r="L2875" s="1438"/>
      <c r="M2875" s="1437">
        <f t="shared" si="422"/>
        <v>0</v>
      </c>
      <c r="N2875" s="1437">
        <f t="shared" si="423"/>
        <v>0</v>
      </c>
    </row>
    <row r="2876" spans="1:14" ht="46.5" outlineLevel="1">
      <c r="A2876" s="1535" t="str">
        <f t="shared" si="428"/>
        <v>HO
DPR 16.1</v>
      </c>
      <c r="B2876" s="1536" t="str">
        <f t="shared" si="428"/>
        <v>Construction of new Administrative Building for Mahagenco at Vidyut Bhawan, Katol Road, Nagpur</v>
      </c>
      <c r="C2876" s="1491" t="str">
        <f t="shared" si="428"/>
        <v>MERC/CAPEX/2021-2022/MSPGCL/063</v>
      </c>
      <c r="D2876" s="1531">
        <f t="shared" si="428"/>
        <v>44604</v>
      </c>
      <c r="E2876" s="1318">
        <f t="shared" si="428"/>
        <v>54.24</v>
      </c>
      <c r="F2876" s="1437">
        <f t="shared" si="419"/>
        <v>0</v>
      </c>
      <c r="G2876" s="1437">
        <f t="shared" si="420"/>
        <v>0</v>
      </c>
      <c r="H2876" s="1437">
        <f t="shared" si="421"/>
        <v>0</v>
      </c>
      <c r="I2876" s="1437">
        <v>0</v>
      </c>
      <c r="J2876" s="1437">
        <v>0</v>
      </c>
      <c r="K2876" s="1438"/>
      <c r="L2876" s="1438"/>
      <c r="M2876" s="1437">
        <f t="shared" si="422"/>
        <v>0</v>
      </c>
      <c r="N2876" s="1437">
        <f t="shared" si="423"/>
        <v>0</v>
      </c>
    </row>
    <row r="2877" spans="1:14" ht="15.5" outlineLevel="1">
      <c r="A2877" s="1537">
        <f t="shared" si="428"/>
        <v>0</v>
      </c>
      <c r="B2877" s="1536" t="str">
        <f t="shared" si="428"/>
        <v>IDC</v>
      </c>
      <c r="C2877" s="1491" t="str">
        <f t="shared" si="428"/>
        <v>MERC/CAPEX/2021-2022/MSPGCL/063</v>
      </c>
      <c r="D2877" s="1531">
        <f t="shared" si="428"/>
        <v>44604</v>
      </c>
      <c r="E2877" s="1318">
        <f t="shared" si="428"/>
        <v>2.76</v>
      </c>
      <c r="F2877" s="1437">
        <f t="shared" si="419"/>
        <v>0</v>
      </c>
      <c r="G2877" s="1437">
        <f t="shared" si="420"/>
        <v>0</v>
      </c>
      <c r="H2877" s="1437">
        <f t="shared" si="421"/>
        <v>0</v>
      </c>
      <c r="I2877" s="1437">
        <v>0</v>
      </c>
      <c r="J2877" s="1437">
        <v>0</v>
      </c>
      <c r="K2877" s="1438"/>
      <c r="L2877" s="1438"/>
      <c r="M2877" s="1437">
        <f t="shared" si="422"/>
        <v>0</v>
      </c>
      <c r="N2877" s="1437">
        <f t="shared" si="423"/>
        <v>0</v>
      </c>
    </row>
    <row r="2878" spans="1:14" ht="31" outlineLevel="1">
      <c r="A2878" s="1533" t="str">
        <f t="shared" si="428"/>
        <v>HO
DPR 17</v>
      </c>
      <c r="B2878" s="1534" t="str">
        <f t="shared" si="428"/>
        <v>Centralized Monitoring Solution</v>
      </c>
      <c r="C2878" s="1526" t="str">
        <f t="shared" si="428"/>
        <v>MERC/CAPEX/MSPGCL/2023-24/0576</v>
      </c>
      <c r="D2878" s="1528">
        <f t="shared" si="428"/>
        <v>45232</v>
      </c>
      <c r="E2878" s="1405">
        <f t="shared" si="428"/>
        <v>69.308999999999997</v>
      </c>
      <c r="F2878" s="1437">
        <f t="shared" si="419"/>
        <v>0</v>
      </c>
      <c r="G2878" s="1437">
        <f t="shared" si="420"/>
        <v>0</v>
      </c>
      <c r="H2878" s="1437">
        <f t="shared" si="421"/>
        <v>0</v>
      </c>
      <c r="I2878" s="1437">
        <v>0</v>
      </c>
      <c r="J2878" s="1437">
        <v>0</v>
      </c>
      <c r="K2878" s="1438"/>
      <c r="L2878" s="1438"/>
      <c r="M2878" s="1437">
        <f t="shared" si="422"/>
        <v>0</v>
      </c>
      <c r="N2878" s="1437">
        <f t="shared" si="423"/>
        <v>0</v>
      </c>
    </row>
    <row r="2879" spans="1:14" ht="46.5" outlineLevel="1">
      <c r="A2879" s="1535" t="str">
        <f t="shared" si="428"/>
        <v>HO
DPR 17.1</v>
      </c>
      <c r="B2879" s="1536" t="str">
        <f t="shared" si="428"/>
        <v>Centralized Monitoring Solution</v>
      </c>
      <c r="C2879" s="1491" t="str">
        <f t="shared" si="428"/>
        <v>MERC/CAPEX/MSPGCL/2023-24/0576</v>
      </c>
      <c r="D2879" s="1531">
        <f t="shared" si="428"/>
        <v>45232</v>
      </c>
      <c r="E2879" s="1318">
        <f t="shared" si="428"/>
        <v>66.009</v>
      </c>
      <c r="F2879" s="1437">
        <f t="shared" si="419"/>
        <v>2.23</v>
      </c>
      <c r="G2879" s="1437">
        <f t="shared" si="420"/>
        <v>2.23</v>
      </c>
      <c r="H2879" s="1437">
        <f t="shared" si="421"/>
        <v>0</v>
      </c>
      <c r="I2879" s="1437">
        <v>0</v>
      </c>
      <c r="J2879" s="1437">
        <v>0</v>
      </c>
      <c r="K2879" s="1438"/>
      <c r="L2879" s="1438"/>
      <c r="M2879" s="1437">
        <f t="shared" si="422"/>
        <v>0</v>
      </c>
      <c r="N2879" s="1437">
        <f t="shared" si="423"/>
        <v>0</v>
      </c>
    </row>
    <row r="2880" spans="1:14" ht="15.5" outlineLevel="1">
      <c r="A2880" s="1537">
        <f t="shared" si="428"/>
        <v>0</v>
      </c>
      <c r="B2880" s="1536" t="str">
        <f t="shared" si="428"/>
        <v>IDC</v>
      </c>
      <c r="C2880" s="1491" t="str">
        <f t="shared" si="428"/>
        <v>MERC/CAPEX/MSPGCL/2023-24/0576</v>
      </c>
      <c r="D2880" s="1531">
        <f t="shared" si="428"/>
        <v>45232</v>
      </c>
      <c r="E2880" s="1318">
        <f t="shared" si="428"/>
        <v>3.3</v>
      </c>
      <c r="F2880" s="1437">
        <f t="shared" si="419"/>
        <v>0</v>
      </c>
      <c r="G2880" s="1437">
        <f t="shared" si="420"/>
        <v>0</v>
      </c>
      <c r="H2880" s="1437">
        <f t="shared" si="421"/>
        <v>0</v>
      </c>
      <c r="I2880" s="1437">
        <v>0</v>
      </c>
      <c r="J2880" s="1437">
        <v>0</v>
      </c>
      <c r="K2880" s="1438"/>
      <c r="L2880" s="1438"/>
      <c r="M2880" s="1437">
        <f t="shared" si="422"/>
        <v>0</v>
      </c>
      <c r="N2880" s="1437">
        <f t="shared" si="423"/>
        <v>0</v>
      </c>
    </row>
    <row r="2881" spans="1:14" outlineLevel="1">
      <c r="A2881" s="1505">
        <f t="shared" si="428"/>
        <v>0</v>
      </c>
      <c r="B2881" s="1332" t="str">
        <f t="shared" si="428"/>
        <v>(ii) Yet to be submitted to MERC</v>
      </c>
      <c r="C2881" s="1491">
        <f t="shared" si="428"/>
        <v>0</v>
      </c>
      <c r="D2881" s="1531" t="str">
        <f t="shared" si="428"/>
        <v>-</v>
      </c>
      <c r="E2881" s="1318">
        <f t="shared" si="428"/>
        <v>0</v>
      </c>
      <c r="F2881" s="1437">
        <f t="shared" si="419"/>
        <v>0</v>
      </c>
      <c r="G2881" s="1437">
        <f t="shared" si="420"/>
        <v>0</v>
      </c>
      <c r="H2881" s="1437">
        <f t="shared" si="421"/>
        <v>0</v>
      </c>
      <c r="I2881" s="1437">
        <v>0</v>
      </c>
      <c r="J2881" s="1437">
        <v>0</v>
      </c>
      <c r="K2881" s="1438"/>
      <c r="L2881" s="1438"/>
      <c r="M2881" s="1437">
        <f t="shared" si="422"/>
        <v>0</v>
      </c>
      <c r="N2881" s="1437">
        <f t="shared" si="423"/>
        <v>0</v>
      </c>
    </row>
    <row r="2882" spans="1:14" ht="46.5" outlineLevel="1">
      <c r="A2882" s="1533">
        <f t="shared" si="428"/>
        <v>1</v>
      </c>
      <c r="B2882" s="1534" t="str">
        <f t="shared" si="428"/>
        <v xml:space="preserve">Detailed Project Report on  Boiler plant performance improvement and availability improvement schemes at Boiler Maintenance 1x250MW Unit-8 TPS Parli-V </v>
      </c>
      <c r="C2882" s="1526" t="str">
        <f t="shared" si="428"/>
        <v>Yet to be approved</v>
      </c>
      <c r="D2882" s="1528" t="str">
        <f t="shared" si="428"/>
        <v>-</v>
      </c>
      <c r="E2882" s="1405">
        <f t="shared" si="428"/>
        <v>0</v>
      </c>
      <c r="F2882" s="1437">
        <f t="shared" si="419"/>
        <v>0</v>
      </c>
      <c r="G2882" s="1437">
        <f t="shared" si="420"/>
        <v>0</v>
      </c>
      <c r="H2882" s="1437">
        <f t="shared" si="421"/>
        <v>0</v>
      </c>
      <c r="I2882" s="1437">
        <v>0</v>
      </c>
      <c r="J2882" s="1437">
        <v>0</v>
      </c>
      <c r="K2882" s="1438"/>
      <c r="L2882" s="1438"/>
      <c r="M2882" s="1437">
        <f t="shared" si="422"/>
        <v>0</v>
      </c>
      <c r="N2882" s="1437">
        <f t="shared" si="423"/>
        <v>0</v>
      </c>
    </row>
    <row r="2883" spans="1:14" ht="29" outlineLevel="1">
      <c r="A2883" s="1491">
        <f t="shared" si="428"/>
        <v>1.1000000000000001</v>
      </c>
      <c r="B2883" s="1530" t="str">
        <f t="shared" si="428"/>
        <v>Procurement &amp; Replacement of Complete Economizer Upper &amp; Lower Bank Coil Assemblies at Unit-8, NPTPS Parli-V</v>
      </c>
      <c r="C2883" s="1491" t="str">
        <f t="shared" si="428"/>
        <v>Yet to be approved</v>
      </c>
      <c r="D2883" s="1531" t="str">
        <f t="shared" si="428"/>
        <v>-</v>
      </c>
      <c r="E2883" s="1318">
        <f t="shared" si="428"/>
        <v>0</v>
      </c>
      <c r="F2883" s="1437">
        <f t="shared" si="419"/>
        <v>5.68</v>
      </c>
      <c r="G2883" s="1437">
        <f t="shared" si="420"/>
        <v>5.68</v>
      </c>
      <c r="H2883" s="1437">
        <f t="shared" si="421"/>
        <v>0</v>
      </c>
      <c r="I2883" s="1437">
        <v>0</v>
      </c>
      <c r="J2883" s="1437">
        <v>0</v>
      </c>
      <c r="K2883" s="1438"/>
      <c r="L2883" s="1438"/>
      <c r="M2883" s="1437">
        <f t="shared" si="422"/>
        <v>0</v>
      </c>
      <c r="N2883" s="1437">
        <f t="shared" si="423"/>
        <v>0</v>
      </c>
    </row>
    <row r="2884" spans="1:14" ht="29" outlineLevel="1">
      <c r="A2884" s="1491">
        <f t="shared" si="428"/>
        <v>1.2</v>
      </c>
      <c r="B2884" s="1530" t="str">
        <f t="shared" si="428"/>
        <v>Procurement &amp; Replacement of Two complete set of APH Baskets at 250 MW Unit-8, Parli TPS.</v>
      </c>
      <c r="C2884" s="1491" t="str">
        <f t="shared" si="428"/>
        <v>Yet to be approved</v>
      </c>
      <c r="D2884" s="1531" t="str">
        <f t="shared" si="428"/>
        <v>-</v>
      </c>
      <c r="E2884" s="1318">
        <f t="shared" si="428"/>
        <v>0</v>
      </c>
      <c r="F2884" s="1437">
        <f t="shared" si="419"/>
        <v>4.5</v>
      </c>
      <c r="G2884" s="1437">
        <f t="shared" si="420"/>
        <v>4.5</v>
      </c>
      <c r="H2884" s="1437">
        <f t="shared" si="421"/>
        <v>0</v>
      </c>
      <c r="I2884" s="1437">
        <v>0</v>
      </c>
      <c r="J2884" s="1437">
        <v>0</v>
      </c>
      <c r="K2884" s="1438"/>
      <c r="L2884" s="1438"/>
      <c r="M2884" s="1437">
        <f t="shared" si="422"/>
        <v>0</v>
      </c>
      <c r="N2884" s="1437">
        <f t="shared" si="423"/>
        <v>0</v>
      </c>
    </row>
    <row r="2885" spans="1:14" ht="29" outlineLevel="1">
      <c r="A2885" s="1491">
        <f t="shared" si="428"/>
        <v>1.3</v>
      </c>
      <c r="B2885" s="1530" t="str">
        <f t="shared" si="428"/>
        <v>Procurement &amp; replacement of  PA Fan PAF 17/11.8-2 and FD Fan FAF 17/9.5-1 Complete Blade set required at BM U-8 NPTPS Parli-V.</v>
      </c>
      <c r="C2885" s="1491" t="str">
        <f t="shared" si="428"/>
        <v>Yet to be approved</v>
      </c>
      <c r="D2885" s="1531" t="str">
        <f t="shared" si="428"/>
        <v>-</v>
      </c>
      <c r="E2885" s="1318">
        <f t="shared" si="428"/>
        <v>0</v>
      </c>
      <c r="F2885" s="1437">
        <f t="shared" si="419"/>
        <v>5.45</v>
      </c>
      <c r="G2885" s="1437">
        <f t="shared" si="420"/>
        <v>5.45</v>
      </c>
      <c r="H2885" s="1437">
        <f t="shared" si="421"/>
        <v>0</v>
      </c>
      <c r="I2885" s="1437">
        <v>0</v>
      </c>
      <c r="J2885" s="1437">
        <v>0</v>
      </c>
      <c r="K2885" s="1438"/>
      <c r="L2885" s="1438"/>
      <c r="M2885" s="1437">
        <f t="shared" si="422"/>
        <v>0</v>
      </c>
      <c r="N2885" s="1437">
        <f t="shared" si="423"/>
        <v>0</v>
      </c>
    </row>
    <row r="2886" spans="1:14" ht="29" outlineLevel="1">
      <c r="A2886" s="1491">
        <f t="shared" si="428"/>
        <v>1.4</v>
      </c>
      <c r="B2886" s="1530" t="str">
        <f t="shared" si="428"/>
        <v>Procurement &amp; Replacement of  Coal Mill Gear Box Type KMP 280 at 250 MW Unit-8, Parli TPS.</v>
      </c>
      <c r="C2886" s="1491" t="str">
        <f t="shared" si="428"/>
        <v>Yet to be approved</v>
      </c>
      <c r="D2886" s="1531" t="str">
        <f t="shared" si="428"/>
        <v>-</v>
      </c>
      <c r="E2886" s="1318">
        <f t="shared" si="428"/>
        <v>0</v>
      </c>
      <c r="F2886" s="1437">
        <f t="shared" si="419"/>
        <v>7.43</v>
      </c>
      <c r="G2886" s="1437">
        <f t="shared" si="420"/>
        <v>7.43</v>
      </c>
      <c r="H2886" s="1437">
        <f t="shared" si="421"/>
        <v>0</v>
      </c>
      <c r="I2886" s="1437">
        <v>0</v>
      </c>
      <c r="J2886" s="1437">
        <v>0</v>
      </c>
      <c r="K2886" s="1438"/>
      <c r="L2886" s="1438"/>
      <c r="M2886" s="1437">
        <f t="shared" si="422"/>
        <v>0</v>
      </c>
      <c r="N2886" s="1437">
        <f t="shared" si="423"/>
        <v>0</v>
      </c>
    </row>
    <row r="2887" spans="1:14" ht="29" outlineLevel="1">
      <c r="A2887" s="1491">
        <f t="shared" ref="A2887:E2902" si="429">A2494</f>
        <v>1.5</v>
      </c>
      <c r="B2887" s="1530" t="str">
        <f t="shared" si="429"/>
        <v>Procurement &amp; replacement of Bowl &amp; Bowl Hub Assembly of Coal Mill XRP-903 required at BM U-8 NPTPS Parli-V.</v>
      </c>
      <c r="C2887" s="1491" t="str">
        <f t="shared" si="429"/>
        <v>Yet to be approved</v>
      </c>
      <c r="D2887" s="1531" t="str">
        <f t="shared" si="429"/>
        <v>-</v>
      </c>
      <c r="E2887" s="1318">
        <f t="shared" si="429"/>
        <v>0</v>
      </c>
      <c r="F2887" s="1437">
        <f t="shared" si="419"/>
        <v>3.1</v>
      </c>
      <c r="G2887" s="1437">
        <f t="shared" si="420"/>
        <v>3.1</v>
      </c>
      <c r="H2887" s="1437">
        <f t="shared" si="421"/>
        <v>0</v>
      </c>
      <c r="I2887" s="1437">
        <v>0</v>
      </c>
      <c r="J2887" s="1437">
        <v>0</v>
      </c>
      <c r="K2887" s="1438"/>
      <c r="L2887" s="1438"/>
      <c r="M2887" s="1437">
        <f t="shared" ref="M2887" si="430">SUM(J2887:L2887)</f>
        <v>0</v>
      </c>
      <c r="N2887" s="1437">
        <f t="shared" si="423"/>
        <v>0</v>
      </c>
    </row>
    <row r="2888" spans="1:14" ht="29" outlineLevel="1">
      <c r="A2888" s="1491">
        <f t="shared" si="429"/>
        <v>1.6</v>
      </c>
      <c r="B2888" s="1530" t="str">
        <f t="shared" si="429"/>
        <v>Procurement of Complete Journal Assembly without Grinding roll for Coal Mill XRP-903  required at BM U-8 NPTPS Parli-V</v>
      </c>
      <c r="C2888" s="1491" t="str">
        <f t="shared" si="429"/>
        <v>Yet to be approved</v>
      </c>
      <c r="D2888" s="1531" t="str">
        <f t="shared" si="429"/>
        <v>-</v>
      </c>
      <c r="E2888" s="1318">
        <f t="shared" si="429"/>
        <v>0</v>
      </c>
      <c r="F2888" s="1437">
        <f t="shared" si="419"/>
        <v>1.29</v>
      </c>
      <c r="G2888" s="1437">
        <f t="shared" si="420"/>
        <v>1.29</v>
      </c>
      <c r="H2888" s="1437">
        <f t="shared" si="421"/>
        <v>0</v>
      </c>
      <c r="I2888" s="1437">
        <v>0</v>
      </c>
      <c r="J2888" s="1437">
        <v>0</v>
      </c>
      <c r="K2888" s="1438"/>
      <c r="L2888" s="1438"/>
      <c r="M2888" s="1437">
        <f t="shared" ref="M2888:M2952" si="431">SUM(J2888:L2888)</f>
        <v>0</v>
      </c>
      <c r="N2888" s="1437">
        <f t="shared" si="423"/>
        <v>0</v>
      </c>
    </row>
    <row r="2889" spans="1:14" ht="29" outlineLevel="1">
      <c r="A2889" s="1491">
        <f t="shared" si="429"/>
        <v>1.7</v>
      </c>
      <c r="B2889" s="1530" t="str">
        <f t="shared" si="429"/>
        <v>Procurement of  Hydraulic Adjustment Device for FD Fan FAF 17/9.5-1 at BM U-8 NPTPS Parli-V.</v>
      </c>
      <c r="C2889" s="1491" t="str">
        <f t="shared" si="429"/>
        <v>Yet to be approved</v>
      </c>
      <c r="D2889" s="1531" t="str">
        <f t="shared" si="429"/>
        <v>-</v>
      </c>
      <c r="E2889" s="1318">
        <f t="shared" si="429"/>
        <v>0</v>
      </c>
      <c r="F2889" s="1437">
        <f t="shared" si="419"/>
        <v>1.4</v>
      </c>
      <c r="G2889" s="1437">
        <f t="shared" si="420"/>
        <v>1.4</v>
      </c>
      <c r="H2889" s="1437">
        <f t="shared" si="421"/>
        <v>0</v>
      </c>
      <c r="I2889" s="1437">
        <v>0</v>
      </c>
      <c r="J2889" s="1437">
        <v>0</v>
      </c>
      <c r="K2889" s="1438"/>
      <c r="L2889" s="1438"/>
      <c r="M2889" s="1437">
        <f t="shared" si="431"/>
        <v>0</v>
      </c>
      <c r="N2889" s="1437">
        <f t="shared" si="423"/>
        <v>0</v>
      </c>
    </row>
    <row r="2890" spans="1:14" outlineLevel="1">
      <c r="A2890" s="1491">
        <f t="shared" si="429"/>
        <v>1.8</v>
      </c>
      <c r="B2890" s="1530" t="str">
        <f t="shared" si="429"/>
        <v>SWAS upgradation at U#8</v>
      </c>
      <c r="C2890" s="1491" t="str">
        <f t="shared" si="429"/>
        <v>Yet to be approved</v>
      </c>
      <c r="D2890" s="1531" t="str">
        <f t="shared" si="429"/>
        <v>-</v>
      </c>
      <c r="E2890" s="1318">
        <f t="shared" si="429"/>
        <v>0</v>
      </c>
      <c r="F2890" s="1437">
        <f t="shared" ref="F2890:F2953" si="432">F2497+I2497</f>
        <v>4.8</v>
      </c>
      <c r="G2890" s="1437">
        <f t="shared" ref="G2890:G2953" si="433">G2497+M2497</f>
        <v>4.8</v>
      </c>
      <c r="H2890" s="1437">
        <f t="shared" ref="H2890:H2954" si="434">F2890-G2890</f>
        <v>0</v>
      </c>
      <c r="I2890" s="1437">
        <v>0</v>
      </c>
      <c r="J2890" s="1437">
        <v>0</v>
      </c>
      <c r="K2890" s="1438"/>
      <c r="L2890" s="1438"/>
      <c r="M2890" s="1437">
        <f t="shared" si="431"/>
        <v>0</v>
      </c>
      <c r="N2890" s="1437">
        <f t="shared" ref="N2890:N2954" si="435">H2890+I2890-M2890</f>
        <v>0</v>
      </c>
    </row>
    <row r="2891" spans="1:14" ht="21" outlineLevel="1">
      <c r="A2891" s="1538">
        <f t="shared" si="429"/>
        <v>0</v>
      </c>
      <c r="B2891" s="1410" t="str">
        <f t="shared" si="429"/>
        <v>(ii) Yet to be submitted to MERC</v>
      </c>
      <c r="C2891" s="1491">
        <f t="shared" si="429"/>
        <v>0</v>
      </c>
      <c r="D2891" s="1531" t="str">
        <f t="shared" si="429"/>
        <v>-</v>
      </c>
      <c r="E2891" s="1318">
        <f t="shared" si="429"/>
        <v>0</v>
      </c>
      <c r="F2891" s="1437">
        <f t="shared" si="432"/>
        <v>0</v>
      </c>
      <c r="G2891" s="1437">
        <f t="shared" si="433"/>
        <v>0</v>
      </c>
      <c r="H2891" s="1437">
        <f t="shared" si="434"/>
        <v>0</v>
      </c>
      <c r="I2891" s="1437">
        <v>0</v>
      </c>
      <c r="J2891" s="1437">
        <v>0</v>
      </c>
      <c r="K2891" s="1438"/>
      <c r="L2891" s="1438"/>
      <c r="M2891" s="1437">
        <f t="shared" si="431"/>
        <v>0</v>
      </c>
      <c r="N2891" s="1437">
        <f t="shared" si="435"/>
        <v>0</v>
      </c>
    </row>
    <row r="2892" spans="1:14" ht="77.5" outlineLevel="1">
      <c r="A2892" s="1533">
        <f t="shared" si="429"/>
        <v>2</v>
      </c>
      <c r="B2892" s="1534" t="str">
        <f t="shared" si="429"/>
        <v xml:space="preserve"> Procurement &amp; Replacement of Complete Platen super heater coils  Coil Assemblies at Unit-8, TPS Parli-V,  Procurement &amp; Replacement of Complete LTSH upper &amp; lower bank Coil Assemblies at Unit-8, TPS Parli-V &amp;  Procurement &amp; Replacement of  Coal Mill Gear Box Type KMP 280 at 250 MW Unit-8, Parli TPS.</v>
      </c>
      <c r="C2892" s="1491" t="str">
        <f t="shared" si="429"/>
        <v>Yet to be approved</v>
      </c>
      <c r="D2892" s="1531" t="str">
        <f t="shared" si="429"/>
        <v>-</v>
      </c>
      <c r="E2892" s="1318">
        <f t="shared" si="429"/>
        <v>0</v>
      </c>
      <c r="F2892" s="1437">
        <f t="shared" si="432"/>
        <v>0</v>
      </c>
      <c r="G2892" s="1437">
        <f t="shared" si="433"/>
        <v>0</v>
      </c>
      <c r="H2892" s="1437">
        <f t="shared" si="434"/>
        <v>0</v>
      </c>
      <c r="I2892" s="1437">
        <v>0</v>
      </c>
      <c r="J2892" s="1437">
        <v>0</v>
      </c>
      <c r="K2892" s="1438"/>
      <c r="L2892" s="1438"/>
      <c r="M2892" s="1437">
        <f t="shared" si="431"/>
        <v>0</v>
      </c>
      <c r="N2892" s="1437">
        <f t="shared" si="435"/>
        <v>0</v>
      </c>
    </row>
    <row r="2893" spans="1:14" ht="29" outlineLevel="1">
      <c r="A2893" s="1491">
        <f t="shared" si="429"/>
        <v>2.1</v>
      </c>
      <c r="B2893" s="1530" t="str">
        <f t="shared" si="429"/>
        <v>Procurement &amp; Replacement of Complete Platen super heater coils  Coil Assemblies at Unit-8, TPS Parli-V</v>
      </c>
      <c r="C2893" s="1491" t="str">
        <f t="shared" si="429"/>
        <v>Yet to be approved</v>
      </c>
      <c r="D2893" s="1531" t="str">
        <f t="shared" si="429"/>
        <v>-</v>
      </c>
      <c r="E2893" s="1318">
        <f t="shared" si="429"/>
        <v>0</v>
      </c>
      <c r="F2893" s="1437">
        <f t="shared" si="432"/>
        <v>12</v>
      </c>
      <c r="G2893" s="1437">
        <f t="shared" si="433"/>
        <v>12</v>
      </c>
      <c r="H2893" s="1437">
        <f t="shared" si="434"/>
        <v>0</v>
      </c>
      <c r="I2893" s="1437">
        <v>0</v>
      </c>
      <c r="J2893" s="1437">
        <v>0</v>
      </c>
      <c r="K2893" s="1438"/>
      <c r="L2893" s="1438"/>
      <c r="M2893" s="1437">
        <f t="shared" si="431"/>
        <v>0</v>
      </c>
      <c r="N2893" s="1437">
        <f t="shared" si="435"/>
        <v>0</v>
      </c>
    </row>
    <row r="2894" spans="1:14" ht="29" outlineLevel="1">
      <c r="A2894" s="1491">
        <f t="shared" si="429"/>
        <v>2.2000000000000002</v>
      </c>
      <c r="B2894" s="1530" t="str">
        <f t="shared" si="429"/>
        <v>Procurement &amp; Replacement of Complete LTSH upper &amp; lower bank Coil Assemblies at Unit-8, TPS Parli-V</v>
      </c>
      <c r="C2894" s="1491" t="str">
        <f t="shared" si="429"/>
        <v>Yet to be approved</v>
      </c>
      <c r="D2894" s="1531" t="str">
        <f t="shared" si="429"/>
        <v>-</v>
      </c>
      <c r="E2894" s="1318">
        <f t="shared" si="429"/>
        <v>0</v>
      </c>
      <c r="F2894" s="1437">
        <f t="shared" si="432"/>
        <v>9.35</v>
      </c>
      <c r="G2894" s="1437">
        <f t="shared" si="433"/>
        <v>9.35</v>
      </c>
      <c r="H2894" s="1437">
        <f t="shared" si="434"/>
        <v>0</v>
      </c>
      <c r="I2894" s="1437">
        <v>0</v>
      </c>
      <c r="J2894" s="1437">
        <v>0</v>
      </c>
      <c r="K2894" s="1438"/>
      <c r="L2894" s="1438"/>
      <c r="M2894" s="1437">
        <f t="shared" si="431"/>
        <v>0</v>
      </c>
      <c r="N2894" s="1437">
        <f t="shared" si="435"/>
        <v>0</v>
      </c>
    </row>
    <row r="2895" spans="1:14" ht="29" outlineLevel="1">
      <c r="A2895" s="1491">
        <f t="shared" si="429"/>
        <v>2.2999999999999998</v>
      </c>
      <c r="B2895" s="1530" t="str">
        <f t="shared" si="429"/>
        <v xml:space="preserve"> Procurement &amp; Replacement of  Coal Mill Gear Box Type KMP 280 at 250 MW Unit-8, Parli TPS.</v>
      </c>
      <c r="C2895" s="1491" t="str">
        <f t="shared" si="429"/>
        <v>Yet to be approved</v>
      </c>
      <c r="D2895" s="1531" t="str">
        <f t="shared" si="429"/>
        <v>-</v>
      </c>
      <c r="E2895" s="1318">
        <f t="shared" si="429"/>
        <v>0</v>
      </c>
      <c r="F2895" s="1437">
        <f t="shared" si="432"/>
        <v>7.8</v>
      </c>
      <c r="G2895" s="1437">
        <f t="shared" si="433"/>
        <v>7.8</v>
      </c>
      <c r="H2895" s="1437">
        <f t="shared" si="434"/>
        <v>0</v>
      </c>
      <c r="I2895" s="1437">
        <v>0</v>
      </c>
      <c r="J2895" s="1437">
        <v>0</v>
      </c>
      <c r="K2895" s="1438"/>
      <c r="L2895" s="1438"/>
      <c r="M2895" s="1437">
        <f t="shared" si="431"/>
        <v>0</v>
      </c>
      <c r="N2895" s="1437">
        <f t="shared" si="435"/>
        <v>0</v>
      </c>
    </row>
    <row r="2896" spans="1:14" ht="46.5" outlineLevel="1">
      <c r="A2896" s="1533">
        <f t="shared" si="429"/>
        <v>3</v>
      </c>
      <c r="B2896" s="1534" t="str">
        <f t="shared" si="429"/>
        <v xml:space="preserve"> Procurement &amp; Replacement of Two complete set of APH Baskets at 250 MW Unit-8, Parli TPS Procurement &amp; replacement of PA &amp; FD fan rotar hub assembly at Unit-8 TPS Parli-V</v>
      </c>
      <c r="C2896" s="1491" t="str">
        <f t="shared" si="429"/>
        <v>Yet to be approved</v>
      </c>
      <c r="D2896" s="1531" t="str">
        <f t="shared" si="429"/>
        <v>-</v>
      </c>
      <c r="E2896" s="1318">
        <f t="shared" si="429"/>
        <v>0</v>
      </c>
      <c r="F2896" s="1437">
        <f t="shared" si="432"/>
        <v>0</v>
      </c>
      <c r="G2896" s="1437">
        <f t="shared" si="433"/>
        <v>0</v>
      </c>
      <c r="H2896" s="1437">
        <f t="shared" si="434"/>
        <v>0</v>
      </c>
      <c r="I2896" s="1437">
        <v>0</v>
      </c>
      <c r="J2896" s="1437">
        <v>0</v>
      </c>
      <c r="K2896" s="1438"/>
      <c r="L2896" s="1438"/>
      <c r="M2896" s="1437">
        <f t="shared" si="431"/>
        <v>0</v>
      </c>
      <c r="N2896" s="1437">
        <f t="shared" si="435"/>
        <v>0</v>
      </c>
    </row>
    <row r="2897" spans="1:14" ht="29" outlineLevel="1">
      <c r="A2897" s="1491">
        <f t="shared" si="429"/>
        <v>3.1</v>
      </c>
      <c r="B2897" s="1530" t="str">
        <f t="shared" si="429"/>
        <v xml:space="preserve"> Procurement &amp; Replacement of Two complete set of APH Baskets at 250 MW Unit-8, Parli TPS.</v>
      </c>
      <c r="C2897" s="1491" t="str">
        <f t="shared" si="429"/>
        <v>Yet to be approved</v>
      </c>
      <c r="D2897" s="1531" t="str">
        <f t="shared" si="429"/>
        <v>-</v>
      </c>
      <c r="E2897" s="1318">
        <f t="shared" si="429"/>
        <v>0</v>
      </c>
      <c r="F2897" s="1437">
        <f t="shared" si="432"/>
        <v>0</v>
      </c>
      <c r="G2897" s="1437">
        <f t="shared" si="433"/>
        <v>0</v>
      </c>
      <c r="H2897" s="1437">
        <f t="shared" si="434"/>
        <v>0</v>
      </c>
      <c r="I2897" s="1437">
        <v>6</v>
      </c>
      <c r="J2897" s="1437">
        <v>6</v>
      </c>
      <c r="K2897" s="1438"/>
      <c r="L2897" s="1438"/>
      <c r="M2897" s="1437">
        <f t="shared" si="431"/>
        <v>6</v>
      </c>
      <c r="N2897" s="1437">
        <f t="shared" si="435"/>
        <v>0</v>
      </c>
    </row>
    <row r="2898" spans="1:14" ht="29" outlineLevel="1">
      <c r="A2898" s="1491">
        <f t="shared" si="429"/>
        <v>3.2</v>
      </c>
      <c r="B2898" s="1530" t="str">
        <f t="shared" si="429"/>
        <v>Procurement &amp; replacement of PA &amp; FD fan rotar hub assembly at Unit-8 TPS Parli-V</v>
      </c>
      <c r="C2898" s="1491" t="str">
        <f t="shared" si="429"/>
        <v>Yet to be approved</v>
      </c>
      <c r="D2898" s="1531" t="str">
        <f t="shared" si="429"/>
        <v>-</v>
      </c>
      <c r="E2898" s="1318">
        <f t="shared" si="429"/>
        <v>0</v>
      </c>
      <c r="F2898" s="1437">
        <f t="shared" si="432"/>
        <v>10</v>
      </c>
      <c r="G2898" s="1437">
        <f t="shared" si="433"/>
        <v>10</v>
      </c>
      <c r="H2898" s="1437">
        <f t="shared" si="434"/>
        <v>0</v>
      </c>
      <c r="I2898" s="1437">
        <v>0</v>
      </c>
      <c r="J2898" s="1437">
        <v>0</v>
      </c>
      <c r="K2898" s="1438"/>
      <c r="L2898" s="1438"/>
      <c r="M2898" s="1437">
        <f t="shared" si="431"/>
        <v>0</v>
      </c>
      <c r="N2898" s="1437">
        <f t="shared" si="435"/>
        <v>0</v>
      </c>
    </row>
    <row r="2899" spans="1:14" ht="31" outlineLevel="1">
      <c r="A2899" s="1533">
        <f t="shared" si="429"/>
        <v>4</v>
      </c>
      <c r="B2899" s="1534" t="str">
        <f t="shared" si="429"/>
        <v xml:space="preserve">DPR on Refurbishment of TG Governing system at Unit-8, PTPS, Parli V. </v>
      </c>
      <c r="C2899" s="1491" t="str">
        <f t="shared" si="429"/>
        <v>Yet to be approved</v>
      </c>
      <c r="D2899" s="1531" t="str">
        <f t="shared" si="429"/>
        <v>-</v>
      </c>
      <c r="E2899" s="1318">
        <f t="shared" si="429"/>
        <v>0</v>
      </c>
      <c r="F2899" s="1437">
        <f t="shared" si="432"/>
        <v>0</v>
      </c>
      <c r="G2899" s="1437">
        <f t="shared" si="433"/>
        <v>0</v>
      </c>
      <c r="H2899" s="1437">
        <f t="shared" si="434"/>
        <v>0</v>
      </c>
      <c r="I2899" s="1437">
        <v>0</v>
      </c>
      <c r="J2899" s="1437">
        <v>0</v>
      </c>
      <c r="K2899" s="1438"/>
      <c r="L2899" s="1438"/>
      <c r="M2899" s="1437">
        <f t="shared" si="431"/>
        <v>0</v>
      </c>
      <c r="N2899" s="1437">
        <f t="shared" si="435"/>
        <v>0</v>
      </c>
    </row>
    <row r="2900" spans="1:14" outlineLevel="1">
      <c r="A2900" s="1491">
        <f t="shared" si="429"/>
        <v>4.0999999999999996</v>
      </c>
      <c r="B2900" s="1530" t="str">
        <f t="shared" si="429"/>
        <v xml:space="preserve">Refurbishment of TG Governing system at Unit-8, PTPS, Parli V. </v>
      </c>
      <c r="C2900" s="1491" t="str">
        <f t="shared" si="429"/>
        <v>Yet to be approved</v>
      </c>
      <c r="D2900" s="1531" t="str">
        <f t="shared" si="429"/>
        <v>-</v>
      </c>
      <c r="E2900" s="1318">
        <f t="shared" si="429"/>
        <v>0</v>
      </c>
      <c r="F2900" s="1437">
        <f t="shared" si="432"/>
        <v>25</v>
      </c>
      <c r="G2900" s="1437">
        <f t="shared" si="433"/>
        <v>25</v>
      </c>
      <c r="H2900" s="1437">
        <f t="shared" si="434"/>
        <v>0</v>
      </c>
      <c r="I2900" s="1437">
        <v>0</v>
      </c>
      <c r="J2900" s="1437">
        <v>0</v>
      </c>
      <c r="K2900" s="1438"/>
      <c r="L2900" s="1438"/>
      <c r="M2900" s="1437">
        <f t="shared" si="431"/>
        <v>0</v>
      </c>
      <c r="N2900" s="1437">
        <f t="shared" si="435"/>
        <v>0</v>
      </c>
    </row>
    <row r="2901" spans="1:14" ht="31" outlineLevel="1">
      <c r="A2901" s="1533">
        <f t="shared" si="429"/>
        <v>5</v>
      </c>
      <c r="B2901" s="1534" t="str">
        <f t="shared" si="429"/>
        <v>DPR on Performance improvement of Natural Draft Cooling Tower (NDCT) at Unit-8, PTPS, Parli V.</v>
      </c>
      <c r="C2901" s="1491" t="str">
        <f t="shared" si="429"/>
        <v>Yet to be approved</v>
      </c>
      <c r="D2901" s="1531" t="str">
        <f t="shared" si="429"/>
        <v>-</v>
      </c>
      <c r="E2901" s="1318">
        <f t="shared" si="429"/>
        <v>0</v>
      </c>
      <c r="F2901" s="1437">
        <f t="shared" si="432"/>
        <v>0</v>
      </c>
      <c r="G2901" s="1437">
        <f t="shared" si="433"/>
        <v>0</v>
      </c>
      <c r="H2901" s="1437">
        <f t="shared" si="434"/>
        <v>0</v>
      </c>
      <c r="I2901" s="1437">
        <v>0</v>
      </c>
      <c r="J2901" s="1437">
        <v>0</v>
      </c>
      <c r="K2901" s="1438"/>
      <c r="L2901" s="1438"/>
      <c r="M2901" s="1437">
        <f t="shared" si="431"/>
        <v>0</v>
      </c>
      <c r="N2901" s="1437">
        <f t="shared" si="435"/>
        <v>0</v>
      </c>
    </row>
    <row r="2902" spans="1:14" ht="58" outlineLevel="1">
      <c r="A2902" s="1491">
        <f t="shared" si="429"/>
        <v>5.0999999999999996</v>
      </c>
      <c r="B2902" s="1530" t="str">
        <f t="shared" si="429"/>
        <v>Performance improvement of Natural Draft Cooling Tower (NDCT) by replacement of PVC fills, AC cement pipes, strengthening of Hot water distribution system, replacement of beams, columns, support structures, etc. at Unit-8, PTPS, Parli V.</v>
      </c>
      <c r="C2902" s="1491" t="str">
        <f t="shared" si="429"/>
        <v>Yet to be approved</v>
      </c>
      <c r="D2902" s="1531" t="str">
        <f t="shared" si="429"/>
        <v>-</v>
      </c>
      <c r="E2902" s="1318">
        <f t="shared" si="429"/>
        <v>0</v>
      </c>
      <c r="F2902" s="1437">
        <f t="shared" si="432"/>
        <v>25</v>
      </c>
      <c r="G2902" s="1437">
        <f t="shared" si="433"/>
        <v>25</v>
      </c>
      <c r="H2902" s="1437">
        <f t="shared" si="434"/>
        <v>0</v>
      </c>
      <c r="I2902" s="1437">
        <v>0</v>
      </c>
      <c r="J2902" s="1437">
        <v>0</v>
      </c>
      <c r="K2902" s="1438"/>
      <c r="L2902" s="1438"/>
      <c r="M2902" s="1437">
        <f t="shared" si="431"/>
        <v>0</v>
      </c>
      <c r="N2902" s="1437">
        <f t="shared" si="435"/>
        <v>0</v>
      </c>
    </row>
    <row r="2903" spans="1:14" ht="31" outlineLevel="1">
      <c r="A2903" s="1533">
        <f t="shared" ref="A2903:E2918" si="436">A2510</f>
        <v>6</v>
      </c>
      <c r="B2903" s="1534" t="str">
        <f t="shared" si="436"/>
        <v xml:space="preserve">DPR on Procurement of  ACW &amp; CW pump along with mandatory spares at Unit-8, PTPS, Parli V. </v>
      </c>
      <c r="C2903" s="1491" t="str">
        <f t="shared" si="436"/>
        <v>Yet to be approved</v>
      </c>
      <c r="D2903" s="1531" t="str">
        <f t="shared" si="436"/>
        <v>-</v>
      </c>
      <c r="E2903" s="1318">
        <f t="shared" si="436"/>
        <v>0</v>
      </c>
      <c r="F2903" s="1437">
        <f t="shared" si="432"/>
        <v>0</v>
      </c>
      <c r="G2903" s="1437">
        <f t="shared" si="433"/>
        <v>0</v>
      </c>
      <c r="H2903" s="1437">
        <f t="shared" si="434"/>
        <v>0</v>
      </c>
      <c r="I2903" s="1437">
        <v>0</v>
      </c>
      <c r="J2903" s="1437">
        <v>0</v>
      </c>
      <c r="K2903" s="1438"/>
      <c r="L2903" s="1438"/>
      <c r="M2903" s="1437">
        <f t="shared" si="431"/>
        <v>0</v>
      </c>
      <c r="N2903" s="1437">
        <f t="shared" si="435"/>
        <v>0</v>
      </c>
    </row>
    <row r="2904" spans="1:14" ht="29" outlineLevel="1">
      <c r="A2904" s="1491">
        <f t="shared" si="436"/>
        <v>6.1</v>
      </c>
      <c r="B2904" s="1530" t="str">
        <f t="shared" si="436"/>
        <v xml:space="preserve">DPR on Procurement of  ACW &amp; CW pump along with mandatory spares at Unit-8, PTPS, Parli V. </v>
      </c>
      <c r="C2904" s="1491" t="str">
        <f t="shared" si="436"/>
        <v>Yet to be approved</v>
      </c>
      <c r="D2904" s="1531" t="str">
        <f t="shared" si="436"/>
        <v>-</v>
      </c>
      <c r="E2904" s="1318">
        <f t="shared" si="436"/>
        <v>0</v>
      </c>
      <c r="F2904" s="1437">
        <f t="shared" si="432"/>
        <v>35</v>
      </c>
      <c r="G2904" s="1437">
        <f t="shared" si="433"/>
        <v>35</v>
      </c>
      <c r="H2904" s="1437">
        <f t="shared" si="434"/>
        <v>0</v>
      </c>
      <c r="I2904" s="1437">
        <v>0</v>
      </c>
      <c r="J2904" s="1437">
        <v>0</v>
      </c>
      <c r="K2904" s="1438"/>
      <c r="L2904" s="1438"/>
      <c r="M2904" s="1437">
        <f t="shared" si="431"/>
        <v>0</v>
      </c>
      <c r="N2904" s="1437">
        <f t="shared" si="435"/>
        <v>0</v>
      </c>
    </row>
    <row r="2905" spans="1:14" ht="62" outlineLevel="1">
      <c r="A2905" s="1533">
        <f t="shared" si="436"/>
        <v>7</v>
      </c>
      <c r="B2905" s="1534" t="str">
        <f t="shared" si="436"/>
        <v xml:space="preserve">DPR on Procurement of  CEP pump and BFP Booster pump along with mandatory spares at Unit-8, PTPS, Parli V and Procurement of Energy Efficient Cartridges of Boiler Feed Pump at Unit-8, PTPS, Parli V. </v>
      </c>
      <c r="C2905" s="1491" t="str">
        <f t="shared" si="436"/>
        <v>Yet to be approved</v>
      </c>
      <c r="D2905" s="1531" t="str">
        <f t="shared" si="436"/>
        <v>-</v>
      </c>
      <c r="E2905" s="1318">
        <f t="shared" si="436"/>
        <v>0</v>
      </c>
      <c r="F2905" s="1437">
        <f t="shared" si="432"/>
        <v>0</v>
      </c>
      <c r="G2905" s="1437">
        <f t="shared" si="433"/>
        <v>0</v>
      </c>
      <c r="H2905" s="1437">
        <f t="shared" si="434"/>
        <v>0</v>
      </c>
      <c r="I2905" s="1437">
        <v>0</v>
      </c>
      <c r="J2905" s="1437">
        <v>0</v>
      </c>
      <c r="K2905" s="1438"/>
      <c r="L2905" s="1438"/>
      <c r="M2905" s="1437">
        <f t="shared" si="431"/>
        <v>0</v>
      </c>
      <c r="N2905" s="1437">
        <f t="shared" si="435"/>
        <v>0</v>
      </c>
    </row>
    <row r="2906" spans="1:14" ht="29" outlineLevel="1">
      <c r="A2906" s="1491">
        <f t="shared" si="436"/>
        <v>7.1</v>
      </c>
      <c r="B2906" s="1530" t="str">
        <f t="shared" si="436"/>
        <v xml:space="preserve">Procurement of  CEP pump and BFP Booster pump along with mandatory spares at Unit-8, PTPS, Parli </v>
      </c>
      <c r="C2906" s="1491" t="str">
        <f t="shared" si="436"/>
        <v>Yet to be approved</v>
      </c>
      <c r="D2906" s="1531" t="str">
        <f t="shared" si="436"/>
        <v>-</v>
      </c>
      <c r="E2906" s="1318">
        <f t="shared" si="436"/>
        <v>0</v>
      </c>
      <c r="F2906" s="1437">
        <f t="shared" si="432"/>
        <v>30</v>
      </c>
      <c r="G2906" s="1437">
        <f t="shared" si="433"/>
        <v>30</v>
      </c>
      <c r="H2906" s="1437">
        <f t="shared" si="434"/>
        <v>0</v>
      </c>
      <c r="I2906" s="1437">
        <v>0</v>
      </c>
      <c r="J2906" s="1437">
        <v>0</v>
      </c>
      <c r="K2906" s="1438"/>
      <c r="L2906" s="1438"/>
      <c r="M2906" s="1437">
        <f t="shared" si="431"/>
        <v>0</v>
      </c>
      <c r="N2906" s="1437">
        <f t="shared" si="435"/>
        <v>0</v>
      </c>
    </row>
    <row r="2907" spans="1:14" ht="29" outlineLevel="1">
      <c r="A2907" s="1491">
        <f t="shared" si="436"/>
        <v>7.2</v>
      </c>
      <c r="B2907" s="1530" t="str">
        <f t="shared" si="436"/>
        <v xml:space="preserve">Procurement of Energy Efficient Cartridges of Boiler Feed Pump at Unit-8, PTPS, Parli V. </v>
      </c>
      <c r="C2907" s="1491" t="str">
        <f t="shared" si="436"/>
        <v>Yet to be approved</v>
      </c>
      <c r="D2907" s="1531" t="str">
        <f t="shared" si="436"/>
        <v>-</v>
      </c>
      <c r="E2907" s="1318">
        <f t="shared" si="436"/>
        <v>0</v>
      </c>
      <c r="F2907" s="1437">
        <f t="shared" si="432"/>
        <v>10</v>
      </c>
      <c r="G2907" s="1437">
        <f t="shared" si="433"/>
        <v>10</v>
      </c>
      <c r="H2907" s="1437">
        <f t="shared" si="434"/>
        <v>0</v>
      </c>
      <c r="I2907" s="1437">
        <v>0</v>
      </c>
      <c r="J2907" s="1437">
        <v>0</v>
      </c>
      <c r="K2907" s="1438"/>
      <c r="L2907" s="1438"/>
      <c r="M2907" s="1437">
        <f t="shared" si="431"/>
        <v>0</v>
      </c>
      <c r="N2907" s="1437">
        <f t="shared" si="435"/>
        <v>0</v>
      </c>
    </row>
    <row r="2908" spans="1:14" ht="31" outlineLevel="1">
      <c r="A2908" s="1533">
        <f t="shared" si="436"/>
        <v>8</v>
      </c>
      <c r="B2908" s="1534" t="str">
        <f t="shared" si="436"/>
        <v>DPR on Procurement of turbine blades of HP, IP &amp; LP rotor in Unit-8, PTPS, Parli V.</v>
      </c>
      <c r="C2908" s="1491" t="str">
        <f t="shared" si="436"/>
        <v>Yet to be approved</v>
      </c>
      <c r="D2908" s="1531" t="str">
        <f t="shared" si="436"/>
        <v>-</v>
      </c>
      <c r="E2908" s="1318">
        <f t="shared" si="436"/>
        <v>0</v>
      </c>
      <c r="F2908" s="1437">
        <f t="shared" si="432"/>
        <v>0</v>
      </c>
      <c r="G2908" s="1437">
        <f t="shared" si="433"/>
        <v>0</v>
      </c>
      <c r="H2908" s="1437">
        <f t="shared" si="434"/>
        <v>0</v>
      </c>
      <c r="I2908" s="1437">
        <v>0</v>
      </c>
      <c r="J2908" s="1437">
        <v>0</v>
      </c>
      <c r="K2908" s="1438"/>
      <c r="L2908" s="1438"/>
      <c r="M2908" s="1437">
        <f t="shared" si="431"/>
        <v>0</v>
      </c>
      <c r="N2908" s="1437">
        <f t="shared" si="435"/>
        <v>0</v>
      </c>
    </row>
    <row r="2909" spans="1:14" ht="29" outlineLevel="1">
      <c r="A2909" s="1491">
        <f t="shared" si="436"/>
        <v>8.1</v>
      </c>
      <c r="B2909" s="1530" t="str">
        <f t="shared" si="436"/>
        <v>DPR on Procurement of turbine blades of HP, IP &amp; LP rotor in Unit-8, PTPS, Parli V.</v>
      </c>
      <c r="C2909" s="1491" t="str">
        <f t="shared" si="436"/>
        <v>Yet to be approved</v>
      </c>
      <c r="D2909" s="1531" t="str">
        <f t="shared" si="436"/>
        <v>-</v>
      </c>
      <c r="E2909" s="1318">
        <f t="shared" si="436"/>
        <v>0</v>
      </c>
      <c r="F2909" s="1437">
        <f t="shared" si="432"/>
        <v>35</v>
      </c>
      <c r="G2909" s="1437">
        <f t="shared" si="433"/>
        <v>35</v>
      </c>
      <c r="H2909" s="1437">
        <f t="shared" si="434"/>
        <v>0</v>
      </c>
      <c r="I2909" s="1437">
        <v>0</v>
      </c>
      <c r="J2909" s="1437">
        <v>0</v>
      </c>
      <c r="K2909" s="1438"/>
      <c r="L2909" s="1438"/>
      <c r="M2909" s="1437">
        <f t="shared" si="431"/>
        <v>0</v>
      </c>
      <c r="N2909" s="1437">
        <f t="shared" si="435"/>
        <v>0</v>
      </c>
    </row>
    <row r="2910" spans="1:14" ht="46.5" outlineLevel="1">
      <c r="A2910" s="1533">
        <f t="shared" si="436"/>
        <v>9</v>
      </c>
      <c r="B2910" s="1534" t="str">
        <f t="shared" si="436"/>
        <v xml:space="preserve">DPR on Repair &amp; Reconditioning of Water treatment plant at Unit-8, PTPS, Parli V and Performance improvement of centralised AC plant at Unit-8, PTPS, Parli V. </v>
      </c>
      <c r="C2910" s="1491" t="str">
        <f t="shared" si="436"/>
        <v>Yet to be approved</v>
      </c>
      <c r="D2910" s="1531" t="str">
        <f t="shared" si="436"/>
        <v>-</v>
      </c>
      <c r="E2910" s="1318">
        <f t="shared" si="436"/>
        <v>0</v>
      </c>
      <c r="F2910" s="1437">
        <f t="shared" si="432"/>
        <v>0</v>
      </c>
      <c r="G2910" s="1437">
        <f t="shared" si="433"/>
        <v>0</v>
      </c>
      <c r="H2910" s="1437">
        <f t="shared" si="434"/>
        <v>0</v>
      </c>
      <c r="I2910" s="1437">
        <v>0</v>
      </c>
      <c r="J2910" s="1437">
        <v>0</v>
      </c>
      <c r="K2910" s="1438"/>
      <c r="L2910" s="1438"/>
      <c r="M2910" s="1437">
        <f t="shared" si="431"/>
        <v>0</v>
      </c>
      <c r="N2910" s="1437">
        <f t="shared" si="435"/>
        <v>0</v>
      </c>
    </row>
    <row r="2911" spans="1:14" ht="29" outlineLevel="1">
      <c r="A2911" s="1491">
        <f t="shared" si="436"/>
        <v>9.1</v>
      </c>
      <c r="B2911" s="1530" t="str">
        <f t="shared" si="436"/>
        <v>Reconditioning of Acid and Alkali Unloading and storage system at Unit-8, PTPS, Parli V.</v>
      </c>
      <c r="C2911" s="1491" t="str">
        <f t="shared" si="436"/>
        <v>Yet to be approved</v>
      </c>
      <c r="D2911" s="1531" t="str">
        <f t="shared" si="436"/>
        <v>-</v>
      </c>
      <c r="E2911" s="1318">
        <f t="shared" si="436"/>
        <v>0</v>
      </c>
      <c r="F2911" s="1437">
        <f t="shared" si="432"/>
        <v>10</v>
      </c>
      <c r="G2911" s="1437">
        <f t="shared" si="433"/>
        <v>10</v>
      </c>
      <c r="H2911" s="1437">
        <f t="shared" si="434"/>
        <v>0</v>
      </c>
      <c r="I2911" s="1437">
        <v>0</v>
      </c>
      <c r="J2911" s="1437">
        <v>0</v>
      </c>
      <c r="K2911" s="1438"/>
      <c r="L2911" s="1438"/>
      <c r="M2911" s="1437">
        <f t="shared" si="431"/>
        <v>0</v>
      </c>
      <c r="N2911" s="1437">
        <f t="shared" si="435"/>
        <v>0</v>
      </c>
    </row>
    <row r="2912" spans="1:14" ht="29" outlineLevel="1">
      <c r="A2912" s="1491">
        <f t="shared" si="436"/>
        <v>9.1999999999999993</v>
      </c>
      <c r="B2912" s="1530" t="str">
        <f t="shared" si="436"/>
        <v>Reconditioning &amp; repairing of WTP DM Plant regeneration system at Unit-8, PTPS, Parli V.</v>
      </c>
      <c r="C2912" s="1491" t="str">
        <f t="shared" si="436"/>
        <v>Yet to be approved</v>
      </c>
      <c r="D2912" s="1531" t="str">
        <f t="shared" si="436"/>
        <v>-</v>
      </c>
      <c r="E2912" s="1318">
        <f t="shared" si="436"/>
        <v>0</v>
      </c>
      <c r="F2912" s="1437">
        <f t="shared" si="432"/>
        <v>20</v>
      </c>
      <c r="G2912" s="1437">
        <f t="shared" si="433"/>
        <v>20</v>
      </c>
      <c r="H2912" s="1437">
        <f t="shared" si="434"/>
        <v>0</v>
      </c>
      <c r="I2912" s="1437">
        <v>0</v>
      </c>
      <c r="J2912" s="1437">
        <v>0</v>
      </c>
      <c r="K2912" s="1438"/>
      <c r="L2912" s="1438"/>
      <c r="M2912" s="1437">
        <f t="shared" si="431"/>
        <v>0</v>
      </c>
      <c r="N2912" s="1437">
        <f t="shared" si="435"/>
        <v>0</v>
      </c>
    </row>
    <row r="2913" spans="1:14" ht="43.5" outlineLevel="1">
      <c r="A2913" s="1491">
        <f t="shared" si="436"/>
        <v>9.3000000000000007</v>
      </c>
      <c r="B2913" s="1530" t="str">
        <f t="shared" si="436"/>
        <v xml:space="preserve"> Performance improvement of centralised AC plant by reconditioning of cooling tower, various pumps, heat exchangers, etc. at Unit-8, PTPS, Parli V. </v>
      </c>
      <c r="C2913" s="1491" t="str">
        <f t="shared" si="436"/>
        <v>Yet to be approved</v>
      </c>
      <c r="D2913" s="1531" t="str">
        <f t="shared" si="436"/>
        <v>-</v>
      </c>
      <c r="E2913" s="1318">
        <f t="shared" si="436"/>
        <v>0</v>
      </c>
      <c r="F2913" s="1437">
        <f t="shared" si="432"/>
        <v>10</v>
      </c>
      <c r="G2913" s="1437">
        <f t="shared" si="433"/>
        <v>10</v>
      </c>
      <c r="H2913" s="1437">
        <f t="shared" si="434"/>
        <v>0</v>
      </c>
      <c r="I2913" s="1437">
        <v>0</v>
      </c>
      <c r="J2913" s="1437">
        <v>0</v>
      </c>
      <c r="K2913" s="1438"/>
      <c r="L2913" s="1438"/>
      <c r="M2913" s="1437">
        <f t="shared" si="431"/>
        <v>0</v>
      </c>
      <c r="N2913" s="1437">
        <f t="shared" si="435"/>
        <v>0</v>
      </c>
    </row>
    <row r="2914" spans="1:14" ht="46.5" outlineLevel="1">
      <c r="A2914" s="1533">
        <f t="shared" si="436"/>
        <v>10</v>
      </c>
      <c r="B2914" s="1534" t="str">
        <f t="shared" si="436"/>
        <v>DPR on Procurement of Control Fluid (HPCF) pump, Lube Oil pump, Emergency Oil pump, Jacking Oil pump, Seal oil pump at Unit-8, PTPS, Parli V.</v>
      </c>
      <c r="C2914" s="1491" t="str">
        <f t="shared" si="436"/>
        <v>Yet to be approved</v>
      </c>
      <c r="D2914" s="1531" t="str">
        <f t="shared" si="436"/>
        <v>-</v>
      </c>
      <c r="E2914" s="1318">
        <f t="shared" si="436"/>
        <v>0</v>
      </c>
      <c r="F2914" s="1437">
        <f t="shared" si="432"/>
        <v>0</v>
      </c>
      <c r="G2914" s="1437">
        <f t="shared" si="433"/>
        <v>0</v>
      </c>
      <c r="H2914" s="1437">
        <f t="shared" si="434"/>
        <v>0</v>
      </c>
      <c r="I2914" s="1437">
        <v>0</v>
      </c>
      <c r="J2914" s="1437">
        <v>0</v>
      </c>
      <c r="K2914" s="1438"/>
      <c r="L2914" s="1438"/>
      <c r="M2914" s="1437">
        <f t="shared" si="431"/>
        <v>0</v>
      </c>
      <c r="N2914" s="1437">
        <f t="shared" si="435"/>
        <v>0</v>
      </c>
    </row>
    <row r="2915" spans="1:14" ht="43.5" outlineLevel="1">
      <c r="A2915" s="1491">
        <f t="shared" si="436"/>
        <v>10.1</v>
      </c>
      <c r="B2915" s="1530" t="str">
        <f t="shared" si="436"/>
        <v>DPR on Procurement of Control Fluid (HPCF) pump, Lube Oil pump, Emergency Oil pump, Jacking Oil pump, Seal oil pump at Unit-8, PTPS, Parli V.</v>
      </c>
      <c r="C2915" s="1491" t="str">
        <f t="shared" si="436"/>
        <v>Yet to be approved</v>
      </c>
      <c r="D2915" s="1531" t="str">
        <f t="shared" si="436"/>
        <v>-</v>
      </c>
      <c r="E2915" s="1318">
        <f t="shared" si="436"/>
        <v>0</v>
      </c>
      <c r="F2915" s="1437">
        <f t="shared" si="432"/>
        <v>25</v>
      </c>
      <c r="G2915" s="1437">
        <f t="shared" si="433"/>
        <v>25</v>
      </c>
      <c r="H2915" s="1437">
        <f t="shared" si="434"/>
        <v>0</v>
      </c>
      <c r="I2915" s="1437">
        <v>0</v>
      </c>
      <c r="J2915" s="1437">
        <v>0</v>
      </c>
      <c r="K2915" s="1438"/>
      <c r="L2915" s="1438"/>
      <c r="M2915" s="1437">
        <f t="shared" si="431"/>
        <v>0</v>
      </c>
      <c r="N2915" s="1437">
        <f t="shared" si="435"/>
        <v>0</v>
      </c>
    </row>
    <row r="2916" spans="1:14" ht="31" outlineLevel="1">
      <c r="A2916" s="1533">
        <f t="shared" si="436"/>
        <v>11</v>
      </c>
      <c r="B2916" s="1534" t="str">
        <f t="shared" si="436"/>
        <v xml:space="preserve">DPR on Procurement of H2 cooler, BFP coolers, generator exciter cooler, Seal and Lube oil coolers at Unit-8, PTPS, Parli V. </v>
      </c>
      <c r="C2916" s="1491" t="str">
        <f t="shared" si="436"/>
        <v>Yet to be approved</v>
      </c>
      <c r="D2916" s="1531" t="str">
        <f t="shared" si="436"/>
        <v>-</v>
      </c>
      <c r="E2916" s="1318">
        <f t="shared" si="436"/>
        <v>0</v>
      </c>
      <c r="F2916" s="1437">
        <f t="shared" si="432"/>
        <v>0</v>
      </c>
      <c r="G2916" s="1437">
        <f t="shared" si="433"/>
        <v>0</v>
      </c>
      <c r="H2916" s="1437">
        <f t="shared" si="434"/>
        <v>0</v>
      </c>
      <c r="I2916" s="1437">
        <v>0</v>
      </c>
      <c r="J2916" s="1437">
        <v>0</v>
      </c>
      <c r="K2916" s="1438"/>
      <c r="L2916" s="1438"/>
      <c r="M2916" s="1437">
        <f t="shared" si="431"/>
        <v>0</v>
      </c>
      <c r="N2916" s="1437">
        <f t="shared" si="435"/>
        <v>0</v>
      </c>
    </row>
    <row r="2917" spans="1:14" ht="29" outlineLevel="1">
      <c r="A2917" s="1491">
        <f t="shared" si="436"/>
        <v>11.1</v>
      </c>
      <c r="B2917" s="1530" t="str">
        <f t="shared" si="436"/>
        <v xml:space="preserve">DPR on Procurement of H2 cooler, BFP coolers, generator exciter cooler, Seal and Lube oil coolers at Unit-8, PTPS, Parli V. </v>
      </c>
      <c r="C2917" s="1491" t="str">
        <f t="shared" si="436"/>
        <v>Yet to be approved</v>
      </c>
      <c r="D2917" s="1531" t="str">
        <f t="shared" si="436"/>
        <v>-</v>
      </c>
      <c r="E2917" s="1318">
        <f t="shared" si="436"/>
        <v>0</v>
      </c>
      <c r="F2917" s="1437">
        <f t="shared" si="432"/>
        <v>30</v>
      </c>
      <c r="G2917" s="1437">
        <f t="shared" si="433"/>
        <v>30</v>
      </c>
      <c r="H2917" s="1437">
        <f t="shared" si="434"/>
        <v>0</v>
      </c>
      <c r="I2917" s="1437">
        <v>0</v>
      </c>
      <c r="J2917" s="1437">
        <v>0</v>
      </c>
      <c r="K2917" s="1438"/>
      <c r="L2917" s="1438"/>
      <c r="M2917" s="1437">
        <f t="shared" si="431"/>
        <v>0</v>
      </c>
      <c r="N2917" s="1437">
        <f t="shared" si="435"/>
        <v>0</v>
      </c>
    </row>
    <row r="2918" spans="1:14" ht="62" outlineLevel="1">
      <c r="A2918" s="1533">
        <f t="shared" si="436"/>
        <v>12</v>
      </c>
      <c r="B2918" s="1534" t="str">
        <f t="shared" si="436"/>
        <v>Supply, installation &amp; commissioning of 220V 2140AH,24V 830AH &amp; 710AH, 360V 570AH Mains UPS,110V 110AH AHP PLC , 110V , 103 AH DM plant battery set for unit 8 , NPTPS Parli-V &amp; Procurement of HT motors at U#8</v>
      </c>
      <c r="C2918" s="1491" t="str">
        <f t="shared" si="436"/>
        <v>Yet to be approved</v>
      </c>
      <c r="D2918" s="1531" t="str">
        <f t="shared" si="436"/>
        <v>-</v>
      </c>
      <c r="E2918" s="1318">
        <f t="shared" si="436"/>
        <v>0</v>
      </c>
      <c r="F2918" s="1437">
        <f t="shared" si="432"/>
        <v>0</v>
      </c>
      <c r="G2918" s="1437">
        <f t="shared" si="433"/>
        <v>0</v>
      </c>
      <c r="H2918" s="1437">
        <f t="shared" si="434"/>
        <v>0</v>
      </c>
      <c r="I2918" s="1437">
        <v>0</v>
      </c>
      <c r="J2918" s="1437">
        <v>0</v>
      </c>
      <c r="K2918" s="1438"/>
      <c r="L2918" s="1438"/>
      <c r="M2918" s="1437">
        <f t="shared" si="431"/>
        <v>0</v>
      </c>
      <c r="N2918" s="1437">
        <f t="shared" si="435"/>
        <v>0</v>
      </c>
    </row>
    <row r="2919" spans="1:14" ht="43.5" outlineLevel="1">
      <c r="A2919" s="1491">
        <f t="shared" ref="A2919:E2934" si="437">A2526</f>
        <v>12.1</v>
      </c>
      <c r="B2919" s="1530" t="str">
        <f t="shared" si="437"/>
        <v>Supply, installation &amp; commissioning of 220V 2140AH,24V 830AH &amp; 710AH, 360V 570AH Mains UPS,110V 110AH AHP PLC , 110V , 103 AH DM plant battery set for unit 8 , NPTPS Parli-V</v>
      </c>
      <c r="C2919" s="1491" t="str">
        <f t="shared" si="437"/>
        <v>Yet to be approved</v>
      </c>
      <c r="D2919" s="1531" t="str">
        <f t="shared" si="437"/>
        <v>-</v>
      </c>
      <c r="E2919" s="1318">
        <f t="shared" si="437"/>
        <v>0</v>
      </c>
      <c r="F2919" s="1437">
        <f t="shared" si="432"/>
        <v>15</v>
      </c>
      <c r="G2919" s="1437">
        <f t="shared" si="433"/>
        <v>15</v>
      </c>
      <c r="H2919" s="1437">
        <f t="shared" si="434"/>
        <v>0</v>
      </c>
      <c r="I2919" s="1437">
        <v>0</v>
      </c>
      <c r="J2919" s="1437">
        <v>0</v>
      </c>
      <c r="K2919" s="1438"/>
      <c r="L2919" s="1438"/>
      <c r="M2919" s="1437">
        <f t="shared" si="431"/>
        <v>0</v>
      </c>
      <c r="N2919" s="1437">
        <f t="shared" si="435"/>
        <v>0</v>
      </c>
    </row>
    <row r="2920" spans="1:14" outlineLevel="1">
      <c r="A2920" s="1491">
        <f t="shared" si="437"/>
        <v>12.2</v>
      </c>
      <c r="B2920" s="1530" t="str">
        <f t="shared" si="437"/>
        <v>Procurement of HT motors at U#8</v>
      </c>
      <c r="C2920" s="1491" t="str">
        <f t="shared" si="437"/>
        <v>Yet to be approved</v>
      </c>
      <c r="D2920" s="1531" t="str">
        <f t="shared" si="437"/>
        <v>-</v>
      </c>
      <c r="E2920" s="1318">
        <f t="shared" si="437"/>
        <v>0</v>
      </c>
      <c r="F2920" s="1437">
        <f t="shared" si="432"/>
        <v>10</v>
      </c>
      <c r="G2920" s="1437">
        <f t="shared" si="433"/>
        <v>10</v>
      </c>
      <c r="H2920" s="1437">
        <f t="shared" si="434"/>
        <v>0</v>
      </c>
      <c r="I2920" s="1437">
        <v>0</v>
      </c>
      <c r="J2920" s="1437">
        <v>0</v>
      </c>
      <c r="K2920" s="1438"/>
      <c r="L2920" s="1438"/>
      <c r="M2920" s="1437">
        <f t="shared" si="431"/>
        <v>0</v>
      </c>
      <c r="N2920" s="1437">
        <f t="shared" si="435"/>
        <v>0</v>
      </c>
    </row>
    <row r="2921" spans="1:14" ht="15.5" outlineLevel="1">
      <c r="A2921" s="1533">
        <f t="shared" si="437"/>
        <v>13</v>
      </c>
      <c r="B2921" s="1534" t="str">
        <f t="shared" si="437"/>
        <v>DPR on various instrumentation &amp; control schemes at U#8</v>
      </c>
      <c r="C2921" s="1491" t="str">
        <f t="shared" si="437"/>
        <v>Yet to be approved</v>
      </c>
      <c r="D2921" s="1531" t="str">
        <f t="shared" si="437"/>
        <v>-</v>
      </c>
      <c r="E2921" s="1318">
        <f t="shared" si="437"/>
        <v>0</v>
      </c>
      <c r="F2921" s="1437">
        <f t="shared" si="432"/>
        <v>0</v>
      </c>
      <c r="G2921" s="1437">
        <f t="shared" si="433"/>
        <v>0</v>
      </c>
      <c r="H2921" s="1437">
        <f t="shared" si="434"/>
        <v>0</v>
      </c>
      <c r="I2921" s="1437">
        <v>0</v>
      </c>
      <c r="J2921" s="1437">
        <v>0</v>
      </c>
      <c r="K2921" s="1438"/>
      <c r="L2921" s="1438"/>
      <c r="M2921" s="1437">
        <f t="shared" si="431"/>
        <v>0</v>
      </c>
      <c r="N2921" s="1437">
        <f t="shared" si="435"/>
        <v>0</v>
      </c>
    </row>
    <row r="2922" spans="1:14" outlineLevel="1">
      <c r="A2922" s="1491">
        <f t="shared" si="437"/>
        <v>13.1</v>
      </c>
      <c r="B2922" s="1530" t="str">
        <f t="shared" si="437"/>
        <v>Upgradation of MAX-DNA  DCS system at U#8 (HMI upgradation)</v>
      </c>
      <c r="C2922" s="1491" t="str">
        <f t="shared" si="437"/>
        <v>Yet to be approved</v>
      </c>
      <c r="D2922" s="1531" t="str">
        <f t="shared" si="437"/>
        <v>-</v>
      </c>
      <c r="E2922" s="1318">
        <f t="shared" si="437"/>
        <v>0</v>
      </c>
      <c r="F2922" s="1437">
        <f t="shared" si="432"/>
        <v>6.81</v>
      </c>
      <c r="G2922" s="1437">
        <f t="shared" si="433"/>
        <v>6.81</v>
      </c>
      <c r="H2922" s="1437">
        <f t="shared" si="434"/>
        <v>0</v>
      </c>
      <c r="I2922" s="1437">
        <v>0</v>
      </c>
      <c r="J2922" s="1437">
        <v>0</v>
      </c>
      <c r="K2922" s="1438"/>
      <c r="L2922" s="1438"/>
      <c r="M2922" s="1437">
        <f t="shared" si="431"/>
        <v>0</v>
      </c>
      <c r="N2922" s="1437">
        <f t="shared" si="435"/>
        <v>0</v>
      </c>
    </row>
    <row r="2923" spans="1:14" ht="29" outlineLevel="1">
      <c r="A2923" s="1491">
        <f t="shared" si="437"/>
        <v>13.2</v>
      </c>
      <c r="B2923" s="1530" t="str">
        <f t="shared" si="437"/>
        <v>Upgradation of existing Pcal system with plant performance analysis diagnostic and optimization system (PADO) at Unit  8 New Parli TPS</v>
      </c>
      <c r="C2923" s="1491" t="str">
        <f t="shared" si="437"/>
        <v>Yet to be approved</v>
      </c>
      <c r="D2923" s="1531" t="str">
        <f t="shared" si="437"/>
        <v>-</v>
      </c>
      <c r="E2923" s="1318">
        <f t="shared" si="437"/>
        <v>0</v>
      </c>
      <c r="F2923" s="1437">
        <f t="shared" si="432"/>
        <v>1.4</v>
      </c>
      <c r="G2923" s="1437">
        <f t="shared" si="433"/>
        <v>1.4</v>
      </c>
      <c r="H2923" s="1437">
        <f t="shared" si="434"/>
        <v>0</v>
      </c>
      <c r="I2923" s="1437">
        <v>0</v>
      </c>
      <c r="J2923" s="1437">
        <v>0</v>
      </c>
      <c r="K2923" s="1438"/>
      <c r="L2923" s="1438"/>
      <c r="M2923" s="1437">
        <f t="shared" si="431"/>
        <v>0</v>
      </c>
      <c r="N2923" s="1437">
        <f t="shared" si="435"/>
        <v>0</v>
      </c>
    </row>
    <row r="2924" spans="1:14" outlineLevel="1">
      <c r="A2924" s="1491">
        <f t="shared" si="437"/>
        <v>13.3</v>
      </c>
      <c r="B2924" s="1530" t="str">
        <f t="shared" si="437"/>
        <v xml:space="preserve"> Upgradation of coal feeder for I&amp;C Unit8 PTPS Parli V.</v>
      </c>
      <c r="C2924" s="1491" t="str">
        <f t="shared" si="437"/>
        <v>Yet to be approved</v>
      </c>
      <c r="D2924" s="1531" t="str">
        <f t="shared" si="437"/>
        <v>-</v>
      </c>
      <c r="E2924" s="1318">
        <f t="shared" si="437"/>
        <v>0</v>
      </c>
      <c r="F2924" s="1437">
        <f t="shared" si="432"/>
        <v>1.5</v>
      </c>
      <c r="G2924" s="1437">
        <f t="shared" si="433"/>
        <v>1.5</v>
      </c>
      <c r="H2924" s="1437">
        <f t="shared" si="434"/>
        <v>0</v>
      </c>
      <c r="I2924" s="1437">
        <v>0</v>
      </c>
      <c r="J2924" s="1437">
        <v>0</v>
      </c>
      <c r="K2924" s="1438"/>
      <c r="L2924" s="1438"/>
      <c r="M2924" s="1437">
        <f t="shared" si="431"/>
        <v>0</v>
      </c>
      <c r="N2924" s="1437">
        <f t="shared" si="435"/>
        <v>0</v>
      </c>
    </row>
    <row r="2925" spans="1:14" outlineLevel="1">
      <c r="A2925" s="1491">
        <f t="shared" si="437"/>
        <v>13.4</v>
      </c>
      <c r="B2925" s="1530" t="str">
        <f t="shared" si="437"/>
        <v>Procurement of smart control positioner at I&amp;C Unit8 PTPS Parli V.</v>
      </c>
      <c r="C2925" s="1491" t="str">
        <f t="shared" si="437"/>
        <v>Yet to be approved</v>
      </c>
      <c r="D2925" s="1531" t="str">
        <f t="shared" si="437"/>
        <v>-</v>
      </c>
      <c r="E2925" s="1318">
        <f t="shared" si="437"/>
        <v>0</v>
      </c>
      <c r="F2925" s="1437">
        <f t="shared" si="432"/>
        <v>0.95</v>
      </c>
      <c r="G2925" s="1437">
        <f t="shared" si="433"/>
        <v>0.95</v>
      </c>
      <c r="H2925" s="1437">
        <f t="shared" si="434"/>
        <v>0</v>
      </c>
      <c r="I2925" s="1437">
        <v>0</v>
      </c>
      <c r="J2925" s="1437">
        <v>0</v>
      </c>
      <c r="K2925" s="1438"/>
      <c r="L2925" s="1438"/>
      <c r="M2925" s="1437">
        <f t="shared" si="431"/>
        <v>0</v>
      </c>
      <c r="N2925" s="1437">
        <f t="shared" si="435"/>
        <v>0</v>
      </c>
    </row>
    <row r="2926" spans="1:14" outlineLevel="1">
      <c r="A2926" s="1491">
        <f t="shared" si="437"/>
        <v>13.5</v>
      </c>
      <c r="B2926" s="1530" t="str">
        <f t="shared" si="437"/>
        <v>Upgradation Electronic control drive for I&amp;C Unit8 PTPS Parli V.</v>
      </c>
      <c r="C2926" s="1491" t="str">
        <f t="shared" si="437"/>
        <v>Yet to be approved</v>
      </c>
      <c r="D2926" s="1531" t="str">
        <f t="shared" si="437"/>
        <v>-</v>
      </c>
      <c r="E2926" s="1318">
        <f t="shared" si="437"/>
        <v>0</v>
      </c>
      <c r="F2926" s="1437">
        <f t="shared" si="432"/>
        <v>3.05</v>
      </c>
      <c r="G2926" s="1437">
        <f t="shared" si="433"/>
        <v>3.05</v>
      </c>
      <c r="H2926" s="1437">
        <f t="shared" si="434"/>
        <v>0</v>
      </c>
      <c r="I2926" s="1437">
        <v>0</v>
      </c>
      <c r="J2926" s="1437">
        <v>0</v>
      </c>
      <c r="K2926" s="1438"/>
      <c r="L2926" s="1438"/>
      <c r="M2926" s="1437">
        <f t="shared" si="431"/>
        <v>0</v>
      </c>
      <c r="N2926" s="1437">
        <f t="shared" si="435"/>
        <v>0</v>
      </c>
    </row>
    <row r="2927" spans="1:14" ht="29" outlineLevel="1">
      <c r="A2927" s="1491">
        <f t="shared" si="437"/>
        <v>13.6</v>
      </c>
      <c r="B2927" s="1530" t="str">
        <f t="shared" si="437"/>
        <v>Upgradation of turbovisory &amp; vibration monitoring system control panel.</v>
      </c>
      <c r="C2927" s="1491" t="str">
        <f t="shared" si="437"/>
        <v>Yet to be approved</v>
      </c>
      <c r="D2927" s="1531" t="str">
        <f t="shared" si="437"/>
        <v>-</v>
      </c>
      <c r="E2927" s="1318">
        <f t="shared" si="437"/>
        <v>0</v>
      </c>
      <c r="F2927" s="1437">
        <f t="shared" si="432"/>
        <v>2</v>
      </c>
      <c r="G2927" s="1437">
        <f t="shared" si="433"/>
        <v>2</v>
      </c>
      <c r="H2927" s="1437">
        <f t="shared" si="434"/>
        <v>0</v>
      </c>
      <c r="I2927" s="1437">
        <v>0</v>
      </c>
      <c r="J2927" s="1437">
        <v>0</v>
      </c>
      <c r="K2927" s="1438"/>
      <c r="L2927" s="1438"/>
      <c r="M2927" s="1437">
        <f t="shared" si="431"/>
        <v>0</v>
      </c>
      <c r="N2927" s="1437">
        <f t="shared" si="435"/>
        <v>0</v>
      </c>
    </row>
    <row r="2928" spans="1:14" ht="46.5" outlineLevel="1">
      <c r="A2928" s="1533">
        <f t="shared" si="437"/>
        <v>14</v>
      </c>
      <c r="B2928" s="1534" t="str">
        <f t="shared" si="437"/>
        <v>Performance improvement by system up gradation  at CHP &amp; DPR for normalization and stabilization of coal handling plant performance at Parli TPS</v>
      </c>
      <c r="C2928" s="1491" t="str">
        <f t="shared" si="437"/>
        <v>Yet to be approved</v>
      </c>
      <c r="D2928" s="1531" t="str">
        <f t="shared" si="437"/>
        <v>-</v>
      </c>
      <c r="E2928" s="1318">
        <f t="shared" si="437"/>
        <v>0</v>
      </c>
      <c r="F2928" s="1437">
        <f t="shared" si="432"/>
        <v>0</v>
      </c>
      <c r="G2928" s="1437">
        <f t="shared" si="433"/>
        <v>0</v>
      </c>
      <c r="H2928" s="1437">
        <f t="shared" si="434"/>
        <v>0</v>
      </c>
      <c r="I2928" s="1437">
        <v>0</v>
      </c>
      <c r="J2928" s="1437">
        <v>0</v>
      </c>
      <c r="K2928" s="1438"/>
      <c r="L2928" s="1438"/>
      <c r="M2928" s="1437">
        <f t="shared" si="431"/>
        <v>0</v>
      </c>
      <c r="N2928" s="1437">
        <f t="shared" si="435"/>
        <v>0</v>
      </c>
    </row>
    <row r="2929" spans="1:14" ht="43.5" outlineLevel="1">
      <c r="A2929" s="1491">
        <f t="shared" si="437"/>
        <v>14.1</v>
      </c>
      <c r="B2929" s="1530" t="str">
        <f t="shared" si="437"/>
        <v xml:space="preserve">Supply and Commissioning of Energy Efficient Evaporative Cooling System for Control Panel &amp; Breaker room of CHP Unit-8   For  PARLI TPS </v>
      </c>
      <c r="C2929" s="1491" t="str">
        <f t="shared" si="437"/>
        <v>Yet to be approved</v>
      </c>
      <c r="D2929" s="1531" t="str">
        <f t="shared" si="437"/>
        <v>-</v>
      </c>
      <c r="E2929" s="1318">
        <f t="shared" si="437"/>
        <v>0</v>
      </c>
      <c r="F2929" s="1437">
        <f t="shared" si="432"/>
        <v>1.38</v>
      </c>
      <c r="G2929" s="1437">
        <f t="shared" si="433"/>
        <v>1.38</v>
      </c>
      <c r="H2929" s="1437">
        <f t="shared" si="434"/>
        <v>0</v>
      </c>
      <c r="I2929" s="1437">
        <v>0</v>
      </c>
      <c r="J2929" s="1437">
        <v>0</v>
      </c>
      <c r="K2929" s="1438"/>
      <c r="L2929" s="1438"/>
      <c r="M2929" s="1437">
        <f t="shared" si="431"/>
        <v>0</v>
      </c>
      <c r="N2929" s="1437">
        <f t="shared" si="435"/>
        <v>0</v>
      </c>
    </row>
    <row r="2930" spans="1:14" outlineLevel="1">
      <c r="A2930" s="1491">
        <f t="shared" si="437"/>
        <v>14.2</v>
      </c>
      <c r="B2930" s="1530" t="str">
        <f t="shared" si="437"/>
        <v>Supply and commissioning of Suspended Magnets for U-8 CHP NPTPS</v>
      </c>
      <c r="C2930" s="1491" t="str">
        <f t="shared" si="437"/>
        <v>Yet to be approved</v>
      </c>
      <c r="D2930" s="1531" t="str">
        <f t="shared" si="437"/>
        <v>-</v>
      </c>
      <c r="E2930" s="1318">
        <f t="shared" si="437"/>
        <v>0</v>
      </c>
      <c r="F2930" s="1437">
        <f t="shared" si="432"/>
        <v>3.3</v>
      </c>
      <c r="G2930" s="1437">
        <f t="shared" si="433"/>
        <v>3.3</v>
      </c>
      <c r="H2930" s="1437">
        <f t="shared" si="434"/>
        <v>0</v>
      </c>
      <c r="I2930" s="1437">
        <v>0</v>
      </c>
      <c r="J2930" s="1437">
        <v>0</v>
      </c>
      <c r="K2930" s="1438"/>
      <c r="L2930" s="1438"/>
      <c r="M2930" s="1437">
        <f t="shared" si="431"/>
        <v>0</v>
      </c>
      <c r="N2930" s="1437">
        <f t="shared" si="435"/>
        <v>0</v>
      </c>
    </row>
    <row r="2931" spans="1:14" outlineLevel="1">
      <c r="A2931" s="1491">
        <f t="shared" si="437"/>
        <v>14.3</v>
      </c>
      <c r="B2931" s="1530" t="str">
        <f t="shared" si="437"/>
        <v>Stacker-reclaimer Bucket wheel drive modification work of U- 8 CHP</v>
      </c>
      <c r="C2931" s="1491" t="str">
        <f t="shared" si="437"/>
        <v>Yet to be approved</v>
      </c>
      <c r="D2931" s="1531" t="str">
        <f t="shared" si="437"/>
        <v>-</v>
      </c>
      <c r="E2931" s="1318">
        <f t="shared" si="437"/>
        <v>0</v>
      </c>
      <c r="F2931" s="1437">
        <f t="shared" si="432"/>
        <v>3.32</v>
      </c>
      <c r="G2931" s="1437">
        <f t="shared" si="433"/>
        <v>3.32</v>
      </c>
      <c r="H2931" s="1437">
        <f t="shared" si="434"/>
        <v>0</v>
      </c>
      <c r="I2931" s="1437">
        <v>0</v>
      </c>
      <c r="J2931" s="1437">
        <v>0</v>
      </c>
      <c r="K2931" s="1438"/>
      <c r="L2931" s="1438"/>
      <c r="M2931" s="1437">
        <f t="shared" si="431"/>
        <v>0</v>
      </c>
      <c r="N2931" s="1437">
        <f t="shared" si="435"/>
        <v>0</v>
      </c>
    </row>
    <row r="2932" spans="1:14" ht="29" outlineLevel="1">
      <c r="A2932" s="1491">
        <f t="shared" si="437"/>
        <v>14.4</v>
      </c>
      <c r="B2932" s="1530" t="str">
        <f t="shared" si="437"/>
        <v>Apron feeder drive modification from Hydraulic to Electro-Mechanical at CHP U-8  NPTPS</v>
      </c>
      <c r="C2932" s="1491" t="str">
        <f t="shared" si="437"/>
        <v>Yet to be approved</v>
      </c>
      <c r="D2932" s="1531" t="str">
        <f t="shared" si="437"/>
        <v>-</v>
      </c>
      <c r="E2932" s="1318">
        <f t="shared" si="437"/>
        <v>0</v>
      </c>
      <c r="F2932" s="1437">
        <f t="shared" si="432"/>
        <v>4.0199999999999996</v>
      </c>
      <c r="G2932" s="1437">
        <f t="shared" si="433"/>
        <v>4.0199999999999996</v>
      </c>
      <c r="H2932" s="1437">
        <f t="shared" si="434"/>
        <v>0</v>
      </c>
      <c r="I2932" s="1437">
        <v>0</v>
      </c>
      <c r="J2932" s="1437">
        <v>0</v>
      </c>
      <c r="K2932" s="1438"/>
      <c r="L2932" s="1438"/>
      <c r="M2932" s="1437">
        <f t="shared" si="431"/>
        <v>0</v>
      </c>
      <c r="N2932" s="1437">
        <f t="shared" si="435"/>
        <v>0</v>
      </c>
    </row>
    <row r="2933" spans="1:14" outlineLevel="1">
      <c r="A2933" s="1491">
        <f t="shared" si="437"/>
        <v>14.5</v>
      </c>
      <c r="B2933" s="1530" t="str">
        <f t="shared" si="437"/>
        <v>Procurement of U-8 W/T Major spares</v>
      </c>
      <c r="C2933" s="1491" t="str">
        <f t="shared" si="437"/>
        <v>Yet to be approved</v>
      </c>
      <c r="D2933" s="1531" t="str">
        <f t="shared" si="437"/>
        <v>-</v>
      </c>
      <c r="E2933" s="1318">
        <f t="shared" si="437"/>
        <v>0</v>
      </c>
      <c r="F2933" s="1437">
        <f t="shared" si="432"/>
        <v>10</v>
      </c>
      <c r="G2933" s="1437">
        <f t="shared" si="433"/>
        <v>10</v>
      </c>
      <c r="H2933" s="1437">
        <f t="shared" si="434"/>
        <v>0</v>
      </c>
      <c r="I2933" s="1437">
        <v>0</v>
      </c>
      <c r="J2933" s="1437">
        <v>0</v>
      </c>
      <c r="K2933" s="1438"/>
      <c r="L2933" s="1438"/>
      <c r="M2933" s="1437">
        <f t="shared" si="431"/>
        <v>0</v>
      </c>
      <c r="N2933" s="1437">
        <f t="shared" si="435"/>
        <v>0</v>
      </c>
    </row>
    <row r="2934" spans="1:14" outlineLevel="1">
      <c r="A2934" s="1491">
        <f t="shared" si="437"/>
        <v>14.6</v>
      </c>
      <c r="B2934" s="1530" t="str">
        <f t="shared" si="437"/>
        <v>Provision of Soft starter / VFD for Various conveyor</v>
      </c>
      <c r="C2934" s="1491" t="str">
        <f t="shared" si="437"/>
        <v>Yet to be approved</v>
      </c>
      <c r="D2934" s="1531" t="str">
        <f t="shared" si="437"/>
        <v>-</v>
      </c>
      <c r="E2934" s="1318">
        <f t="shared" si="437"/>
        <v>0</v>
      </c>
      <c r="F2934" s="1437">
        <f t="shared" si="432"/>
        <v>8</v>
      </c>
      <c r="G2934" s="1437">
        <f t="shared" si="433"/>
        <v>8</v>
      </c>
      <c r="H2934" s="1437">
        <f t="shared" si="434"/>
        <v>0</v>
      </c>
      <c r="I2934" s="1437">
        <v>0</v>
      </c>
      <c r="J2934" s="1437">
        <v>0</v>
      </c>
      <c r="K2934" s="1438"/>
      <c r="L2934" s="1438"/>
      <c r="M2934" s="1437">
        <f t="shared" si="431"/>
        <v>0</v>
      </c>
      <c r="N2934" s="1437">
        <f t="shared" si="435"/>
        <v>0</v>
      </c>
    </row>
    <row r="2935" spans="1:14" outlineLevel="1">
      <c r="A2935" s="1491">
        <f t="shared" ref="A2935:E2950" si="438">A2542</f>
        <v>14.7</v>
      </c>
      <c r="B2935" s="1530" t="str">
        <f t="shared" si="438"/>
        <v>TP-3 chute modification at U-8 CHP.</v>
      </c>
      <c r="C2935" s="1491" t="str">
        <f t="shared" si="438"/>
        <v>Yet to be approved</v>
      </c>
      <c r="D2935" s="1531" t="str">
        <f t="shared" si="438"/>
        <v>-</v>
      </c>
      <c r="E2935" s="1318">
        <f t="shared" si="438"/>
        <v>0</v>
      </c>
      <c r="F2935" s="1437">
        <f t="shared" si="432"/>
        <v>3</v>
      </c>
      <c r="G2935" s="1437">
        <f t="shared" si="433"/>
        <v>3</v>
      </c>
      <c r="H2935" s="1437">
        <f t="shared" si="434"/>
        <v>0</v>
      </c>
      <c r="I2935" s="1437">
        <v>0</v>
      </c>
      <c r="J2935" s="1437">
        <v>0</v>
      </c>
      <c r="K2935" s="1438"/>
      <c r="L2935" s="1438"/>
      <c r="M2935" s="1437">
        <f t="shared" si="431"/>
        <v>0</v>
      </c>
      <c r="N2935" s="1437">
        <f t="shared" si="435"/>
        <v>0</v>
      </c>
    </row>
    <row r="2936" spans="1:14" ht="29" outlineLevel="1">
      <c r="A2936" s="1491">
        <f t="shared" si="438"/>
        <v>14.8</v>
      </c>
      <c r="B2936" s="1530" t="str">
        <f t="shared" si="438"/>
        <v>Design, supply and commissioning of solar operated lighting system in CHP  U-8.</v>
      </c>
      <c r="C2936" s="1491" t="str">
        <f t="shared" si="438"/>
        <v>Yet to be approved</v>
      </c>
      <c r="D2936" s="1531" t="str">
        <f t="shared" si="438"/>
        <v>-</v>
      </c>
      <c r="E2936" s="1318">
        <f t="shared" si="438"/>
        <v>0</v>
      </c>
      <c r="F2936" s="1437">
        <f t="shared" si="432"/>
        <v>15</v>
      </c>
      <c r="G2936" s="1437">
        <f t="shared" si="433"/>
        <v>15</v>
      </c>
      <c r="H2936" s="1437">
        <f t="shared" si="434"/>
        <v>0</v>
      </c>
      <c r="I2936" s="1437">
        <v>0</v>
      </c>
      <c r="J2936" s="1437">
        <v>0</v>
      </c>
      <c r="K2936" s="1438"/>
      <c r="L2936" s="1438"/>
      <c r="M2936" s="1437">
        <f t="shared" si="431"/>
        <v>0</v>
      </c>
      <c r="N2936" s="1437">
        <f t="shared" si="435"/>
        <v>0</v>
      </c>
    </row>
    <row r="2937" spans="1:14" outlineLevel="1">
      <c r="A2937" s="1491">
        <f t="shared" si="438"/>
        <v>14.9</v>
      </c>
      <c r="B2937" s="1530" t="str">
        <f t="shared" si="438"/>
        <v xml:space="preserve"> Installation of CCTV survillance system alongwith all conveyors.</v>
      </c>
      <c r="C2937" s="1491" t="str">
        <f t="shared" si="438"/>
        <v>Yet to be approved</v>
      </c>
      <c r="D2937" s="1531" t="str">
        <f t="shared" si="438"/>
        <v>-</v>
      </c>
      <c r="E2937" s="1318">
        <f t="shared" si="438"/>
        <v>0</v>
      </c>
      <c r="F2937" s="1437">
        <f t="shared" si="432"/>
        <v>4</v>
      </c>
      <c r="G2937" s="1437">
        <f t="shared" si="433"/>
        <v>4</v>
      </c>
      <c r="H2937" s="1437">
        <f t="shared" si="434"/>
        <v>0</v>
      </c>
      <c r="I2937" s="1437">
        <v>0</v>
      </c>
      <c r="J2937" s="1437">
        <v>0</v>
      </c>
      <c r="K2937" s="1438"/>
      <c r="L2937" s="1438"/>
      <c r="M2937" s="1437">
        <f t="shared" si="431"/>
        <v>0</v>
      </c>
      <c r="N2937" s="1437">
        <f t="shared" si="435"/>
        <v>0</v>
      </c>
    </row>
    <row r="2938" spans="1:14" ht="31" outlineLevel="1">
      <c r="A2938" s="1533">
        <f t="shared" si="438"/>
        <v>15</v>
      </c>
      <c r="B2938" s="1534" t="str">
        <f t="shared" si="438"/>
        <v>DPR for maximiation of Coal Handling Plant efficiency &amp; DPR on life enhancement of Coal Handling Plant</v>
      </c>
      <c r="C2938" s="1491" t="str">
        <f t="shared" si="438"/>
        <v>Yet to be approved</v>
      </c>
      <c r="D2938" s="1531" t="str">
        <f t="shared" si="438"/>
        <v>-</v>
      </c>
      <c r="E2938" s="1318">
        <f t="shared" si="438"/>
        <v>0</v>
      </c>
      <c r="F2938" s="1437">
        <f t="shared" si="432"/>
        <v>0</v>
      </c>
      <c r="G2938" s="1437">
        <f t="shared" si="433"/>
        <v>0</v>
      </c>
      <c r="H2938" s="1437">
        <f t="shared" si="434"/>
        <v>0</v>
      </c>
      <c r="I2938" s="1437">
        <v>0</v>
      </c>
      <c r="J2938" s="1437">
        <v>0</v>
      </c>
      <c r="K2938" s="1438"/>
      <c r="L2938" s="1438"/>
      <c r="M2938" s="1437">
        <f t="shared" si="431"/>
        <v>0</v>
      </c>
      <c r="N2938" s="1437">
        <f t="shared" si="435"/>
        <v>0</v>
      </c>
    </row>
    <row r="2939" spans="1:14" outlineLevel="1">
      <c r="A2939" s="1491">
        <f t="shared" si="438"/>
        <v>15.1</v>
      </c>
      <c r="B2939" s="1530" t="str">
        <f t="shared" si="438"/>
        <v>W/T control room &amp; bunker house battery &amp; UPS upgradation</v>
      </c>
      <c r="C2939" s="1491" t="str">
        <f t="shared" si="438"/>
        <v>Yet to be approved</v>
      </c>
      <c r="D2939" s="1531" t="str">
        <f t="shared" si="438"/>
        <v>-</v>
      </c>
      <c r="E2939" s="1318">
        <f t="shared" si="438"/>
        <v>0</v>
      </c>
      <c r="F2939" s="1437">
        <f t="shared" si="432"/>
        <v>3</v>
      </c>
      <c r="G2939" s="1437">
        <f t="shared" si="433"/>
        <v>3</v>
      </c>
      <c r="H2939" s="1437">
        <f t="shared" si="434"/>
        <v>0</v>
      </c>
      <c r="I2939" s="1437">
        <v>0</v>
      </c>
      <c r="J2939" s="1437">
        <v>0</v>
      </c>
      <c r="K2939" s="1438"/>
      <c r="L2939" s="1438"/>
      <c r="M2939" s="1437">
        <f t="shared" si="431"/>
        <v>0</v>
      </c>
      <c r="N2939" s="1437">
        <f t="shared" si="435"/>
        <v>0</v>
      </c>
    </row>
    <row r="2940" spans="1:14" ht="29" outlineLevel="1">
      <c r="A2940" s="1491">
        <f t="shared" si="438"/>
        <v>15.2</v>
      </c>
      <c r="B2940" s="1530" t="str">
        <f t="shared" si="438"/>
        <v>Refurbishment of  conveyor no. 2 A/B &amp; 6 A/B drive system of CHP U-8 TPS Parli.</v>
      </c>
      <c r="C2940" s="1491" t="str">
        <f t="shared" si="438"/>
        <v>Yet to be approved</v>
      </c>
      <c r="D2940" s="1531" t="str">
        <f t="shared" si="438"/>
        <v>-</v>
      </c>
      <c r="E2940" s="1318">
        <f t="shared" si="438"/>
        <v>0</v>
      </c>
      <c r="F2940" s="1437">
        <f t="shared" si="432"/>
        <v>8</v>
      </c>
      <c r="G2940" s="1437">
        <f t="shared" si="433"/>
        <v>8</v>
      </c>
      <c r="H2940" s="1437">
        <f t="shared" si="434"/>
        <v>0</v>
      </c>
      <c r="I2940" s="1437">
        <v>0</v>
      </c>
      <c r="J2940" s="1437">
        <v>0</v>
      </c>
      <c r="K2940" s="1438"/>
      <c r="L2940" s="1438"/>
      <c r="M2940" s="1437">
        <f t="shared" si="431"/>
        <v>0</v>
      </c>
      <c r="N2940" s="1437">
        <f t="shared" si="435"/>
        <v>0</v>
      </c>
    </row>
    <row r="2941" spans="1:14" outlineLevel="1">
      <c r="A2941" s="1491">
        <f t="shared" si="438"/>
        <v>15.3</v>
      </c>
      <c r="B2941" s="1530" t="str">
        <f t="shared" si="438"/>
        <v>Provision of Soft starter / VFD for Various conveyor</v>
      </c>
      <c r="C2941" s="1491" t="str">
        <f t="shared" si="438"/>
        <v>Yet to be approved</v>
      </c>
      <c r="D2941" s="1531" t="str">
        <f t="shared" si="438"/>
        <v>-</v>
      </c>
      <c r="E2941" s="1318">
        <f t="shared" si="438"/>
        <v>0</v>
      </c>
      <c r="F2941" s="1437">
        <f t="shared" si="432"/>
        <v>8</v>
      </c>
      <c r="G2941" s="1437">
        <f t="shared" si="433"/>
        <v>8</v>
      </c>
      <c r="H2941" s="1437">
        <f t="shared" si="434"/>
        <v>0</v>
      </c>
      <c r="I2941" s="1437">
        <v>0</v>
      </c>
      <c r="J2941" s="1437">
        <v>0</v>
      </c>
      <c r="K2941" s="1438"/>
      <c r="L2941" s="1438"/>
      <c r="M2941" s="1437">
        <f t="shared" si="431"/>
        <v>0</v>
      </c>
      <c r="N2941" s="1437">
        <f t="shared" si="435"/>
        <v>0</v>
      </c>
    </row>
    <row r="2942" spans="1:14" outlineLevel="1">
      <c r="A2942" s="1491">
        <f t="shared" si="438"/>
        <v>15.4</v>
      </c>
      <c r="B2942" s="1530" t="str">
        <f t="shared" si="438"/>
        <v>Procurement &amp; installation of Belt tear detection system</v>
      </c>
      <c r="C2942" s="1491" t="str">
        <f t="shared" si="438"/>
        <v>Yet to be approved</v>
      </c>
      <c r="D2942" s="1531" t="str">
        <f t="shared" si="438"/>
        <v>-</v>
      </c>
      <c r="E2942" s="1318">
        <f t="shared" si="438"/>
        <v>0</v>
      </c>
      <c r="F2942" s="1437">
        <f t="shared" si="432"/>
        <v>4.5</v>
      </c>
      <c r="G2942" s="1437">
        <f t="shared" si="433"/>
        <v>4.5</v>
      </c>
      <c r="H2942" s="1437">
        <f t="shared" si="434"/>
        <v>0</v>
      </c>
      <c r="I2942" s="1437">
        <v>0</v>
      </c>
      <c r="J2942" s="1437">
        <v>0</v>
      </c>
      <c r="K2942" s="1438"/>
      <c r="L2942" s="1438"/>
      <c r="M2942" s="1437">
        <f t="shared" si="431"/>
        <v>0</v>
      </c>
      <c r="N2942" s="1437">
        <f t="shared" si="435"/>
        <v>0</v>
      </c>
    </row>
    <row r="2943" spans="1:14" outlineLevel="1">
      <c r="A2943" s="1491">
        <f t="shared" si="438"/>
        <v>15.5</v>
      </c>
      <c r="B2943" s="1530" t="str">
        <f t="shared" si="438"/>
        <v>Conveyor gravity takeup infrastructure strengthening work</v>
      </c>
      <c r="C2943" s="1491" t="str">
        <f t="shared" si="438"/>
        <v>Yet to be approved</v>
      </c>
      <c r="D2943" s="1531" t="str">
        <f t="shared" si="438"/>
        <v>-</v>
      </c>
      <c r="E2943" s="1318">
        <f t="shared" si="438"/>
        <v>0</v>
      </c>
      <c r="F2943" s="1437">
        <f t="shared" si="432"/>
        <v>3</v>
      </c>
      <c r="G2943" s="1437">
        <f t="shared" si="433"/>
        <v>3</v>
      </c>
      <c r="H2943" s="1437">
        <f t="shared" si="434"/>
        <v>0</v>
      </c>
      <c r="I2943" s="1437">
        <v>0</v>
      </c>
      <c r="J2943" s="1437">
        <v>0</v>
      </c>
      <c r="K2943" s="1438"/>
      <c r="L2943" s="1438"/>
      <c r="M2943" s="1437">
        <f t="shared" si="431"/>
        <v>0</v>
      </c>
      <c r="N2943" s="1437">
        <f t="shared" si="435"/>
        <v>0</v>
      </c>
    </row>
    <row r="2944" spans="1:14" outlineLevel="1">
      <c r="A2944" s="1491">
        <f t="shared" si="438"/>
        <v>15.6</v>
      </c>
      <c r="B2944" s="1530" t="str">
        <f t="shared" si="438"/>
        <v>U-8 CHP apron feeder-I to Conveyor 1 A/B chute modification work .</v>
      </c>
      <c r="C2944" s="1491" t="str">
        <f t="shared" si="438"/>
        <v>Yet to be approved</v>
      </c>
      <c r="D2944" s="1531" t="str">
        <f t="shared" si="438"/>
        <v>-</v>
      </c>
      <c r="E2944" s="1318">
        <f t="shared" si="438"/>
        <v>0</v>
      </c>
      <c r="F2944" s="1437">
        <f t="shared" si="432"/>
        <v>4</v>
      </c>
      <c r="G2944" s="1437">
        <f t="shared" si="433"/>
        <v>4</v>
      </c>
      <c r="H2944" s="1437">
        <f t="shared" si="434"/>
        <v>0</v>
      </c>
      <c r="I2944" s="1437">
        <v>0</v>
      </c>
      <c r="J2944" s="1437">
        <v>0</v>
      </c>
      <c r="K2944" s="1438"/>
      <c r="L2944" s="1438"/>
      <c r="M2944" s="1437">
        <f t="shared" si="431"/>
        <v>0</v>
      </c>
      <c r="N2944" s="1437">
        <f t="shared" si="435"/>
        <v>0</v>
      </c>
    </row>
    <row r="2945" spans="1:14" ht="15.5" outlineLevel="1">
      <c r="A2945" s="1533">
        <f t="shared" si="438"/>
        <v>16</v>
      </c>
      <c r="B2945" s="1534" t="str">
        <f t="shared" si="438"/>
        <v>DPR for stabiliazation of Coal Handling Performance.</v>
      </c>
      <c r="C2945" s="1491" t="str">
        <f t="shared" si="438"/>
        <v>Yet to be approved</v>
      </c>
      <c r="D2945" s="1531" t="str">
        <f t="shared" si="438"/>
        <v>-</v>
      </c>
      <c r="E2945" s="1318">
        <f t="shared" si="438"/>
        <v>0</v>
      </c>
      <c r="F2945" s="1437">
        <f t="shared" si="432"/>
        <v>0</v>
      </c>
      <c r="G2945" s="1437">
        <f t="shared" si="433"/>
        <v>0</v>
      </c>
      <c r="H2945" s="1437">
        <f t="shared" si="434"/>
        <v>0</v>
      </c>
      <c r="I2945" s="1437">
        <v>0</v>
      </c>
      <c r="J2945" s="1437">
        <v>0</v>
      </c>
      <c r="K2945" s="1438"/>
      <c r="L2945" s="1438"/>
      <c r="M2945" s="1437">
        <f t="shared" si="431"/>
        <v>0</v>
      </c>
      <c r="N2945" s="1437">
        <f t="shared" si="435"/>
        <v>0</v>
      </c>
    </row>
    <row r="2946" spans="1:14" outlineLevel="1">
      <c r="A2946" s="1491">
        <f t="shared" si="438"/>
        <v>16.100000000000001</v>
      </c>
      <c r="B2946" s="1530" t="str">
        <f t="shared" si="438"/>
        <v xml:space="preserve">Drive modification of Stacker Reclaimer slewing system. </v>
      </c>
      <c r="C2946" s="1491" t="str">
        <f t="shared" si="438"/>
        <v>Yet to be approved</v>
      </c>
      <c r="D2946" s="1531" t="str">
        <f t="shared" si="438"/>
        <v>-</v>
      </c>
      <c r="E2946" s="1318">
        <f t="shared" si="438"/>
        <v>0</v>
      </c>
      <c r="F2946" s="1437">
        <f t="shared" si="432"/>
        <v>0</v>
      </c>
      <c r="G2946" s="1437">
        <f t="shared" si="433"/>
        <v>0</v>
      </c>
      <c r="H2946" s="1437">
        <f t="shared" si="434"/>
        <v>0</v>
      </c>
      <c r="I2946" s="1437">
        <v>5</v>
      </c>
      <c r="J2946" s="1437">
        <v>5</v>
      </c>
      <c r="K2946" s="1438"/>
      <c r="L2946" s="1438"/>
      <c r="M2946" s="1437">
        <f t="shared" si="431"/>
        <v>5</v>
      </c>
      <c r="N2946" s="1437">
        <f t="shared" si="435"/>
        <v>0</v>
      </c>
    </row>
    <row r="2947" spans="1:14" outlineLevel="1">
      <c r="A2947" s="1491">
        <f t="shared" si="438"/>
        <v>16.2</v>
      </c>
      <c r="B2947" s="1530" t="str">
        <f t="shared" si="438"/>
        <v>Retrofitting of Side Arm Charger-I &amp; II at CHP U-8</v>
      </c>
      <c r="C2947" s="1491" t="str">
        <f t="shared" si="438"/>
        <v>Yet to be approved</v>
      </c>
      <c r="D2947" s="1531" t="str">
        <f t="shared" si="438"/>
        <v>-</v>
      </c>
      <c r="E2947" s="1318">
        <f t="shared" si="438"/>
        <v>0</v>
      </c>
      <c r="F2947" s="1437">
        <f t="shared" si="432"/>
        <v>0</v>
      </c>
      <c r="G2947" s="1437">
        <f t="shared" si="433"/>
        <v>0</v>
      </c>
      <c r="H2947" s="1437">
        <f t="shared" si="434"/>
        <v>0</v>
      </c>
      <c r="I2947" s="1437">
        <v>10</v>
      </c>
      <c r="J2947" s="1437">
        <v>10</v>
      </c>
      <c r="K2947" s="1438"/>
      <c r="L2947" s="1438"/>
      <c r="M2947" s="1437">
        <f t="shared" si="431"/>
        <v>10</v>
      </c>
      <c r="N2947" s="1437">
        <f t="shared" si="435"/>
        <v>0</v>
      </c>
    </row>
    <row r="2948" spans="1:14" outlineLevel="1">
      <c r="A2948" s="1491">
        <f t="shared" si="438"/>
        <v>16.3</v>
      </c>
      <c r="B2948" s="1530" t="str">
        <f t="shared" si="438"/>
        <v>Upgradation of GE/Schineder make PLC system atU-8 CHP.</v>
      </c>
      <c r="C2948" s="1491" t="str">
        <f t="shared" si="438"/>
        <v>Yet to be approved</v>
      </c>
      <c r="D2948" s="1531" t="str">
        <f t="shared" si="438"/>
        <v>-</v>
      </c>
      <c r="E2948" s="1318">
        <f t="shared" si="438"/>
        <v>0</v>
      </c>
      <c r="F2948" s="1437">
        <f t="shared" si="432"/>
        <v>0</v>
      </c>
      <c r="G2948" s="1437">
        <f t="shared" si="433"/>
        <v>0</v>
      </c>
      <c r="H2948" s="1437">
        <f t="shared" si="434"/>
        <v>0</v>
      </c>
      <c r="I2948" s="1437">
        <v>10</v>
      </c>
      <c r="J2948" s="1437">
        <v>10</v>
      </c>
      <c r="K2948" s="1438"/>
      <c r="L2948" s="1438"/>
      <c r="M2948" s="1437">
        <f t="shared" si="431"/>
        <v>10</v>
      </c>
      <c r="N2948" s="1437">
        <f t="shared" si="435"/>
        <v>0</v>
      </c>
    </row>
    <row r="2949" spans="1:14" outlineLevel="1">
      <c r="A2949" s="1491">
        <f t="shared" si="438"/>
        <v>16.399999999999999</v>
      </c>
      <c r="B2949" s="1530" t="str">
        <f t="shared" si="438"/>
        <v>Refurbishment of Apron Feeder at CHP U-8.</v>
      </c>
      <c r="C2949" s="1491" t="str">
        <f t="shared" si="438"/>
        <v>Yet to be approved</v>
      </c>
      <c r="D2949" s="1531" t="str">
        <f t="shared" si="438"/>
        <v>-</v>
      </c>
      <c r="E2949" s="1318">
        <f t="shared" si="438"/>
        <v>0</v>
      </c>
      <c r="F2949" s="1437">
        <f t="shared" si="432"/>
        <v>0</v>
      </c>
      <c r="G2949" s="1437">
        <f t="shared" si="433"/>
        <v>0</v>
      </c>
      <c r="H2949" s="1437">
        <f t="shared" si="434"/>
        <v>0</v>
      </c>
      <c r="I2949" s="1437">
        <v>12</v>
      </c>
      <c r="J2949" s="1437">
        <v>12</v>
      </c>
      <c r="K2949" s="1438"/>
      <c r="L2949" s="1438"/>
      <c r="M2949" s="1437">
        <f t="shared" si="431"/>
        <v>12</v>
      </c>
      <c r="N2949" s="1437">
        <f t="shared" si="435"/>
        <v>0</v>
      </c>
    </row>
    <row r="2950" spans="1:14" ht="29" outlineLevel="1">
      <c r="A2950" s="1491">
        <f t="shared" si="438"/>
        <v>16.5</v>
      </c>
      <c r="B2950" s="1530" t="str">
        <f t="shared" si="438"/>
        <v>Provision of moveable stacker and crusher in CHP coal stack yard at CHP U-8.</v>
      </c>
      <c r="C2950" s="1491" t="str">
        <f t="shared" si="438"/>
        <v>Yet to be approved</v>
      </c>
      <c r="D2950" s="1531" t="str">
        <f t="shared" si="438"/>
        <v>-</v>
      </c>
      <c r="E2950" s="1318">
        <f t="shared" si="438"/>
        <v>0</v>
      </c>
      <c r="F2950" s="1437">
        <f t="shared" si="432"/>
        <v>0</v>
      </c>
      <c r="G2950" s="1437">
        <f t="shared" si="433"/>
        <v>0</v>
      </c>
      <c r="H2950" s="1437">
        <f t="shared" si="434"/>
        <v>0</v>
      </c>
      <c r="I2950" s="1437">
        <v>10</v>
      </c>
      <c r="J2950" s="1437">
        <v>10</v>
      </c>
      <c r="K2950" s="1438"/>
      <c r="L2950" s="1438"/>
      <c r="M2950" s="1437">
        <f t="shared" si="431"/>
        <v>10</v>
      </c>
      <c r="N2950" s="1437">
        <f t="shared" si="435"/>
        <v>0</v>
      </c>
    </row>
    <row r="2951" spans="1:14" outlineLevel="1">
      <c r="A2951" s="1491">
        <f t="shared" ref="A2951:E2966" si="439">A2558</f>
        <v>16.600000000000001</v>
      </c>
      <c r="B2951" s="1530" t="str">
        <f t="shared" si="439"/>
        <v>Procurement of Loco &amp; Bulldozer at CHP U-8.</v>
      </c>
      <c r="C2951" s="1491" t="str">
        <f t="shared" si="439"/>
        <v>Yet to be approved</v>
      </c>
      <c r="D2951" s="1531" t="str">
        <f t="shared" si="439"/>
        <v>-</v>
      </c>
      <c r="E2951" s="1318">
        <f t="shared" si="439"/>
        <v>0</v>
      </c>
      <c r="F2951" s="1437">
        <f t="shared" si="432"/>
        <v>0</v>
      </c>
      <c r="G2951" s="1437">
        <f t="shared" si="433"/>
        <v>0</v>
      </c>
      <c r="H2951" s="1437">
        <f t="shared" si="434"/>
        <v>0</v>
      </c>
      <c r="I2951" s="1437">
        <v>12</v>
      </c>
      <c r="J2951" s="1437">
        <v>12</v>
      </c>
      <c r="K2951" s="1438"/>
      <c r="L2951" s="1438"/>
      <c r="M2951" s="1437">
        <f t="shared" si="431"/>
        <v>12</v>
      </c>
      <c r="N2951" s="1437">
        <f t="shared" si="435"/>
        <v>0</v>
      </c>
    </row>
    <row r="2952" spans="1:14" ht="31" outlineLevel="1">
      <c r="A2952" s="1533">
        <f t="shared" si="439"/>
        <v>17</v>
      </c>
      <c r="B2952" s="1534" t="str">
        <f t="shared" si="439"/>
        <v>DPR on dry fly ash utilisation improvement scheme for AHP U-8 NPTPS Parli-V.</v>
      </c>
      <c r="C2952" s="1491" t="str">
        <f t="shared" si="439"/>
        <v>Yet to be approved</v>
      </c>
      <c r="D2952" s="1531" t="str">
        <f t="shared" si="439"/>
        <v>-</v>
      </c>
      <c r="E2952" s="1318">
        <f t="shared" si="439"/>
        <v>0</v>
      </c>
      <c r="F2952" s="1437">
        <f t="shared" si="432"/>
        <v>0</v>
      </c>
      <c r="G2952" s="1437">
        <f t="shared" si="433"/>
        <v>0</v>
      </c>
      <c r="H2952" s="1437">
        <f t="shared" si="434"/>
        <v>0</v>
      </c>
      <c r="I2952" s="1437">
        <v>0</v>
      </c>
      <c r="J2952" s="1437">
        <v>0</v>
      </c>
      <c r="K2952" s="1438"/>
      <c r="L2952" s="1438"/>
      <c r="M2952" s="1437">
        <f t="shared" si="431"/>
        <v>0</v>
      </c>
      <c r="N2952" s="1437">
        <f t="shared" si="435"/>
        <v>0</v>
      </c>
    </row>
    <row r="2953" spans="1:14" ht="29" outlineLevel="1">
      <c r="A2953" s="1491">
        <f t="shared" si="439"/>
        <v>17.100000000000001</v>
      </c>
      <c r="B2953" s="1530" t="str">
        <f t="shared" si="439"/>
        <v>Design, supply, erection, installation &amp; comissioning of intermediate silo with sub system at AHP U-8.</v>
      </c>
      <c r="C2953" s="1491" t="str">
        <f t="shared" si="439"/>
        <v>Yet to be approved</v>
      </c>
      <c r="D2953" s="1531" t="str">
        <f t="shared" si="439"/>
        <v>-</v>
      </c>
      <c r="E2953" s="1318">
        <f t="shared" si="439"/>
        <v>0</v>
      </c>
      <c r="F2953" s="1437">
        <f t="shared" si="432"/>
        <v>38</v>
      </c>
      <c r="G2953" s="1437">
        <f t="shared" si="433"/>
        <v>38</v>
      </c>
      <c r="H2953" s="1437">
        <f t="shared" si="434"/>
        <v>0</v>
      </c>
      <c r="I2953" s="1437">
        <v>0</v>
      </c>
      <c r="J2953" s="1437">
        <v>0</v>
      </c>
      <c r="K2953" s="1438"/>
      <c r="L2953" s="1438"/>
      <c r="M2953" s="1437">
        <f t="shared" ref="M2953:M3016" si="440">SUM(J2953:L2953)</f>
        <v>0</v>
      </c>
      <c r="N2953" s="1437">
        <f t="shared" si="435"/>
        <v>0</v>
      </c>
    </row>
    <row r="2954" spans="1:14" ht="31" outlineLevel="1">
      <c r="A2954" s="1533">
        <f t="shared" si="439"/>
        <v>18</v>
      </c>
      <c r="B2954" s="1534" t="str">
        <f t="shared" si="439"/>
        <v>DPR on ash handling plant improvement scheme for AHP U-8 NPTPS Parli-V.</v>
      </c>
      <c r="C2954" s="1491" t="str">
        <f t="shared" si="439"/>
        <v>Yet to be approved</v>
      </c>
      <c r="D2954" s="1531" t="str">
        <f t="shared" si="439"/>
        <v>-</v>
      </c>
      <c r="E2954" s="1318">
        <f t="shared" si="439"/>
        <v>0</v>
      </c>
      <c r="F2954" s="1437">
        <f t="shared" ref="F2954:F3017" si="441">F2561+I2561</f>
        <v>0</v>
      </c>
      <c r="G2954" s="1437">
        <f t="shared" ref="G2954:G3017" si="442">G2561+M2561</f>
        <v>0</v>
      </c>
      <c r="H2954" s="1437">
        <f t="shared" si="434"/>
        <v>0</v>
      </c>
      <c r="I2954" s="1437">
        <v>0</v>
      </c>
      <c r="J2954" s="1437">
        <v>0</v>
      </c>
      <c r="K2954" s="1438"/>
      <c r="L2954" s="1438"/>
      <c r="M2954" s="1437">
        <f t="shared" si="440"/>
        <v>0</v>
      </c>
      <c r="N2954" s="1437">
        <f t="shared" si="435"/>
        <v>0</v>
      </c>
    </row>
    <row r="2955" spans="1:14" ht="29" outlineLevel="1">
      <c r="A2955" s="1491">
        <f t="shared" si="439"/>
        <v>18.100000000000001</v>
      </c>
      <c r="B2955" s="1530" t="str">
        <f t="shared" si="439"/>
        <v xml:space="preserve"> Design, supply, erection &amp; comissioning of weigh bridge for silo at AHP U-8.</v>
      </c>
      <c r="C2955" s="1491" t="str">
        <f t="shared" si="439"/>
        <v>Yet to be approved</v>
      </c>
      <c r="D2955" s="1531" t="str">
        <f t="shared" si="439"/>
        <v>-</v>
      </c>
      <c r="E2955" s="1318">
        <f t="shared" si="439"/>
        <v>0</v>
      </c>
      <c r="F2955" s="1437">
        <f t="shared" si="441"/>
        <v>0.5</v>
      </c>
      <c r="G2955" s="1437">
        <f t="shared" si="442"/>
        <v>0.5</v>
      </c>
      <c r="H2955" s="1437">
        <f t="shared" ref="H2955:H3018" si="443">F2955-G2955</f>
        <v>0</v>
      </c>
      <c r="I2955" s="1437">
        <v>0</v>
      </c>
      <c r="J2955" s="1437">
        <v>0</v>
      </c>
      <c r="K2955" s="1438"/>
      <c r="L2955" s="1438"/>
      <c r="M2955" s="1437">
        <f t="shared" si="440"/>
        <v>0</v>
      </c>
      <c r="N2955" s="1437">
        <f t="shared" ref="N2955:N3018" si="444">H2955+I2955-M2955</f>
        <v>0</v>
      </c>
    </row>
    <row r="2956" spans="1:14" ht="29" outlineLevel="1">
      <c r="A2956" s="1491">
        <f t="shared" si="439"/>
        <v>18.2</v>
      </c>
      <c r="B2956" s="1530" t="str">
        <f t="shared" si="439"/>
        <v>Supply, installation &amp; comissioning of energy efficient air compressor at AHP U-8.</v>
      </c>
      <c r="C2956" s="1491" t="str">
        <f t="shared" si="439"/>
        <v>Yet to be approved</v>
      </c>
      <c r="D2956" s="1531" t="str">
        <f t="shared" si="439"/>
        <v>-</v>
      </c>
      <c r="E2956" s="1318">
        <f t="shared" si="439"/>
        <v>0</v>
      </c>
      <c r="F2956" s="1437">
        <f t="shared" si="441"/>
        <v>6</v>
      </c>
      <c r="G2956" s="1437">
        <f t="shared" si="442"/>
        <v>6</v>
      </c>
      <c r="H2956" s="1437">
        <f t="shared" si="443"/>
        <v>0</v>
      </c>
      <c r="I2956" s="1437">
        <v>0</v>
      </c>
      <c r="J2956" s="1437">
        <v>0</v>
      </c>
      <c r="K2956" s="1438"/>
      <c r="L2956" s="1438"/>
      <c r="M2956" s="1437">
        <f t="shared" si="440"/>
        <v>0</v>
      </c>
      <c r="N2956" s="1437">
        <f t="shared" si="444"/>
        <v>0</v>
      </c>
    </row>
    <row r="2957" spans="1:14" ht="58" outlineLevel="1">
      <c r="A2957" s="1491">
        <f t="shared" si="439"/>
        <v>18.3</v>
      </c>
      <c r="B2957" s="1530" t="str">
        <f t="shared" si="439"/>
        <v xml:space="preserve"> PROCUREMENT OF COMPLETE ASSEMBLY OF SAM MAKE AR-150/510 PUMPS (2 NOS) FOR REPLACEMENT OF ASH SLURRY PUMPS OF BOTTOM ASH SLURRY DISPOSAL FROM SLURRY TANK TO ASH BUND IN SLURRY PUMP HOUSE. </v>
      </c>
      <c r="C2957" s="1491" t="str">
        <f t="shared" si="439"/>
        <v>Yet to be approved</v>
      </c>
      <c r="D2957" s="1531" t="str">
        <f t="shared" si="439"/>
        <v>-</v>
      </c>
      <c r="E2957" s="1318">
        <f t="shared" si="439"/>
        <v>0</v>
      </c>
      <c r="F2957" s="1437">
        <f t="shared" si="441"/>
        <v>0.5</v>
      </c>
      <c r="G2957" s="1437">
        <f t="shared" si="442"/>
        <v>0.5</v>
      </c>
      <c r="H2957" s="1437">
        <f t="shared" si="443"/>
        <v>0</v>
      </c>
      <c r="I2957" s="1437">
        <v>0</v>
      </c>
      <c r="J2957" s="1437">
        <v>0</v>
      </c>
      <c r="K2957" s="1438"/>
      <c r="L2957" s="1438"/>
      <c r="M2957" s="1437">
        <f t="shared" si="440"/>
        <v>0</v>
      </c>
      <c r="N2957" s="1437">
        <f t="shared" si="444"/>
        <v>0</v>
      </c>
    </row>
    <row r="2958" spans="1:14" ht="58" outlineLevel="1">
      <c r="A2958" s="1491">
        <f t="shared" si="439"/>
        <v>18.399999999999999</v>
      </c>
      <c r="B2958" s="1530" t="str">
        <f t="shared" si="439"/>
        <v>PROCUREMENT OF COMPLETE ASSEMBLY OF SAM MAKE ZM-II 530/02 (2 NOS) FOR REPLACEMENT OF HP PUMPS OF BOTTOM ASH &amp; COARSE ASH EVACUATION FROM BA/CA HOPPERS TO SLURRY TANK IN ASH WATER PUMP HOUSE. 0.75 0.89</v>
      </c>
      <c r="C2958" s="1491" t="str">
        <f t="shared" si="439"/>
        <v>Yet to be approved</v>
      </c>
      <c r="D2958" s="1531" t="str">
        <f t="shared" si="439"/>
        <v>-</v>
      </c>
      <c r="E2958" s="1318">
        <f t="shared" si="439"/>
        <v>0</v>
      </c>
      <c r="F2958" s="1437">
        <f t="shared" si="441"/>
        <v>0.4</v>
      </c>
      <c r="G2958" s="1437">
        <f t="shared" si="442"/>
        <v>0.4</v>
      </c>
      <c r="H2958" s="1437">
        <f t="shared" si="443"/>
        <v>0</v>
      </c>
      <c r="I2958" s="1437">
        <v>0</v>
      </c>
      <c r="J2958" s="1437">
        <v>0</v>
      </c>
      <c r="K2958" s="1438"/>
      <c r="L2958" s="1438"/>
      <c r="M2958" s="1437">
        <f t="shared" si="440"/>
        <v>0</v>
      </c>
      <c r="N2958" s="1437">
        <f t="shared" si="444"/>
        <v>0</v>
      </c>
    </row>
    <row r="2959" spans="1:14" ht="29" outlineLevel="1">
      <c r="A2959" s="1491">
        <f t="shared" si="439"/>
        <v>18.5</v>
      </c>
      <c r="B2959" s="1530" t="str">
        <f t="shared" si="439"/>
        <v>Procurement of vacuum pumps complete assembly for AHP U-8 NPTPS Parli-V.</v>
      </c>
      <c r="C2959" s="1491" t="str">
        <f t="shared" si="439"/>
        <v>Yet to be approved</v>
      </c>
      <c r="D2959" s="1531" t="str">
        <f t="shared" si="439"/>
        <v>-</v>
      </c>
      <c r="E2959" s="1318">
        <f t="shared" si="439"/>
        <v>0</v>
      </c>
      <c r="F2959" s="1437">
        <f t="shared" si="441"/>
        <v>1.5</v>
      </c>
      <c r="G2959" s="1437">
        <f t="shared" si="442"/>
        <v>1.5</v>
      </c>
      <c r="H2959" s="1437">
        <f t="shared" si="443"/>
        <v>0</v>
      </c>
      <c r="I2959" s="1437">
        <v>0</v>
      </c>
      <c r="J2959" s="1437">
        <v>0</v>
      </c>
      <c r="K2959" s="1438"/>
      <c r="L2959" s="1438"/>
      <c r="M2959" s="1437">
        <f t="shared" si="440"/>
        <v>0</v>
      </c>
      <c r="N2959" s="1437">
        <f t="shared" si="444"/>
        <v>0</v>
      </c>
    </row>
    <row r="2960" spans="1:14" ht="29" outlineLevel="1">
      <c r="A2960" s="1491">
        <f t="shared" si="439"/>
        <v>18.600000000000001</v>
      </c>
      <c r="B2960" s="1530" t="str">
        <f t="shared" si="439"/>
        <v>Procurement of vacuum pumps complete assembly for AHP U-8 NPTPS Parli-V.</v>
      </c>
      <c r="C2960" s="1491" t="str">
        <f t="shared" si="439"/>
        <v>Yet to be approved</v>
      </c>
      <c r="D2960" s="1531" t="str">
        <f t="shared" si="439"/>
        <v>-</v>
      </c>
      <c r="E2960" s="1318">
        <f t="shared" si="439"/>
        <v>0</v>
      </c>
      <c r="F2960" s="1437">
        <f t="shared" si="441"/>
        <v>2</v>
      </c>
      <c r="G2960" s="1437">
        <f t="shared" si="442"/>
        <v>2</v>
      </c>
      <c r="H2960" s="1437">
        <f t="shared" si="443"/>
        <v>0</v>
      </c>
      <c r="I2960" s="1437">
        <v>0</v>
      </c>
      <c r="J2960" s="1437">
        <v>0</v>
      </c>
      <c r="K2960" s="1438"/>
      <c r="L2960" s="1438"/>
      <c r="M2960" s="1437">
        <f t="shared" si="440"/>
        <v>0</v>
      </c>
      <c r="N2960" s="1437">
        <f t="shared" si="444"/>
        <v>0</v>
      </c>
    </row>
    <row r="2961" spans="1:14" ht="29" outlineLevel="1">
      <c r="A2961" s="1491">
        <f t="shared" si="439"/>
        <v>18.7</v>
      </c>
      <c r="B2961" s="1530" t="str">
        <f t="shared" si="439"/>
        <v>Procurement of Feed Gate Complete Assembly along with modified metallurgy to enhance the life of Clinker Grinder.</v>
      </c>
      <c r="C2961" s="1491" t="str">
        <f t="shared" si="439"/>
        <v>Yet to be approved</v>
      </c>
      <c r="D2961" s="1531" t="str">
        <f t="shared" si="439"/>
        <v>-</v>
      </c>
      <c r="E2961" s="1318">
        <f t="shared" si="439"/>
        <v>0</v>
      </c>
      <c r="F2961" s="1437">
        <f t="shared" si="441"/>
        <v>1</v>
      </c>
      <c r="G2961" s="1437">
        <f t="shared" si="442"/>
        <v>1</v>
      </c>
      <c r="H2961" s="1437">
        <f t="shared" si="443"/>
        <v>0</v>
      </c>
      <c r="I2961" s="1437">
        <v>0</v>
      </c>
      <c r="J2961" s="1437">
        <v>0</v>
      </c>
      <c r="K2961" s="1438"/>
      <c r="L2961" s="1438"/>
      <c r="M2961" s="1437">
        <f t="shared" si="440"/>
        <v>0</v>
      </c>
      <c r="N2961" s="1437">
        <f t="shared" si="444"/>
        <v>0</v>
      </c>
    </row>
    <row r="2962" spans="1:14" ht="29" outlineLevel="1">
      <c r="A2962" s="1491">
        <f t="shared" si="439"/>
        <v>18.8</v>
      </c>
      <c r="B2962" s="1530" t="str">
        <f t="shared" si="439"/>
        <v>Procurement of Double Roll Clinker Grinder Complete Assembly with Drive Unit installed at AHP</v>
      </c>
      <c r="C2962" s="1491" t="str">
        <f t="shared" si="439"/>
        <v>Yet to be approved</v>
      </c>
      <c r="D2962" s="1531" t="str">
        <f t="shared" si="439"/>
        <v>-</v>
      </c>
      <c r="E2962" s="1318">
        <f t="shared" si="439"/>
        <v>0</v>
      </c>
      <c r="F2962" s="1437">
        <f t="shared" si="441"/>
        <v>1.25</v>
      </c>
      <c r="G2962" s="1437">
        <f t="shared" si="442"/>
        <v>1.25</v>
      </c>
      <c r="H2962" s="1437">
        <f t="shared" si="443"/>
        <v>0</v>
      </c>
      <c r="I2962" s="1437">
        <v>0</v>
      </c>
      <c r="J2962" s="1437">
        <v>0</v>
      </c>
      <c r="K2962" s="1438"/>
      <c r="L2962" s="1438"/>
      <c r="M2962" s="1437">
        <f t="shared" si="440"/>
        <v>0</v>
      </c>
      <c r="N2962" s="1437">
        <f t="shared" si="444"/>
        <v>0</v>
      </c>
    </row>
    <row r="2963" spans="1:14" ht="29" outlineLevel="1">
      <c r="A2963" s="1491">
        <f t="shared" si="439"/>
        <v>18.899999999999999</v>
      </c>
      <c r="B2963" s="1530" t="str">
        <f t="shared" si="439"/>
        <v>Procurement of Instrument Air Dryers assembly for performance improvement</v>
      </c>
      <c r="C2963" s="1491" t="str">
        <f t="shared" si="439"/>
        <v>Yet to be approved</v>
      </c>
      <c r="D2963" s="1531" t="str">
        <f t="shared" si="439"/>
        <v>-</v>
      </c>
      <c r="E2963" s="1318">
        <f t="shared" si="439"/>
        <v>0</v>
      </c>
      <c r="F2963" s="1437">
        <f t="shared" si="441"/>
        <v>0.5</v>
      </c>
      <c r="G2963" s="1437">
        <f t="shared" si="442"/>
        <v>0.5</v>
      </c>
      <c r="H2963" s="1437">
        <f t="shared" si="443"/>
        <v>0</v>
      </c>
      <c r="I2963" s="1437">
        <v>0</v>
      </c>
      <c r="J2963" s="1437">
        <v>0</v>
      </c>
      <c r="K2963" s="1438"/>
      <c r="L2963" s="1438"/>
      <c r="M2963" s="1437">
        <f t="shared" si="440"/>
        <v>0</v>
      </c>
      <c r="N2963" s="1437">
        <f t="shared" si="444"/>
        <v>0</v>
      </c>
    </row>
    <row r="2964" spans="1:14" ht="43.5" outlineLevel="1">
      <c r="A2964" s="1491">
        <f t="shared" si="439"/>
        <v>18.100000000000001</v>
      </c>
      <c r="B2964" s="1530" t="str">
        <f t="shared" si="439"/>
        <v>Procurement of various types of Isolation Valves assembly, Dome Valves assembly, Root Valve Assembly &amp; Expansion Bellows Assembly for Dry Ash Conveing performance improvement</v>
      </c>
      <c r="C2964" s="1491" t="str">
        <f t="shared" si="439"/>
        <v>Yet to be approved</v>
      </c>
      <c r="D2964" s="1531" t="str">
        <f t="shared" si="439"/>
        <v>-</v>
      </c>
      <c r="E2964" s="1318">
        <f t="shared" si="439"/>
        <v>0</v>
      </c>
      <c r="F2964" s="1437">
        <f t="shared" si="441"/>
        <v>3.6</v>
      </c>
      <c r="G2964" s="1437">
        <f t="shared" si="442"/>
        <v>3.6</v>
      </c>
      <c r="H2964" s="1437">
        <f t="shared" si="443"/>
        <v>0</v>
      </c>
      <c r="I2964" s="1437">
        <v>0</v>
      </c>
      <c r="J2964" s="1437">
        <v>0</v>
      </c>
      <c r="K2964" s="1438"/>
      <c r="L2964" s="1438"/>
      <c r="M2964" s="1437">
        <f t="shared" si="440"/>
        <v>0</v>
      </c>
      <c r="N2964" s="1437">
        <f t="shared" si="444"/>
        <v>0</v>
      </c>
    </row>
    <row r="2965" spans="1:14" ht="31" outlineLevel="1">
      <c r="A2965" s="1533">
        <f t="shared" si="439"/>
        <v>19</v>
      </c>
      <c r="B2965" s="1534" t="str">
        <f t="shared" si="439"/>
        <v>DPR on ash handling plant improvement scheme for AHP U-8 NPTPS Parli-V.</v>
      </c>
      <c r="C2965" s="1491" t="str">
        <f t="shared" si="439"/>
        <v>Yet to be approved</v>
      </c>
      <c r="D2965" s="1531" t="str">
        <f t="shared" si="439"/>
        <v>-</v>
      </c>
      <c r="E2965" s="1318">
        <f t="shared" si="439"/>
        <v>0</v>
      </c>
      <c r="F2965" s="1437">
        <f t="shared" si="441"/>
        <v>0</v>
      </c>
      <c r="G2965" s="1437">
        <f t="shared" si="442"/>
        <v>0</v>
      </c>
      <c r="H2965" s="1437">
        <f t="shared" si="443"/>
        <v>0</v>
      </c>
      <c r="I2965" s="1437">
        <v>0</v>
      </c>
      <c r="J2965" s="1437">
        <v>0</v>
      </c>
      <c r="K2965" s="1438"/>
      <c r="L2965" s="1438"/>
      <c r="M2965" s="1437">
        <f t="shared" si="440"/>
        <v>0</v>
      </c>
      <c r="N2965" s="1437">
        <f t="shared" si="444"/>
        <v>0</v>
      </c>
    </row>
    <row r="2966" spans="1:14" ht="29" outlineLevel="1">
      <c r="A2966" s="1491">
        <f t="shared" si="439"/>
        <v>19.100000000000001</v>
      </c>
      <c r="B2966" s="1530" t="str">
        <f t="shared" si="439"/>
        <v>Design, supply, erection, installation &amp; comissioning of DM water close loop cooling system for air compressors at AHP U-8.</v>
      </c>
      <c r="C2966" s="1491" t="str">
        <f t="shared" si="439"/>
        <v>Yet to be approved</v>
      </c>
      <c r="D2966" s="1531" t="str">
        <f t="shared" si="439"/>
        <v>-</v>
      </c>
      <c r="E2966" s="1318">
        <f t="shared" si="439"/>
        <v>0</v>
      </c>
      <c r="F2966" s="1437">
        <f t="shared" si="441"/>
        <v>3</v>
      </c>
      <c r="G2966" s="1437">
        <f t="shared" si="442"/>
        <v>3</v>
      </c>
      <c r="H2966" s="1437">
        <f t="shared" si="443"/>
        <v>0</v>
      </c>
      <c r="I2966" s="1437">
        <v>0</v>
      </c>
      <c r="J2966" s="1437">
        <v>0</v>
      </c>
      <c r="K2966" s="1438"/>
      <c r="L2966" s="1438"/>
      <c r="M2966" s="1437">
        <f t="shared" si="440"/>
        <v>0</v>
      </c>
      <c r="N2966" s="1437">
        <f t="shared" si="444"/>
        <v>0</v>
      </c>
    </row>
    <row r="2967" spans="1:14" ht="29" outlineLevel="1">
      <c r="A2967" s="1491">
        <f t="shared" ref="A2967:E2982" si="445">A2574</f>
        <v>19.2</v>
      </c>
      <c r="B2967" s="1530" t="str">
        <f t="shared" si="445"/>
        <v>Up-gradation of Existing Schneider make PLC (HMI + PLC hardware) installed at AHP Unit -8 at Parli TPS.</v>
      </c>
      <c r="C2967" s="1491" t="str">
        <f t="shared" si="445"/>
        <v>Yet to be approved</v>
      </c>
      <c r="D2967" s="1531" t="str">
        <f t="shared" si="445"/>
        <v>-</v>
      </c>
      <c r="E2967" s="1318">
        <f t="shared" si="445"/>
        <v>0</v>
      </c>
      <c r="F2967" s="1437">
        <f t="shared" si="441"/>
        <v>1.5</v>
      </c>
      <c r="G2967" s="1437">
        <f t="shared" si="442"/>
        <v>1.5</v>
      </c>
      <c r="H2967" s="1437">
        <f t="shared" si="443"/>
        <v>0</v>
      </c>
      <c r="I2967" s="1437">
        <v>0</v>
      </c>
      <c r="J2967" s="1437">
        <v>0</v>
      </c>
      <c r="K2967" s="1438"/>
      <c r="L2967" s="1438"/>
      <c r="M2967" s="1437">
        <f t="shared" si="440"/>
        <v>0</v>
      </c>
      <c r="N2967" s="1437">
        <f t="shared" si="444"/>
        <v>0</v>
      </c>
    </row>
    <row r="2968" spans="1:14" outlineLevel="1">
      <c r="A2968" s="1491">
        <f t="shared" si="445"/>
        <v>19.3</v>
      </c>
      <c r="B2968" s="1530" t="str">
        <f t="shared" si="445"/>
        <v>Procurement of HT motors for AHP U-8 Parli TPS.</v>
      </c>
      <c r="C2968" s="1491" t="str">
        <f t="shared" si="445"/>
        <v>Yet to be approved</v>
      </c>
      <c r="D2968" s="1531" t="str">
        <f t="shared" si="445"/>
        <v>-</v>
      </c>
      <c r="E2968" s="1318">
        <f t="shared" si="445"/>
        <v>0</v>
      </c>
      <c r="F2968" s="1437">
        <f t="shared" si="441"/>
        <v>2.2999999999999998</v>
      </c>
      <c r="G2968" s="1437">
        <f t="shared" si="442"/>
        <v>2.2999999999999998</v>
      </c>
      <c r="H2968" s="1437">
        <f t="shared" si="443"/>
        <v>0</v>
      </c>
      <c r="I2968" s="1437">
        <v>0</v>
      </c>
      <c r="J2968" s="1437">
        <v>0</v>
      </c>
      <c r="K2968" s="1438"/>
      <c r="L2968" s="1438"/>
      <c r="M2968" s="1437">
        <f t="shared" si="440"/>
        <v>0</v>
      </c>
      <c r="N2968" s="1437">
        <f t="shared" si="444"/>
        <v>0</v>
      </c>
    </row>
    <row r="2969" spans="1:14" ht="43.5" outlineLevel="1">
      <c r="A2969" s="1491">
        <f t="shared" si="445"/>
        <v>19.399999999999999</v>
      </c>
      <c r="B2969" s="1530" t="str">
        <f t="shared" si="445"/>
        <v>PROCUREMENT OF CRITICAL GEARBOXES AND FLUID COUPLINGS INTERNAL ASSEMBLIES FOR SLURRY PUMPS AND SILO HCSD SYSTEM INSTALLED AT AHP, PARLI TPS.</v>
      </c>
      <c r="C2969" s="1491" t="str">
        <f t="shared" si="445"/>
        <v>Yet to be approved</v>
      </c>
      <c r="D2969" s="1531" t="str">
        <f t="shared" si="445"/>
        <v>-</v>
      </c>
      <c r="E2969" s="1318">
        <f t="shared" si="445"/>
        <v>0</v>
      </c>
      <c r="F2969" s="1437">
        <f t="shared" si="441"/>
        <v>1.2</v>
      </c>
      <c r="G2969" s="1437">
        <f t="shared" si="442"/>
        <v>1.2</v>
      </c>
      <c r="H2969" s="1437">
        <f t="shared" si="443"/>
        <v>0</v>
      </c>
      <c r="I2969" s="1437">
        <v>0</v>
      </c>
      <c r="J2969" s="1437">
        <v>0</v>
      </c>
      <c r="K2969" s="1438"/>
      <c r="L2969" s="1438"/>
      <c r="M2969" s="1437">
        <f t="shared" si="440"/>
        <v>0</v>
      </c>
      <c r="N2969" s="1437">
        <f t="shared" si="444"/>
        <v>0</v>
      </c>
    </row>
    <row r="2970" spans="1:14" ht="43.5" outlineLevel="1">
      <c r="A2970" s="1491">
        <f t="shared" si="445"/>
        <v>19.5</v>
      </c>
      <c r="B2970" s="1530" t="str">
        <f t="shared" si="445"/>
        <v>Procurement of Atlas Copco Make Instrument Air Compressors Critical/Non-Critical Spares sub-assembly for performance improvement</v>
      </c>
      <c r="C2970" s="1491" t="str">
        <f t="shared" si="445"/>
        <v>Yet to be approved</v>
      </c>
      <c r="D2970" s="1531" t="str">
        <f t="shared" si="445"/>
        <v>-</v>
      </c>
      <c r="E2970" s="1318">
        <f t="shared" si="445"/>
        <v>0</v>
      </c>
      <c r="F2970" s="1437">
        <f t="shared" si="441"/>
        <v>6</v>
      </c>
      <c r="G2970" s="1437">
        <f t="shared" si="442"/>
        <v>6</v>
      </c>
      <c r="H2970" s="1437">
        <f t="shared" si="443"/>
        <v>0</v>
      </c>
      <c r="I2970" s="1437">
        <v>0</v>
      </c>
      <c r="J2970" s="1437">
        <v>0</v>
      </c>
      <c r="K2970" s="1438"/>
      <c r="L2970" s="1438"/>
      <c r="M2970" s="1437">
        <f t="shared" si="440"/>
        <v>0</v>
      </c>
      <c r="N2970" s="1437">
        <f t="shared" si="444"/>
        <v>0</v>
      </c>
    </row>
    <row r="2971" spans="1:14" ht="43.5" outlineLevel="1">
      <c r="A2971" s="1491">
        <f t="shared" si="445"/>
        <v>19.600000000000001</v>
      </c>
      <c r="B2971" s="1530" t="str">
        <f t="shared" si="445"/>
        <v>Upgradation and improvement in Hopper Temperature monitoring system by providing Rf Type Hopper Level Sensors for performance improvement of conveying of Dry ash evacuation system.</v>
      </c>
      <c r="C2971" s="1491" t="str">
        <f t="shared" si="445"/>
        <v>Yet to be approved</v>
      </c>
      <c r="D2971" s="1531" t="str">
        <f t="shared" si="445"/>
        <v>-</v>
      </c>
      <c r="E2971" s="1318">
        <f t="shared" si="445"/>
        <v>0</v>
      </c>
      <c r="F2971" s="1437">
        <f t="shared" si="441"/>
        <v>1.2</v>
      </c>
      <c r="G2971" s="1437">
        <f t="shared" si="442"/>
        <v>1.2</v>
      </c>
      <c r="H2971" s="1437">
        <f t="shared" si="443"/>
        <v>0</v>
      </c>
      <c r="I2971" s="1437">
        <v>0</v>
      </c>
      <c r="J2971" s="1437">
        <v>0</v>
      </c>
      <c r="K2971" s="1438"/>
      <c r="L2971" s="1438"/>
      <c r="M2971" s="1437">
        <f t="shared" si="440"/>
        <v>0</v>
      </c>
      <c r="N2971" s="1437">
        <f t="shared" si="444"/>
        <v>0</v>
      </c>
    </row>
    <row r="2972" spans="1:14" ht="31" outlineLevel="1">
      <c r="A2972" s="1533">
        <f t="shared" si="445"/>
        <v>20</v>
      </c>
      <c r="B2972" s="1534" t="str">
        <f t="shared" si="445"/>
        <v>DPR on ash handling plant improvement scheme for AHP U-8 NPTPS Parli-V.</v>
      </c>
      <c r="C2972" s="1491" t="str">
        <f t="shared" si="445"/>
        <v>Yet to be approved</v>
      </c>
      <c r="D2972" s="1531" t="str">
        <f t="shared" si="445"/>
        <v>-</v>
      </c>
      <c r="E2972" s="1318">
        <f t="shared" si="445"/>
        <v>0</v>
      </c>
      <c r="F2972" s="1437">
        <f t="shared" si="441"/>
        <v>0</v>
      </c>
      <c r="G2972" s="1437">
        <f t="shared" si="442"/>
        <v>0</v>
      </c>
      <c r="H2972" s="1437">
        <f t="shared" si="443"/>
        <v>0</v>
      </c>
      <c r="I2972" s="1437">
        <v>0</v>
      </c>
      <c r="J2972" s="1437">
        <v>0</v>
      </c>
      <c r="K2972" s="1438"/>
      <c r="L2972" s="1438"/>
      <c r="M2972" s="1437">
        <f t="shared" si="440"/>
        <v>0</v>
      </c>
      <c r="N2972" s="1437">
        <f t="shared" si="444"/>
        <v>0</v>
      </c>
    </row>
    <row r="2973" spans="1:14" ht="29" outlineLevel="1">
      <c r="A2973" s="1491">
        <f t="shared" si="445"/>
        <v>20.100000000000001</v>
      </c>
      <c r="B2973" s="1530" t="str">
        <f t="shared" si="445"/>
        <v xml:space="preserve"> Design, supply, erection, installation &amp; comissioning ESP 1st &amp; 2nd field dry fly ash evacuation &amp; conveying system at AHP U-8.</v>
      </c>
      <c r="C2973" s="1491" t="str">
        <f t="shared" si="445"/>
        <v>Yet to be approved</v>
      </c>
      <c r="D2973" s="1531" t="str">
        <f t="shared" si="445"/>
        <v>-</v>
      </c>
      <c r="E2973" s="1318">
        <f t="shared" si="445"/>
        <v>0</v>
      </c>
      <c r="F2973" s="1437">
        <f t="shared" si="441"/>
        <v>21.25</v>
      </c>
      <c r="G2973" s="1437">
        <f t="shared" si="442"/>
        <v>21.25</v>
      </c>
      <c r="H2973" s="1437">
        <f t="shared" si="443"/>
        <v>0</v>
      </c>
      <c r="I2973" s="1437">
        <v>0</v>
      </c>
      <c r="J2973" s="1437">
        <v>0</v>
      </c>
      <c r="K2973" s="1438"/>
      <c r="L2973" s="1438"/>
      <c r="M2973" s="1437">
        <f t="shared" si="440"/>
        <v>0</v>
      </c>
      <c r="N2973" s="1437">
        <f t="shared" si="444"/>
        <v>0</v>
      </c>
    </row>
    <row r="2974" spans="1:14" ht="43.5" outlineLevel="1">
      <c r="A2974" s="1491">
        <f t="shared" si="445"/>
        <v>20.2</v>
      </c>
      <c r="B2974" s="1530" t="str">
        <f t="shared" si="445"/>
        <v>Design, supply, erection, installation &amp; comissioning of dry ash evacuation &amp; conveying system for APH &amp; Economiser ash hoppers at AHP U-8.</v>
      </c>
      <c r="C2974" s="1491" t="str">
        <f t="shared" si="445"/>
        <v>Yet to be approved</v>
      </c>
      <c r="D2974" s="1531" t="str">
        <f t="shared" si="445"/>
        <v>-</v>
      </c>
      <c r="E2974" s="1318">
        <f t="shared" si="445"/>
        <v>0</v>
      </c>
      <c r="F2974" s="1437">
        <f t="shared" si="441"/>
        <v>3</v>
      </c>
      <c r="G2974" s="1437">
        <f t="shared" si="442"/>
        <v>3</v>
      </c>
      <c r="H2974" s="1437">
        <f t="shared" si="443"/>
        <v>0</v>
      </c>
      <c r="I2974" s="1437">
        <v>0</v>
      </c>
      <c r="J2974" s="1437">
        <v>0</v>
      </c>
      <c r="K2974" s="1438"/>
      <c r="L2974" s="1438"/>
      <c r="M2974" s="1437">
        <f t="shared" si="440"/>
        <v>0</v>
      </c>
      <c r="N2974" s="1437">
        <f t="shared" si="444"/>
        <v>0</v>
      </c>
    </row>
    <row r="2975" spans="1:14" ht="15.5" outlineLevel="1">
      <c r="A2975" s="1533">
        <f t="shared" si="445"/>
        <v>21</v>
      </c>
      <c r="B2975" s="1534" t="str">
        <f t="shared" si="445"/>
        <v>Verious Civil schemes in Unit 8 NPTPS  Parli V.</v>
      </c>
      <c r="C2975" s="1491" t="str">
        <f t="shared" si="445"/>
        <v>Yet to be approved</v>
      </c>
      <c r="D2975" s="1531" t="str">
        <f t="shared" si="445"/>
        <v>-</v>
      </c>
      <c r="E2975" s="1318">
        <f t="shared" si="445"/>
        <v>0</v>
      </c>
      <c r="F2975" s="1437">
        <f t="shared" si="441"/>
        <v>0</v>
      </c>
      <c r="G2975" s="1437">
        <f t="shared" si="442"/>
        <v>0</v>
      </c>
      <c r="H2975" s="1437">
        <f t="shared" si="443"/>
        <v>0</v>
      </c>
      <c r="I2975" s="1437">
        <v>0</v>
      </c>
      <c r="J2975" s="1437">
        <v>0</v>
      </c>
      <c r="K2975" s="1438"/>
      <c r="L2975" s="1438"/>
      <c r="M2975" s="1437">
        <f t="shared" si="440"/>
        <v>0</v>
      </c>
      <c r="N2975" s="1437">
        <f t="shared" si="444"/>
        <v>0</v>
      </c>
    </row>
    <row r="2976" spans="1:14" outlineLevel="1">
      <c r="A2976" s="1491">
        <f t="shared" si="445"/>
        <v>21.1</v>
      </c>
      <c r="B2976" s="1530" t="str">
        <f t="shared" si="445"/>
        <v>Construction of chemical laboratory building at Unit 8, NPTPS, Parli V.</v>
      </c>
      <c r="C2976" s="1491" t="str">
        <f t="shared" si="445"/>
        <v>Yet to be approved</v>
      </c>
      <c r="D2976" s="1531" t="str">
        <f t="shared" si="445"/>
        <v>-</v>
      </c>
      <c r="E2976" s="1318">
        <f t="shared" si="445"/>
        <v>0</v>
      </c>
      <c r="F2976" s="1437">
        <f t="shared" si="441"/>
        <v>3.7800000000000002</v>
      </c>
      <c r="G2976" s="1437">
        <f t="shared" si="442"/>
        <v>3.7800000000000002</v>
      </c>
      <c r="H2976" s="1437">
        <f t="shared" si="443"/>
        <v>0</v>
      </c>
      <c r="I2976" s="1437">
        <v>0</v>
      </c>
      <c r="J2976" s="1437">
        <v>0</v>
      </c>
      <c r="K2976" s="1438"/>
      <c r="L2976" s="1438"/>
      <c r="M2976" s="1437">
        <f t="shared" si="440"/>
        <v>0</v>
      </c>
      <c r="N2976" s="1437">
        <f t="shared" si="444"/>
        <v>0</v>
      </c>
    </row>
    <row r="2977" spans="1:14" ht="29" outlineLevel="1">
      <c r="A2977" s="1491">
        <f t="shared" si="445"/>
        <v>21.2</v>
      </c>
      <c r="B2977" s="1530" t="str">
        <f t="shared" si="445"/>
        <v>Construction of Alum/salt storage area at Unit No.8 (1X250MW) NPTPS Parli Vaijnath.</v>
      </c>
      <c r="C2977" s="1491" t="str">
        <f t="shared" si="445"/>
        <v>Yet to be approved</v>
      </c>
      <c r="D2977" s="1531" t="str">
        <f t="shared" si="445"/>
        <v>-</v>
      </c>
      <c r="E2977" s="1318">
        <f t="shared" si="445"/>
        <v>0</v>
      </c>
      <c r="F2977" s="1437">
        <f t="shared" si="441"/>
        <v>3.46</v>
      </c>
      <c r="G2977" s="1437">
        <f t="shared" si="442"/>
        <v>3.46</v>
      </c>
      <c r="H2977" s="1437">
        <f t="shared" si="443"/>
        <v>0</v>
      </c>
      <c r="I2977" s="1437">
        <v>0</v>
      </c>
      <c r="J2977" s="1437">
        <v>0</v>
      </c>
      <c r="K2977" s="1438"/>
      <c r="L2977" s="1438"/>
      <c r="M2977" s="1437">
        <f t="shared" si="440"/>
        <v>0</v>
      </c>
      <c r="N2977" s="1437">
        <f t="shared" si="444"/>
        <v>0</v>
      </c>
    </row>
    <row r="2978" spans="1:14" outlineLevel="1">
      <c r="A2978" s="1491">
        <f t="shared" si="445"/>
        <v>21.3</v>
      </c>
      <c r="B2978" s="1530" t="str">
        <f t="shared" si="445"/>
        <v>Construction of Fire Fighting station  at Unit-8,  NPTPS  Parli V.</v>
      </c>
      <c r="C2978" s="1491" t="str">
        <f t="shared" si="445"/>
        <v>Yet to be approved</v>
      </c>
      <c r="D2978" s="1531" t="str">
        <f t="shared" si="445"/>
        <v>-</v>
      </c>
      <c r="E2978" s="1318">
        <f t="shared" si="445"/>
        <v>0</v>
      </c>
      <c r="F2978" s="1437">
        <f t="shared" si="441"/>
        <v>1.8599999999999999</v>
      </c>
      <c r="G2978" s="1437">
        <f t="shared" si="442"/>
        <v>1.8599999999999999</v>
      </c>
      <c r="H2978" s="1437">
        <f t="shared" si="443"/>
        <v>0</v>
      </c>
      <c r="I2978" s="1437">
        <v>0</v>
      </c>
      <c r="J2978" s="1437">
        <v>0</v>
      </c>
      <c r="K2978" s="1438"/>
      <c r="L2978" s="1438"/>
      <c r="M2978" s="1437">
        <f t="shared" si="440"/>
        <v>0</v>
      </c>
      <c r="N2978" s="1437">
        <f t="shared" si="444"/>
        <v>0</v>
      </c>
    </row>
    <row r="2979" spans="1:14" outlineLevel="1">
      <c r="A2979" s="1491">
        <f t="shared" si="445"/>
        <v>21.4</v>
      </c>
      <c r="B2979" s="1530" t="str">
        <f t="shared" si="445"/>
        <v xml:space="preserve">Construction of workshop building at Unit-8,  NPTPS  Parli V. </v>
      </c>
      <c r="C2979" s="1491" t="str">
        <f t="shared" si="445"/>
        <v>Yet to be approved</v>
      </c>
      <c r="D2979" s="1531" t="str">
        <f t="shared" si="445"/>
        <v>-</v>
      </c>
      <c r="E2979" s="1318">
        <f t="shared" si="445"/>
        <v>0</v>
      </c>
      <c r="F2979" s="1437">
        <f t="shared" si="441"/>
        <v>2.13</v>
      </c>
      <c r="G2979" s="1437">
        <f t="shared" si="442"/>
        <v>2.13</v>
      </c>
      <c r="H2979" s="1437">
        <f t="shared" si="443"/>
        <v>0</v>
      </c>
      <c r="I2979" s="1437">
        <v>0</v>
      </c>
      <c r="J2979" s="1437">
        <v>0</v>
      </c>
      <c r="K2979" s="1438"/>
      <c r="L2979" s="1438"/>
      <c r="M2979" s="1437">
        <f t="shared" si="440"/>
        <v>0</v>
      </c>
      <c r="N2979" s="1437">
        <f t="shared" si="444"/>
        <v>0</v>
      </c>
    </row>
    <row r="2980" spans="1:14" ht="15.5" outlineLevel="1">
      <c r="A2980" s="1533">
        <f t="shared" si="445"/>
        <v>22</v>
      </c>
      <c r="B2980" s="1534" t="str">
        <f t="shared" si="445"/>
        <v>CHP improvement scheme at 250 MW</v>
      </c>
      <c r="C2980" s="1491">
        <f t="shared" si="445"/>
        <v>0</v>
      </c>
      <c r="D2980" s="1531" t="str">
        <f t="shared" si="445"/>
        <v>-</v>
      </c>
      <c r="E2980" s="1318">
        <f t="shared" si="445"/>
        <v>0</v>
      </c>
      <c r="F2980" s="1437">
        <f t="shared" si="441"/>
        <v>0</v>
      </c>
      <c r="G2980" s="1437">
        <f t="shared" si="442"/>
        <v>0</v>
      </c>
      <c r="H2980" s="1437">
        <f t="shared" si="443"/>
        <v>0</v>
      </c>
      <c r="I2980" s="1437">
        <v>0</v>
      </c>
      <c r="J2980" s="1437">
        <v>0</v>
      </c>
      <c r="K2980" s="1438"/>
      <c r="L2980" s="1438"/>
      <c r="M2980" s="1437">
        <f t="shared" si="440"/>
        <v>0</v>
      </c>
      <c r="N2980" s="1437">
        <f t="shared" si="444"/>
        <v>0</v>
      </c>
    </row>
    <row r="2981" spans="1:14" outlineLevel="1">
      <c r="A2981" s="1491">
        <f t="shared" si="445"/>
        <v>22.1</v>
      </c>
      <c r="B2981" s="1530" t="str">
        <f t="shared" si="445"/>
        <v>CHP improvement scheme at 250 MW</v>
      </c>
      <c r="C2981" s="1491">
        <f t="shared" si="445"/>
        <v>0</v>
      </c>
      <c r="D2981" s="1531" t="str">
        <f t="shared" si="445"/>
        <v>-</v>
      </c>
      <c r="E2981" s="1318">
        <f t="shared" si="445"/>
        <v>0</v>
      </c>
      <c r="F2981" s="1437">
        <f t="shared" si="441"/>
        <v>25</v>
      </c>
      <c r="G2981" s="1437">
        <f t="shared" si="442"/>
        <v>25</v>
      </c>
      <c r="H2981" s="1437">
        <f t="shared" si="443"/>
        <v>0</v>
      </c>
      <c r="I2981" s="1437">
        <v>0</v>
      </c>
      <c r="J2981" s="1437">
        <v>0</v>
      </c>
      <c r="K2981" s="1438"/>
      <c r="L2981" s="1438"/>
      <c r="M2981" s="1437">
        <f t="shared" si="440"/>
        <v>0</v>
      </c>
      <c r="N2981" s="1437">
        <f t="shared" si="444"/>
        <v>0</v>
      </c>
    </row>
    <row r="2982" spans="1:14" outlineLevel="1">
      <c r="A2982" s="1420">
        <f t="shared" si="445"/>
        <v>0</v>
      </c>
      <c r="B2982" s="1421" t="str">
        <f t="shared" si="445"/>
        <v>B) Non-DPR</v>
      </c>
      <c r="C2982" s="1491">
        <f t="shared" si="445"/>
        <v>0</v>
      </c>
      <c r="D2982" s="1531" t="str">
        <f t="shared" si="445"/>
        <v>-</v>
      </c>
      <c r="E2982" s="1318">
        <f t="shared" si="445"/>
        <v>0</v>
      </c>
      <c r="F2982" s="1437">
        <f t="shared" si="441"/>
        <v>0</v>
      </c>
      <c r="G2982" s="1437">
        <f t="shared" si="442"/>
        <v>0</v>
      </c>
      <c r="H2982" s="1437">
        <f t="shared" si="443"/>
        <v>0</v>
      </c>
      <c r="I2982" s="1437">
        <v>0</v>
      </c>
      <c r="J2982" s="1437">
        <v>0</v>
      </c>
      <c r="K2982" s="1438"/>
      <c r="L2982" s="1438"/>
      <c r="M2982" s="1437">
        <f t="shared" si="440"/>
        <v>0</v>
      </c>
      <c r="N2982" s="1437">
        <f t="shared" si="444"/>
        <v>0</v>
      </c>
    </row>
    <row r="2983" spans="1:14" ht="15.5" outlineLevel="1">
      <c r="A2983" s="1533">
        <f t="shared" ref="A2983:E2998" si="446">A2590</f>
        <v>0</v>
      </c>
      <c r="B2983" s="1534">
        <f t="shared" si="446"/>
        <v>0</v>
      </c>
      <c r="C2983" s="1491">
        <f t="shared" si="446"/>
        <v>0</v>
      </c>
      <c r="D2983" s="1531" t="str">
        <f t="shared" si="446"/>
        <v>-</v>
      </c>
      <c r="E2983" s="1318">
        <f t="shared" si="446"/>
        <v>0</v>
      </c>
      <c r="F2983" s="1437">
        <f t="shared" si="441"/>
        <v>0.56615120600000002</v>
      </c>
      <c r="G2983" s="1437">
        <f t="shared" si="442"/>
        <v>0.56615120600000002</v>
      </c>
      <c r="H2983" s="1437">
        <f t="shared" si="443"/>
        <v>0</v>
      </c>
      <c r="I2983" s="1437">
        <v>0</v>
      </c>
      <c r="J2983" s="1437">
        <v>0</v>
      </c>
      <c r="K2983" s="1438"/>
      <c r="L2983" s="1438"/>
      <c r="M2983" s="1437">
        <f t="shared" si="440"/>
        <v>0</v>
      </c>
      <c r="N2983" s="1437">
        <f t="shared" si="444"/>
        <v>0</v>
      </c>
    </row>
    <row r="2984" spans="1:14" ht="15.5" outlineLevel="1">
      <c r="A2984" s="1493">
        <f t="shared" si="446"/>
        <v>0</v>
      </c>
      <c r="B2984" s="1494" t="str">
        <f t="shared" si="446"/>
        <v>B) GA</v>
      </c>
      <c r="C2984" s="1491">
        <f t="shared" si="446"/>
        <v>0</v>
      </c>
      <c r="D2984" s="1531" t="str">
        <f t="shared" si="446"/>
        <v>-</v>
      </c>
      <c r="E2984" s="1318">
        <f t="shared" si="446"/>
        <v>0</v>
      </c>
      <c r="F2984" s="1437">
        <f t="shared" si="441"/>
        <v>1.5031236510000001</v>
      </c>
      <c r="G2984" s="1437">
        <f t="shared" si="442"/>
        <v>1.563711651</v>
      </c>
      <c r="H2984" s="1437">
        <f t="shared" si="443"/>
        <v>-6.0587999999999864E-2</v>
      </c>
      <c r="I2984" s="1437">
        <v>0.28999999999999998</v>
      </c>
      <c r="J2984" s="1437">
        <v>0.28999999999999998</v>
      </c>
      <c r="K2984" s="1438"/>
      <c r="L2984" s="1438"/>
      <c r="M2984" s="1437">
        <f t="shared" si="440"/>
        <v>0.28999999999999998</v>
      </c>
      <c r="N2984" s="1437">
        <f t="shared" si="444"/>
        <v>-6.0587999999999864E-2</v>
      </c>
    </row>
    <row r="2985" spans="1:14" outlineLevel="1">
      <c r="A2985" s="1499">
        <f t="shared" si="446"/>
        <v>0</v>
      </c>
      <c r="B2985" s="1539">
        <f t="shared" si="446"/>
        <v>0</v>
      </c>
      <c r="C2985" s="1491">
        <f t="shared" si="446"/>
        <v>0</v>
      </c>
      <c r="D2985" s="1531" t="str">
        <f t="shared" si="446"/>
        <v>-</v>
      </c>
      <c r="E2985" s="1318">
        <f t="shared" si="446"/>
        <v>0</v>
      </c>
      <c r="F2985" s="1437">
        <f t="shared" si="441"/>
        <v>0.28999999999999998</v>
      </c>
      <c r="G2985" s="1437">
        <f t="shared" si="442"/>
        <v>0</v>
      </c>
      <c r="H2985" s="1437">
        <f t="shared" si="443"/>
        <v>0.28999999999999998</v>
      </c>
      <c r="I2985" s="1437">
        <v>0</v>
      </c>
      <c r="J2985" s="1437">
        <v>0</v>
      </c>
      <c r="K2985" s="1438"/>
      <c r="L2985" s="1438"/>
      <c r="M2985" s="1437">
        <f t="shared" si="440"/>
        <v>0</v>
      </c>
      <c r="N2985" s="1437">
        <f t="shared" si="444"/>
        <v>0.28999999999999998</v>
      </c>
    </row>
    <row r="2986" spans="1:14" ht="15.5" outlineLevel="1">
      <c r="A2986" s="1493">
        <f t="shared" si="446"/>
        <v>0</v>
      </c>
      <c r="B2986" s="1494" t="str">
        <f t="shared" si="446"/>
        <v>C) Asset received from Project U#8</v>
      </c>
      <c r="C2986" s="1491">
        <f t="shared" si="446"/>
        <v>0</v>
      </c>
      <c r="D2986" s="1531" t="str">
        <f t="shared" si="446"/>
        <v>-</v>
      </c>
      <c r="E2986" s="1318">
        <f t="shared" si="446"/>
        <v>0</v>
      </c>
      <c r="F2986" s="1437">
        <f t="shared" si="441"/>
        <v>0</v>
      </c>
      <c r="G2986" s="1437">
        <f t="shared" si="442"/>
        <v>0</v>
      </c>
      <c r="H2986" s="1437">
        <f t="shared" si="443"/>
        <v>0</v>
      </c>
      <c r="I2986" s="1437">
        <v>0</v>
      </c>
      <c r="J2986" s="1437">
        <v>0</v>
      </c>
      <c r="K2986" s="1438"/>
      <c r="L2986" s="1438"/>
      <c r="M2986" s="1437">
        <f t="shared" si="440"/>
        <v>0</v>
      </c>
      <c r="N2986" s="1437">
        <f t="shared" si="444"/>
        <v>0</v>
      </c>
    </row>
    <row r="2987" spans="1:14" outlineLevel="1">
      <c r="A2987" s="1499">
        <f t="shared" si="446"/>
        <v>1</v>
      </c>
      <c r="B2987" s="1539" t="str">
        <f t="shared" si="446"/>
        <v>Asset Recived From Civil-U#8-Land-10101</v>
      </c>
      <c r="C2987" s="1491" t="str">
        <f t="shared" si="446"/>
        <v>N.A.</v>
      </c>
      <c r="D2987" s="1531" t="str">
        <f t="shared" si="446"/>
        <v>-</v>
      </c>
      <c r="E2987" s="1318">
        <f t="shared" si="446"/>
        <v>0</v>
      </c>
      <c r="F2987" s="1437">
        <f t="shared" si="441"/>
        <v>3.1293089999999998E-3</v>
      </c>
      <c r="G2987" s="1437">
        <f t="shared" si="442"/>
        <v>0</v>
      </c>
      <c r="H2987" s="1437">
        <f t="shared" si="443"/>
        <v>3.1293089999999998E-3</v>
      </c>
      <c r="I2987" s="1437">
        <v>0</v>
      </c>
      <c r="J2987" s="1437">
        <v>0</v>
      </c>
      <c r="K2987" s="1438"/>
      <c r="L2987" s="1438"/>
      <c r="M2987" s="1437">
        <f t="shared" si="440"/>
        <v>0</v>
      </c>
      <c r="N2987" s="1437">
        <f t="shared" si="444"/>
        <v>3.1293089999999998E-3</v>
      </c>
    </row>
    <row r="2988" spans="1:14" outlineLevel="1">
      <c r="A2988" s="1499">
        <f t="shared" si="446"/>
        <v>2</v>
      </c>
      <c r="B2988" s="1539" t="str">
        <f t="shared" si="446"/>
        <v>Asset Recived From Civil-U#8-T.G. Building-10201</v>
      </c>
      <c r="C2988" s="1491" t="str">
        <f t="shared" si="446"/>
        <v>N.A.</v>
      </c>
      <c r="D2988" s="1531" t="str">
        <f t="shared" si="446"/>
        <v>-</v>
      </c>
      <c r="E2988" s="1318">
        <f t="shared" si="446"/>
        <v>0</v>
      </c>
      <c r="F2988" s="1437">
        <f t="shared" si="441"/>
        <v>1.0037712000000001E-2</v>
      </c>
      <c r="G2988" s="1437">
        <f t="shared" si="442"/>
        <v>0</v>
      </c>
      <c r="H2988" s="1437">
        <f t="shared" si="443"/>
        <v>1.0037712000000001E-2</v>
      </c>
      <c r="I2988" s="1437">
        <v>0</v>
      </c>
      <c r="J2988" s="1437">
        <v>0</v>
      </c>
      <c r="K2988" s="1438"/>
      <c r="L2988" s="1438"/>
      <c r="M2988" s="1437">
        <f t="shared" si="440"/>
        <v>0</v>
      </c>
      <c r="N2988" s="1437">
        <f t="shared" si="444"/>
        <v>1.0037712000000001E-2</v>
      </c>
    </row>
    <row r="2989" spans="1:14" ht="29" outlineLevel="1">
      <c r="A2989" s="1499">
        <f t="shared" si="446"/>
        <v>3</v>
      </c>
      <c r="B2989" s="1539" t="str">
        <f t="shared" si="446"/>
        <v>Asset Recived From Civil-U#8-T.G. Building(BC)bay&amp;control room-10201</v>
      </c>
      <c r="C2989" s="1491" t="str">
        <f t="shared" si="446"/>
        <v>N.A.</v>
      </c>
      <c r="D2989" s="1531" t="str">
        <f t="shared" si="446"/>
        <v>-</v>
      </c>
      <c r="E2989" s="1318">
        <f t="shared" si="446"/>
        <v>0</v>
      </c>
      <c r="F2989" s="1437">
        <f t="shared" si="441"/>
        <v>4.578426E-3</v>
      </c>
      <c r="G2989" s="1437">
        <f t="shared" si="442"/>
        <v>0</v>
      </c>
      <c r="H2989" s="1437">
        <f t="shared" si="443"/>
        <v>4.578426E-3</v>
      </c>
      <c r="I2989" s="1437">
        <v>0</v>
      </c>
      <c r="J2989" s="1437">
        <v>0</v>
      </c>
      <c r="K2989" s="1438"/>
      <c r="L2989" s="1438"/>
      <c r="M2989" s="1437">
        <f t="shared" si="440"/>
        <v>0</v>
      </c>
      <c r="N2989" s="1437">
        <f t="shared" si="444"/>
        <v>4.578426E-3</v>
      </c>
    </row>
    <row r="2990" spans="1:14" ht="29" outlineLevel="1">
      <c r="A2990" s="1499">
        <f t="shared" si="446"/>
        <v>4</v>
      </c>
      <c r="B2990" s="1539" t="str">
        <f t="shared" si="446"/>
        <v>Asset Recived From Civil-U#8-StructuralSteelWorks4TGBldgA2EBays-10201</v>
      </c>
      <c r="C2990" s="1491" t="str">
        <f t="shared" si="446"/>
        <v>N.A.</v>
      </c>
      <c r="D2990" s="1531" t="str">
        <f t="shared" si="446"/>
        <v>-</v>
      </c>
      <c r="E2990" s="1318">
        <f t="shared" si="446"/>
        <v>0</v>
      </c>
      <c r="F2990" s="1437">
        <f t="shared" si="441"/>
        <v>1.397639E-3</v>
      </c>
      <c r="G2990" s="1437">
        <f t="shared" si="442"/>
        <v>0</v>
      </c>
      <c r="H2990" s="1437">
        <f t="shared" si="443"/>
        <v>1.397639E-3</v>
      </c>
      <c r="I2990" s="1437">
        <v>0</v>
      </c>
      <c r="J2990" s="1437">
        <v>0</v>
      </c>
      <c r="K2990" s="1438"/>
      <c r="L2990" s="1438"/>
      <c r="M2990" s="1437">
        <f t="shared" si="440"/>
        <v>0</v>
      </c>
      <c r="N2990" s="1437">
        <f t="shared" si="444"/>
        <v>1.397639E-3</v>
      </c>
    </row>
    <row r="2991" spans="1:14" outlineLevel="1">
      <c r="A2991" s="1499">
        <f t="shared" si="446"/>
        <v>5</v>
      </c>
      <c r="B2991" s="1539" t="str">
        <f t="shared" si="446"/>
        <v>Asset Recived From Civil-U#8-WTP Building-10201</v>
      </c>
      <c r="C2991" s="1491" t="str">
        <f t="shared" si="446"/>
        <v>N.A.</v>
      </c>
      <c r="D2991" s="1531" t="str">
        <f t="shared" si="446"/>
        <v>-</v>
      </c>
      <c r="E2991" s="1318">
        <f t="shared" si="446"/>
        <v>0</v>
      </c>
      <c r="F2991" s="1437">
        <f t="shared" si="441"/>
        <v>1.14825E-4</v>
      </c>
      <c r="G2991" s="1437">
        <f t="shared" si="442"/>
        <v>0</v>
      </c>
      <c r="H2991" s="1437">
        <f t="shared" si="443"/>
        <v>1.14825E-4</v>
      </c>
      <c r="I2991" s="1437">
        <v>0</v>
      </c>
      <c r="J2991" s="1437">
        <v>0</v>
      </c>
      <c r="K2991" s="1438"/>
      <c r="L2991" s="1438"/>
      <c r="M2991" s="1437">
        <f t="shared" si="440"/>
        <v>0</v>
      </c>
      <c r="N2991" s="1437">
        <f t="shared" si="444"/>
        <v>1.14825E-4</v>
      </c>
    </row>
    <row r="2992" spans="1:14" ht="29" outlineLevel="1">
      <c r="A2992" s="1499">
        <f t="shared" si="446"/>
        <v>6</v>
      </c>
      <c r="B2992" s="1539" t="str">
        <f t="shared" si="446"/>
        <v>Asset Recived From Civil-U#8-DG SET ROOM CUM AIR COMP. HOUSE-10201</v>
      </c>
      <c r="C2992" s="1491" t="str">
        <f t="shared" si="446"/>
        <v>N.A.</v>
      </c>
      <c r="D2992" s="1531" t="str">
        <f t="shared" si="446"/>
        <v>-</v>
      </c>
      <c r="E2992" s="1318">
        <f t="shared" si="446"/>
        <v>0</v>
      </c>
      <c r="F2992" s="1437">
        <f t="shared" si="441"/>
        <v>1.05983E-4</v>
      </c>
      <c r="G2992" s="1437">
        <f t="shared" si="442"/>
        <v>0</v>
      </c>
      <c r="H2992" s="1437">
        <f t="shared" si="443"/>
        <v>1.05983E-4</v>
      </c>
      <c r="I2992" s="1437">
        <v>0</v>
      </c>
      <c r="J2992" s="1437">
        <v>0</v>
      </c>
      <c r="K2992" s="1438"/>
      <c r="L2992" s="1438"/>
      <c r="M2992" s="1437">
        <f t="shared" si="440"/>
        <v>0</v>
      </c>
      <c r="N2992" s="1437">
        <f t="shared" si="444"/>
        <v>1.05983E-4</v>
      </c>
    </row>
    <row r="2993" spans="1:14" ht="29" outlineLevel="1">
      <c r="A2993" s="1499">
        <f t="shared" si="446"/>
        <v>7</v>
      </c>
      <c r="B2993" s="1539" t="str">
        <f t="shared" si="446"/>
        <v>Asset Recived From Civil-U#8-WTP-Raw/Fire water pump House-10233</v>
      </c>
      <c r="C2993" s="1491" t="str">
        <f t="shared" si="446"/>
        <v>N.A.</v>
      </c>
      <c r="D2993" s="1531" t="str">
        <f t="shared" si="446"/>
        <v>-</v>
      </c>
      <c r="E2993" s="1318">
        <f t="shared" si="446"/>
        <v>0</v>
      </c>
      <c r="F2993" s="1437">
        <f t="shared" si="441"/>
        <v>6.9018599999999997E-4</v>
      </c>
      <c r="G2993" s="1437">
        <f t="shared" si="442"/>
        <v>0</v>
      </c>
      <c r="H2993" s="1437">
        <f t="shared" si="443"/>
        <v>6.9018599999999997E-4</v>
      </c>
      <c r="I2993" s="1437">
        <v>0</v>
      </c>
      <c r="J2993" s="1437">
        <v>0</v>
      </c>
      <c r="K2993" s="1438"/>
      <c r="L2993" s="1438"/>
      <c r="M2993" s="1437">
        <f t="shared" si="440"/>
        <v>0</v>
      </c>
      <c r="N2993" s="1437">
        <f t="shared" si="444"/>
        <v>6.9018599999999997E-4</v>
      </c>
    </row>
    <row r="2994" spans="1:14" outlineLevel="1">
      <c r="A2994" s="1499">
        <f t="shared" si="446"/>
        <v>8</v>
      </c>
      <c r="B2994" s="1539" t="str">
        <f t="shared" si="446"/>
        <v>Asset Recived From Civil-U#8-SERVICE BUILDING -10211</v>
      </c>
      <c r="C2994" s="1491" t="str">
        <f t="shared" si="446"/>
        <v>N.A.</v>
      </c>
      <c r="D2994" s="1531" t="str">
        <f t="shared" si="446"/>
        <v>-</v>
      </c>
      <c r="E2994" s="1318">
        <f t="shared" si="446"/>
        <v>0</v>
      </c>
      <c r="F2994" s="1437">
        <f t="shared" si="441"/>
        <v>5.51437E-4</v>
      </c>
      <c r="G2994" s="1437">
        <f t="shared" si="442"/>
        <v>0</v>
      </c>
      <c r="H2994" s="1437">
        <f t="shared" si="443"/>
        <v>5.51437E-4</v>
      </c>
      <c r="I2994" s="1437">
        <v>0</v>
      </c>
      <c r="J2994" s="1437">
        <v>0</v>
      </c>
      <c r="K2994" s="1438"/>
      <c r="L2994" s="1438"/>
      <c r="M2994" s="1437">
        <f t="shared" si="440"/>
        <v>0</v>
      </c>
      <c r="N2994" s="1437">
        <f t="shared" si="444"/>
        <v>5.51437E-4</v>
      </c>
    </row>
    <row r="2995" spans="1:14" outlineLevel="1">
      <c r="A2995" s="1499">
        <f t="shared" si="446"/>
        <v>9</v>
      </c>
      <c r="B2995" s="1539" t="str">
        <f t="shared" si="446"/>
        <v>Asset Recived From Civil-U#8-Canteen -10233</v>
      </c>
      <c r="C2995" s="1491" t="str">
        <f t="shared" si="446"/>
        <v>N.A.</v>
      </c>
      <c r="D2995" s="1531" t="str">
        <f t="shared" si="446"/>
        <v>-</v>
      </c>
      <c r="E2995" s="1318">
        <f t="shared" si="446"/>
        <v>0</v>
      </c>
      <c r="F2995" s="1437">
        <f t="shared" si="441"/>
        <v>7.2491400000000001E-4</v>
      </c>
      <c r="G2995" s="1437">
        <f t="shared" si="442"/>
        <v>0</v>
      </c>
      <c r="H2995" s="1437">
        <f t="shared" si="443"/>
        <v>7.2491400000000001E-4</v>
      </c>
      <c r="I2995" s="1437">
        <v>0</v>
      </c>
      <c r="J2995" s="1437">
        <v>0</v>
      </c>
      <c r="K2995" s="1438"/>
      <c r="L2995" s="1438"/>
      <c r="M2995" s="1437">
        <f t="shared" si="440"/>
        <v>0</v>
      </c>
      <c r="N2995" s="1437">
        <f t="shared" si="444"/>
        <v>7.2491400000000001E-4</v>
      </c>
    </row>
    <row r="2996" spans="1:14" outlineLevel="1">
      <c r="A2996" s="1499">
        <f t="shared" si="446"/>
        <v>10</v>
      </c>
      <c r="B2996" s="1539" t="str">
        <f t="shared" si="446"/>
        <v>Asset Recived From Civil-U#8-PARKING SHED -10233</v>
      </c>
      <c r="C2996" s="1491" t="str">
        <f t="shared" si="446"/>
        <v>N.A.</v>
      </c>
      <c r="D2996" s="1531" t="str">
        <f t="shared" si="446"/>
        <v>-</v>
      </c>
      <c r="E2996" s="1318">
        <f t="shared" si="446"/>
        <v>0</v>
      </c>
      <c r="F2996" s="1437">
        <f t="shared" si="441"/>
        <v>6.1109999999999996E-6</v>
      </c>
      <c r="G2996" s="1437">
        <f t="shared" si="442"/>
        <v>0</v>
      </c>
      <c r="H2996" s="1437">
        <f t="shared" si="443"/>
        <v>6.1109999999999996E-6</v>
      </c>
      <c r="I2996" s="1437">
        <v>0</v>
      </c>
      <c r="J2996" s="1437">
        <v>0</v>
      </c>
      <c r="K2996" s="1438"/>
      <c r="L2996" s="1438"/>
      <c r="M2996" s="1437">
        <f t="shared" si="440"/>
        <v>0</v>
      </c>
      <c r="N2996" s="1437">
        <f t="shared" si="444"/>
        <v>6.1109999999999996E-6</v>
      </c>
    </row>
    <row r="2997" spans="1:14" outlineLevel="1">
      <c r="A2997" s="1499">
        <f t="shared" si="446"/>
        <v>11</v>
      </c>
      <c r="B2997" s="1539" t="str">
        <f t="shared" si="446"/>
        <v>Asset Recived From Civil-U#8-Time Security Building -10233</v>
      </c>
      <c r="C2997" s="1491" t="str">
        <f t="shared" si="446"/>
        <v>N.A.</v>
      </c>
      <c r="D2997" s="1531" t="str">
        <f t="shared" si="446"/>
        <v>-</v>
      </c>
      <c r="E2997" s="1318">
        <f t="shared" si="446"/>
        <v>0</v>
      </c>
      <c r="F2997" s="1437">
        <f t="shared" si="441"/>
        <v>3.595E-5</v>
      </c>
      <c r="G2997" s="1437">
        <f t="shared" si="442"/>
        <v>0</v>
      </c>
      <c r="H2997" s="1437">
        <f t="shared" si="443"/>
        <v>3.595E-5</v>
      </c>
      <c r="I2997" s="1437">
        <v>0</v>
      </c>
      <c r="J2997" s="1437">
        <v>0</v>
      </c>
      <c r="K2997" s="1438"/>
      <c r="L2997" s="1438"/>
      <c r="M2997" s="1437">
        <f t="shared" si="440"/>
        <v>0</v>
      </c>
      <c r="N2997" s="1437">
        <f t="shared" si="444"/>
        <v>3.595E-5</v>
      </c>
    </row>
    <row r="2998" spans="1:14" ht="29" outlineLevel="1">
      <c r="A2998" s="1499">
        <f t="shared" si="446"/>
        <v>12</v>
      </c>
      <c r="B2998" s="1539" t="str">
        <f t="shared" si="446"/>
        <v>Asset Recived From Civil-U#8-Misc.Building/structure/Watchtower-10233</v>
      </c>
      <c r="C2998" s="1491" t="str">
        <f t="shared" si="446"/>
        <v>N.A.</v>
      </c>
      <c r="D2998" s="1531" t="str">
        <f t="shared" si="446"/>
        <v>-</v>
      </c>
      <c r="E2998" s="1318">
        <f t="shared" si="446"/>
        <v>0</v>
      </c>
      <c r="F2998" s="1437">
        <f t="shared" si="441"/>
        <v>1.7243E-4</v>
      </c>
      <c r="G2998" s="1437">
        <f t="shared" si="442"/>
        <v>0</v>
      </c>
      <c r="H2998" s="1437">
        <f t="shared" si="443"/>
        <v>1.7243E-4</v>
      </c>
      <c r="I2998" s="1437">
        <v>0</v>
      </c>
      <c r="J2998" s="1437">
        <v>0</v>
      </c>
      <c r="K2998" s="1438"/>
      <c r="L2998" s="1438"/>
      <c r="M2998" s="1437">
        <f t="shared" si="440"/>
        <v>0</v>
      </c>
      <c r="N2998" s="1437">
        <f t="shared" si="444"/>
        <v>1.7243E-4</v>
      </c>
    </row>
    <row r="2999" spans="1:14" outlineLevel="1">
      <c r="A2999" s="1499">
        <f t="shared" ref="A2999:E3014" si="447">A2606</f>
        <v>13</v>
      </c>
      <c r="B2999" s="1539" t="str">
        <f t="shared" si="447"/>
        <v>Asset Recived From Civil-U#8-Boundry compound wall Mall-10233</v>
      </c>
      <c r="C2999" s="1491" t="str">
        <f t="shared" si="447"/>
        <v>N.A.</v>
      </c>
      <c r="D2999" s="1531" t="str">
        <f t="shared" si="447"/>
        <v>-</v>
      </c>
      <c r="E2999" s="1318">
        <f t="shared" si="447"/>
        <v>0</v>
      </c>
      <c r="F2999" s="1437">
        <f t="shared" si="441"/>
        <v>0.15765880700000001</v>
      </c>
      <c r="G2999" s="1437">
        <f t="shared" si="442"/>
        <v>0</v>
      </c>
      <c r="H2999" s="1437">
        <f t="shared" si="443"/>
        <v>0.15765880700000001</v>
      </c>
      <c r="I2999" s="1437">
        <v>0</v>
      </c>
      <c r="J2999" s="1437">
        <v>0</v>
      </c>
      <c r="K2999" s="1438"/>
      <c r="L2999" s="1438"/>
      <c r="M2999" s="1437">
        <f t="shared" si="440"/>
        <v>0</v>
      </c>
      <c r="N2999" s="1437">
        <f t="shared" si="444"/>
        <v>0.15765880700000001</v>
      </c>
    </row>
    <row r="3000" spans="1:14" outlineLevel="1">
      <c r="A3000" s="1499">
        <f t="shared" si="447"/>
        <v>14</v>
      </c>
      <c r="B3000" s="1539" t="str">
        <f t="shared" si="447"/>
        <v>Asset Recived From Civil-U#8-Workshop civil work-10233</v>
      </c>
      <c r="C3000" s="1491" t="str">
        <f t="shared" si="447"/>
        <v>N.A.</v>
      </c>
      <c r="D3000" s="1531" t="str">
        <f t="shared" si="447"/>
        <v>-</v>
      </c>
      <c r="E3000" s="1318">
        <f t="shared" si="447"/>
        <v>0</v>
      </c>
      <c r="F3000" s="1437">
        <f t="shared" si="441"/>
        <v>4.1879999999999999E-5</v>
      </c>
      <c r="G3000" s="1437">
        <f t="shared" si="442"/>
        <v>0</v>
      </c>
      <c r="H3000" s="1437">
        <f t="shared" si="443"/>
        <v>4.1879999999999999E-5</v>
      </c>
      <c r="I3000" s="1437">
        <v>0</v>
      </c>
      <c r="J3000" s="1437">
        <v>0</v>
      </c>
      <c r="K3000" s="1438"/>
      <c r="L3000" s="1438"/>
      <c r="M3000" s="1437">
        <f t="shared" si="440"/>
        <v>0</v>
      </c>
      <c r="N3000" s="1437">
        <f t="shared" si="444"/>
        <v>4.1879999999999999E-5</v>
      </c>
    </row>
    <row r="3001" spans="1:14" outlineLevel="1">
      <c r="A3001" s="1499">
        <f t="shared" si="447"/>
        <v>15</v>
      </c>
      <c r="B3001" s="1539" t="str">
        <f t="shared" si="447"/>
        <v>Asset Recived From Civil-U#8-Interior Work for CEC-I Office-10233</v>
      </c>
      <c r="C3001" s="1491" t="str">
        <f t="shared" si="447"/>
        <v>N.A.</v>
      </c>
      <c r="D3001" s="1531" t="str">
        <f t="shared" si="447"/>
        <v>-</v>
      </c>
      <c r="E3001" s="1318">
        <f t="shared" si="447"/>
        <v>0</v>
      </c>
      <c r="F3001" s="1437">
        <f t="shared" si="441"/>
        <v>5.6437999999999997E-5</v>
      </c>
      <c r="G3001" s="1437">
        <f t="shared" si="442"/>
        <v>0</v>
      </c>
      <c r="H3001" s="1437">
        <f t="shared" si="443"/>
        <v>5.6437999999999997E-5</v>
      </c>
      <c r="I3001" s="1437">
        <v>0</v>
      </c>
      <c r="J3001" s="1437">
        <v>0</v>
      </c>
      <c r="K3001" s="1438"/>
      <c r="L3001" s="1438"/>
      <c r="M3001" s="1437">
        <f t="shared" si="440"/>
        <v>0</v>
      </c>
      <c r="N3001" s="1437">
        <f t="shared" si="444"/>
        <v>5.6437999999999997E-5</v>
      </c>
    </row>
    <row r="3002" spans="1:14" outlineLevel="1">
      <c r="A3002" s="1499">
        <f t="shared" si="447"/>
        <v>16</v>
      </c>
      <c r="B3002" s="1539" t="str">
        <f t="shared" si="447"/>
        <v>Asset Recived From Civil-U#8-WTP-Raw water reservoir -10305</v>
      </c>
      <c r="C3002" s="1491" t="str">
        <f t="shared" si="447"/>
        <v>N.A.</v>
      </c>
      <c r="D3002" s="1531" t="str">
        <f t="shared" si="447"/>
        <v>-</v>
      </c>
      <c r="E3002" s="1318">
        <f t="shared" si="447"/>
        <v>0</v>
      </c>
      <c r="F3002" s="1437">
        <f t="shared" si="441"/>
        <v>1.224798E-3</v>
      </c>
      <c r="G3002" s="1437">
        <f t="shared" si="442"/>
        <v>0</v>
      </c>
      <c r="H3002" s="1437">
        <f t="shared" si="443"/>
        <v>1.224798E-3</v>
      </c>
      <c r="I3002" s="1437">
        <v>0</v>
      </c>
      <c r="J3002" s="1437">
        <v>0</v>
      </c>
      <c r="K3002" s="1438"/>
      <c r="L3002" s="1438"/>
      <c r="M3002" s="1437">
        <f t="shared" si="440"/>
        <v>0</v>
      </c>
      <c r="N3002" s="1437">
        <f t="shared" si="444"/>
        <v>1.224798E-3</v>
      </c>
    </row>
    <row r="3003" spans="1:14" outlineLevel="1">
      <c r="A3003" s="1499">
        <f t="shared" si="447"/>
        <v>17</v>
      </c>
      <c r="B3003" s="1539" t="str">
        <f t="shared" si="447"/>
        <v>Asset Recived From Civil-U#8-WTP-Clarifier -10305</v>
      </c>
      <c r="C3003" s="1491" t="str">
        <f t="shared" si="447"/>
        <v>N.A.</v>
      </c>
      <c r="D3003" s="1531" t="str">
        <f t="shared" si="447"/>
        <v>-</v>
      </c>
      <c r="E3003" s="1318">
        <f t="shared" si="447"/>
        <v>0</v>
      </c>
      <c r="F3003" s="1437">
        <f t="shared" si="441"/>
        <v>1.1651750000000001E-3</v>
      </c>
      <c r="G3003" s="1437">
        <f t="shared" si="442"/>
        <v>0</v>
      </c>
      <c r="H3003" s="1437">
        <f t="shared" si="443"/>
        <v>1.1651750000000001E-3</v>
      </c>
      <c r="I3003" s="1437">
        <v>0</v>
      </c>
      <c r="J3003" s="1437">
        <v>0</v>
      </c>
      <c r="K3003" s="1438"/>
      <c r="L3003" s="1438"/>
      <c r="M3003" s="1437">
        <f t="shared" si="440"/>
        <v>0</v>
      </c>
      <c r="N3003" s="1437">
        <f t="shared" si="444"/>
        <v>1.1651750000000001E-3</v>
      </c>
    </row>
    <row r="3004" spans="1:14" ht="29" outlineLevel="1">
      <c r="A3004" s="1499">
        <f t="shared" si="447"/>
        <v>18</v>
      </c>
      <c r="B3004" s="1539" t="str">
        <f t="shared" si="447"/>
        <v>Asset Recived From Civil-U#8-WTP-Clarifier Water Storage Tank-10305</v>
      </c>
      <c r="C3004" s="1491" t="str">
        <f t="shared" si="447"/>
        <v>N.A.</v>
      </c>
      <c r="D3004" s="1531" t="str">
        <f t="shared" si="447"/>
        <v>-</v>
      </c>
      <c r="E3004" s="1318">
        <f t="shared" si="447"/>
        <v>0</v>
      </c>
      <c r="F3004" s="1437">
        <f t="shared" si="441"/>
        <v>1.9514200000000001E-4</v>
      </c>
      <c r="G3004" s="1437">
        <f t="shared" si="442"/>
        <v>0</v>
      </c>
      <c r="H3004" s="1437">
        <f t="shared" si="443"/>
        <v>1.9514200000000001E-4</v>
      </c>
      <c r="I3004" s="1437">
        <v>0</v>
      </c>
      <c r="J3004" s="1437">
        <v>0</v>
      </c>
      <c r="K3004" s="1438"/>
      <c r="L3004" s="1438"/>
      <c r="M3004" s="1437">
        <f t="shared" si="440"/>
        <v>0</v>
      </c>
      <c r="N3004" s="1437">
        <f t="shared" si="444"/>
        <v>1.9514200000000001E-4</v>
      </c>
    </row>
    <row r="3005" spans="1:14" outlineLevel="1">
      <c r="A3005" s="1499">
        <f t="shared" si="447"/>
        <v>19</v>
      </c>
      <c r="B3005" s="1539" t="str">
        <f t="shared" si="447"/>
        <v>Asset Recived From Civil-U#8-C.W. pump house &amp; forebay-10310</v>
      </c>
      <c r="C3005" s="1491" t="str">
        <f t="shared" si="447"/>
        <v>N.A.</v>
      </c>
      <c r="D3005" s="1531" t="str">
        <f t="shared" si="447"/>
        <v>-</v>
      </c>
      <c r="E3005" s="1318">
        <f t="shared" si="447"/>
        <v>0</v>
      </c>
      <c r="F3005" s="1437">
        <f t="shared" si="441"/>
        <v>5.2946099999999995E-4</v>
      </c>
      <c r="G3005" s="1437">
        <f t="shared" si="442"/>
        <v>0</v>
      </c>
      <c r="H3005" s="1437">
        <f t="shared" si="443"/>
        <v>5.2946099999999995E-4</v>
      </c>
      <c r="I3005" s="1437">
        <v>0</v>
      </c>
      <c r="J3005" s="1437">
        <v>0</v>
      </c>
      <c r="K3005" s="1438"/>
      <c r="L3005" s="1438"/>
      <c r="M3005" s="1437">
        <f t="shared" si="440"/>
        <v>0</v>
      </c>
      <c r="N3005" s="1437">
        <f t="shared" si="444"/>
        <v>5.2946099999999995E-4</v>
      </c>
    </row>
    <row r="3006" spans="1:14" outlineLevel="1">
      <c r="A3006" s="1499">
        <f t="shared" si="447"/>
        <v>20</v>
      </c>
      <c r="B3006" s="1539" t="str">
        <f t="shared" si="447"/>
        <v>Asset Recived From Civil-U#8-Construction of STP for Colony-10322</v>
      </c>
      <c r="C3006" s="1491" t="str">
        <f t="shared" si="447"/>
        <v>N.A.</v>
      </c>
      <c r="D3006" s="1531" t="str">
        <f t="shared" si="447"/>
        <v>-</v>
      </c>
      <c r="E3006" s="1318">
        <f t="shared" si="447"/>
        <v>0</v>
      </c>
      <c r="F3006" s="1437">
        <f t="shared" si="441"/>
        <v>1.79662E-4</v>
      </c>
      <c r="G3006" s="1437">
        <f t="shared" si="442"/>
        <v>0</v>
      </c>
      <c r="H3006" s="1437">
        <f t="shared" si="443"/>
        <v>1.79662E-4</v>
      </c>
      <c r="I3006" s="1437">
        <v>0</v>
      </c>
      <c r="J3006" s="1437">
        <v>0</v>
      </c>
      <c r="K3006" s="1438"/>
      <c r="L3006" s="1438"/>
      <c r="M3006" s="1437">
        <f t="shared" si="440"/>
        <v>0</v>
      </c>
      <c r="N3006" s="1437">
        <f t="shared" si="444"/>
        <v>1.79662E-4</v>
      </c>
    </row>
    <row r="3007" spans="1:14" outlineLevel="1">
      <c r="A3007" s="1499">
        <f t="shared" si="447"/>
        <v>21</v>
      </c>
      <c r="B3007" s="1539" t="str">
        <f t="shared" si="447"/>
        <v>Asset Recived From Civil-U#8-Cooling Towers-10311</v>
      </c>
      <c r="C3007" s="1491" t="str">
        <f t="shared" si="447"/>
        <v>N.A.</v>
      </c>
      <c r="D3007" s="1531" t="str">
        <f t="shared" si="447"/>
        <v>-</v>
      </c>
      <c r="E3007" s="1318">
        <f t="shared" si="447"/>
        <v>0</v>
      </c>
      <c r="F3007" s="1437">
        <f t="shared" si="441"/>
        <v>0.37627639299999999</v>
      </c>
      <c r="G3007" s="1437">
        <f t="shared" si="442"/>
        <v>0</v>
      </c>
      <c r="H3007" s="1437">
        <f t="shared" si="443"/>
        <v>0.37627639299999999</v>
      </c>
      <c r="I3007" s="1437">
        <v>0</v>
      </c>
      <c r="J3007" s="1437">
        <v>0</v>
      </c>
      <c r="K3007" s="1438"/>
      <c r="L3007" s="1438"/>
      <c r="M3007" s="1437">
        <f t="shared" si="440"/>
        <v>0</v>
      </c>
      <c r="N3007" s="1437">
        <f t="shared" si="444"/>
        <v>0.37627639299999999</v>
      </c>
    </row>
    <row r="3008" spans="1:14" outlineLevel="1">
      <c r="A3008" s="1499">
        <f t="shared" si="447"/>
        <v>22</v>
      </c>
      <c r="B3008" s="1539" t="str">
        <f t="shared" si="447"/>
        <v>Asset Recived From Civil-U#8-Railway sidings-10412</v>
      </c>
      <c r="C3008" s="1491" t="str">
        <f t="shared" si="447"/>
        <v>N.A.</v>
      </c>
      <c r="D3008" s="1531" t="str">
        <f t="shared" si="447"/>
        <v>-</v>
      </c>
      <c r="E3008" s="1318">
        <f t="shared" si="447"/>
        <v>0</v>
      </c>
      <c r="F3008" s="1437">
        <f t="shared" si="441"/>
        <v>0.13615478800000003</v>
      </c>
      <c r="G3008" s="1437">
        <f t="shared" si="442"/>
        <v>0</v>
      </c>
      <c r="H3008" s="1437">
        <f t="shared" si="443"/>
        <v>0.13615478800000003</v>
      </c>
      <c r="I3008" s="1437">
        <v>0</v>
      </c>
      <c r="J3008" s="1437">
        <v>0</v>
      </c>
      <c r="K3008" s="1438"/>
      <c r="L3008" s="1438"/>
      <c r="M3008" s="1437">
        <f t="shared" si="440"/>
        <v>0</v>
      </c>
      <c r="N3008" s="1437">
        <f t="shared" si="444"/>
        <v>0.13615478800000003</v>
      </c>
    </row>
    <row r="3009" spans="1:14" outlineLevel="1">
      <c r="A3009" s="1499">
        <f t="shared" si="447"/>
        <v>23</v>
      </c>
      <c r="B3009" s="1539" t="str">
        <f t="shared" si="447"/>
        <v>Asset Recived From Civil-U#8-In plant Roads -10401</v>
      </c>
      <c r="C3009" s="1491" t="str">
        <f t="shared" si="447"/>
        <v>N.A.</v>
      </c>
      <c r="D3009" s="1531" t="str">
        <f t="shared" si="447"/>
        <v>-</v>
      </c>
      <c r="E3009" s="1318">
        <f t="shared" si="447"/>
        <v>0</v>
      </c>
      <c r="F3009" s="1437">
        <f t="shared" si="441"/>
        <v>9.1029900000000005E-4</v>
      </c>
      <c r="G3009" s="1437">
        <f t="shared" si="442"/>
        <v>0</v>
      </c>
      <c r="H3009" s="1437">
        <f t="shared" si="443"/>
        <v>9.1029900000000005E-4</v>
      </c>
      <c r="I3009" s="1437">
        <v>0</v>
      </c>
      <c r="J3009" s="1437">
        <v>0</v>
      </c>
      <c r="K3009" s="1438"/>
      <c r="L3009" s="1438"/>
      <c r="M3009" s="1437">
        <f t="shared" si="440"/>
        <v>0</v>
      </c>
      <c r="N3009" s="1437">
        <f t="shared" si="444"/>
        <v>9.1029900000000005E-4</v>
      </c>
    </row>
    <row r="3010" spans="1:14" outlineLevel="1">
      <c r="A3010" s="1499">
        <f t="shared" si="447"/>
        <v>24</v>
      </c>
      <c r="B3010" s="1539" t="str">
        <f t="shared" si="447"/>
        <v>Asset Recived From Civil-U#8-Pipe Rack -10419</v>
      </c>
      <c r="C3010" s="1491" t="str">
        <f t="shared" si="447"/>
        <v>N.A.</v>
      </c>
      <c r="D3010" s="1531" t="str">
        <f t="shared" si="447"/>
        <v>-</v>
      </c>
      <c r="E3010" s="1318">
        <f t="shared" si="447"/>
        <v>0</v>
      </c>
      <c r="F3010" s="1437">
        <f t="shared" si="441"/>
        <v>4.1823400000000002E-4</v>
      </c>
      <c r="G3010" s="1437">
        <f t="shared" si="442"/>
        <v>0</v>
      </c>
      <c r="H3010" s="1437">
        <f t="shared" si="443"/>
        <v>4.1823400000000002E-4</v>
      </c>
      <c r="I3010" s="1437">
        <v>0</v>
      </c>
      <c r="J3010" s="1437">
        <v>0</v>
      </c>
      <c r="K3010" s="1438"/>
      <c r="L3010" s="1438"/>
      <c r="M3010" s="1437">
        <f t="shared" si="440"/>
        <v>0</v>
      </c>
      <c r="N3010" s="1437">
        <f t="shared" si="444"/>
        <v>4.1823400000000002E-4</v>
      </c>
    </row>
    <row r="3011" spans="1:14" outlineLevel="1">
      <c r="A3011" s="1499">
        <f t="shared" si="447"/>
        <v>25</v>
      </c>
      <c r="B3011" s="1539" t="str">
        <f t="shared" si="447"/>
        <v>Asset Recived From Civil-U#8-Transformar yard area -10541</v>
      </c>
      <c r="C3011" s="1491" t="str">
        <f t="shared" si="447"/>
        <v>N.A.</v>
      </c>
      <c r="D3011" s="1531" t="str">
        <f t="shared" si="447"/>
        <v>-</v>
      </c>
      <c r="E3011" s="1318">
        <f t="shared" si="447"/>
        <v>0</v>
      </c>
      <c r="F3011" s="1437">
        <f t="shared" si="441"/>
        <v>5.31695E-4</v>
      </c>
      <c r="G3011" s="1437">
        <f t="shared" si="442"/>
        <v>0</v>
      </c>
      <c r="H3011" s="1437">
        <f t="shared" si="443"/>
        <v>5.31695E-4</v>
      </c>
      <c r="I3011" s="1437">
        <v>0</v>
      </c>
      <c r="J3011" s="1437">
        <v>0</v>
      </c>
      <c r="K3011" s="1438"/>
      <c r="L3011" s="1438"/>
      <c r="M3011" s="1437">
        <f t="shared" si="440"/>
        <v>0</v>
      </c>
      <c r="N3011" s="1437">
        <f t="shared" si="444"/>
        <v>5.31695E-4</v>
      </c>
    </row>
    <row r="3012" spans="1:14" ht="29" outlineLevel="1">
      <c r="A3012" s="1499">
        <f t="shared" si="447"/>
        <v>26</v>
      </c>
      <c r="B3012" s="1539" t="str">
        <f t="shared" si="447"/>
        <v>Asset Recived From Civil-U#8-BA-Boiler and Auxilary foundation-10501</v>
      </c>
      <c r="C3012" s="1491" t="str">
        <f t="shared" si="447"/>
        <v>N.A.</v>
      </c>
      <c r="D3012" s="1531" t="str">
        <f t="shared" si="447"/>
        <v>-</v>
      </c>
      <c r="E3012" s="1318">
        <f t="shared" si="447"/>
        <v>0</v>
      </c>
      <c r="F3012" s="1437">
        <f t="shared" si="441"/>
        <v>6.1116199999999999E-3</v>
      </c>
      <c r="G3012" s="1437">
        <f t="shared" si="442"/>
        <v>0</v>
      </c>
      <c r="H3012" s="1437">
        <f t="shared" si="443"/>
        <v>6.1116199999999999E-3</v>
      </c>
      <c r="I3012" s="1437">
        <v>0</v>
      </c>
      <c r="J3012" s="1437">
        <v>0</v>
      </c>
      <c r="K3012" s="1438"/>
      <c r="L3012" s="1438"/>
      <c r="M3012" s="1437">
        <f t="shared" si="440"/>
        <v>0</v>
      </c>
      <c r="N3012" s="1437">
        <f t="shared" si="444"/>
        <v>6.1116199999999999E-3</v>
      </c>
    </row>
    <row r="3013" spans="1:14" outlineLevel="1">
      <c r="A3013" s="1499">
        <f t="shared" si="447"/>
        <v>27</v>
      </c>
      <c r="B3013" s="1539" t="str">
        <f t="shared" si="447"/>
        <v>Asset Recived From Civil-U#8-BA-FD FAN FOUNDATIONS -10501</v>
      </c>
      <c r="C3013" s="1491" t="str">
        <f t="shared" si="447"/>
        <v>N.A.</v>
      </c>
      <c r="D3013" s="1531" t="str">
        <f t="shared" si="447"/>
        <v>-</v>
      </c>
      <c r="E3013" s="1318">
        <f t="shared" si="447"/>
        <v>0</v>
      </c>
      <c r="F3013" s="1437">
        <f t="shared" si="441"/>
        <v>1.11659E-4</v>
      </c>
      <c r="G3013" s="1437">
        <f t="shared" si="442"/>
        <v>0</v>
      </c>
      <c r="H3013" s="1437">
        <f t="shared" si="443"/>
        <v>1.11659E-4</v>
      </c>
      <c r="I3013" s="1437">
        <v>0</v>
      </c>
      <c r="J3013" s="1437">
        <v>0</v>
      </c>
      <c r="K3013" s="1438"/>
      <c r="L3013" s="1438"/>
      <c r="M3013" s="1437">
        <f t="shared" si="440"/>
        <v>0</v>
      </c>
      <c r="N3013" s="1437">
        <f t="shared" si="444"/>
        <v>1.11659E-4</v>
      </c>
    </row>
    <row r="3014" spans="1:14" outlineLevel="1">
      <c r="A3014" s="1499">
        <f t="shared" si="447"/>
        <v>28</v>
      </c>
      <c r="B3014" s="1539" t="str">
        <f t="shared" si="447"/>
        <v>Asset Recived From Civil-U#8-BA-PA FAN FOUNDATION -10501</v>
      </c>
      <c r="C3014" s="1491" t="str">
        <f t="shared" si="447"/>
        <v>N.A.</v>
      </c>
      <c r="D3014" s="1531" t="str">
        <f t="shared" si="447"/>
        <v>-</v>
      </c>
      <c r="E3014" s="1318">
        <f t="shared" si="447"/>
        <v>0</v>
      </c>
      <c r="F3014" s="1437">
        <f t="shared" si="441"/>
        <v>1.11659E-4</v>
      </c>
      <c r="G3014" s="1437">
        <f t="shared" si="442"/>
        <v>0</v>
      </c>
      <c r="H3014" s="1437">
        <f t="shared" si="443"/>
        <v>1.11659E-4</v>
      </c>
      <c r="I3014" s="1437">
        <v>0</v>
      </c>
      <c r="J3014" s="1437">
        <v>0</v>
      </c>
      <c r="K3014" s="1438"/>
      <c r="L3014" s="1438"/>
      <c r="M3014" s="1437">
        <f t="shared" si="440"/>
        <v>0</v>
      </c>
      <c r="N3014" s="1437">
        <f t="shared" si="444"/>
        <v>1.11659E-4</v>
      </c>
    </row>
    <row r="3015" spans="1:14" outlineLevel="1">
      <c r="A3015" s="1499">
        <f t="shared" ref="A3015:E3030" si="448">A2622</f>
        <v>29</v>
      </c>
      <c r="B3015" s="1539" t="str">
        <f t="shared" si="448"/>
        <v>Asset Recived From Civil-U#8-BA-I.D. Fan foundation -10501</v>
      </c>
      <c r="C3015" s="1491" t="str">
        <f t="shared" si="448"/>
        <v>N.A.</v>
      </c>
      <c r="D3015" s="1531" t="str">
        <f t="shared" si="448"/>
        <v>-</v>
      </c>
      <c r="E3015" s="1318">
        <f t="shared" si="448"/>
        <v>0</v>
      </c>
      <c r="F3015" s="1437">
        <f t="shared" si="441"/>
        <v>2.23317E-4</v>
      </c>
      <c r="G3015" s="1437">
        <f t="shared" si="442"/>
        <v>0</v>
      </c>
      <c r="H3015" s="1437">
        <f t="shared" si="443"/>
        <v>2.23317E-4</v>
      </c>
      <c r="I3015" s="1437">
        <v>0</v>
      </c>
      <c r="J3015" s="1437">
        <v>0</v>
      </c>
      <c r="K3015" s="1438"/>
      <c r="L3015" s="1438"/>
      <c r="M3015" s="1437">
        <f t="shared" si="440"/>
        <v>0</v>
      </c>
      <c r="N3015" s="1437">
        <f t="shared" si="444"/>
        <v>2.23317E-4</v>
      </c>
    </row>
    <row r="3016" spans="1:14" outlineLevel="1">
      <c r="A3016" s="1499">
        <f t="shared" si="448"/>
        <v>30</v>
      </c>
      <c r="B3016" s="1539" t="str">
        <f t="shared" si="448"/>
        <v>Asset Recived From Civil-U#8-BA-MILL FOUNDATION-10501</v>
      </c>
      <c r="C3016" s="1491" t="str">
        <f t="shared" si="448"/>
        <v>N.A.</v>
      </c>
      <c r="D3016" s="1531" t="str">
        <f t="shared" si="448"/>
        <v>-</v>
      </c>
      <c r="E3016" s="1318">
        <f t="shared" si="448"/>
        <v>0</v>
      </c>
      <c r="F3016" s="1437">
        <f t="shared" si="441"/>
        <v>1.98259E-4</v>
      </c>
      <c r="G3016" s="1437">
        <f t="shared" si="442"/>
        <v>0</v>
      </c>
      <c r="H3016" s="1437">
        <f t="shared" si="443"/>
        <v>1.98259E-4</v>
      </c>
      <c r="I3016" s="1437">
        <v>0</v>
      </c>
      <c r="J3016" s="1437">
        <v>0</v>
      </c>
      <c r="K3016" s="1438"/>
      <c r="L3016" s="1438"/>
      <c r="M3016" s="1437">
        <f t="shared" si="440"/>
        <v>0</v>
      </c>
      <c r="N3016" s="1437">
        <f t="shared" si="444"/>
        <v>1.98259E-4</v>
      </c>
    </row>
    <row r="3017" spans="1:14" ht="29" outlineLevel="1">
      <c r="A3017" s="1499">
        <f t="shared" si="448"/>
        <v>31</v>
      </c>
      <c r="B3017" s="1539" t="str">
        <f t="shared" si="448"/>
        <v>Asset Recived From Civil-U#8-BA-BUNKER FOUNDATION &amp; STRUCTURE-10515</v>
      </c>
      <c r="C3017" s="1491" t="str">
        <f t="shared" si="448"/>
        <v>N.A.</v>
      </c>
      <c r="D3017" s="1531" t="str">
        <f t="shared" si="448"/>
        <v>-</v>
      </c>
      <c r="E3017" s="1318">
        <f t="shared" si="448"/>
        <v>0</v>
      </c>
      <c r="F3017" s="1437">
        <f t="shared" si="441"/>
        <v>1.392536E-3</v>
      </c>
      <c r="G3017" s="1437">
        <f t="shared" si="442"/>
        <v>0</v>
      </c>
      <c r="H3017" s="1437">
        <f t="shared" si="443"/>
        <v>1.392536E-3</v>
      </c>
      <c r="I3017" s="1437">
        <v>0</v>
      </c>
      <c r="J3017" s="1437">
        <v>0</v>
      </c>
      <c r="K3017" s="1438"/>
      <c r="L3017" s="1438"/>
      <c r="M3017" s="1437">
        <f t="shared" ref="M3017:M3080" si="449">SUM(J3017:L3017)</f>
        <v>0</v>
      </c>
      <c r="N3017" s="1437">
        <f t="shared" si="444"/>
        <v>1.392536E-3</v>
      </c>
    </row>
    <row r="3018" spans="1:14" outlineLevel="1">
      <c r="A3018" s="1499">
        <f t="shared" si="448"/>
        <v>32</v>
      </c>
      <c r="B3018" s="1539" t="str">
        <f t="shared" si="448"/>
        <v>Asset Recived From Civil-U#8-ESP-10501</v>
      </c>
      <c r="C3018" s="1491" t="str">
        <f t="shared" si="448"/>
        <v>N.A.</v>
      </c>
      <c r="D3018" s="1531" t="str">
        <f t="shared" si="448"/>
        <v>-</v>
      </c>
      <c r="E3018" s="1318">
        <f t="shared" si="448"/>
        <v>0</v>
      </c>
      <c r="F3018" s="1437">
        <f t="shared" ref="F3018:F3081" si="450">F2625+I2625</f>
        <v>7.0722000000000005E-4</v>
      </c>
      <c r="G3018" s="1437">
        <f t="shared" ref="G3018:G3081" si="451">G2625+M2625</f>
        <v>0</v>
      </c>
      <c r="H3018" s="1437">
        <f t="shared" si="443"/>
        <v>7.0722000000000005E-4</v>
      </c>
      <c r="I3018" s="1437">
        <v>0</v>
      </c>
      <c r="J3018" s="1437">
        <v>0</v>
      </c>
      <c r="K3018" s="1438"/>
      <c r="L3018" s="1438"/>
      <c r="M3018" s="1437">
        <f t="shared" si="449"/>
        <v>0</v>
      </c>
      <c r="N3018" s="1437">
        <f t="shared" si="444"/>
        <v>7.0722000000000005E-4</v>
      </c>
    </row>
    <row r="3019" spans="1:14" outlineLevel="1">
      <c r="A3019" s="1499">
        <f t="shared" si="448"/>
        <v>33</v>
      </c>
      <c r="B3019" s="1539" t="str">
        <f t="shared" si="448"/>
        <v>Asset Recived From Civil-U#8-ESP Control Room-10501</v>
      </c>
      <c r="C3019" s="1491" t="str">
        <f t="shared" si="448"/>
        <v>N.A.</v>
      </c>
      <c r="D3019" s="1531" t="str">
        <f t="shared" si="448"/>
        <v>-</v>
      </c>
      <c r="E3019" s="1318">
        <f t="shared" si="448"/>
        <v>0</v>
      </c>
      <c r="F3019" s="1437">
        <f t="shared" si="450"/>
        <v>4.2763499999999999E-4</v>
      </c>
      <c r="G3019" s="1437">
        <f t="shared" si="451"/>
        <v>0</v>
      </c>
      <c r="H3019" s="1437">
        <f t="shared" ref="H3019:H3082" si="452">F3019-G3019</f>
        <v>4.2763499999999999E-4</v>
      </c>
      <c r="I3019" s="1437">
        <v>0</v>
      </c>
      <c r="J3019" s="1437">
        <v>0</v>
      </c>
      <c r="K3019" s="1438"/>
      <c r="L3019" s="1438"/>
      <c r="M3019" s="1437">
        <f t="shared" si="449"/>
        <v>0</v>
      </c>
      <c r="N3019" s="1437">
        <f t="shared" ref="N3019:N3082" si="453">H3019+I3019-M3019</f>
        <v>4.2763499999999999E-4</v>
      </c>
    </row>
    <row r="3020" spans="1:14" outlineLevel="1">
      <c r="A3020" s="1499">
        <f t="shared" si="448"/>
        <v>34</v>
      </c>
      <c r="B3020" s="1539" t="str">
        <f t="shared" si="448"/>
        <v>Asset Recived From Civil-U#8-RCC Chimney -10501</v>
      </c>
      <c r="C3020" s="1491" t="str">
        <f t="shared" si="448"/>
        <v>N.A.</v>
      </c>
      <c r="D3020" s="1531" t="str">
        <f t="shared" si="448"/>
        <v>-</v>
      </c>
      <c r="E3020" s="1318">
        <f t="shared" si="448"/>
        <v>0</v>
      </c>
      <c r="F3020" s="1437">
        <f t="shared" si="450"/>
        <v>4.612672E-3</v>
      </c>
      <c r="G3020" s="1437">
        <f t="shared" si="451"/>
        <v>0</v>
      </c>
      <c r="H3020" s="1437">
        <f t="shared" si="452"/>
        <v>4.612672E-3</v>
      </c>
      <c r="I3020" s="1437">
        <v>0</v>
      </c>
      <c r="J3020" s="1437">
        <v>0</v>
      </c>
      <c r="K3020" s="1438"/>
      <c r="L3020" s="1438"/>
      <c r="M3020" s="1437">
        <f t="shared" si="449"/>
        <v>0</v>
      </c>
      <c r="N3020" s="1437">
        <f t="shared" si="453"/>
        <v>4.612672E-3</v>
      </c>
    </row>
    <row r="3021" spans="1:14" ht="29" outlineLevel="1">
      <c r="A3021" s="1499">
        <f t="shared" si="448"/>
        <v>35</v>
      </c>
      <c r="B3021" s="1539" t="str">
        <f t="shared" si="448"/>
        <v>Asset Recived From Civil-U#8-WTP-D.M.Plant equipment fdn. etc.-10509</v>
      </c>
      <c r="C3021" s="1491" t="str">
        <f t="shared" si="448"/>
        <v>N.A.</v>
      </c>
      <c r="D3021" s="1531" t="str">
        <f t="shared" si="448"/>
        <v>-</v>
      </c>
      <c r="E3021" s="1318">
        <f t="shared" si="448"/>
        <v>0</v>
      </c>
      <c r="F3021" s="1437">
        <f t="shared" si="450"/>
        <v>6.3898000000000004E-5</v>
      </c>
      <c r="G3021" s="1437">
        <f t="shared" si="451"/>
        <v>0</v>
      </c>
      <c r="H3021" s="1437">
        <f t="shared" si="452"/>
        <v>6.3898000000000004E-5</v>
      </c>
      <c r="I3021" s="1437">
        <v>0</v>
      </c>
      <c r="J3021" s="1437">
        <v>0</v>
      </c>
      <c r="K3021" s="1438"/>
      <c r="L3021" s="1438"/>
      <c r="M3021" s="1437">
        <f t="shared" si="449"/>
        <v>0</v>
      </c>
      <c r="N3021" s="1437">
        <f t="shared" si="453"/>
        <v>6.3898000000000004E-5</v>
      </c>
    </row>
    <row r="3022" spans="1:14" outlineLevel="1">
      <c r="A3022" s="1499">
        <f t="shared" si="448"/>
        <v>36</v>
      </c>
      <c r="B3022" s="1539" t="str">
        <f t="shared" si="448"/>
        <v>Asset Recived From Civil-U#8-CHP-Wagon Tippler-10515</v>
      </c>
      <c r="C3022" s="1491" t="str">
        <f t="shared" si="448"/>
        <v>N.A.</v>
      </c>
      <c r="D3022" s="1531" t="str">
        <f t="shared" si="448"/>
        <v>-</v>
      </c>
      <c r="E3022" s="1318">
        <f t="shared" si="448"/>
        <v>0</v>
      </c>
      <c r="F3022" s="1437">
        <f t="shared" si="450"/>
        <v>9.4041100000000005E-4</v>
      </c>
      <c r="G3022" s="1437">
        <f t="shared" si="451"/>
        <v>0</v>
      </c>
      <c r="H3022" s="1437">
        <f t="shared" si="452"/>
        <v>9.4041100000000005E-4</v>
      </c>
      <c r="I3022" s="1437">
        <v>0</v>
      </c>
      <c r="J3022" s="1437">
        <v>0</v>
      </c>
      <c r="K3022" s="1438"/>
      <c r="L3022" s="1438"/>
      <c r="M3022" s="1437">
        <f t="shared" si="449"/>
        <v>0</v>
      </c>
      <c r="N3022" s="1437">
        <f t="shared" si="453"/>
        <v>9.4041100000000005E-4</v>
      </c>
    </row>
    <row r="3023" spans="1:14" outlineLevel="1">
      <c r="A3023" s="1499">
        <f t="shared" si="448"/>
        <v>37</v>
      </c>
      <c r="B3023" s="1539" t="str">
        <f t="shared" si="448"/>
        <v>Asset Recived From Civil-U#8-CHP-Crusher House -10515</v>
      </c>
      <c r="C3023" s="1491" t="str">
        <f t="shared" si="448"/>
        <v>N.A.</v>
      </c>
      <c r="D3023" s="1531" t="str">
        <f t="shared" si="448"/>
        <v>-</v>
      </c>
      <c r="E3023" s="1318">
        <f t="shared" si="448"/>
        <v>0</v>
      </c>
      <c r="F3023" s="1437">
        <f t="shared" si="450"/>
        <v>7.4704199999999995E-4</v>
      </c>
      <c r="G3023" s="1437">
        <f t="shared" si="451"/>
        <v>0</v>
      </c>
      <c r="H3023" s="1437">
        <f t="shared" si="452"/>
        <v>7.4704199999999995E-4</v>
      </c>
      <c r="I3023" s="1437">
        <v>0</v>
      </c>
      <c r="J3023" s="1437">
        <v>0</v>
      </c>
      <c r="K3023" s="1438"/>
      <c r="L3023" s="1438"/>
      <c r="M3023" s="1437">
        <f t="shared" si="449"/>
        <v>0</v>
      </c>
      <c r="N3023" s="1437">
        <f t="shared" si="453"/>
        <v>7.4704199999999995E-4</v>
      </c>
    </row>
    <row r="3024" spans="1:14" outlineLevel="1">
      <c r="A3024" s="1499">
        <f t="shared" si="448"/>
        <v>38</v>
      </c>
      <c r="B3024" s="1539" t="str">
        <f t="shared" si="448"/>
        <v>Asset Recived From Civil-U#8-CHP-Stacker Reclaimer -10515</v>
      </c>
      <c r="C3024" s="1491" t="str">
        <f t="shared" si="448"/>
        <v>N.A.</v>
      </c>
      <c r="D3024" s="1531" t="str">
        <f t="shared" si="448"/>
        <v>-</v>
      </c>
      <c r="E3024" s="1318">
        <f t="shared" si="448"/>
        <v>0</v>
      </c>
      <c r="F3024" s="1437">
        <f t="shared" si="450"/>
        <v>2.8485300000000001E-4</v>
      </c>
      <c r="G3024" s="1437">
        <f t="shared" si="451"/>
        <v>0</v>
      </c>
      <c r="H3024" s="1437">
        <f t="shared" si="452"/>
        <v>2.8485300000000001E-4</v>
      </c>
      <c r="I3024" s="1437">
        <v>0</v>
      </c>
      <c r="J3024" s="1437">
        <v>0</v>
      </c>
      <c r="K3024" s="1438"/>
      <c r="L3024" s="1438"/>
      <c r="M3024" s="1437">
        <f t="shared" si="449"/>
        <v>0</v>
      </c>
      <c r="N3024" s="1437">
        <f t="shared" si="453"/>
        <v>2.8485300000000001E-4</v>
      </c>
    </row>
    <row r="3025" spans="1:14" outlineLevel="1">
      <c r="A3025" s="1499">
        <f t="shared" si="448"/>
        <v>39</v>
      </c>
      <c r="B3025" s="1539" t="str">
        <f t="shared" si="448"/>
        <v>Asset Recived From Civil-U#8-CHP-Stock Yard-10515</v>
      </c>
      <c r="C3025" s="1491" t="str">
        <f t="shared" si="448"/>
        <v>N.A.</v>
      </c>
      <c r="D3025" s="1531" t="str">
        <f t="shared" si="448"/>
        <v>-</v>
      </c>
      <c r="E3025" s="1318">
        <f t="shared" si="448"/>
        <v>0</v>
      </c>
      <c r="F3025" s="1437">
        <f t="shared" si="450"/>
        <v>1.5851400000000001E-4</v>
      </c>
      <c r="G3025" s="1437">
        <f t="shared" si="451"/>
        <v>0</v>
      </c>
      <c r="H3025" s="1437">
        <f t="shared" si="452"/>
        <v>1.5851400000000001E-4</v>
      </c>
      <c r="I3025" s="1437">
        <v>0</v>
      </c>
      <c r="J3025" s="1437">
        <v>0</v>
      </c>
      <c r="K3025" s="1438"/>
      <c r="L3025" s="1438"/>
      <c r="M3025" s="1437">
        <f t="shared" si="449"/>
        <v>0</v>
      </c>
      <c r="N3025" s="1437">
        <f t="shared" si="453"/>
        <v>1.5851400000000001E-4</v>
      </c>
    </row>
    <row r="3026" spans="1:14" ht="29" outlineLevel="1">
      <c r="A3026" s="1499">
        <f t="shared" si="448"/>
        <v>40</v>
      </c>
      <c r="B3026" s="1539" t="str">
        <f t="shared" si="448"/>
        <v>Asset Recived From Civil-U#8-CHP-ConveyorPedetals&amp;TransferPoint-10515</v>
      </c>
      <c r="C3026" s="1491" t="str">
        <f t="shared" si="448"/>
        <v>N.A.</v>
      </c>
      <c r="D3026" s="1531" t="str">
        <f t="shared" si="448"/>
        <v>-</v>
      </c>
      <c r="E3026" s="1318">
        <f t="shared" si="448"/>
        <v>0</v>
      </c>
      <c r="F3026" s="1437">
        <f t="shared" si="450"/>
        <v>5.5407899999999996E-4</v>
      </c>
      <c r="G3026" s="1437">
        <f t="shared" si="451"/>
        <v>0</v>
      </c>
      <c r="H3026" s="1437">
        <f t="shared" si="452"/>
        <v>5.5407899999999996E-4</v>
      </c>
      <c r="I3026" s="1437">
        <v>0</v>
      </c>
      <c r="J3026" s="1437">
        <v>0</v>
      </c>
      <c r="K3026" s="1438"/>
      <c r="L3026" s="1438"/>
      <c r="M3026" s="1437">
        <f t="shared" si="449"/>
        <v>0</v>
      </c>
      <c r="N3026" s="1437">
        <f t="shared" si="453"/>
        <v>5.5407899999999996E-4</v>
      </c>
    </row>
    <row r="3027" spans="1:14" outlineLevel="1">
      <c r="A3027" s="1499">
        <f t="shared" si="448"/>
        <v>41</v>
      </c>
      <c r="B3027" s="1539" t="str">
        <f t="shared" si="448"/>
        <v>Asset Recived From Civil-U#8-CHP-MCC ROOM -10515</v>
      </c>
      <c r="C3027" s="1491" t="str">
        <f t="shared" si="448"/>
        <v>N.A.</v>
      </c>
      <c r="D3027" s="1531" t="str">
        <f t="shared" si="448"/>
        <v>-</v>
      </c>
      <c r="E3027" s="1318">
        <f t="shared" si="448"/>
        <v>0</v>
      </c>
      <c r="F3027" s="1437">
        <f t="shared" si="450"/>
        <v>2.6945000000000002E-4</v>
      </c>
      <c r="G3027" s="1437">
        <f t="shared" si="451"/>
        <v>0</v>
      </c>
      <c r="H3027" s="1437">
        <f t="shared" si="452"/>
        <v>2.6945000000000002E-4</v>
      </c>
      <c r="I3027" s="1437">
        <v>0</v>
      </c>
      <c r="J3027" s="1437">
        <v>0</v>
      </c>
      <c r="K3027" s="1438"/>
      <c r="L3027" s="1438"/>
      <c r="M3027" s="1437">
        <f t="shared" si="449"/>
        <v>0</v>
      </c>
      <c r="N3027" s="1437">
        <f t="shared" si="453"/>
        <v>2.6945000000000002E-4</v>
      </c>
    </row>
    <row r="3028" spans="1:14" outlineLevel="1">
      <c r="A3028" s="1499">
        <f t="shared" si="448"/>
        <v>42</v>
      </c>
      <c r="B3028" s="1539" t="str">
        <f t="shared" si="448"/>
        <v>Asset Recived From Civil-U#8-AHP-RCC Ash Silo -10501</v>
      </c>
      <c r="C3028" s="1491" t="str">
        <f t="shared" si="448"/>
        <v>N.A.</v>
      </c>
      <c r="D3028" s="1531" t="str">
        <f t="shared" si="448"/>
        <v>-</v>
      </c>
      <c r="E3028" s="1318">
        <f t="shared" si="448"/>
        <v>0</v>
      </c>
      <c r="F3028" s="1437">
        <f t="shared" si="450"/>
        <v>1.64229E-4</v>
      </c>
      <c r="G3028" s="1437">
        <f t="shared" si="451"/>
        <v>0</v>
      </c>
      <c r="H3028" s="1437">
        <f t="shared" si="452"/>
        <v>1.64229E-4</v>
      </c>
      <c r="I3028" s="1437">
        <v>0</v>
      </c>
      <c r="J3028" s="1437">
        <v>0</v>
      </c>
      <c r="K3028" s="1438"/>
      <c r="L3028" s="1438"/>
      <c r="M3028" s="1437">
        <f t="shared" si="449"/>
        <v>0</v>
      </c>
      <c r="N3028" s="1437">
        <f t="shared" si="453"/>
        <v>1.64229E-4</v>
      </c>
    </row>
    <row r="3029" spans="1:14" outlineLevel="1">
      <c r="A3029" s="1499">
        <f t="shared" si="448"/>
        <v>43</v>
      </c>
      <c r="B3029" s="1539" t="str">
        <f t="shared" si="448"/>
        <v>Asset Recived From Civil-U#8-AHP-Staicase near Silo-10501</v>
      </c>
      <c r="C3029" s="1491" t="str">
        <f t="shared" si="448"/>
        <v>N.A.</v>
      </c>
      <c r="D3029" s="1531" t="str">
        <f t="shared" si="448"/>
        <v>-</v>
      </c>
      <c r="E3029" s="1318">
        <f t="shared" si="448"/>
        <v>0</v>
      </c>
      <c r="F3029" s="1437">
        <f t="shared" si="450"/>
        <v>1.7302000000000001E-5</v>
      </c>
      <c r="G3029" s="1437">
        <f t="shared" si="451"/>
        <v>0</v>
      </c>
      <c r="H3029" s="1437">
        <f t="shared" si="452"/>
        <v>1.7302000000000001E-5</v>
      </c>
      <c r="I3029" s="1437">
        <v>0</v>
      </c>
      <c r="J3029" s="1437">
        <v>0</v>
      </c>
      <c r="K3029" s="1438"/>
      <c r="L3029" s="1438"/>
      <c r="M3029" s="1437">
        <f t="shared" si="449"/>
        <v>0</v>
      </c>
      <c r="N3029" s="1437">
        <f t="shared" si="453"/>
        <v>1.7302000000000001E-5</v>
      </c>
    </row>
    <row r="3030" spans="1:14" outlineLevel="1">
      <c r="A3030" s="1499">
        <f t="shared" si="448"/>
        <v>44</v>
      </c>
      <c r="B3030" s="1539" t="str">
        <f t="shared" si="448"/>
        <v>Asset Recived From Civil-U#8-AHP-Drain sump in Silo Area -10501</v>
      </c>
      <c r="C3030" s="1491" t="str">
        <f t="shared" si="448"/>
        <v>N.A.</v>
      </c>
      <c r="D3030" s="1531" t="str">
        <f t="shared" si="448"/>
        <v>-</v>
      </c>
      <c r="E3030" s="1318">
        <f t="shared" si="448"/>
        <v>0</v>
      </c>
      <c r="F3030" s="1437">
        <f t="shared" si="450"/>
        <v>8.551E-6</v>
      </c>
      <c r="G3030" s="1437">
        <f t="shared" si="451"/>
        <v>0</v>
      </c>
      <c r="H3030" s="1437">
        <f t="shared" si="452"/>
        <v>8.551E-6</v>
      </c>
      <c r="I3030" s="1437">
        <v>0</v>
      </c>
      <c r="J3030" s="1437">
        <v>0</v>
      </c>
      <c r="K3030" s="1438"/>
      <c r="L3030" s="1438"/>
      <c r="M3030" s="1437">
        <f t="shared" si="449"/>
        <v>0</v>
      </c>
      <c r="N3030" s="1437">
        <f t="shared" si="453"/>
        <v>8.551E-6</v>
      </c>
    </row>
    <row r="3031" spans="1:14" outlineLevel="1">
      <c r="A3031" s="1499">
        <f t="shared" ref="A3031:E3046" si="454">A2638</f>
        <v>45</v>
      </c>
      <c r="B3031" s="1539" t="str">
        <f t="shared" si="454"/>
        <v>Asset Recived From Civil-U#8-AHP-Slurry Mixing Tank Fdn.-10501</v>
      </c>
      <c r="C3031" s="1491" t="str">
        <f t="shared" si="454"/>
        <v>N.A.</v>
      </c>
      <c r="D3031" s="1531" t="str">
        <f t="shared" si="454"/>
        <v>-</v>
      </c>
      <c r="E3031" s="1318">
        <f t="shared" si="454"/>
        <v>0</v>
      </c>
      <c r="F3031" s="1437">
        <f t="shared" si="450"/>
        <v>1.6923E-5</v>
      </c>
      <c r="G3031" s="1437">
        <f t="shared" si="451"/>
        <v>0</v>
      </c>
      <c r="H3031" s="1437">
        <f t="shared" si="452"/>
        <v>1.6923E-5</v>
      </c>
      <c r="I3031" s="1437">
        <v>0</v>
      </c>
      <c r="J3031" s="1437">
        <v>0</v>
      </c>
      <c r="K3031" s="1438"/>
      <c r="L3031" s="1438"/>
      <c r="M3031" s="1437">
        <f t="shared" si="449"/>
        <v>0</v>
      </c>
      <c r="N3031" s="1437">
        <f t="shared" si="453"/>
        <v>1.6923E-5</v>
      </c>
    </row>
    <row r="3032" spans="1:14" outlineLevel="1">
      <c r="A3032" s="1499">
        <f t="shared" si="454"/>
        <v>46</v>
      </c>
      <c r="B3032" s="1539" t="str">
        <f t="shared" si="454"/>
        <v>Asset Recived From Civil-U#8-AHP-HCSD PUMP HOUSE-10501</v>
      </c>
      <c r="C3032" s="1491" t="str">
        <f t="shared" si="454"/>
        <v>N.A.</v>
      </c>
      <c r="D3032" s="1531" t="str">
        <f t="shared" si="454"/>
        <v>-</v>
      </c>
      <c r="E3032" s="1318">
        <f t="shared" si="454"/>
        <v>0</v>
      </c>
      <c r="F3032" s="1437">
        <f t="shared" si="450"/>
        <v>5.8934000000000002E-5</v>
      </c>
      <c r="G3032" s="1437">
        <f t="shared" si="451"/>
        <v>0</v>
      </c>
      <c r="H3032" s="1437">
        <f t="shared" si="452"/>
        <v>5.8934000000000002E-5</v>
      </c>
      <c r="I3032" s="1437">
        <v>0</v>
      </c>
      <c r="J3032" s="1437">
        <v>0</v>
      </c>
      <c r="K3032" s="1438"/>
      <c r="L3032" s="1438"/>
      <c r="M3032" s="1437">
        <f t="shared" si="449"/>
        <v>0</v>
      </c>
      <c r="N3032" s="1437">
        <f t="shared" si="453"/>
        <v>5.8934000000000002E-5</v>
      </c>
    </row>
    <row r="3033" spans="1:14" outlineLevel="1">
      <c r="A3033" s="1499">
        <f t="shared" si="454"/>
        <v>47</v>
      </c>
      <c r="B3033" s="1539" t="str">
        <f t="shared" si="454"/>
        <v>Asset Recived From Civil-U#8-AHP-Ash Slurry Pump House -10501</v>
      </c>
      <c r="C3033" s="1491" t="str">
        <f t="shared" si="454"/>
        <v>N.A.</v>
      </c>
      <c r="D3033" s="1531" t="str">
        <f t="shared" si="454"/>
        <v>-</v>
      </c>
      <c r="E3033" s="1318">
        <f t="shared" si="454"/>
        <v>0</v>
      </c>
      <c r="F3033" s="1437">
        <f t="shared" si="450"/>
        <v>1.4947300000000001E-4</v>
      </c>
      <c r="G3033" s="1437">
        <f t="shared" si="451"/>
        <v>0</v>
      </c>
      <c r="H3033" s="1437">
        <f t="shared" si="452"/>
        <v>1.4947300000000001E-4</v>
      </c>
      <c r="I3033" s="1437">
        <v>0</v>
      </c>
      <c r="J3033" s="1437">
        <v>0</v>
      </c>
      <c r="K3033" s="1438"/>
      <c r="L3033" s="1438"/>
      <c r="M3033" s="1437">
        <f t="shared" si="449"/>
        <v>0</v>
      </c>
      <c r="N3033" s="1437">
        <f t="shared" si="453"/>
        <v>1.4947300000000001E-4</v>
      </c>
    </row>
    <row r="3034" spans="1:14" outlineLevel="1">
      <c r="A3034" s="1499">
        <f t="shared" si="454"/>
        <v>48</v>
      </c>
      <c r="B3034" s="1539" t="str">
        <f t="shared" si="454"/>
        <v>Asset Recived From Civil-U#8-AHP-Ash Slurry Sump-10501</v>
      </c>
      <c r="C3034" s="1491" t="str">
        <f t="shared" si="454"/>
        <v>N.A.</v>
      </c>
      <c r="D3034" s="1531" t="str">
        <f t="shared" si="454"/>
        <v>-</v>
      </c>
      <c r="E3034" s="1318">
        <f t="shared" si="454"/>
        <v>0</v>
      </c>
      <c r="F3034" s="1437">
        <f t="shared" si="450"/>
        <v>4.5158999999999999E-5</v>
      </c>
      <c r="G3034" s="1437">
        <f t="shared" si="451"/>
        <v>0</v>
      </c>
      <c r="H3034" s="1437">
        <f t="shared" si="452"/>
        <v>4.5158999999999999E-5</v>
      </c>
      <c r="I3034" s="1437">
        <v>0</v>
      </c>
      <c r="J3034" s="1437">
        <v>0</v>
      </c>
      <c r="K3034" s="1438"/>
      <c r="L3034" s="1438"/>
      <c r="M3034" s="1437">
        <f t="shared" si="449"/>
        <v>0</v>
      </c>
      <c r="N3034" s="1437">
        <f t="shared" si="453"/>
        <v>4.5158999999999999E-5</v>
      </c>
    </row>
    <row r="3035" spans="1:14" outlineLevel="1">
      <c r="A3035" s="1499">
        <f t="shared" si="454"/>
        <v>49</v>
      </c>
      <c r="B3035" s="1539" t="str">
        <f t="shared" si="454"/>
        <v>Asset Recived From Civil-U#8-AHP-Ash Water Tank-10501</v>
      </c>
      <c r="C3035" s="1491" t="str">
        <f t="shared" si="454"/>
        <v>N.A.</v>
      </c>
      <c r="D3035" s="1531" t="str">
        <f t="shared" si="454"/>
        <v>-</v>
      </c>
      <c r="E3035" s="1318">
        <f t="shared" si="454"/>
        <v>0</v>
      </c>
      <c r="F3035" s="1437">
        <f t="shared" si="450"/>
        <v>3.4220000000000001E-5</v>
      </c>
      <c r="G3035" s="1437">
        <f t="shared" si="451"/>
        <v>0</v>
      </c>
      <c r="H3035" s="1437">
        <f t="shared" si="452"/>
        <v>3.4220000000000001E-5</v>
      </c>
      <c r="I3035" s="1437">
        <v>0</v>
      </c>
      <c r="J3035" s="1437">
        <v>0</v>
      </c>
      <c r="K3035" s="1438"/>
      <c r="L3035" s="1438"/>
      <c r="M3035" s="1437">
        <f t="shared" si="449"/>
        <v>0</v>
      </c>
      <c r="N3035" s="1437">
        <f t="shared" si="453"/>
        <v>3.4220000000000001E-5</v>
      </c>
    </row>
    <row r="3036" spans="1:14" outlineLevel="1">
      <c r="A3036" s="1499">
        <f t="shared" si="454"/>
        <v>50</v>
      </c>
      <c r="B3036" s="1539" t="str">
        <f t="shared" si="454"/>
        <v>Asset Recived From Civil-U#8-AHP-Bottom Ash Hopper-10501</v>
      </c>
      <c r="C3036" s="1491" t="str">
        <f t="shared" si="454"/>
        <v>N.A.</v>
      </c>
      <c r="D3036" s="1531" t="str">
        <f t="shared" si="454"/>
        <v>-</v>
      </c>
      <c r="E3036" s="1318">
        <f t="shared" si="454"/>
        <v>0</v>
      </c>
      <c r="F3036" s="1437">
        <f t="shared" si="450"/>
        <v>4.409E-5</v>
      </c>
      <c r="G3036" s="1437">
        <f t="shared" si="451"/>
        <v>0</v>
      </c>
      <c r="H3036" s="1437">
        <f t="shared" si="452"/>
        <v>4.409E-5</v>
      </c>
      <c r="I3036" s="1437">
        <v>0</v>
      </c>
      <c r="J3036" s="1437">
        <v>0</v>
      </c>
      <c r="K3036" s="1438"/>
      <c r="L3036" s="1438"/>
      <c r="M3036" s="1437">
        <f t="shared" si="449"/>
        <v>0</v>
      </c>
      <c r="N3036" s="1437">
        <f t="shared" si="453"/>
        <v>4.409E-5</v>
      </c>
    </row>
    <row r="3037" spans="1:14" outlineLevel="1">
      <c r="A3037" s="1499">
        <f t="shared" si="454"/>
        <v>51</v>
      </c>
      <c r="B3037" s="1539" t="str">
        <f t="shared" si="454"/>
        <v>Asset Recived From Civil-U#8-AHP-Drain sump in BAH Area -10501</v>
      </c>
      <c r="C3037" s="1491" t="str">
        <f t="shared" si="454"/>
        <v>N.A.</v>
      </c>
      <c r="D3037" s="1531" t="str">
        <f t="shared" si="454"/>
        <v>-</v>
      </c>
      <c r="E3037" s="1318">
        <f t="shared" si="454"/>
        <v>0</v>
      </c>
      <c r="F3037" s="1437">
        <f t="shared" si="450"/>
        <v>8.5750000000000001E-6</v>
      </c>
      <c r="G3037" s="1437">
        <f t="shared" si="451"/>
        <v>0</v>
      </c>
      <c r="H3037" s="1437">
        <f t="shared" si="452"/>
        <v>8.5750000000000001E-6</v>
      </c>
      <c r="I3037" s="1437">
        <v>0</v>
      </c>
      <c r="J3037" s="1437">
        <v>0</v>
      </c>
      <c r="K3037" s="1438"/>
      <c r="L3037" s="1438"/>
      <c r="M3037" s="1437">
        <f t="shared" si="449"/>
        <v>0</v>
      </c>
      <c r="N3037" s="1437">
        <f t="shared" si="453"/>
        <v>8.5750000000000001E-6</v>
      </c>
    </row>
    <row r="3038" spans="1:14" ht="29" outlineLevel="1">
      <c r="A3038" s="1499">
        <f t="shared" si="454"/>
        <v>52</v>
      </c>
      <c r="B3038" s="1539" t="str">
        <f t="shared" si="454"/>
        <v>Asset Recived From Civil-U#8-Ash Slurry Pipe Line AHP-Pedestals-10501</v>
      </c>
      <c r="C3038" s="1491" t="str">
        <f t="shared" si="454"/>
        <v>N.A.</v>
      </c>
      <c r="D3038" s="1531" t="str">
        <f t="shared" si="454"/>
        <v>-</v>
      </c>
      <c r="E3038" s="1318">
        <f t="shared" si="454"/>
        <v>0</v>
      </c>
      <c r="F3038" s="1437">
        <f t="shared" si="450"/>
        <v>1.38462E-4</v>
      </c>
      <c r="G3038" s="1437">
        <f t="shared" si="451"/>
        <v>0</v>
      </c>
      <c r="H3038" s="1437">
        <f t="shared" si="452"/>
        <v>1.38462E-4</v>
      </c>
      <c r="I3038" s="1437">
        <v>0</v>
      </c>
      <c r="J3038" s="1437">
        <v>0</v>
      </c>
      <c r="K3038" s="1438"/>
      <c r="L3038" s="1438"/>
      <c r="M3038" s="1437">
        <f t="shared" si="449"/>
        <v>0</v>
      </c>
      <c r="N3038" s="1437">
        <f t="shared" si="453"/>
        <v>1.38462E-4</v>
      </c>
    </row>
    <row r="3039" spans="1:14" outlineLevel="1">
      <c r="A3039" s="1499">
        <f t="shared" si="454"/>
        <v>53</v>
      </c>
      <c r="B3039" s="1539" t="str">
        <f t="shared" si="454"/>
        <v>Asset Recived From Civil-U#8-AHP-Buffer Hopper Foundation-10501</v>
      </c>
      <c r="C3039" s="1491" t="str">
        <f t="shared" si="454"/>
        <v>N.A.</v>
      </c>
      <c r="D3039" s="1531" t="str">
        <f t="shared" si="454"/>
        <v>-</v>
      </c>
      <c r="E3039" s="1318">
        <f t="shared" si="454"/>
        <v>0</v>
      </c>
      <c r="F3039" s="1437">
        <f t="shared" si="450"/>
        <v>3.5627999999999998E-5</v>
      </c>
      <c r="G3039" s="1437">
        <f t="shared" si="451"/>
        <v>0</v>
      </c>
      <c r="H3039" s="1437">
        <f t="shared" si="452"/>
        <v>3.5627999999999998E-5</v>
      </c>
      <c r="I3039" s="1437">
        <v>0</v>
      </c>
      <c r="J3039" s="1437">
        <v>0</v>
      </c>
      <c r="K3039" s="1438"/>
      <c r="L3039" s="1438"/>
      <c r="M3039" s="1437">
        <f t="shared" si="449"/>
        <v>0</v>
      </c>
      <c r="N3039" s="1437">
        <f t="shared" si="453"/>
        <v>3.5627999999999998E-5</v>
      </c>
    </row>
    <row r="3040" spans="1:14" ht="29" outlineLevel="1">
      <c r="A3040" s="1499">
        <f t="shared" si="454"/>
        <v>54</v>
      </c>
      <c r="B3040" s="1539" t="str">
        <f t="shared" si="454"/>
        <v>Asset Recived From Civil-U#8-AHP-Mill reject hopper foundation-10501</v>
      </c>
      <c r="C3040" s="1491" t="str">
        <f t="shared" si="454"/>
        <v>N.A.</v>
      </c>
      <c r="D3040" s="1531" t="str">
        <f t="shared" si="454"/>
        <v>-</v>
      </c>
      <c r="E3040" s="1318">
        <f t="shared" si="454"/>
        <v>0</v>
      </c>
      <c r="F3040" s="1437">
        <f t="shared" si="450"/>
        <v>1.7813999999999999E-5</v>
      </c>
      <c r="G3040" s="1437">
        <f t="shared" si="451"/>
        <v>0</v>
      </c>
      <c r="H3040" s="1437">
        <f t="shared" si="452"/>
        <v>1.7813999999999999E-5</v>
      </c>
      <c r="I3040" s="1437">
        <v>0</v>
      </c>
      <c r="J3040" s="1437">
        <v>0</v>
      </c>
      <c r="K3040" s="1438"/>
      <c r="L3040" s="1438"/>
      <c r="M3040" s="1437">
        <f t="shared" si="449"/>
        <v>0</v>
      </c>
      <c r="N3040" s="1437">
        <f t="shared" si="453"/>
        <v>1.7813999999999999E-5</v>
      </c>
    </row>
    <row r="3041" spans="1:14" outlineLevel="1">
      <c r="A3041" s="1499">
        <f t="shared" si="454"/>
        <v>55</v>
      </c>
      <c r="B3041" s="1539" t="str">
        <f t="shared" si="454"/>
        <v>Asset Recived From Civil-U#8-FHP-Fuel Oil pump house-10516</v>
      </c>
      <c r="C3041" s="1491" t="str">
        <f t="shared" si="454"/>
        <v>N.A.</v>
      </c>
      <c r="D3041" s="1531" t="str">
        <f t="shared" si="454"/>
        <v>-</v>
      </c>
      <c r="E3041" s="1318">
        <f t="shared" si="454"/>
        <v>0</v>
      </c>
      <c r="F3041" s="1437">
        <f t="shared" si="450"/>
        <v>6.5769099999999996E-4</v>
      </c>
      <c r="G3041" s="1437">
        <f t="shared" si="451"/>
        <v>0</v>
      </c>
      <c r="H3041" s="1437">
        <f t="shared" si="452"/>
        <v>6.5769099999999996E-4</v>
      </c>
      <c r="I3041" s="1437">
        <v>0</v>
      </c>
      <c r="J3041" s="1437">
        <v>0</v>
      </c>
      <c r="K3041" s="1438"/>
      <c r="L3041" s="1438"/>
      <c r="M3041" s="1437">
        <f t="shared" si="449"/>
        <v>0</v>
      </c>
      <c r="N3041" s="1437">
        <f t="shared" si="453"/>
        <v>6.5769099999999996E-4</v>
      </c>
    </row>
    <row r="3042" spans="1:14" outlineLevel="1">
      <c r="A3042" s="1499">
        <f t="shared" si="454"/>
        <v>56</v>
      </c>
      <c r="B3042" s="1539" t="str">
        <f t="shared" si="454"/>
        <v>Asset Recived From Civil-U#8-FHP-DYKE AREA -10516</v>
      </c>
      <c r="C3042" s="1491" t="str">
        <f t="shared" si="454"/>
        <v>N.A.</v>
      </c>
      <c r="D3042" s="1531" t="str">
        <f t="shared" si="454"/>
        <v>-</v>
      </c>
      <c r="E3042" s="1318">
        <f t="shared" si="454"/>
        <v>0</v>
      </c>
      <c r="F3042" s="1437">
        <f t="shared" si="450"/>
        <v>1.9338999999999999E-5</v>
      </c>
      <c r="G3042" s="1437">
        <f t="shared" si="451"/>
        <v>0</v>
      </c>
      <c r="H3042" s="1437">
        <f t="shared" si="452"/>
        <v>1.9338999999999999E-5</v>
      </c>
      <c r="I3042" s="1437">
        <v>0</v>
      </c>
      <c r="J3042" s="1437">
        <v>0</v>
      </c>
      <c r="K3042" s="1438"/>
      <c r="L3042" s="1438"/>
      <c r="M3042" s="1437">
        <f t="shared" si="449"/>
        <v>0</v>
      </c>
      <c r="N3042" s="1437">
        <f t="shared" si="453"/>
        <v>1.9338999999999999E-5</v>
      </c>
    </row>
    <row r="3043" spans="1:14" outlineLevel="1">
      <c r="A3043" s="1499">
        <f t="shared" si="454"/>
        <v>57</v>
      </c>
      <c r="B3043" s="1539" t="str">
        <f t="shared" si="454"/>
        <v>Asset Recived From Civil-U#8-Effulent Treatment Plant -10509</v>
      </c>
      <c r="C3043" s="1491" t="str">
        <f t="shared" si="454"/>
        <v>N.A.</v>
      </c>
      <c r="D3043" s="1531" t="str">
        <f t="shared" si="454"/>
        <v>-</v>
      </c>
      <c r="E3043" s="1318">
        <f t="shared" si="454"/>
        <v>0</v>
      </c>
      <c r="F3043" s="1437">
        <f t="shared" si="450"/>
        <v>1.4134799999999999E-4</v>
      </c>
      <c r="G3043" s="1437">
        <f t="shared" si="451"/>
        <v>0</v>
      </c>
      <c r="H3043" s="1437">
        <f t="shared" si="452"/>
        <v>1.4134799999999999E-4</v>
      </c>
      <c r="I3043" s="1437">
        <v>0</v>
      </c>
      <c r="J3043" s="1437">
        <v>0</v>
      </c>
      <c r="K3043" s="1438"/>
      <c r="L3043" s="1438"/>
      <c r="M3043" s="1437">
        <f t="shared" si="449"/>
        <v>0</v>
      </c>
      <c r="N3043" s="1437">
        <f t="shared" si="453"/>
        <v>1.4134799999999999E-4</v>
      </c>
    </row>
    <row r="3044" spans="1:14" outlineLevel="1">
      <c r="A3044" s="1499">
        <f t="shared" si="454"/>
        <v>58</v>
      </c>
      <c r="B3044" s="1539" t="str">
        <f t="shared" si="454"/>
        <v>Asset Recived From Project-U#8-Boiler Pressure parts-10501</v>
      </c>
      <c r="C3044" s="1491" t="str">
        <f t="shared" si="454"/>
        <v>N.A.</v>
      </c>
      <c r="D3044" s="1531" t="str">
        <f t="shared" si="454"/>
        <v>-</v>
      </c>
      <c r="E3044" s="1318">
        <f t="shared" si="454"/>
        <v>0</v>
      </c>
      <c r="F3044" s="1437">
        <f t="shared" si="450"/>
        <v>6.5490000000000007E-2</v>
      </c>
      <c r="G3044" s="1437">
        <f t="shared" si="451"/>
        <v>0</v>
      </c>
      <c r="H3044" s="1437">
        <f t="shared" si="452"/>
        <v>6.5490000000000007E-2</v>
      </c>
      <c r="I3044" s="1437">
        <v>0</v>
      </c>
      <c r="J3044" s="1437">
        <v>0</v>
      </c>
      <c r="K3044" s="1438"/>
      <c r="L3044" s="1438"/>
      <c r="M3044" s="1437">
        <f t="shared" si="449"/>
        <v>0</v>
      </c>
      <c r="N3044" s="1437">
        <f t="shared" si="453"/>
        <v>6.5490000000000007E-2</v>
      </c>
    </row>
    <row r="3045" spans="1:14" outlineLevel="1">
      <c r="A3045" s="1499">
        <f t="shared" si="454"/>
        <v>59</v>
      </c>
      <c r="B3045" s="1539" t="str">
        <f t="shared" si="454"/>
        <v>Asset Recived From Project-U#8-Mandatory Spares from BHEL–Trichy</v>
      </c>
      <c r="C3045" s="1491" t="str">
        <f t="shared" si="454"/>
        <v>N.A.</v>
      </c>
      <c r="D3045" s="1531" t="str">
        <f t="shared" si="454"/>
        <v>-</v>
      </c>
      <c r="E3045" s="1318">
        <f t="shared" si="454"/>
        <v>0</v>
      </c>
      <c r="F3045" s="1437">
        <f t="shared" si="450"/>
        <v>7.4618999999999996E-3</v>
      </c>
      <c r="G3045" s="1437">
        <f t="shared" si="451"/>
        <v>0</v>
      </c>
      <c r="H3045" s="1437">
        <f t="shared" si="452"/>
        <v>7.4618999999999996E-3</v>
      </c>
      <c r="I3045" s="1437">
        <v>0</v>
      </c>
      <c r="J3045" s="1437">
        <v>0</v>
      </c>
      <c r="K3045" s="1438"/>
      <c r="L3045" s="1438"/>
      <c r="M3045" s="1437">
        <f t="shared" si="449"/>
        <v>0</v>
      </c>
      <c r="N3045" s="1437">
        <f t="shared" si="453"/>
        <v>7.4618999999999996E-3</v>
      </c>
    </row>
    <row r="3046" spans="1:14" outlineLevel="1">
      <c r="A3046" s="1499">
        <f t="shared" si="454"/>
        <v>60</v>
      </c>
      <c r="B3046" s="1539" t="str">
        <f t="shared" si="454"/>
        <v>Asset Recived From Civil-U#8-Coal mill reject trench at coal mill D&amp;E</v>
      </c>
      <c r="C3046" s="1491" t="str">
        <f t="shared" si="454"/>
        <v>N.A.</v>
      </c>
      <c r="D3046" s="1531" t="str">
        <f t="shared" si="454"/>
        <v>-</v>
      </c>
      <c r="E3046" s="1318">
        <f t="shared" si="454"/>
        <v>0</v>
      </c>
      <c r="F3046" s="1437">
        <f t="shared" si="450"/>
        <v>4.6610299000000001E-2</v>
      </c>
      <c r="G3046" s="1437">
        <f t="shared" si="451"/>
        <v>0</v>
      </c>
      <c r="H3046" s="1437">
        <f t="shared" si="452"/>
        <v>4.6610299000000001E-2</v>
      </c>
      <c r="I3046" s="1437">
        <v>0</v>
      </c>
      <c r="J3046" s="1437">
        <v>0</v>
      </c>
      <c r="K3046" s="1438"/>
      <c r="L3046" s="1438"/>
      <c r="M3046" s="1437">
        <f t="shared" si="449"/>
        <v>0</v>
      </c>
      <c r="N3046" s="1437">
        <f t="shared" si="453"/>
        <v>4.6610299000000001E-2</v>
      </c>
    </row>
    <row r="3047" spans="1:14" ht="29" outlineLevel="1">
      <c r="A3047" s="1499">
        <f t="shared" ref="A3047:E3062" si="455">A2654</f>
        <v>61</v>
      </c>
      <c r="B3047" s="1539" t="str">
        <f t="shared" si="455"/>
        <v>Asset Recived From Project-U#8-Canteen Equipments &amp; kitchen Utensils</v>
      </c>
      <c r="C3047" s="1491" t="str">
        <f t="shared" si="455"/>
        <v>N.A.</v>
      </c>
      <c r="D3047" s="1531" t="str">
        <f t="shared" si="455"/>
        <v>-</v>
      </c>
      <c r="E3047" s="1318">
        <f t="shared" si="455"/>
        <v>0</v>
      </c>
      <c r="F3047" s="1437">
        <f t="shared" si="450"/>
        <v>0.21887515400000002</v>
      </c>
      <c r="G3047" s="1437">
        <f t="shared" si="451"/>
        <v>0</v>
      </c>
      <c r="H3047" s="1437">
        <f t="shared" si="452"/>
        <v>0.21887515400000002</v>
      </c>
      <c r="I3047" s="1437">
        <v>0</v>
      </c>
      <c r="J3047" s="1437">
        <v>0</v>
      </c>
      <c r="K3047" s="1438"/>
      <c r="L3047" s="1438"/>
      <c r="M3047" s="1437">
        <f t="shared" si="449"/>
        <v>0</v>
      </c>
      <c r="N3047" s="1437">
        <f t="shared" si="453"/>
        <v>0.21887515400000002</v>
      </c>
    </row>
    <row r="3048" spans="1:14" ht="29" outlineLevel="1">
      <c r="A3048" s="1499">
        <f t="shared" si="455"/>
        <v>62</v>
      </c>
      <c r="B3048" s="1539" t="str">
        <f t="shared" si="455"/>
        <v>Asset Recived From Project-U#8-Supply &amp; Erection of ACW system-10310</v>
      </c>
      <c r="C3048" s="1491" t="str">
        <f t="shared" si="455"/>
        <v>N.A.</v>
      </c>
      <c r="D3048" s="1531" t="str">
        <f t="shared" si="455"/>
        <v>-</v>
      </c>
      <c r="E3048" s="1318">
        <f t="shared" si="455"/>
        <v>0</v>
      </c>
      <c r="F3048" s="1437">
        <f t="shared" si="450"/>
        <v>8.3684199999999997E-4</v>
      </c>
      <c r="G3048" s="1437">
        <f t="shared" si="451"/>
        <v>0</v>
      </c>
      <c r="H3048" s="1437">
        <f t="shared" si="452"/>
        <v>8.3684199999999997E-4</v>
      </c>
      <c r="I3048" s="1437">
        <v>0</v>
      </c>
      <c r="J3048" s="1437">
        <v>0</v>
      </c>
      <c r="K3048" s="1438"/>
      <c r="L3048" s="1438"/>
      <c r="M3048" s="1437">
        <f t="shared" si="449"/>
        <v>0</v>
      </c>
      <c r="N3048" s="1437">
        <f t="shared" si="453"/>
        <v>8.3684199999999997E-4</v>
      </c>
    </row>
    <row r="3049" spans="1:14" ht="29" outlineLevel="1">
      <c r="A3049" s="1499">
        <f t="shared" si="455"/>
        <v>63</v>
      </c>
      <c r="B3049" s="1539" t="str">
        <f t="shared" si="455"/>
        <v>Asset Recived From Project-U#8-SUPPLY &amp; ERECTION OF CCW SYSTEM-10310</v>
      </c>
      <c r="C3049" s="1491" t="str">
        <f t="shared" si="455"/>
        <v>N.A.</v>
      </c>
      <c r="D3049" s="1531" t="str">
        <f t="shared" si="455"/>
        <v>-</v>
      </c>
      <c r="E3049" s="1318">
        <f t="shared" si="455"/>
        <v>0</v>
      </c>
      <c r="F3049" s="1437">
        <f t="shared" si="450"/>
        <v>4.8560299999999999E-3</v>
      </c>
      <c r="G3049" s="1437">
        <f t="shared" si="451"/>
        <v>0</v>
      </c>
      <c r="H3049" s="1437">
        <f t="shared" si="452"/>
        <v>4.8560299999999999E-3</v>
      </c>
      <c r="I3049" s="1437">
        <v>0</v>
      </c>
      <c r="J3049" s="1437">
        <v>0</v>
      </c>
      <c r="K3049" s="1438"/>
      <c r="L3049" s="1438"/>
      <c r="M3049" s="1437">
        <f t="shared" si="449"/>
        <v>0</v>
      </c>
      <c r="N3049" s="1437">
        <f t="shared" si="453"/>
        <v>4.8560299999999999E-3</v>
      </c>
    </row>
    <row r="3050" spans="1:14" ht="29" outlineLevel="1">
      <c r="A3050" s="1499">
        <f t="shared" si="455"/>
        <v>64</v>
      </c>
      <c r="B3050" s="1539" t="str">
        <f t="shared" si="455"/>
        <v>Asset Recived From Project-U#8-TG set &amp; its auxilleries-HP/LPFeedWate</v>
      </c>
      <c r="C3050" s="1491" t="str">
        <f t="shared" si="455"/>
        <v>N.A.</v>
      </c>
      <c r="D3050" s="1531" t="str">
        <f t="shared" si="455"/>
        <v>-</v>
      </c>
      <c r="E3050" s="1318">
        <f t="shared" si="455"/>
        <v>0</v>
      </c>
      <c r="F3050" s="1437">
        <f t="shared" si="450"/>
        <v>1.6841648000000001E-2</v>
      </c>
      <c r="G3050" s="1437">
        <f t="shared" si="451"/>
        <v>0</v>
      </c>
      <c r="H3050" s="1437">
        <f t="shared" si="452"/>
        <v>1.6841648000000001E-2</v>
      </c>
      <c r="I3050" s="1437">
        <v>0</v>
      </c>
      <c r="J3050" s="1437">
        <v>0</v>
      </c>
      <c r="K3050" s="1438"/>
      <c r="L3050" s="1438"/>
      <c r="M3050" s="1437">
        <f t="shared" si="449"/>
        <v>0</v>
      </c>
      <c r="N3050" s="1437">
        <f t="shared" si="453"/>
        <v>1.6841648000000001E-2</v>
      </c>
    </row>
    <row r="3051" spans="1:14" outlineLevel="1">
      <c r="A3051" s="1499">
        <f t="shared" si="455"/>
        <v>65</v>
      </c>
      <c r="B3051" s="1539" t="str">
        <f t="shared" si="455"/>
        <v>Asset Recived From Project-U#8-TG set and its auxilleries- Boilerfeed</v>
      </c>
      <c r="C3051" s="1491" t="str">
        <f t="shared" si="455"/>
        <v>N.A.</v>
      </c>
      <c r="D3051" s="1531" t="str">
        <f t="shared" si="455"/>
        <v>-</v>
      </c>
      <c r="E3051" s="1318">
        <f t="shared" si="455"/>
        <v>0</v>
      </c>
      <c r="F3051" s="1437">
        <f t="shared" si="450"/>
        <v>1.8479445000000001E-2</v>
      </c>
      <c r="G3051" s="1437">
        <f t="shared" si="451"/>
        <v>0</v>
      </c>
      <c r="H3051" s="1437">
        <f t="shared" si="452"/>
        <v>1.8479445000000001E-2</v>
      </c>
      <c r="I3051" s="1437">
        <v>0</v>
      </c>
      <c r="J3051" s="1437">
        <v>0</v>
      </c>
      <c r="K3051" s="1438"/>
      <c r="L3051" s="1438"/>
      <c r="M3051" s="1437">
        <f t="shared" si="449"/>
        <v>0</v>
      </c>
      <c r="N3051" s="1437">
        <f t="shared" si="453"/>
        <v>1.8479445000000001E-2</v>
      </c>
    </row>
    <row r="3052" spans="1:14" ht="29" outlineLevel="1">
      <c r="A3052" s="1499">
        <f t="shared" si="455"/>
        <v>66</v>
      </c>
      <c r="B3052" s="1539" t="str">
        <f t="shared" si="455"/>
        <v>Asset Recived From Project-U#8-Air Conditioning-MandatorySpares-10576</v>
      </c>
      <c r="C3052" s="1491" t="str">
        <f t="shared" si="455"/>
        <v>N.A.</v>
      </c>
      <c r="D3052" s="1531" t="str">
        <f t="shared" si="455"/>
        <v>-</v>
      </c>
      <c r="E3052" s="1318">
        <f t="shared" si="455"/>
        <v>0</v>
      </c>
      <c r="F3052" s="1437">
        <f t="shared" si="450"/>
        <v>1.7255999999999999E-5</v>
      </c>
      <c r="G3052" s="1437">
        <f t="shared" si="451"/>
        <v>0</v>
      </c>
      <c r="H3052" s="1437">
        <f t="shared" si="452"/>
        <v>1.7255999999999999E-5</v>
      </c>
      <c r="I3052" s="1437">
        <v>0</v>
      </c>
      <c r="J3052" s="1437">
        <v>0</v>
      </c>
      <c r="K3052" s="1438"/>
      <c r="L3052" s="1438"/>
      <c r="M3052" s="1437">
        <f t="shared" si="449"/>
        <v>0</v>
      </c>
      <c r="N3052" s="1437">
        <f t="shared" si="453"/>
        <v>1.7255999999999999E-5</v>
      </c>
    </row>
    <row r="3053" spans="1:14" outlineLevel="1">
      <c r="A3053" s="1499">
        <f t="shared" si="455"/>
        <v>67</v>
      </c>
      <c r="B3053" s="1539" t="str">
        <f t="shared" si="455"/>
        <v>Asset Recived From Project-U#8-Air Conditioning system-10576</v>
      </c>
      <c r="C3053" s="1491" t="str">
        <f t="shared" si="455"/>
        <v>N.A.</v>
      </c>
      <c r="D3053" s="1531" t="str">
        <f t="shared" si="455"/>
        <v>-</v>
      </c>
      <c r="E3053" s="1318">
        <f t="shared" si="455"/>
        <v>0</v>
      </c>
      <c r="F3053" s="1437">
        <f t="shared" si="450"/>
        <v>1.344619E-3</v>
      </c>
      <c r="G3053" s="1437">
        <f t="shared" si="451"/>
        <v>0</v>
      </c>
      <c r="H3053" s="1437">
        <f t="shared" si="452"/>
        <v>1.344619E-3</v>
      </c>
      <c r="I3053" s="1437">
        <v>0</v>
      </c>
      <c r="J3053" s="1437">
        <v>0</v>
      </c>
      <c r="K3053" s="1438"/>
      <c r="L3053" s="1438"/>
      <c r="M3053" s="1437">
        <f t="shared" si="449"/>
        <v>0</v>
      </c>
      <c r="N3053" s="1437">
        <f t="shared" si="453"/>
        <v>1.344619E-3</v>
      </c>
    </row>
    <row r="3054" spans="1:14" outlineLevel="1">
      <c r="A3054" s="1499">
        <f t="shared" si="455"/>
        <v>68</v>
      </c>
      <c r="B3054" s="1539" t="str">
        <f t="shared" si="455"/>
        <v>Asset Recived From Project-U#8-AHP-FLY ASH &amp; HCSD-SYSTEM-10501</v>
      </c>
      <c r="C3054" s="1491" t="str">
        <f t="shared" si="455"/>
        <v>N.A.</v>
      </c>
      <c r="D3054" s="1531" t="str">
        <f t="shared" si="455"/>
        <v>-</v>
      </c>
      <c r="E3054" s="1318">
        <f t="shared" si="455"/>
        <v>0</v>
      </c>
      <c r="F3054" s="1437">
        <f t="shared" si="450"/>
        <v>2.1652109999999998E-3</v>
      </c>
      <c r="G3054" s="1437">
        <f t="shared" si="451"/>
        <v>0</v>
      </c>
      <c r="H3054" s="1437">
        <f t="shared" si="452"/>
        <v>2.1652109999999998E-3</v>
      </c>
      <c r="I3054" s="1437">
        <v>0</v>
      </c>
      <c r="J3054" s="1437">
        <v>0</v>
      </c>
      <c r="K3054" s="1438"/>
      <c r="L3054" s="1438"/>
      <c r="M3054" s="1437">
        <f t="shared" si="449"/>
        <v>0</v>
      </c>
      <c r="N3054" s="1437">
        <f t="shared" si="453"/>
        <v>2.1652109999999998E-3</v>
      </c>
    </row>
    <row r="3055" spans="1:14" ht="29" outlineLevel="1">
      <c r="A3055" s="1499">
        <f t="shared" si="455"/>
        <v>69</v>
      </c>
      <c r="B3055" s="1539" t="str">
        <f t="shared" si="455"/>
        <v>Asset Recived From Project-U#8-AHP-FLYASH&amp;HCSD-SYSTEMBOUGHT OUT-10501</v>
      </c>
      <c r="C3055" s="1491" t="str">
        <f t="shared" si="455"/>
        <v>N.A.</v>
      </c>
      <c r="D3055" s="1531" t="str">
        <f t="shared" si="455"/>
        <v>-</v>
      </c>
      <c r="E3055" s="1318">
        <f t="shared" si="455"/>
        <v>0</v>
      </c>
      <c r="F3055" s="1437">
        <f t="shared" si="450"/>
        <v>7.0969070000000004E-3</v>
      </c>
      <c r="G3055" s="1437">
        <f t="shared" si="451"/>
        <v>0</v>
      </c>
      <c r="H3055" s="1437">
        <f t="shared" si="452"/>
        <v>7.0969070000000004E-3</v>
      </c>
      <c r="I3055" s="1437">
        <v>0</v>
      </c>
      <c r="J3055" s="1437">
        <v>0</v>
      </c>
      <c r="K3055" s="1438"/>
      <c r="L3055" s="1438"/>
      <c r="M3055" s="1437">
        <f t="shared" si="449"/>
        <v>0</v>
      </c>
      <c r="N3055" s="1437">
        <f t="shared" si="453"/>
        <v>7.0969070000000004E-3</v>
      </c>
    </row>
    <row r="3056" spans="1:14" outlineLevel="1">
      <c r="A3056" s="1499">
        <f t="shared" si="455"/>
        <v>70</v>
      </c>
      <c r="B3056" s="1539" t="str">
        <f t="shared" si="455"/>
        <v>Asset Recived From Project-U#8-AHP-BOTTOM ASH SYSTEM-10501</v>
      </c>
      <c r="C3056" s="1491" t="str">
        <f t="shared" si="455"/>
        <v>N.A.</v>
      </c>
      <c r="D3056" s="1531" t="str">
        <f t="shared" si="455"/>
        <v>-</v>
      </c>
      <c r="E3056" s="1318">
        <f t="shared" si="455"/>
        <v>0</v>
      </c>
      <c r="F3056" s="1437">
        <f t="shared" si="450"/>
        <v>1.2125858999999999E-2</v>
      </c>
      <c r="G3056" s="1437">
        <f t="shared" si="451"/>
        <v>0</v>
      </c>
      <c r="H3056" s="1437">
        <f t="shared" si="452"/>
        <v>1.2125858999999999E-2</v>
      </c>
      <c r="I3056" s="1437">
        <v>0</v>
      </c>
      <c r="J3056" s="1437">
        <v>0</v>
      </c>
      <c r="K3056" s="1438"/>
      <c r="L3056" s="1438"/>
      <c r="M3056" s="1437">
        <f t="shared" si="449"/>
        <v>0</v>
      </c>
      <c r="N3056" s="1437">
        <f t="shared" si="453"/>
        <v>1.2125858999999999E-2</v>
      </c>
    </row>
    <row r="3057" spans="1:14" outlineLevel="1">
      <c r="A3057" s="1499">
        <f t="shared" si="455"/>
        <v>71</v>
      </c>
      <c r="B3057" s="1539" t="str">
        <f t="shared" si="455"/>
        <v>Asset Recived From Project-U#8-AHP-ELECTRICAL C &amp; I-10501</v>
      </c>
      <c r="C3057" s="1491" t="str">
        <f t="shared" si="455"/>
        <v>N.A.</v>
      </c>
      <c r="D3057" s="1531" t="str">
        <f t="shared" si="455"/>
        <v>-</v>
      </c>
      <c r="E3057" s="1318">
        <f t="shared" si="455"/>
        <v>0</v>
      </c>
      <c r="F3057" s="1437">
        <f t="shared" si="450"/>
        <v>4.0530039999999998E-3</v>
      </c>
      <c r="G3057" s="1437">
        <f t="shared" si="451"/>
        <v>0</v>
      </c>
      <c r="H3057" s="1437">
        <f t="shared" si="452"/>
        <v>4.0530039999999998E-3</v>
      </c>
      <c r="I3057" s="1437">
        <v>0</v>
      </c>
      <c r="J3057" s="1437">
        <v>0</v>
      </c>
      <c r="K3057" s="1438"/>
      <c r="L3057" s="1438"/>
      <c r="M3057" s="1437">
        <f t="shared" si="449"/>
        <v>0</v>
      </c>
      <c r="N3057" s="1437">
        <f t="shared" si="453"/>
        <v>4.0530039999999998E-3</v>
      </c>
    </row>
    <row r="3058" spans="1:14" outlineLevel="1">
      <c r="A3058" s="1499">
        <f t="shared" si="455"/>
        <v>72</v>
      </c>
      <c r="B3058" s="1539" t="str">
        <f t="shared" si="455"/>
        <v>Asset Recived From Project-U#8-AHP-GEHO PUMP-10501</v>
      </c>
      <c r="C3058" s="1491" t="str">
        <f t="shared" si="455"/>
        <v>N.A.</v>
      </c>
      <c r="D3058" s="1531" t="str">
        <f t="shared" si="455"/>
        <v>-</v>
      </c>
      <c r="E3058" s="1318">
        <f t="shared" si="455"/>
        <v>0</v>
      </c>
      <c r="F3058" s="1437">
        <f t="shared" si="450"/>
        <v>9.5127619999999993E-3</v>
      </c>
      <c r="G3058" s="1437">
        <f t="shared" si="451"/>
        <v>0</v>
      </c>
      <c r="H3058" s="1437">
        <f t="shared" si="452"/>
        <v>9.5127619999999993E-3</v>
      </c>
      <c r="I3058" s="1437">
        <v>0</v>
      </c>
      <c r="J3058" s="1437">
        <v>0</v>
      </c>
      <c r="K3058" s="1438"/>
      <c r="L3058" s="1438"/>
      <c r="M3058" s="1437">
        <f t="shared" si="449"/>
        <v>0</v>
      </c>
      <c r="N3058" s="1437">
        <f t="shared" si="453"/>
        <v>9.5127619999999993E-3</v>
      </c>
    </row>
    <row r="3059" spans="1:14" ht="29" outlineLevel="1">
      <c r="A3059" s="1499">
        <f t="shared" si="455"/>
        <v>73</v>
      </c>
      <c r="B3059" s="1539" t="str">
        <f t="shared" si="455"/>
        <v>Asset Recived FromProject-U#8-Boiler&amp;Aux -Power Cycle Piping-10501</v>
      </c>
      <c r="C3059" s="1491" t="str">
        <f t="shared" si="455"/>
        <v>N.A.</v>
      </c>
      <c r="D3059" s="1531" t="str">
        <f t="shared" si="455"/>
        <v>-</v>
      </c>
      <c r="E3059" s="1318">
        <f t="shared" si="455"/>
        <v>0</v>
      </c>
      <c r="F3059" s="1437">
        <f t="shared" si="450"/>
        <v>4.1004594999999998E-2</v>
      </c>
      <c r="G3059" s="1437">
        <f t="shared" si="451"/>
        <v>0</v>
      </c>
      <c r="H3059" s="1437">
        <f t="shared" si="452"/>
        <v>4.1004594999999998E-2</v>
      </c>
      <c r="I3059" s="1437">
        <v>0</v>
      </c>
      <c r="J3059" s="1437">
        <v>0</v>
      </c>
      <c r="K3059" s="1438"/>
      <c r="L3059" s="1438"/>
      <c r="M3059" s="1437">
        <f t="shared" si="449"/>
        <v>0</v>
      </c>
      <c r="N3059" s="1437">
        <f t="shared" si="453"/>
        <v>4.1004594999999998E-2</v>
      </c>
    </row>
    <row r="3060" spans="1:14" ht="29" outlineLevel="1">
      <c r="A3060" s="1499">
        <f t="shared" si="455"/>
        <v>74</v>
      </c>
      <c r="B3060" s="1539" t="str">
        <f t="shared" si="455"/>
        <v>Asset Recived From Project-U#8-Boiler&amp;Aux-SUIT BLOWER &amp; PIPING-10501</v>
      </c>
      <c r="C3060" s="1491" t="str">
        <f t="shared" si="455"/>
        <v>N.A.</v>
      </c>
      <c r="D3060" s="1531" t="str">
        <f t="shared" si="455"/>
        <v>-</v>
      </c>
      <c r="E3060" s="1318">
        <f t="shared" si="455"/>
        <v>0</v>
      </c>
      <c r="F3060" s="1437">
        <f t="shared" si="450"/>
        <v>8.3837327000000003E-2</v>
      </c>
      <c r="G3060" s="1437">
        <f t="shared" si="451"/>
        <v>0</v>
      </c>
      <c r="H3060" s="1437">
        <f t="shared" si="452"/>
        <v>8.3837327000000003E-2</v>
      </c>
      <c r="I3060" s="1437">
        <v>0</v>
      </c>
      <c r="J3060" s="1437">
        <v>0</v>
      </c>
      <c r="K3060" s="1438"/>
      <c r="L3060" s="1438"/>
      <c r="M3060" s="1437">
        <f t="shared" si="449"/>
        <v>0</v>
      </c>
      <c r="N3060" s="1437">
        <f t="shared" si="453"/>
        <v>8.3837327000000003E-2</v>
      </c>
    </row>
    <row r="3061" spans="1:14" outlineLevel="1">
      <c r="A3061" s="1499">
        <f t="shared" si="455"/>
        <v>75</v>
      </c>
      <c r="B3061" s="1539" t="str">
        <f t="shared" si="455"/>
        <v>Asset Recived From Project-U#8-Boiler &amp; Auxillaries - PA FAN-10501</v>
      </c>
      <c r="C3061" s="1491" t="str">
        <f t="shared" si="455"/>
        <v>N.A.</v>
      </c>
      <c r="D3061" s="1531" t="str">
        <f t="shared" si="455"/>
        <v>-</v>
      </c>
      <c r="E3061" s="1318">
        <f t="shared" si="455"/>
        <v>0</v>
      </c>
      <c r="F3061" s="1437">
        <f t="shared" si="450"/>
        <v>1.022551E-3</v>
      </c>
      <c r="G3061" s="1437">
        <f t="shared" si="451"/>
        <v>0</v>
      </c>
      <c r="H3061" s="1437">
        <f t="shared" si="452"/>
        <v>1.022551E-3</v>
      </c>
      <c r="I3061" s="1437">
        <v>0</v>
      </c>
      <c r="J3061" s="1437">
        <v>0</v>
      </c>
      <c r="K3061" s="1438"/>
      <c r="L3061" s="1438"/>
      <c r="M3061" s="1437">
        <f t="shared" si="449"/>
        <v>0</v>
      </c>
      <c r="N3061" s="1437">
        <f t="shared" si="453"/>
        <v>1.022551E-3</v>
      </c>
    </row>
    <row r="3062" spans="1:14" outlineLevel="1">
      <c r="A3062" s="1499">
        <f t="shared" si="455"/>
        <v>76</v>
      </c>
      <c r="B3062" s="1539" t="str">
        <f t="shared" si="455"/>
        <v>Asset Recived From Project-U#8-Boiler&amp;Aux-Air Preheaters-10501</v>
      </c>
      <c r="C3062" s="1491" t="str">
        <f t="shared" si="455"/>
        <v>N.A.</v>
      </c>
      <c r="D3062" s="1531" t="str">
        <f t="shared" si="455"/>
        <v>-</v>
      </c>
      <c r="E3062" s="1318">
        <f t="shared" si="455"/>
        <v>0</v>
      </c>
      <c r="F3062" s="1437">
        <f t="shared" si="450"/>
        <v>1.3280755999999999E-2</v>
      </c>
      <c r="G3062" s="1437">
        <f t="shared" si="451"/>
        <v>0</v>
      </c>
      <c r="H3062" s="1437">
        <f t="shared" si="452"/>
        <v>1.3280755999999999E-2</v>
      </c>
      <c r="I3062" s="1437">
        <v>0</v>
      </c>
      <c r="J3062" s="1437">
        <v>0</v>
      </c>
      <c r="K3062" s="1438"/>
      <c r="L3062" s="1438"/>
      <c r="M3062" s="1437">
        <f t="shared" si="449"/>
        <v>0</v>
      </c>
      <c r="N3062" s="1437">
        <f t="shared" si="453"/>
        <v>1.3280755999999999E-2</v>
      </c>
    </row>
    <row r="3063" spans="1:14" ht="29" outlineLevel="1">
      <c r="A3063" s="1499">
        <f t="shared" ref="A3063:E3078" si="456">A2670</f>
        <v>77</v>
      </c>
      <c r="B3063" s="1539" t="str">
        <f t="shared" si="456"/>
        <v>Asset Recived From Project-U#8-Boiler &amp; Auxillaries -COAL MILL-10501</v>
      </c>
      <c r="C3063" s="1491" t="str">
        <f t="shared" si="456"/>
        <v>N.A.</v>
      </c>
      <c r="D3063" s="1531" t="str">
        <f t="shared" si="456"/>
        <v>-</v>
      </c>
      <c r="E3063" s="1318">
        <f t="shared" si="456"/>
        <v>0</v>
      </c>
      <c r="F3063" s="1437">
        <f t="shared" si="450"/>
        <v>5.1243500999999997E-2</v>
      </c>
      <c r="G3063" s="1437">
        <f t="shared" si="451"/>
        <v>0</v>
      </c>
      <c r="H3063" s="1437">
        <f t="shared" si="452"/>
        <v>5.1243500999999997E-2</v>
      </c>
      <c r="I3063" s="1437">
        <v>0</v>
      </c>
      <c r="J3063" s="1437">
        <v>0</v>
      </c>
      <c r="K3063" s="1438"/>
      <c r="L3063" s="1438"/>
      <c r="M3063" s="1437">
        <f t="shared" si="449"/>
        <v>0</v>
      </c>
      <c r="N3063" s="1437">
        <f t="shared" si="453"/>
        <v>5.1243500999999997E-2</v>
      </c>
    </row>
    <row r="3064" spans="1:14" outlineLevel="1">
      <c r="A3064" s="1499">
        <f t="shared" si="456"/>
        <v>78</v>
      </c>
      <c r="B3064" s="1539" t="str">
        <f t="shared" si="456"/>
        <v>Asset Recived From Project-U#8-Boiler &amp; Auxillaries -FD FAN-10501</v>
      </c>
      <c r="C3064" s="1491" t="str">
        <f t="shared" si="456"/>
        <v>N.A.</v>
      </c>
      <c r="D3064" s="1531" t="str">
        <f t="shared" si="456"/>
        <v>-</v>
      </c>
      <c r="E3064" s="1318">
        <f t="shared" si="456"/>
        <v>0</v>
      </c>
      <c r="F3064" s="1437">
        <f t="shared" si="450"/>
        <v>6.8170000000000004E-4</v>
      </c>
      <c r="G3064" s="1437">
        <f t="shared" si="451"/>
        <v>0</v>
      </c>
      <c r="H3064" s="1437">
        <f t="shared" si="452"/>
        <v>6.8170000000000004E-4</v>
      </c>
      <c r="I3064" s="1437">
        <v>0</v>
      </c>
      <c r="J3064" s="1437">
        <v>0</v>
      </c>
      <c r="K3064" s="1438"/>
      <c r="L3064" s="1438"/>
      <c r="M3064" s="1437">
        <f t="shared" si="449"/>
        <v>0</v>
      </c>
      <c r="N3064" s="1437">
        <f t="shared" si="453"/>
        <v>6.8170000000000004E-4</v>
      </c>
    </row>
    <row r="3065" spans="1:14" outlineLevel="1">
      <c r="A3065" s="1499">
        <f t="shared" si="456"/>
        <v>79</v>
      </c>
      <c r="B3065" s="1539" t="str">
        <f t="shared" si="456"/>
        <v>Asset Recived From Project-U#8-Boiler &amp; Auxillaries- ID FAN-10501</v>
      </c>
      <c r="C3065" s="1491" t="str">
        <f t="shared" si="456"/>
        <v>N.A.</v>
      </c>
      <c r="D3065" s="1531" t="str">
        <f t="shared" si="456"/>
        <v>-</v>
      </c>
      <c r="E3065" s="1318">
        <f t="shared" si="456"/>
        <v>0</v>
      </c>
      <c r="F3065" s="1437">
        <f t="shared" si="450"/>
        <v>1.7042509999999999E-3</v>
      </c>
      <c r="G3065" s="1437">
        <f t="shared" si="451"/>
        <v>0</v>
      </c>
      <c r="H3065" s="1437">
        <f t="shared" si="452"/>
        <v>1.7042509999999999E-3</v>
      </c>
      <c r="I3065" s="1437">
        <v>0</v>
      </c>
      <c r="J3065" s="1437">
        <v>0</v>
      </c>
      <c r="K3065" s="1438"/>
      <c r="L3065" s="1438"/>
      <c r="M3065" s="1437">
        <f t="shared" si="449"/>
        <v>0</v>
      </c>
      <c r="N3065" s="1437">
        <f t="shared" si="453"/>
        <v>1.7042509999999999E-3</v>
      </c>
    </row>
    <row r="3066" spans="1:14" ht="29" outlineLevel="1">
      <c r="A3066" s="1499">
        <f t="shared" si="456"/>
        <v>80</v>
      </c>
      <c r="B3066" s="1539" t="str">
        <f t="shared" si="456"/>
        <v>Asset Recived From Project-U#8-Boiler&amp;Aux-Mandatory Spares-10501</v>
      </c>
      <c r="C3066" s="1491" t="str">
        <f t="shared" si="456"/>
        <v>N.A.</v>
      </c>
      <c r="D3066" s="1531" t="str">
        <f t="shared" si="456"/>
        <v>-</v>
      </c>
      <c r="E3066" s="1318">
        <f t="shared" si="456"/>
        <v>0</v>
      </c>
      <c r="F3066" s="1437">
        <f t="shared" si="450"/>
        <v>9.7934579999999997E-3</v>
      </c>
      <c r="G3066" s="1437">
        <f t="shared" si="451"/>
        <v>0</v>
      </c>
      <c r="H3066" s="1437">
        <f t="shared" si="452"/>
        <v>9.7934579999999997E-3</v>
      </c>
      <c r="I3066" s="1437">
        <v>0</v>
      </c>
      <c r="J3066" s="1437">
        <v>0</v>
      </c>
      <c r="K3066" s="1438"/>
      <c r="L3066" s="1438"/>
      <c r="M3066" s="1437">
        <f t="shared" si="449"/>
        <v>0</v>
      </c>
      <c r="N3066" s="1437">
        <f t="shared" si="453"/>
        <v>9.7934579999999997E-3</v>
      </c>
    </row>
    <row r="3067" spans="1:14" ht="29" outlineLevel="1">
      <c r="A3067" s="1499">
        <f t="shared" si="456"/>
        <v>81</v>
      </c>
      <c r="B3067" s="1539" t="str">
        <f t="shared" si="456"/>
        <v>Asset Recived From Project-U#8-Boiler&amp;Aux-PLATFORM,STAIRS,GRATINGS,</v>
      </c>
      <c r="C3067" s="1491" t="str">
        <f t="shared" si="456"/>
        <v>N.A.</v>
      </c>
      <c r="D3067" s="1531" t="str">
        <f t="shared" si="456"/>
        <v>-</v>
      </c>
      <c r="E3067" s="1318">
        <f t="shared" si="456"/>
        <v>0</v>
      </c>
      <c r="F3067" s="1437">
        <f t="shared" si="450"/>
        <v>3.0595908000000002E-2</v>
      </c>
      <c r="G3067" s="1437">
        <f t="shared" si="451"/>
        <v>0</v>
      </c>
      <c r="H3067" s="1437">
        <f t="shared" si="452"/>
        <v>3.0595908000000002E-2</v>
      </c>
      <c r="I3067" s="1437">
        <v>0</v>
      </c>
      <c r="J3067" s="1437">
        <v>0</v>
      </c>
      <c r="K3067" s="1438"/>
      <c r="L3067" s="1438"/>
      <c r="M3067" s="1437">
        <f t="shared" si="449"/>
        <v>0</v>
      </c>
      <c r="N3067" s="1437">
        <f t="shared" si="453"/>
        <v>3.0595908000000002E-2</v>
      </c>
    </row>
    <row r="3068" spans="1:14" outlineLevel="1">
      <c r="A3068" s="1499">
        <f t="shared" si="456"/>
        <v>82</v>
      </c>
      <c r="B3068" s="1539" t="str">
        <f t="shared" si="456"/>
        <v>Asset Recived From Project-U#8-Boiler Pressure parts-10501</v>
      </c>
      <c r="C3068" s="1491" t="str">
        <f t="shared" si="456"/>
        <v>N.A.</v>
      </c>
      <c r="D3068" s="1531" t="str">
        <f t="shared" si="456"/>
        <v>-</v>
      </c>
      <c r="E3068" s="1318">
        <f t="shared" si="456"/>
        <v>0</v>
      </c>
      <c r="F3068" s="1437">
        <f t="shared" si="450"/>
        <v>0.17807421000000001</v>
      </c>
      <c r="G3068" s="1437">
        <f t="shared" si="451"/>
        <v>0</v>
      </c>
      <c r="H3068" s="1437">
        <f t="shared" si="452"/>
        <v>0.17807421000000001</v>
      </c>
      <c r="I3068" s="1437">
        <v>0</v>
      </c>
      <c r="J3068" s="1437">
        <v>0</v>
      </c>
      <c r="K3068" s="1438"/>
      <c r="L3068" s="1438"/>
      <c r="M3068" s="1437">
        <f t="shared" si="449"/>
        <v>0</v>
      </c>
      <c r="N3068" s="1437">
        <f t="shared" si="453"/>
        <v>0.17807421000000001</v>
      </c>
    </row>
    <row r="3069" spans="1:14" ht="29" outlineLevel="1">
      <c r="A3069" s="1499">
        <f t="shared" si="456"/>
        <v>83</v>
      </c>
      <c r="B3069" s="1539" t="str">
        <f t="shared" si="456"/>
        <v>Asset Recived From Project-U#8-220V-BATTERY+CHARGERS-MAIN PLANT-10563</v>
      </c>
      <c r="C3069" s="1491" t="str">
        <f t="shared" si="456"/>
        <v>N.A.</v>
      </c>
      <c r="D3069" s="1531" t="str">
        <f t="shared" si="456"/>
        <v>-</v>
      </c>
      <c r="E3069" s="1318">
        <f t="shared" si="456"/>
        <v>0</v>
      </c>
      <c r="F3069" s="1437">
        <f t="shared" si="450"/>
        <v>2.0848189999999999E-3</v>
      </c>
      <c r="G3069" s="1437">
        <f t="shared" si="451"/>
        <v>0</v>
      </c>
      <c r="H3069" s="1437">
        <f t="shared" si="452"/>
        <v>2.0848189999999999E-3</v>
      </c>
      <c r="I3069" s="1437">
        <v>0</v>
      </c>
      <c r="J3069" s="1437">
        <v>0</v>
      </c>
      <c r="K3069" s="1438"/>
      <c r="L3069" s="1438"/>
      <c r="M3069" s="1437">
        <f t="shared" si="449"/>
        <v>0</v>
      </c>
      <c r="N3069" s="1437">
        <f t="shared" si="453"/>
        <v>2.0848189999999999E-3</v>
      </c>
    </row>
    <row r="3070" spans="1:14" ht="29" outlineLevel="1">
      <c r="A3070" s="1499">
        <f t="shared" si="456"/>
        <v>84</v>
      </c>
      <c r="B3070" s="1539" t="str">
        <f t="shared" si="456"/>
        <v>Asset Recived From Project-U#8-220V -BATTERY WITH CHARGERS(CHP)-10563</v>
      </c>
      <c r="C3070" s="1491" t="str">
        <f t="shared" si="456"/>
        <v>N.A.</v>
      </c>
      <c r="D3070" s="1531" t="str">
        <f t="shared" si="456"/>
        <v>-</v>
      </c>
      <c r="E3070" s="1318">
        <f t="shared" si="456"/>
        <v>0</v>
      </c>
      <c r="F3070" s="1437">
        <f t="shared" si="450"/>
        <v>2.0745099999999999E-4</v>
      </c>
      <c r="G3070" s="1437">
        <f t="shared" si="451"/>
        <v>0</v>
      </c>
      <c r="H3070" s="1437">
        <f t="shared" si="452"/>
        <v>2.0745099999999999E-4</v>
      </c>
      <c r="I3070" s="1437">
        <v>0</v>
      </c>
      <c r="J3070" s="1437">
        <v>0</v>
      </c>
      <c r="K3070" s="1438"/>
      <c r="L3070" s="1438"/>
      <c r="M3070" s="1437">
        <f t="shared" si="449"/>
        <v>0</v>
      </c>
      <c r="N3070" s="1437">
        <f t="shared" si="453"/>
        <v>2.0745099999999999E-4</v>
      </c>
    </row>
    <row r="3071" spans="1:14" ht="29" outlineLevel="1">
      <c r="A3071" s="1499">
        <f t="shared" si="456"/>
        <v>85</v>
      </c>
      <c r="B3071" s="1539" t="str">
        <f t="shared" si="456"/>
        <v>Asset Recived From Project-U#8-220V-BATTERY+CHARG-WAGON TRIP-2N-10563</v>
      </c>
      <c r="C3071" s="1491" t="str">
        <f t="shared" si="456"/>
        <v>N.A.</v>
      </c>
      <c r="D3071" s="1531" t="str">
        <f t="shared" si="456"/>
        <v>-</v>
      </c>
      <c r="E3071" s="1318">
        <f t="shared" si="456"/>
        <v>0</v>
      </c>
      <c r="F3071" s="1437">
        <f t="shared" si="450"/>
        <v>8.4673999999999996E-5</v>
      </c>
      <c r="G3071" s="1437">
        <f t="shared" si="451"/>
        <v>0</v>
      </c>
      <c r="H3071" s="1437">
        <f t="shared" si="452"/>
        <v>8.4673999999999996E-5</v>
      </c>
      <c r="I3071" s="1437">
        <v>0</v>
      </c>
      <c r="J3071" s="1437">
        <v>0</v>
      </c>
      <c r="K3071" s="1438"/>
      <c r="L3071" s="1438"/>
      <c r="M3071" s="1437">
        <f t="shared" si="449"/>
        <v>0</v>
      </c>
      <c r="N3071" s="1437">
        <f t="shared" si="453"/>
        <v>8.4673999999999996E-5</v>
      </c>
    </row>
    <row r="3072" spans="1:14" ht="29" outlineLevel="1">
      <c r="A3072" s="1499">
        <f t="shared" si="456"/>
        <v>86</v>
      </c>
      <c r="B3072" s="1539" t="str">
        <f t="shared" si="456"/>
        <v>Asset Recived From Project-U#8-BOP-OTHER C&amp; i INSTRUMENTS-10509</v>
      </c>
      <c r="C3072" s="1491" t="str">
        <f t="shared" si="456"/>
        <v>N.A.</v>
      </c>
      <c r="D3072" s="1531" t="str">
        <f t="shared" si="456"/>
        <v>-</v>
      </c>
      <c r="E3072" s="1318">
        <f t="shared" si="456"/>
        <v>0</v>
      </c>
      <c r="F3072" s="1437">
        <f t="shared" si="450"/>
        <v>1.3440609999999999E-3</v>
      </c>
      <c r="G3072" s="1437">
        <f t="shared" si="451"/>
        <v>0</v>
      </c>
      <c r="H3072" s="1437">
        <f t="shared" si="452"/>
        <v>1.3440609999999999E-3</v>
      </c>
      <c r="I3072" s="1437">
        <v>0</v>
      </c>
      <c r="J3072" s="1437">
        <v>0</v>
      </c>
      <c r="K3072" s="1438"/>
      <c r="L3072" s="1438"/>
      <c r="M3072" s="1437">
        <f t="shared" si="449"/>
        <v>0</v>
      </c>
      <c r="N3072" s="1437">
        <f t="shared" si="453"/>
        <v>1.3440609999999999E-3</v>
      </c>
    </row>
    <row r="3073" spans="1:14" outlineLevel="1">
      <c r="A3073" s="1499">
        <f t="shared" si="456"/>
        <v>87</v>
      </c>
      <c r="B3073" s="1539" t="str">
        <f t="shared" si="456"/>
        <v>Asset Recived From Project-U#8-CHP-CONVEYOR SYSTEM-10515</v>
      </c>
      <c r="C3073" s="1491" t="str">
        <f t="shared" si="456"/>
        <v>N.A.</v>
      </c>
      <c r="D3073" s="1531" t="str">
        <f t="shared" si="456"/>
        <v>-</v>
      </c>
      <c r="E3073" s="1318">
        <f t="shared" si="456"/>
        <v>0</v>
      </c>
      <c r="F3073" s="1437">
        <f t="shared" si="450"/>
        <v>1.540935E-2</v>
      </c>
      <c r="G3073" s="1437">
        <f t="shared" si="451"/>
        <v>0</v>
      </c>
      <c r="H3073" s="1437">
        <f t="shared" si="452"/>
        <v>1.540935E-2</v>
      </c>
      <c r="I3073" s="1437">
        <v>0</v>
      </c>
      <c r="J3073" s="1437">
        <v>0</v>
      </c>
      <c r="K3073" s="1438"/>
      <c r="L3073" s="1438"/>
      <c r="M3073" s="1437">
        <f t="shared" si="449"/>
        <v>0</v>
      </c>
      <c r="N3073" s="1437">
        <f t="shared" si="453"/>
        <v>1.540935E-2</v>
      </c>
    </row>
    <row r="3074" spans="1:14" outlineLevel="1">
      <c r="A3074" s="1499">
        <f t="shared" si="456"/>
        <v>88</v>
      </c>
      <c r="B3074" s="1539" t="str">
        <f t="shared" si="456"/>
        <v>Asset Recived From Project-U#8-CHP-WOBLER FEEDER-10515</v>
      </c>
      <c r="C3074" s="1491" t="str">
        <f t="shared" si="456"/>
        <v>N.A.</v>
      </c>
      <c r="D3074" s="1531" t="str">
        <f t="shared" si="456"/>
        <v>-</v>
      </c>
      <c r="E3074" s="1318">
        <f t="shared" si="456"/>
        <v>0</v>
      </c>
      <c r="F3074" s="1437">
        <f t="shared" si="450"/>
        <v>5.4613100000000005E-4</v>
      </c>
      <c r="G3074" s="1437">
        <f t="shared" si="451"/>
        <v>0</v>
      </c>
      <c r="H3074" s="1437">
        <f t="shared" si="452"/>
        <v>5.4613100000000005E-4</v>
      </c>
      <c r="I3074" s="1437">
        <v>0</v>
      </c>
      <c r="J3074" s="1437">
        <v>0</v>
      </c>
      <c r="K3074" s="1438"/>
      <c r="L3074" s="1438"/>
      <c r="M3074" s="1437">
        <f t="shared" si="449"/>
        <v>0</v>
      </c>
      <c r="N3074" s="1437">
        <f t="shared" si="453"/>
        <v>5.4613100000000005E-4</v>
      </c>
    </row>
    <row r="3075" spans="1:14" outlineLevel="1">
      <c r="A3075" s="1499">
        <f t="shared" si="456"/>
        <v>89</v>
      </c>
      <c r="B3075" s="1539" t="str">
        <f t="shared" si="456"/>
        <v>Asset Recived From Project-U#8-CHP-APRON FEEDER-10515</v>
      </c>
      <c r="C3075" s="1491" t="str">
        <f t="shared" si="456"/>
        <v>N.A.</v>
      </c>
      <c r="D3075" s="1531" t="str">
        <f t="shared" si="456"/>
        <v>-</v>
      </c>
      <c r="E3075" s="1318">
        <f t="shared" si="456"/>
        <v>0</v>
      </c>
      <c r="F3075" s="1437">
        <f t="shared" si="450"/>
        <v>2.8149E-3</v>
      </c>
      <c r="G3075" s="1437">
        <f t="shared" si="451"/>
        <v>0</v>
      </c>
      <c r="H3075" s="1437">
        <f t="shared" si="452"/>
        <v>2.8149E-3</v>
      </c>
      <c r="I3075" s="1437">
        <v>0</v>
      </c>
      <c r="J3075" s="1437">
        <v>0</v>
      </c>
      <c r="K3075" s="1438"/>
      <c r="L3075" s="1438"/>
      <c r="M3075" s="1437">
        <f t="shared" si="449"/>
        <v>0</v>
      </c>
      <c r="N3075" s="1437">
        <f t="shared" si="453"/>
        <v>2.8149E-3</v>
      </c>
    </row>
    <row r="3076" spans="1:14" ht="29" outlineLevel="1">
      <c r="A3076" s="1499">
        <f t="shared" si="456"/>
        <v>90</v>
      </c>
      <c r="B3076" s="1539" t="str">
        <f t="shared" si="456"/>
        <v>Asset Recived From Project-U#8-CHP-ILMS,METAL DETECTOR,BELT WEIGHER</v>
      </c>
      <c r="C3076" s="1491" t="str">
        <f t="shared" si="456"/>
        <v>N.A.</v>
      </c>
      <c r="D3076" s="1531" t="str">
        <f t="shared" si="456"/>
        <v>-</v>
      </c>
      <c r="E3076" s="1318">
        <f t="shared" si="456"/>
        <v>0</v>
      </c>
      <c r="F3076" s="1437">
        <f t="shared" si="450"/>
        <v>1.170412E-3</v>
      </c>
      <c r="G3076" s="1437">
        <f t="shared" si="451"/>
        <v>0</v>
      </c>
      <c r="H3076" s="1437">
        <f t="shared" si="452"/>
        <v>1.170412E-3</v>
      </c>
      <c r="I3076" s="1437">
        <v>0</v>
      </c>
      <c r="J3076" s="1437">
        <v>0</v>
      </c>
      <c r="K3076" s="1438"/>
      <c r="L3076" s="1438"/>
      <c r="M3076" s="1437">
        <f t="shared" si="449"/>
        <v>0</v>
      </c>
      <c r="N3076" s="1437">
        <f t="shared" si="453"/>
        <v>1.170412E-3</v>
      </c>
    </row>
    <row r="3077" spans="1:14" outlineLevel="1">
      <c r="A3077" s="1499">
        <f t="shared" si="456"/>
        <v>91</v>
      </c>
      <c r="B3077" s="1539" t="str">
        <f t="shared" si="456"/>
        <v>Asset Recived From Project-U#8-CHP-IMPACT CRUSHER-10515</v>
      </c>
      <c r="C3077" s="1491" t="str">
        <f t="shared" si="456"/>
        <v>N.A.</v>
      </c>
      <c r="D3077" s="1531" t="str">
        <f t="shared" si="456"/>
        <v>-</v>
      </c>
      <c r="E3077" s="1318">
        <f t="shared" si="456"/>
        <v>0</v>
      </c>
      <c r="F3077" s="1437">
        <f t="shared" si="450"/>
        <v>2.0637770000000001E-3</v>
      </c>
      <c r="G3077" s="1437">
        <f t="shared" si="451"/>
        <v>0</v>
      </c>
      <c r="H3077" s="1437">
        <f t="shared" si="452"/>
        <v>2.0637770000000001E-3</v>
      </c>
      <c r="I3077" s="1437">
        <v>0</v>
      </c>
      <c r="J3077" s="1437">
        <v>0</v>
      </c>
      <c r="K3077" s="1438"/>
      <c r="L3077" s="1438"/>
      <c r="M3077" s="1437">
        <f t="shared" si="449"/>
        <v>0</v>
      </c>
      <c r="N3077" s="1437">
        <f t="shared" si="453"/>
        <v>2.0637770000000001E-3</v>
      </c>
    </row>
    <row r="3078" spans="1:14" outlineLevel="1">
      <c r="A3078" s="1499">
        <f t="shared" si="456"/>
        <v>92</v>
      </c>
      <c r="B3078" s="1539" t="str">
        <f t="shared" si="456"/>
        <v>Project-U#8-CHP-STRACKER CUM RECLAIMER-10515</v>
      </c>
      <c r="C3078" s="1491" t="str">
        <f t="shared" si="456"/>
        <v>N.A.</v>
      </c>
      <c r="D3078" s="1531" t="str">
        <f t="shared" si="456"/>
        <v>-</v>
      </c>
      <c r="E3078" s="1318">
        <f t="shared" si="456"/>
        <v>0</v>
      </c>
      <c r="F3078" s="1437">
        <f t="shared" si="450"/>
        <v>8.2014210000000004E-3</v>
      </c>
      <c r="G3078" s="1437">
        <f t="shared" si="451"/>
        <v>0</v>
      </c>
      <c r="H3078" s="1437">
        <f t="shared" si="452"/>
        <v>8.2014210000000004E-3</v>
      </c>
      <c r="I3078" s="1437">
        <v>0</v>
      </c>
      <c r="J3078" s="1437">
        <v>0</v>
      </c>
      <c r="K3078" s="1438"/>
      <c r="L3078" s="1438"/>
      <c r="M3078" s="1437">
        <f t="shared" si="449"/>
        <v>0</v>
      </c>
      <c r="N3078" s="1437">
        <f t="shared" si="453"/>
        <v>8.2014210000000004E-3</v>
      </c>
    </row>
    <row r="3079" spans="1:14" outlineLevel="1">
      <c r="A3079" s="1499">
        <f t="shared" ref="A3079:E3094" si="457">A2686</f>
        <v>93</v>
      </c>
      <c r="B3079" s="1539" t="str">
        <f t="shared" si="457"/>
        <v>Project-U#8-CHP-SIDE DISCHARGE TYPE WAGON TRIPPLER</v>
      </c>
      <c r="C3079" s="1491" t="str">
        <f t="shared" si="457"/>
        <v>N.A.</v>
      </c>
      <c r="D3079" s="1531" t="str">
        <f t="shared" si="457"/>
        <v>-</v>
      </c>
      <c r="E3079" s="1318">
        <f t="shared" si="457"/>
        <v>0</v>
      </c>
      <c r="F3079" s="1437">
        <f t="shared" si="450"/>
        <v>7.783575E-3</v>
      </c>
      <c r="G3079" s="1437">
        <f t="shared" si="451"/>
        <v>0</v>
      </c>
      <c r="H3079" s="1437">
        <f t="shared" si="452"/>
        <v>7.783575E-3</v>
      </c>
      <c r="I3079" s="1437">
        <v>0</v>
      </c>
      <c r="J3079" s="1437">
        <v>0</v>
      </c>
      <c r="K3079" s="1438"/>
      <c r="L3079" s="1438"/>
      <c r="M3079" s="1437">
        <f t="shared" si="449"/>
        <v>0</v>
      </c>
      <c r="N3079" s="1437">
        <f t="shared" si="453"/>
        <v>7.783575E-3</v>
      </c>
    </row>
    <row r="3080" spans="1:14" outlineLevel="1">
      <c r="A3080" s="1499">
        <f t="shared" si="457"/>
        <v>94</v>
      </c>
      <c r="B3080" s="1539" t="str">
        <f t="shared" si="457"/>
        <v>Project-U#8-Coal Handling Plant-M.S.-10515</v>
      </c>
      <c r="C3080" s="1491" t="str">
        <f t="shared" si="457"/>
        <v>N.A.</v>
      </c>
      <c r="D3080" s="1531" t="str">
        <f t="shared" si="457"/>
        <v>-</v>
      </c>
      <c r="E3080" s="1318">
        <f t="shared" si="457"/>
        <v>0</v>
      </c>
      <c r="F3080" s="1437">
        <f t="shared" si="450"/>
        <v>3.4267400000000001E-4</v>
      </c>
      <c r="G3080" s="1437">
        <f t="shared" si="451"/>
        <v>0</v>
      </c>
      <c r="H3080" s="1437">
        <f t="shared" si="452"/>
        <v>3.4267400000000001E-4</v>
      </c>
      <c r="I3080" s="1437">
        <v>0</v>
      </c>
      <c r="J3080" s="1437">
        <v>0</v>
      </c>
      <c r="K3080" s="1438"/>
      <c r="L3080" s="1438"/>
      <c r="M3080" s="1437">
        <f t="shared" si="449"/>
        <v>0</v>
      </c>
      <c r="N3080" s="1437">
        <f t="shared" si="453"/>
        <v>3.4267400000000001E-4</v>
      </c>
    </row>
    <row r="3081" spans="1:14" outlineLevel="1">
      <c r="A3081" s="1499">
        <f t="shared" si="457"/>
        <v>95</v>
      </c>
      <c r="B3081" s="1539" t="str">
        <f t="shared" si="457"/>
        <v>Project-U#8-communication system-10572</v>
      </c>
      <c r="C3081" s="1491" t="str">
        <f t="shared" si="457"/>
        <v>N.A.</v>
      </c>
      <c r="D3081" s="1531" t="str">
        <f t="shared" si="457"/>
        <v>-</v>
      </c>
      <c r="E3081" s="1318">
        <f t="shared" si="457"/>
        <v>0</v>
      </c>
      <c r="F3081" s="1437">
        <f t="shared" si="450"/>
        <v>1.92531E-3</v>
      </c>
      <c r="G3081" s="1437">
        <f t="shared" si="451"/>
        <v>0</v>
      </c>
      <c r="H3081" s="1437">
        <f t="shared" si="452"/>
        <v>1.92531E-3</v>
      </c>
      <c r="I3081" s="1437">
        <v>0</v>
      </c>
      <c r="J3081" s="1437">
        <v>0</v>
      </c>
      <c r="K3081" s="1438"/>
      <c r="L3081" s="1438"/>
      <c r="M3081" s="1437">
        <f t="shared" ref="M3081:M3144" si="458">SUM(J3081:L3081)</f>
        <v>0</v>
      </c>
      <c r="N3081" s="1437">
        <f t="shared" si="453"/>
        <v>1.92531E-3</v>
      </c>
    </row>
    <row r="3082" spans="1:14" outlineLevel="1">
      <c r="A3082" s="1499">
        <f t="shared" si="457"/>
        <v>96</v>
      </c>
      <c r="B3082" s="1539" t="str">
        <f t="shared" si="457"/>
        <v>Project-U#8-UPS INVERTORS-10563</v>
      </c>
      <c r="C3082" s="1491" t="str">
        <f t="shared" si="457"/>
        <v>N.A.</v>
      </c>
      <c r="D3082" s="1531" t="str">
        <f t="shared" si="457"/>
        <v>-</v>
      </c>
      <c r="E3082" s="1318">
        <f t="shared" si="457"/>
        <v>0</v>
      </c>
      <c r="F3082" s="1437">
        <f t="shared" ref="F3082:F3145" si="459">F2689+I2689</f>
        <v>5.1465199999999999E-4</v>
      </c>
      <c r="G3082" s="1437">
        <f t="shared" ref="G3082:G3145" si="460">G2689+M2689</f>
        <v>0</v>
      </c>
      <c r="H3082" s="1437">
        <f t="shared" si="452"/>
        <v>5.1465199999999999E-4</v>
      </c>
      <c r="I3082" s="1437">
        <v>0</v>
      </c>
      <c r="J3082" s="1437">
        <v>0</v>
      </c>
      <c r="K3082" s="1438"/>
      <c r="L3082" s="1438"/>
      <c r="M3082" s="1437">
        <f t="shared" si="458"/>
        <v>0</v>
      </c>
      <c r="N3082" s="1437">
        <f t="shared" si="453"/>
        <v>5.1465199999999999E-4</v>
      </c>
    </row>
    <row r="3083" spans="1:14" outlineLevel="1">
      <c r="A3083" s="1499">
        <f t="shared" si="457"/>
        <v>97</v>
      </c>
      <c r="B3083" s="1539" t="str">
        <f t="shared" si="457"/>
        <v>Project-U#8-UPS ACDS-10563</v>
      </c>
      <c r="C3083" s="1491" t="str">
        <f t="shared" si="457"/>
        <v>N.A.</v>
      </c>
      <c r="D3083" s="1531" t="str">
        <f t="shared" si="457"/>
        <v>-</v>
      </c>
      <c r="E3083" s="1318">
        <f t="shared" si="457"/>
        <v>0</v>
      </c>
      <c r="F3083" s="1437">
        <f t="shared" si="459"/>
        <v>8.9956000000000004E-5</v>
      </c>
      <c r="G3083" s="1437">
        <f t="shared" si="460"/>
        <v>0</v>
      </c>
      <c r="H3083" s="1437">
        <f t="shared" ref="H3083:H3146" si="461">F3083-G3083</f>
        <v>8.9956000000000004E-5</v>
      </c>
      <c r="I3083" s="1437">
        <v>0</v>
      </c>
      <c r="J3083" s="1437">
        <v>0</v>
      </c>
      <c r="K3083" s="1438"/>
      <c r="L3083" s="1438"/>
      <c r="M3083" s="1437">
        <f t="shared" si="458"/>
        <v>0</v>
      </c>
      <c r="N3083" s="1437">
        <f t="shared" ref="N3083:N3146" si="462">H3083+I3083-M3083</f>
        <v>8.9956000000000004E-5</v>
      </c>
    </row>
    <row r="3084" spans="1:14" outlineLevel="1">
      <c r="A3084" s="1499">
        <f t="shared" si="457"/>
        <v>98</v>
      </c>
      <c r="B3084" s="1539" t="str">
        <f t="shared" si="457"/>
        <v>Project-U#8-UPS BATTERIRERS-10563</v>
      </c>
      <c r="C3084" s="1491" t="str">
        <f t="shared" si="457"/>
        <v>N.A.</v>
      </c>
      <c r="D3084" s="1531" t="str">
        <f t="shared" si="457"/>
        <v>-</v>
      </c>
      <c r="E3084" s="1318">
        <f t="shared" si="457"/>
        <v>0</v>
      </c>
      <c r="F3084" s="1437">
        <f t="shared" si="459"/>
        <v>5.1465199999999999E-4</v>
      </c>
      <c r="G3084" s="1437">
        <f t="shared" si="460"/>
        <v>0</v>
      </c>
      <c r="H3084" s="1437">
        <f t="shared" si="461"/>
        <v>5.1465199999999999E-4</v>
      </c>
      <c r="I3084" s="1437">
        <v>0</v>
      </c>
      <c r="J3084" s="1437">
        <v>0</v>
      </c>
      <c r="K3084" s="1438"/>
      <c r="L3084" s="1438"/>
      <c r="M3084" s="1437">
        <f t="shared" si="458"/>
        <v>0</v>
      </c>
      <c r="N3084" s="1437">
        <f t="shared" si="462"/>
        <v>5.1465199999999999E-4</v>
      </c>
    </row>
    <row r="3085" spans="1:14" outlineLevel="1">
      <c r="A3085" s="1499">
        <f t="shared" si="457"/>
        <v>99</v>
      </c>
      <c r="B3085" s="1539" t="str">
        <f t="shared" si="457"/>
        <v>Project-U#8-24V BATTERY CHARGERS (SGTG)-10563</v>
      </c>
      <c r="C3085" s="1491" t="str">
        <f t="shared" si="457"/>
        <v>N.A.</v>
      </c>
      <c r="D3085" s="1531" t="str">
        <f t="shared" si="457"/>
        <v>-</v>
      </c>
      <c r="E3085" s="1318">
        <f t="shared" si="457"/>
        <v>0</v>
      </c>
      <c r="F3085" s="1437">
        <f t="shared" si="459"/>
        <v>2.28734E-4</v>
      </c>
      <c r="G3085" s="1437">
        <f t="shared" si="460"/>
        <v>0</v>
      </c>
      <c r="H3085" s="1437">
        <f t="shared" si="461"/>
        <v>2.28734E-4</v>
      </c>
      <c r="I3085" s="1437">
        <v>0</v>
      </c>
      <c r="J3085" s="1437">
        <v>0</v>
      </c>
      <c r="K3085" s="1438"/>
      <c r="L3085" s="1438"/>
      <c r="M3085" s="1437">
        <f t="shared" si="458"/>
        <v>0</v>
      </c>
      <c r="N3085" s="1437">
        <f t="shared" si="462"/>
        <v>2.28734E-4</v>
      </c>
    </row>
    <row r="3086" spans="1:14" outlineLevel="1">
      <c r="A3086" s="1499">
        <f t="shared" si="457"/>
        <v>100</v>
      </c>
      <c r="B3086" s="1539" t="str">
        <f t="shared" si="457"/>
        <v>Project-U#8-24V BATTERY CHARGERS (BOP)-10563</v>
      </c>
      <c r="C3086" s="1491" t="str">
        <f t="shared" si="457"/>
        <v>N.A.</v>
      </c>
      <c r="D3086" s="1531" t="str">
        <f t="shared" si="457"/>
        <v>-</v>
      </c>
      <c r="E3086" s="1318">
        <f t="shared" si="457"/>
        <v>0</v>
      </c>
      <c r="F3086" s="1437">
        <f t="shared" si="459"/>
        <v>2.28734E-4</v>
      </c>
      <c r="G3086" s="1437">
        <f t="shared" si="460"/>
        <v>0</v>
      </c>
      <c r="H3086" s="1437">
        <f t="shared" si="461"/>
        <v>2.28734E-4</v>
      </c>
      <c r="I3086" s="1437">
        <v>0</v>
      </c>
      <c r="J3086" s="1437">
        <v>0</v>
      </c>
      <c r="K3086" s="1438"/>
      <c r="L3086" s="1438"/>
      <c r="M3086" s="1437">
        <f t="shared" si="458"/>
        <v>0</v>
      </c>
      <c r="N3086" s="1437">
        <f t="shared" si="462"/>
        <v>2.28734E-4</v>
      </c>
    </row>
    <row r="3087" spans="1:14" outlineLevel="1">
      <c r="A3087" s="1499">
        <f t="shared" si="457"/>
        <v>101</v>
      </c>
      <c r="B3087" s="1539" t="str">
        <f t="shared" si="457"/>
        <v>Project-U#8-BATTERIS FOR (SGTG)-10563</v>
      </c>
      <c r="C3087" s="1491" t="str">
        <f t="shared" si="457"/>
        <v>N.A.</v>
      </c>
      <c r="D3087" s="1531" t="str">
        <f t="shared" si="457"/>
        <v>-</v>
      </c>
      <c r="E3087" s="1318">
        <f t="shared" si="457"/>
        <v>0</v>
      </c>
      <c r="F3087" s="1437">
        <f t="shared" si="459"/>
        <v>2.28734E-4</v>
      </c>
      <c r="G3087" s="1437">
        <f t="shared" si="460"/>
        <v>0</v>
      </c>
      <c r="H3087" s="1437">
        <f t="shared" si="461"/>
        <v>2.28734E-4</v>
      </c>
      <c r="I3087" s="1437">
        <v>0</v>
      </c>
      <c r="J3087" s="1437">
        <v>0</v>
      </c>
      <c r="K3087" s="1438"/>
      <c r="L3087" s="1438"/>
      <c r="M3087" s="1437">
        <f t="shared" si="458"/>
        <v>0</v>
      </c>
      <c r="N3087" s="1437">
        <f t="shared" si="462"/>
        <v>2.28734E-4</v>
      </c>
    </row>
    <row r="3088" spans="1:14" outlineLevel="1">
      <c r="A3088" s="1499">
        <f t="shared" si="457"/>
        <v>102</v>
      </c>
      <c r="B3088" s="1539" t="str">
        <f t="shared" si="457"/>
        <v>Project-U#8-BATTERIS FOR (BOP)-10563</v>
      </c>
      <c r="C3088" s="1491" t="str">
        <f t="shared" si="457"/>
        <v>N.A.</v>
      </c>
      <c r="D3088" s="1531" t="str">
        <f t="shared" si="457"/>
        <v>-</v>
      </c>
      <c r="E3088" s="1318">
        <f t="shared" si="457"/>
        <v>0</v>
      </c>
      <c r="F3088" s="1437">
        <f t="shared" si="459"/>
        <v>2.28734E-4</v>
      </c>
      <c r="G3088" s="1437">
        <f t="shared" si="460"/>
        <v>0</v>
      </c>
      <c r="H3088" s="1437">
        <f t="shared" si="461"/>
        <v>2.28734E-4</v>
      </c>
      <c r="I3088" s="1437">
        <v>0</v>
      </c>
      <c r="J3088" s="1437">
        <v>0</v>
      </c>
      <c r="K3088" s="1438"/>
      <c r="L3088" s="1438"/>
      <c r="M3088" s="1437">
        <f t="shared" si="458"/>
        <v>0</v>
      </c>
      <c r="N3088" s="1437">
        <f t="shared" si="462"/>
        <v>2.28734E-4</v>
      </c>
    </row>
    <row r="3089" spans="1:14" outlineLevel="1">
      <c r="A3089" s="1499">
        <f t="shared" si="457"/>
        <v>103</v>
      </c>
      <c r="B3089" s="1539" t="str">
        <f t="shared" si="457"/>
        <v>Project-U#8-DCDB(SGTG)-10563</v>
      </c>
      <c r="C3089" s="1491" t="str">
        <f t="shared" si="457"/>
        <v>N.A.</v>
      </c>
      <c r="D3089" s="1531" t="str">
        <f t="shared" si="457"/>
        <v>-</v>
      </c>
      <c r="E3089" s="1318">
        <f t="shared" si="457"/>
        <v>0</v>
      </c>
      <c r="F3089" s="1437">
        <f t="shared" si="459"/>
        <v>5.7182999999999998E-5</v>
      </c>
      <c r="G3089" s="1437">
        <f t="shared" si="460"/>
        <v>0</v>
      </c>
      <c r="H3089" s="1437">
        <f t="shared" si="461"/>
        <v>5.7182999999999998E-5</v>
      </c>
      <c r="I3089" s="1437">
        <v>0</v>
      </c>
      <c r="J3089" s="1437">
        <v>0</v>
      </c>
      <c r="K3089" s="1438"/>
      <c r="L3089" s="1438"/>
      <c r="M3089" s="1437">
        <f t="shared" si="458"/>
        <v>0</v>
      </c>
      <c r="N3089" s="1437">
        <f t="shared" si="462"/>
        <v>5.7182999999999998E-5</v>
      </c>
    </row>
    <row r="3090" spans="1:14" outlineLevel="1">
      <c r="A3090" s="1499">
        <f t="shared" si="457"/>
        <v>104</v>
      </c>
      <c r="B3090" s="1539" t="str">
        <f t="shared" si="457"/>
        <v>Project-U#8-DCDB(BOP)-10563</v>
      </c>
      <c r="C3090" s="1491" t="str">
        <f t="shared" si="457"/>
        <v>N.A.</v>
      </c>
      <c r="D3090" s="1531" t="str">
        <f t="shared" si="457"/>
        <v>-</v>
      </c>
      <c r="E3090" s="1318">
        <f t="shared" si="457"/>
        <v>0</v>
      </c>
      <c r="F3090" s="1437">
        <f t="shared" si="459"/>
        <v>5.7182999999999998E-5</v>
      </c>
      <c r="G3090" s="1437">
        <f t="shared" si="460"/>
        <v>0</v>
      </c>
      <c r="H3090" s="1437">
        <f t="shared" si="461"/>
        <v>5.7182999999999998E-5</v>
      </c>
      <c r="I3090" s="1437">
        <v>0</v>
      </c>
      <c r="J3090" s="1437">
        <v>0</v>
      </c>
      <c r="K3090" s="1438"/>
      <c r="L3090" s="1438"/>
      <c r="M3090" s="1437">
        <f t="shared" si="458"/>
        <v>0</v>
      </c>
      <c r="N3090" s="1437">
        <f t="shared" si="462"/>
        <v>5.7182999999999998E-5</v>
      </c>
    </row>
    <row r="3091" spans="1:14" outlineLevel="1">
      <c r="A3091" s="1499">
        <f t="shared" si="457"/>
        <v>105</v>
      </c>
      <c r="B3091" s="1539" t="str">
        <f t="shared" si="457"/>
        <v>Project-U#8-Controls &amp; Instru. for Main Plant(BTG)</v>
      </c>
      <c r="C3091" s="1491" t="str">
        <f t="shared" si="457"/>
        <v>N.A.</v>
      </c>
      <c r="D3091" s="1531" t="str">
        <f t="shared" si="457"/>
        <v>-</v>
      </c>
      <c r="E3091" s="1318">
        <f t="shared" si="457"/>
        <v>0</v>
      </c>
      <c r="F3091" s="1437">
        <f t="shared" si="459"/>
        <v>4.4292073000000001E-2</v>
      </c>
      <c r="G3091" s="1437">
        <f t="shared" si="460"/>
        <v>0</v>
      </c>
      <c r="H3091" s="1437">
        <f t="shared" si="461"/>
        <v>4.4292073000000001E-2</v>
      </c>
      <c r="I3091" s="1437">
        <v>0</v>
      </c>
      <c r="J3091" s="1437">
        <v>0</v>
      </c>
      <c r="K3091" s="1438"/>
      <c r="L3091" s="1438"/>
      <c r="M3091" s="1437">
        <f t="shared" si="458"/>
        <v>0</v>
      </c>
      <c r="N3091" s="1437">
        <f t="shared" si="462"/>
        <v>4.4292073000000001E-2</v>
      </c>
    </row>
    <row r="3092" spans="1:14" outlineLevel="1">
      <c r="A3092" s="1499">
        <f t="shared" si="457"/>
        <v>106</v>
      </c>
      <c r="B3092" s="1539" t="str">
        <f t="shared" si="457"/>
        <v>Project-U#8-CW Chlorination system-10509</v>
      </c>
      <c r="C3092" s="1491" t="str">
        <f t="shared" si="457"/>
        <v>N.A.</v>
      </c>
      <c r="D3092" s="1531" t="str">
        <f t="shared" si="457"/>
        <v>-</v>
      </c>
      <c r="E3092" s="1318">
        <f t="shared" si="457"/>
        <v>0</v>
      </c>
      <c r="F3092" s="1437">
        <f t="shared" si="459"/>
        <v>1.1973800000000001E-3</v>
      </c>
      <c r="G3092" s="1437">
        <f t="shared" si="460"/>
        <v>0</v>
      </c>
      <c r="H3092" s="1437">
        <f t="shared" si="461"/>
        <v>1.1973800000000001E-3</v>
      </c>
      <c r="I3092" s="1437">
        <v>0</v>
      </c>
      <c r="J3092" s="1437">
        <v>0</v>
      </c>
      <c r="K3092" s="1438"/>
      <c r="L3092" s="1438"/>
      <c r="M3092" s="1437">
        <f t="shared" si="458"/>
        <v>0</v>
      </c>
      <c r="N3092" s="1437">
        <f t="shared" si="462"/>
        <v>1.1973800000000001E-3</v>
      </c>
    </row>
    <row r="3093" spans="1:14" outlineLevel="1">
      <c r="A3093" s="1499">
        <f t="shared" si="457"/>
        <v>107</v>
      </c>
      <c r="B3093" s="1539" t="str">
        <f t="shared" si="457"/>
        <v>Project-U#8-D.G.SET-10509</v>
      </c>
      <c r="C3093" s="1491" t="str">
        <f t="shared" si="457"/>
        <v>N.A.</v>
      </c>
      <c r="D3093" s="1531" t="str">
        <f t="shared" si="457"/>
        <v>-</v>
      </c>
      <c r="E3093" s="1318">
        <f t="shared" si="457"/>
        <v>0</v>
      </c>
      <c r="F3093" s="1437">
        <f t="shared" si="459"/>
        <v>3.7894E-5</v>
      </c>
      <c r="G3093" s="1437">
        <f t="shared" si="460"/>
        <v>0</v>
      </c>
      <c r="H3093" s="1437">
        <f t="shared" si="461"/>
        <v>3.7894E-5</v>
      </c>
      <c r="I3093" s="1437">
        <v>0</v>
      </c>
      <c r="J3093" s="1437">
        <v>0</v>
      </c>
      <c r="K3093" s="1438"/>
      <c r="L3093" s="1438"/>
      <c r="M3093" s="1437">
        <f t="shared" si="458"/>
        <v>0</v>
      </c>
      <c r="N3093" s="1437">
        <f t="shared" si="462"/>
        <v>3.7894E-5</v>
      </c>
    </row>
    <row r="3094" spans="1:14" outlineLevel="1">
      <c r="A3094" s="1499">
        <f t="shared" si="457"/>
        <v>108</v>
      </c>
      <c r="B3094" s="1539" t="str">
        <f t="shared" si="457"/>
        <v>Project-U#8-D.M.Water System-10509</v>
      </c>
      <c r="C3094" s="1491" t="str">
        <f t="shared" si="457"/>
        <v>N.A.</v>
      </c>
      <c r="D3094" s="1531" t="str">
        <f t="shared" si="457"/>
        <v>-</v>
      </c>
      <c r="E3094" s="1318">
        <f t="shared" si="457"/>
        <v>0</v>
      </c>
      <c r="F3094" s="1437">
        <f t="shared" si="459"/>
        <v>5.7850250000000001E-3</v>
      </c>
      <c r="G3094" s="1437">
        <f t="shared" si="460"/>
        <v>0</v>
      </c>
      <c r="H3094" s="1437">
        <f t="shared" si="461"/>
        <v>5.7850250000000001E-3</v>
      </c>
      <c r="I3094" s="1437">
        <v>0</v>
      </c>
      <c r="J3094" s="1437">
        <v>0</v>
      </c>
      <c r="K3094" s="1438"/>
      <c r="L3094" s="1438"/>
      <c r="M3094" s="1437">
        <f t="shared" si="458"/>
        <v>0</v>
      </c>
      <c r="N3094" s="1437">
        <f t="shared" si="462"/>
        <v>5.7850250000000001E-3</v>
      </c>
    </row>
    <row r="3095" spans="1:14" outlineLevel="1">
      <c r="A3095" s="1499">
        <f t="shared" ref="A3095:E3110" si="463">A2702</f>
        <v>109</v>
      </c>
      <c r="B3095" s="1539" t="str">
        <f t="shared" si="463"/>
        <v>Project-U#8-DG set- Manadatory Spares-10509</v>
      </c>
      <c r="C3095" s="1491" t="str">
        <f t="shared" si="463"/>
        <v>N.A.</v>
      </c>
      <c r="D3095" s="1531" t="str">
        <f t="shared" si="463"/>
        <v>-</v>
      </c>
      <c r="E3095" s="1318">
        <f t="shared" si="463"/>
        <v>0</v>
      </c>
      <c r="F3095" s="1437">
        <f t="shared" si="459"/>
        <v>2.5003999999999998E-4</v>
      </c>
      <c r="G3095" s="1437">
        <f t="shared" si="460"/>
        <v>0</v>
      </c>
      <c r="H3095" s="1437">
        <f t="shared" si="461"/>
        <v>2.5003999999999998E-4</v>
      </c>
      <c r="I3095" s="1437">
        <v>0</v>
      </c>
      <c r="J3095" s="1437">
        <v>0</v>
      </c>
      <c r="K3095" s="1438"/>
      <c r="L3095" s="1438"/>
      <c r="M3095" s="1437">
        <f t="shared" si="458"/>
        <v>0</v>
      </c>
      <c r="N3095" s="1437">
        <f t="shared" si="462"/>
        <v>2.5003999999999998E-4</v>
      </c>
    </row>
    <row r="3096" spans="1:14" outlineLevel="1">
      <c r="A3096" s="1499">
        <f t="shared" si="463"/>
        <v>110</v>
      </c>
      <c r="B3096" s="1539" t="str">
        <f t="shared" si="463"/>
        <v>Project-U#8-DG Set Room cum Air Compressor House</v>
      </c>
      <c r="C3096" s="1491" t="str">
        <f t="shared" si="463"/>
        <v>N.A.</v>
      </c>
      <c r="D3096" s="1531" t="str">
        <f t="shared" si="463"/>
        <v>-</v>
      </c>
      <c r="E3096" s="1318">
        <f t="shared" si="463"/>
        <v>0</v>
      </c>
      <c r="F3096" s="1437">
        <f t="shared" si="459"/>
        <v>5.5794089999999996E-3</v>
      </c>
      <c r="G3096" s="1437">
        <f t="shared" si="460"/>
        <v>0</v>
      </c>
      <c r="H3096" s="1437">
        <f t="shared" si="461"/>
        <v>5.5794089999999996E-3</v>
      </c>
      <c r="I3096" s="1437">
        <v>0</v>
      </c>
      <c r="J3096" s="1437">
        <v>0</v>
      </c>
      <c r="K3096" s="1438"/>
      <c r="L3096" s="1438"/>
      <c r="M3096" s="1437">
        <f t="shared" si="458"/>
        <v>0</v>
      </c>
      <c r="N3096" s="1437">
        <f t="shared" si="462"/>
        <v>5.5794089999999996E-3</v>
      </c>
    </row>
    <row r="3097" spans="1:14" outlineLevel="1">
      <c r="A3097" s="1499">
        <f t="shared" si="463"/>
        <v>111</v>
      </c>
      <c r="B3097" s="1539" t="str">
        <f t="shared" si="463"/>
        <v>Project-U#8-Steel for TechnologicalStructure-10501</v>
      </c>
      <c r="C3097" s="1491" t="str">
        <f t="shared" si="463"/>
        <v>N.A.</v>
      </c>
      <c r="D3097" s="1531" t="str">
        <f t="shared" si="463"/>
        <v>-</v>
      </c>
      <c r="E3097" s="1318">
        <f t="shared" si="463"/>
        <v>0</v>
      </c>
      <c r="F3097" s="1437">
        <f t="shared" si="459"/>
        <v>0.14835727600000001</v>
      </c>
      <c r="G3097" s="1437">
        <f t="shared" si="460"/>
        <v>0</v>
      </c>
      <c r="H3097" s="1437">
        <f t="shared" si="461"/>
        <v>0.14835727600000001</v>
      </c>
      <c r="I3097" s="1437">
        <v>0</v>
      </c>
      <c r="J3097" s="1437">
        <v>0</v>
      </c>
      <c r="K3097" s="1438"/>
      <c r="L3097" s="1438"/>
      <c r="M3097" s="1437">
        <f t="shared" si="458"/>
        <v>0</v>
      </c>
      <c r="N3097" s="1437">
        <f t="shared" si="462"/>
        <v>0.14835727600000001</v>
      </c>
    </row>
    <row r="3098" spans="1:14" outlineLevel="1">
      <c r="A3098" s="1499">
        <f t="shared" si="463"/>
        <v>112</v>
      </c>
      <c r="B3098" s="1539" t="str">
        <f t="shared" si="463"/>
        <v>Project-U#8-Electrical Package for BOP-10509</v>
      </c>
      <c r="C3098" s="1491" t="str">
        <f t="shared" si="463"/>
        <v>N.A.</v>
      </c>
      <c r="D3098" s="1531" t="str">
        <f t="shared" si="463"/>
        <v>-</v>
      </c>
      <c r="E3098" s="1318">
        <f t="shared" si="463"/>
        <v>0</v>
      </c>
      <c r="F3098" s="1437">
        <f t="shared" si="459"/>
        <v>2.4904469999999998E-3</v>
      </c>
      <c r="G3098" s="1437">
        <f t="shared" si="460"/>
        <v>0</v>
      </c>
      <c r="H3098" s="1437">
        <f t="shared" si="461"/>
        <v>2.4904469999999998E-3</v>
      </c>
      <c r="I3098" s="1437">
        <v>0</v>
      </c>
      <c r="J3098" s="1437">
        <v>0</v>
      </c>
      <c r="K3098" s="1438"/>
      <c r="L3098" s="1438"/>
      <c r="M3098" s="1437">
        <f t="shared" si="458"/>
        <v>0</v>
      </c>
      <c r="N3098" s="1437">
        <f t="shared" si="462"/>
        <v>2.4904469999999998E-3</v>
      </c>
    </row>
    <row r="3099" spans="1:14" outlineLevel="1">
      <c r="A3099" s="1499">
        <f t="shared" si="463"/>
        <v>113</v>
      </c>
      <c r="B3099" s="1539" t="str">
        <f t="shared" si="463"/>
        <v>Project-U#8-Electrical CHARGES-10509</v>
      </c>
      <c r="C3099" s="1491" t="str">
        <f t="shared" si="463"/>
        <v>N.A.</v>
      </c>
      <c r="D3099" s="1531" t="str">
        <f t="shared" si="463"/>
        <v>-</v>
      </c>
      <c r="E3099" s="1318">
        <f t="shared" si="463"/>
        <v>0</v>
      </c>
      <c r="F3099" s="1437">
        <f t="shared" si="459"/>
        <v>4.1155000000000002E-5</v>
      </c>
      <c r="G3099" s="1437">
        <f t="shared" si="460"/>
        <v>0</v>
      </c>
      <c r="H3099" s="1437">
        <f t="shared" si="461"/>
        <v>4.1155000000000002E-5</v>
      </c>
      <c r="I3099" s="1437">
        <v>0</v>
      </c>
      <c r="J3099" s="1437">
        <v>0</v>
      </c>
      <c r="K3099" s="1438"/>
      <c r="L3099" s="1438"/>
      <c r="M3099" s="1437">
        <f t="shared" si="458"/>
        <v>0</v>
      </c>
      <c r="N3099" s="1437">
        <f t="shared" si="462"/>
        <v>4.1155000000000002E-5</v>
      </c>
    </row>
    <row r="3100" spans="1:14" outlineLevel="1">
      <c r="A3100" s="1499">
        <f t="shared" si="463"/>
        <v>114</v>
      </c>
      <c r="B3100" s="1539" t="str">
        <f t="shared" si="463"/>
        <v>Project-U#8-Electrical Package for BOP-Mandatory</v>
      </c>
      <c r="C3100" s="1491" t="str">
        <f t="shared" si="463"/>
        <v>N.A.</v>
      </c>
      <c r="D3100" s="1531" t="str">
        <f t="shared" si="463"/>
        <v>-</v>
      </c>
      <c r="E3100" s="1318">
        <f t="shared" si="463"/>
        <v>0</v>
      </c>
      <c r="F3100" s="1437">
        <f t="shared" si="459"/>
        <v>2.7569600000000002E-4</v>
      </c>
      <c r="G3100" s="1437">
        <f t="shared" si="460"/>
        <v>0</v>
      </c>
      <c r="H3100" s="1437">
        <f t="shared" si="461"/>
        <v>2.7569600000000002E-4</v>
      </c>
      <c r="I3100" s="1437">
        <v>0</v>
      </c>
      <c r="J3100" s="1437">
        <v>0</v>
      </c>
      <c r="K3100" s="1438"/>
      <c r="L3100" s="1438"/>
      <c r="M3100" s="1437">
        <f t="shared" si="458"/>
        <v>0</v>
      </c>
      <c r="N3100" s="1437">
        <f t="shared" si="462"/>
        <v>2.7569600000000002E-4</v>
      </c>
    </row>
    <row r="3101" spans="1:14" outlineLevel="1">
      <c r="A3101" s="1499">
        <f t="shared" si="463"/>
        <v>115</v>
      </c>
      <c r="B3101" s="1539" t="str">
        <f t="shared" si="463"/>
        <v>Project-U#8-Fire Protection, Alarm &amp; Detection</v>
      </c>
      <c r="C3101" s="1491" t="str">
        <f t="shared" si="463"/>
        <v>N.A.</v>
      </c>
      <c r="D3101" s="1531" t="str">
        <f t="shared" si="463"/>
        <v>-</v>
      </c>
      <c r="E3101" s="1318">
        <f t="shared" si="463"/>
        <v>0</v>
      </c>
      <c r="F3101" s="1437">
        <f t="shared" si="459"/>
        <v>7.1787910000000003E-3</v>
      </c>
      <c r="G3101" s="1437">
        <f t="shared" si="460"/>
        <v>0</v>
      </c>
      <c r="H3101" s="1437">
        <f t="shared" si="461"/>
        <v>7.1787910000000003E-3</v>
      </c>
      <c r="I3101" s="1437">
        <v>0</v>
      </c>
      <c r="J3101" s="1437">
        <v>0</v>
      </c>
      <c r="K3101" s="1438"/>
      <c r="L3101" s="1438"/>
      <c r="M3101" s="1437">
        <f t="shared" si="458"/>
        <v>0</v>
      </c>
      <c r="N3101" s="1437">
        <f t="shared" si="462"/>
        <v>7.1787910000000003E-3</v>
      </c>
    </row>
    <row r="3102" spans="1:14" outlineLevel="1">
      <c r="A3102" s="1499">
        <f t="shared" si="463"/>
        <v>116</v>
      </c>
      <c r="B3102" s="1539" t="str">
        <f t="shared" si="463"/>
        <v>Project-U#8-Fuel Oil Pump House-10516</v>
      </c>
      <c r="C3102" s="1491" t="str">
        <f t="shared" si="463"/>
        <v>N.A.</v>
      </c>
      <c r="D3102" s="1531" t="str">
        <f t="shared" si="463"/>
        <v>-</v>
      </c>
      <c r="E3102" s="1318">
        <f t="shared" si="463"/>
        <v>0</v>
      </c>
      <c r="F3102" s="1437">
        <f t="shared" si="459"/>
        <v>4.0925400000000004E-3</v>
      </c>
      <c r="G3102" s="1437">
        <f t="shared" si="460"/>
        <v>0</v>
      </c>
      <c r="H3102" s="1437">
        <f t="shared" si="461"/>
        <v>4.0925400000000004E-3</v>
      </c>
      <c r="I3102" s="1437">
        <v>0</v>
      </c>
      <c r="J3102" s="1437">
        <v>0</v>
      </c>
      <c r="K3102" s="1438"/>
      <c r="L3102" s="1438"/>
      <c r="M3102" s="1437">
        <f t="shared" si="458"/>
        <v>0</v>
      </c>
      <c r="N3102" s="1437">
        <f t="shared" si="462"/>
        <v>4.0925400000000004E-3</v>
      </c>
    </row>
    <row r="3103" spans="1:14" outlineLevel="1">
      <c r="A3103" s="1499">
        <f t="shared" si="463"/>
        <v>117</v>
      </c>
      <c r="B3103" s="1539" t="str">
        <f t="shared" si="463"/>
        <v>Project-U#8-Generator Transformer-10541</v>
      </c>
      <c r="C3103" s="1491" t="str">
        <f t="shared" si="463"/>
        <v>N.A.</v>
      </c>
      <c r="D3103" s="1531" t="str">
        <f t="shared" si="463"/>
        <v>-</v>
      </c>
      <c r="E3103" s="1318">
        <f t="shared" si="463"/>
        <v>0</v>
      </c>
      <c r="F3103" s="1437">
        <f t="shared" si="459"/>
        <v>1.2655415999999999E-2</v>
      </c>
      <c r="G3103" s="1437">
        <f t="shared" si="460"/>
        <v>0</v>
      </c>
      <c r="H3103" s="1437">
        <f t="shared" si="461"/>
        <v>1.2655415999999999E-2</v>
      </c>
      <c r="I3103" s="1437">
        <v>0</v>
      </c>
      <c r="J3103" s="1437">
        <v>0</v>
      </c>
      <c r="K3103" s="1438"/>
      <c r="L3103" s="1438"/>
      <c r="M3103" s="1437">
        <f t="shared" si="458"/>
        <v>0</v>
      </c>
      <c r="N3103" s="1437">
        <f t="shared" si="462"/>
        <v>1.2655415999999999E-2</v>
      </c>
    </row>
    <row r="3104" spans="1:14" outlineLevel="1">
      <c r="A3104" s="1499">
        <f t="shared" si="463"/>
        <v>118</v>
      </c>
      <c r="B3104" s="1539" t="str">
        <f t="shared" si="463"/>
        <v>Project-U#8-Generator/Transformer protection</v>
      </c>
      <c r="C3104" s="1491" t="str">
        <f t="shared" si="463"/>
        <v>N.A.</v>
      </c>
      <c r="D3104" s="1531" t="str">
        <f t="shared" si="463"/>
        <v>-</v>
      </c>
      <c r="E3104" s="1318">
        <f t="shared" si="463"/>
        <v>0</v>
      </c>
      <c r="F3104" s="1437">
        <f t="shared" si="459"/>
        <v>2.45393E-4</v>
      </c>
      <c r="G3104" s="1437">
        <f t="shared" si="460"/>
        <v>0</v>
      </c>
      <c r="H3104" s="1437">
        <f t="shared" si="461"/>
        <v>2.45393E-4</v>
      </c>
      <c r="I3104" s="1437">
        <v>0</v>
      </c>
      <c r="J3104" s="1437">
        <v>0</v>
      </c>
      <c r="K3104" s="1438"/>
      <c r="L3104" s="1438"/>
      <c r="M3104" s="1437">
        <f t="shared" si="458"/>
        <v>0</v>
      </c>
      <c r="N3104" s="1437">
        <f t="shared" si="462"/>
        <v>2.45393E-4</v>
      </c>
    </row>
    <row r="3105" spans="1:14" outlineLevel="1">
      <c r="A3105" s="1499">
        <f t="shared" si="463"/>
        <v>119</v>
      </c>
      <c r="B3105" s="1539" t="str">
        <f t="shared" si="463"/>
        <v>Project-U#8-H.T.Switchgear for main plant-10561</v>
      </c>
      <c r="C3105" s="1491" t="str">
        <f t="shared" si="463"/>
        <v>N.A.</v>
      </c>
      <c r="D3105" s="1531" t="str">
        <f t="shared" si="463"/>
        <v>-</v>
      </c>
      <c r="E3105" s="1318">
        <f t="shared" si="463"/>
        <v>0</v>
      </c>
      <c r="F3105" s="1437">
        <f t="shared" si="459"/>
        <v>2.5188164999999998E-2</v>
      </c>
      <c r="G3105" s="1437">
        <f t="shared" si="460"/>
        <v>0</v>
      </c>
      <c r="H3105" s="1437">
        <f t="shared" si="461"/>
        <v>2.5188164999999998E-2</v>
      </c>
      <c r="I3105" s="1437">
        <v>0</v>
      </c>
      <c r="J3105" s="1437">
        <v>0</v>
      </c>
      <c r="K3105" s="1438"/>
      <c r="L3105" s="1438"/>
      <c r="M3105" s="1437">
        <f t="shared" si="458"/>
        <v>0</v>
      </c>
      <c r="N3105" s="1437">
        <f t="shared" si="462"/>
        <v>2.5188164999999998E-2</v>
      </c>
    </row>
    <row r="3106" spans="1:14" outlineLevel="1">
      <c r="A3106" s="1499">
        <f t="shared" si="463"/>
        <v>120</v>
      </c>
      <c r="B3106" s="1539" t="str">
        <f t="shared" si="463"/>
        <v>Project-U#8-Indoor &amp; Outdoor plant lighting-10599</v>
      </c>
      <c r="C3106" s="1491" t="str">
        <f t="shared" si="463"/>
        <v>N.A.</v>
      </c>
      <c r="D3106" s="1531" t="str">
        <f t="shared" si="463"/>
        <v>-</v>
      </c>
      <c r="E3106" s="1318">
        <f t="shared" si="463"/>
        <v>0</v>
      </c>
      <c r="F3106" s="1437">
        <f t="shared" si="459"/>
        <v>4.0770299999999998E-4</v>
      </c>
      <c r="G3106" s="1437">
        <f t="shared" si="460"/>
        <v>0</v>
      </c>
      <c r="H3106" s="1437">
        <f t="shared" si="461"/>
        <v>4.0770299999999998E-4</v>
      </c>
      <c r="I3106" s="1437">
        <v>0</v>
      </c>
      <c r="J3106" s="1437">
        <v>0</v>
      </c>
      <c r="K3106" s="1438"/>
      <c r="L3106" s="1438"/>
      <c r="M3106" s="1437">
        <f t="shared" si="458"/>
        <v>0</v>
      </c>
      <c r="N3106" s="1437">
        <f t="shared" si="462"/>
        <v>4.0770299999999998E-4</v>
      </c>
    </row>
    <row r="3107" spans="1:14" outlineLevel="1">
      <c r="A3107" s="1499">
        <f t="shared" si="463"/>
        <v>121</v>
      </c>
      <c r="B3107" s="1539" t="str">
        <f t="shared" si="463"/>
        <v>Project-U#8-L.P.Piping including valves-10509</v>
      </c>
      <c r="C3107" s="1491" t="str">
        <f t="shared" si="463"/>
        <v>N.A.</v>
      </c>
      <c r="D3107" s="1531" t="str">
        <f t="shared" si="463"/>
        <v>-</v>
      </c>
      <c r="E3107" s="1318">
        <f t="shared" si="463"/>
        <v>0</v>
      </c>
      <c r="F3107" s="1437">
        <f t="shared" si="459"/>
        <v>3.8246069999999998E-3</v>
      </c>
      <c r="G3107" s="1437">
        <f t="shared" si="460"/>
        <v>0</v>
      </c>
      <c r="H3107" s="1437">
        <f t="shared" si="461"/>
        <v>3.8246069999999998E-3</v>
      </c>
      <c r="I3107" s="1437">
        <v>0</v>
      </c>
      <c r="J3107" s="1437">
        <v>0</v>
      </c>
      <c r="K3107" s="1438"/>
      <c r="L3107" s="1438"/>
      <c r="M3107" s="1437">
        <f t="shared" si="458"/>
        <v>0</v>
      </c>
      <c r="N3107" s="1437">
        <f t="shared" si="462"/>
        <v>3.8246069999999998E-3</v>
      </c>
    </row>
    <row r="3108" spans="1:14" outlineLevel="1">
      <c r="A3108" s="1499">
        <f t="shared" si="463"/>
        <v>122</v>
      </c>
      <c r="B3108" s="1539" t="str">
        <f t="shared" si="463"/>
        <v>Project-U#8-L.T. Electrical for main plant.-10561</v>
      </c>
      <c r="C3108" s="1491" t="str">
        <f t="shared" si="463"/>
        <v>N.A.</v>
      </c>
      <c r="D3108" s="1531" t="str">
        <f t="shared" si="463"/>
        <v>-</v>
      </c>
      <c r="E3108" s="1318">
        <f t="shared" si="463"/>
        <v>0</v>
      </c>
      <c r="F3108" s="1437">
        <f t="shared" si="459"/>
        <v>8.7066999999999998E-5</v>
      </c>
      <c r="G3108" s="1437">
        <f t="shared" si="460"/>
        <v>0</v>
      </c>
      <c r="H3108" s="1437">
        <f t="shared" si="461"/>
        <v>8.7066999999999998E-5</v>
      </c>
      <c r="I3108" s="1437">
        <v>0</v>
      </c>
      <c r="J3108" s="1437">
        <v>0</v>
      </c>
      <c r="K3108" s="1438"/>
      <c r="L3108" s="1438"/>
      <c r="M3108" s="1437">
        <f t="shared" si="458"/>
        <v>0</v>
      </c>
      <c r="N3108" s="1437">
        <f t="shared" si="462"/>
        <v>8.7066999999999998E-5</v>
      </c>
    </row>
    <row r="3109" spans="1:14" outlineLevel="1">
      <c r="A3109" s="1499">
        <f t="shared" si="463"/>
        <v>123</v>
      </c>
      <c r="B3109" s="1539" t="str">
        <f t="shared" si="463"/>
        <v>Project-U#8-Laying&amp;Termination of HT cables-10561</v>
      </c>
      <c r="C3109" s="1491" t="str">
        <f t="shared" si="463"/>
        <v>N.A.</v>
      </c>
      <c r="D3109" s="1531" t="str">
        <f t="shared" si="463"/>
        <v>-</v>
      </c>
      <c r="E3109" s="1318">
        <f t="shared" si="463"/>
        <v>0</v>
      </c>
      <c r="F3109" s="1437">
        <f t="shared" si="459"/>
        <v>8.2310499999999997E-4</v>
      </c>
      <c r="G3109" s="1437">
        <f t="shared" si="460"/>
        <v>0</v>
      </c>
      <c r="H3109" s="1437">
        <f t="shared" si="461"/>
        <v>8.2310499999999997E-4</v>
      </c>
      <c r="I3109" s="1437">
        <v>0</v>
      </c>
      <c r="J3109" s="1437">
        <v>0</v>
      </c>
      <c r="K3109" s="1438"/>
      <c r="L3109" s="1438"/>
      <c r="M3109" s="1437">
        <f t="shared" si="458"/>
        <v>0</v>
      </c>
      <c r="N3109" s="1437">
        <f t="shared" si="462"/>
        <v>8.2310499999999997E-4</v>
      </c>
    </row>
    <row r="3110" spans="1:14" outlineLevel="1">
      <c r="A3110" s="1499">
        <f t="shared" si="463"/>
        <v>124</v>
      </c>
      <c r="B3110" s="1539" t="str">
        <f t="shared" si="463"/>
        <v>Project-U#8-MainBoiler Structure&amp;foundations-10501</v>
      </c>
      <c r="C3110" s="1491" t="str">
        <f t="shared" si="463"/>
        <v>N.A.</v>
      </c>
      <c r="D3110" s="1531" t="str">
        <f t="shared" si="463"/>
        <v>-</v>
      </c>
      <c r="E3110" s="1318">
        <f t="shared" si="463"/>
        <v>0</v>
      </c>
      <c r="F3110" s="1437">
        <f t="shared" si="459"/>
        <v>9.9409977999999996E-2</v>
      </c>
      <c r="G3110" s="1437">
        <f t="shared" si="460"/>
        <v>0</v>
      </c>
      <c r="H3110" s="1437">
        <f t="shared" si="461"/>
        <v>9.9409977999999996E-2</v>
      </c>
      <c r="I3110" s="1437">
        <v>0</v>
      </c>
      <c r="J3110" s="1437">
        <v>0</v>
      </c>
      <c r="K3110" s="1438"/>
      <c r="L3110" s="1438"/>
      <c r="M3110" s="1437">
        <f t="shared" si="458"/>
        <v>0</v>
      </c>
      <c r="N3110" s="1437">
        <f t="shared" si="462"/>
        <v>9.9409977999999996E-2</v>
      </c>
    </row>
    <row r="3111" spans="1:14" outlineLevel="1">
      <c r="A3111" s="1499">
        <f t="shared" ref="A3111:E3126" si="464">A2718</f>
        <v>125</v>
      </c>
      <c r="B3111" s="1539" t="str">
        <f t="shared" si="464"/>
        <v>Project-U#8-Mandatory Spares for Ash HandlingPlant</v>
      </c>
      <c r="C3111" s="1491" t="str">
        <f t="shared" si="464"/>
        <v>N.A.</v>
      </c>
      <c r="D3111" s="1531" t="str">
        <f t="shared" si="464"/>
        <v>-</v>
      </c>
      <c r="E3111" s="1318">
        <f t="shared" si="464"/>
        <v>0</v>
      </c>
      <c r="F3111" s="1437">
        <f t="shared" si="459"/>
        <v>1.561633E-3</v>
      </c>
      <c r="G3111" s="1437">
        <f t="shared" si="460"/>
        <v>0</v>
      </c>
      <c r="H3111" s="1437">
        <f t="shared" si="461"/>
        <v>1.561633E-3</v>
      </c>
      <c r="I3111" s="1437">
        <v>0</v>
      </c>
      <c r="J3111" s="1437">
        <v>0</v>
      </c>
      <c r="K3111" s="1438"/>
      <c r="L3111" s="1438"/>
      <c r="M3111" s="1437">
        <f t="shared" si="458"/>
        <v>0</v>
      </c>
      <c r="N3111" s="1437">
        <f t="shared" si="462"/>
        <v>1.561633E-3</v>
      </c>
    </row>
    <row r="3112" spans="1:14" outlineLevel="1">
      <c r="A3112" s="1499">
        <f t="shared" si="464"/>
        <v>126</v>
      </c>
      <c r="B3112" s="1539" t="str">
        <f t="shared" si="464"/>
        <v>Project-U#8-Mandatory spares for C&amp;I of Main Plant</v>
      </c>
      <c r="C3112" s="1491" t="str">
        <f t="shared" si="464"/>
        <v>N.A.</v>
      </c>
      <c r="D3112" s="1531" t="str">
        <f t="shared" si="464"/>
        <v>-</v>
      </c>
      <c r="E3112" s="1318">
        <f t="shared" si="464"/>
        <v>0</v>
      </c>
      <c r="F3112" s="1437">
        <f t="shared" si="459"/>
        <v>5.0294800000000002E-3</v>
      </c>
      <c r="G3112" s="1437">
        <f t="shared" si="460"/>
        <v>0</v>
      </c>
      <c r="H3112" s="1437">
        <f t="shared" si="461"/>
        <v>5.0294800000000002E-3</v>
      </c>
      <c r="I3112" s="1437">
        <v>0</v>
      </c>
      <c r="J3112" s="1437">
        <v>0</v>
      </c>
      <c r="K3112" s="1438"/>
      <c r="L3112" s="1438"/>
      <c r="M3112" s="1437">
        <f t="shared" si="458"/>
        <v>0</v>
      </c>
      <c r="N3112" s="1437">
        <f t="shared" si="462"/>
        <v>5.0294800000000002E-3</v>
      </c>
    </row>
    <row r="3113" spans="1:14" outlineLevel="1">
      <c r="A3113" s="1499">
        <f t="shared" si="464"/>
        <v>127</v>
      </c>
      <c r="B3113" s="1539" t="str">
        <f t="shared" si="464"/>
        <v>Project-U#8-Mandatory Spares for Electrical MainPa</v>
      </c>
      <c r="C3113" s="1491" t="str">
        <f t="shared" si="464"/>
        <v>N.A.</v>
      </c>
      <c r="D3113" s="1531" t="str">
        <f t="shared" si="464"/>
        <v>-</v>
      </c>
      <c r="E3113" s="1318">
        <f t="shared" si="464"/>
        <v>0</v>
      </c>
      <c r="F3113" s="1437">
        <f t="shared" si="459"/>
        <v>1.5600531000000001E-2</v>
      </c>
      <c r="G3113" s="1437">
        <f t="shared" si="460"/>
        <v>0</v>
      </c>
      <c r="H3113" s="1437">
        <f t="shared" si="461"/>
        <v>1.5600531000000001E-2</v>
      </c>
      <c r="I3113" s="1437">
        <v>0</v>
      </c>
      <c r="J3113" s="1437">
        <v>0</v>
      </c>
      <c r="K3113" s="1438"/>
      <c r="L3113" s="1438"/>
      <c r="M3113" s="1437">
        <f t="shared" si="458"/>
        <v>0</v>
      </c>
      <c r="N3113" s="1437">
        <f t="shared" si="462"/>
        <v>1.5600531000000001E-2</v>
      </c>
    </row>
    <row r="3114" spans="1:14" outlineLevel="1">
      <c r="A3114" s="1499">
        <f t="shared" si="464"/>
        <v>128</v>
      </c>
      <c r="B3114" s="1539" t="str">
        <f t="shared" si="464"/>
        <v>Project-U#8-Mandatory Spares For TG &amp; Auxilliaries</v>
      </c>
      <c r="C3114" s="1491" t="str">
        <f t="shared" si="464"/>
        <v>N.A.</v>
      </c>
      <c r="D3114" s="1531" t="str">
        <f t="shared" si="464"/>
        <v>-</v>
      </c>
      <c r="E3114" s="1318">
        <f t="shared" si="464"/>
        <v>0</v>
      </c>
      <c r="F3114" s="1437">
        <f t="shared" si="459"/>
        <v>6.2588310000000003E-3</v>
      </c>
      <c r="G3114" s="1437">
        <f t="shared" si="460"/>
        <v>0</v>
      </c>
      <c r="H3114" s="1437">
        <f t="shared" si="461"/>
        <v>6.2588310000000003E-3</v>
      </c>
      <c r="I3114" s="1437">
        <v>0</v>
      </c>
      <c r="J3114" s="1437">
        <v>0</v>
      </c>
      <c r="K3114" s="1438"/>
      <c r="L3114" s="1438"/>
      <c r="M3114" s="1437">
        <f t="shared" si="458"/>
        <v>0</v>
      </c>
      <c r="N3114" s="1437">
        <f t="shared" si="462"/>
        <v>6.2588310000000003E-3</v>
      </c>
    </row>
    <row r="3115" spans="1:14" outlineLevel="1">
      <c r="A3115" s="1499">
        <f t="shared" si="464"/>
        <v>129</v>
      </c>
      <c r="B3115" s="1539" t="str">
        <f t="shared" si="464"/>
        <v>Project-U#8-Misc. Cranes &amp; hoists-10553</v>
      </c>
      <c r="C3115" s="1491" t="str">
        <f t="shared" si="464"/>
        <v>N.A.</v>
      </c>
      <c r="D3115" s="1531" t="str">
        <f t="shared" si="464"/>
        <v>-</v>
      </c>
      <c r="E3115" s="1318">
        <f t="shared" si="464"/>
        <v>0</v>
      </c>
      <c r="F3115" s="1437">
        <f t="shared" si="459"/>
        <v>2.353651E-3</v>
      </c>
      <c r="G3115" s="1437">
        <f t="shared" si="460"/>
        <v>0</v>
      </c>
      <c r="H3115" s="1437">
        <f t="shared" si="461"/>
        <v>2.353651E-3</v>
      </c>
      <c r="I3115" s="1437">
        <v>0</v>
      </c>
      <c r="J3115" s="1437">
        <v>0</v>
      </c>
      <c r="K3115" s="1438"/>
      <c r="L3115" s="1438"/>
      <c r="M3115" s="1437">
        <f t="shared" si="458"/>
        <v>0</v>
      </c>
      <c r="N3115" s="1437">
        <f t="shared" si="462"/>
        <v>2.353651E-3</v>
      </c>
    </row>
    <row r="3116" spans="1:14" outlineLevel="1">
      <c r="A3116" s="1499">
        <f t="shared" si="464"/>
        <v>130</v>
      </c>
      <c r="B3116" s="1539" t="str">
        <f t="shared" si="464"/>
        <v>Project-U#8-Miscellaneous Pumps -10599</v>
      </c>
      <c r="C3116" s="1491" t="str">
        <f t="shared" si="464"/>
        <v>N.A.</v>
      </c>
      <c r="D3116" s="1531" t="str">
        <f t="shared" si="464"/>
        <v>-</v>
      </c>
      <c r="E3116" s="1318">
        <f t="shared" si="464"/>
        <v>0</v>
      </c>
      <c r="F3116" s="1437">
        <f t="shared" si="459"/>
        <v>1.5672209999999999E-3</v>
      </c>
      <c r="G3116" s="1437">
        <f t="shared" si="460"/>
        <v>0</v>
      </c>
      <c r="H3116" s="1437">
        <f t="shared" si="461"/>
        <v>1.5672209999999999E-3</v>
      </c>
      <c r="I3116" s="1437">
        <v>0</v>
      </c>
      <c r="J3116" s="1437">
        <v>0</v>
      </c>
      <c r="K3116" s="1438"/>
      <c r="L3116" s="1438"/>
      <c r="M3116" s="1437">
        <f t="shared" si="458"/>
        <v>0</v>
      </c>
      <c r="N3116" s="1437">
        <f t="shared" si="462"/>
        <v>1.5672209999999999E-3</v>
      </c>
    </row>
    <row r="3117" spans="1:14" outlineLevel="1">
      <c r="A3117" s="1499">
        <f t="shared" si="464"/>
        <v>131</v>
      </c>
      <c r="B3117" s="1539" t="str">
        <f t="shared" si="464"/>
        <v>Project-U#8-Passanger lift for TG Building-10599</v>
      </c>
      <c r="C3117" s="1491" t="str">
        <f t="shared" si="464"/>
        <v>N.A.</v>
      </c>
      <c r="D3117" s="1531" t="str">
        <f t="shared" si="464"/>
        <v>-</v>
      </c>
      <c r="E3117" s="1318">
        <f t="shared" si="464"/>
        <v>0</v>
      </c>
      <c r="F3117" s="1437">
        <f t="shared" si="459"/>
        <v>1.635811E-3</v>
      </c>
      <c r="G3117" s="1437">
        <f t="shared" si="460"/>
        <v>0</v>
      </c>
      <c r="H3117" s="1437">
        <f t="shared" si="461"/>
        <v>1.635811E-3</v>
      </c>
      <c r="I3117" s="1437">
        <v>0</v>
      </c>
      <c r="J3117" s="1437">
        <v>0</v>
      </c>
      <c r="K3117" s="1438"/>
      <c r="L3117" s="1438"/>
      <c r="M3117" s="1437">
        <f t="shared" si="458"/>
        <v>0</v>
      </c>
      <c r="N3117" s="1437">
        <f t="shared" si="462"/>
        <v>1.635811E-3</v>
      </c>
    </row>
    <row r="3118" spans="1:14" outlineLevel="1">
      <c r="A3118" s="1499">
        <f t="shared" si="464"/>
        <v>132</v>
      </c>
      <c r="B3118" s="1539" t="str">
        <f t="shared" si="464"/>
        <v>Project-U#8-Passanger/Material Lift at boiler side</v>
      </c>
      <c r="C3118" s="1491" t="str">
        <f t="shared" si="464"/>
        <v>N.A.</v>
      </c>
      <c r="D3118" s="1531" t="str">
        <f t="shared" si="464"/>
        <v>-</v>
      </c>
      <c r="E3118" s="1318">
        <f t="shared" si="464"/>
        <v>0</v>
      </c>
      <c r="F3118" s="1437">
        <f t="shared" si="459"/>
        <v>8.4731499999999996E-4</v>
      </c>
      <c r="G3118" s="1437">
        <f t="shared" si="460"/>
        <v>0</v>
      </c>
      <c r="H3118" s="1437">
        <f t="shared" si="461"/>
        <v>8.4731499999999996E-4</v>
      </c>
      <c r="I3118" s="1437">
        <v>0</v>
      </c>
      <c r="J3118" s="1437">
        <v>0</v>
      </c>
      <c r="K3118" s="1438"/>
      <c r="L3118" s="1438"/>
      <c r="M3118" s="1437">
        <f t="shared" si="458"/>
        <v>0</v>
      </c>
      <c r="N3118" s="1437">
        <f t="shared" si="462"/>
        <v>8.4731499999999996E-4</v>
      </c>
    </row>
    <row r="3119" spans="1:14" outlineLevel="1">
      <c r="A3119" s="1499">
        <f t="shared" si="464"/>
        <v>133</v>
      </c>
      <c r="B3119" s="1539" t="str">
        <f t="shared" si="464"/>
        <v>Project-U#8-Chemical Laboratory -10509</v>
      </c>
      <c r="C3119" s="1491" t="str">
        <f t="shared" si="464"/>
        <v>N.A.</v>
      </c>
      <c r="D3119" s="1531" t="str">
        <f t="shared" si="464"/>
        <v>-</v>
      </c>
      <c r="E3119" s="1318">
        <f t="shared" si="464"/>
        <v>0</v>
      </c>
      <c r="F3119" s="1437">
        <f t="shared" si="459"/>
        <v>1.1647579999999999E-3</v>
      </c>
      <c r="G3119" s="1437">
        <f t="shared" si="460"/>
        <v>0</v>
      </c>
      <c r="H3119" s="1437">
        <f t="shared" si="461"/>
        <v>1.1647579999999999E-3</v>
      </c>
      <c r="I3119" s="1437">
        <v>0</v>
      </c>
      <c r="J3119" s="1437">
        <v>0</v>
      </c>
      <c r="K3119" s="1438"/>
      <c r="L3119" s="1438"/>
      <c r="M3119" s="1437">
        <f t="shared" si="458"/>
        <v>0</v>
      </c>
      <c r="N3119" s="1437">
        <f t="shared" si="462"/>
        <v>1.1647579999999999E-3</v>
      </c>
    </row>
    <row r="3120" spans="1:14" outlineLevel="1">
      <c r="A3120" s="1499">
        <f t="shared" si="464"/>
        <v>134</v>
      </c>
      <c r="B3120" s="1539" t="str">
        <f t="shared" si="464"/>
        <v>Project-U#8-Sewage Treatment Plant-10509</v>
      </c>
      <c r="C3120" s="1491" t="str">
        <f t="shared" si="464"/>
        <v>N.A.</v>
      </c>
      <c r="D3120" s="1531" t="str">
        <f t="shared" si="464"/>
        <v>-</v>
      </c>
      <c r="E3120" s="1318">
        <f t="shared" si="464"/>
        <v>0</v>
      </c>
      <c r="F3120" s="1437">
        <f t="shared" si="459"/>
        <v>1.90058E-3</v>
      </c>
      <c r="G3120" s="1437">
        <f t="shared" si="460"/>
        <v>0</v>
      </c>
      <c r="H3120" s="1437">
        <f t="shared" si="461"/>
        <v>1.90058E-3</v>
      </c>
      <c r="I3120" s="1437">
        <v>0</v>
      </c>
      <c r="J3120" s="1437">
        <v>0</v>
      </c>
      <c r="K3120" s="1438"/>
      <c r="L3120" s="1438"/>
      <c r="M3120" s="1437">
        <f t="shared" si="458"/>
        <v>0</v>
      </c>
      <c r="N3120" s="1437">
        <f t="shared" si="462"/>
        <v>1.90058E-3</v>
      </c>
    </row>
    <row r="3121" spans="1:14" outlineLevel="1">
      <c r="A3121" s="1499">
        <f t="shared" si="464"/>
        <v>135</v>
      </c>
      <c r="B3121" s="1539" t="str">
        <f t="shared" si="464"/>
        <v>Project-U#8-Station Transformer-10541</v>
      </c>
      <c r="C3121" s="1491" t="str">
        <f t="shared" si="464"/>
        <v>N.A.</v>
      </c>
      <c r="D3121" s="1531" t="str">
        <f t="shared" si="464"/>
        <v>-</v>
      </c>
      <c r="E3121" s="1318">
        <f t="shared" si="464"/>
        <v>0</v>
      </c>
      <c r="F3121" s="1437">
        <f t="shared" si="459"/>
        <v>2.6575694E-2</v>
      </c>
      <c r="G3121" s="1437">
        <f t="shared" si="460"/>
        <v>0</v>
      </c>
      <c r="H3121" s="1437">
        <f t="shared" si="461"/>
        <v>2.6575694E-2</v>
      </c>
      <c r="I3121" s="1437">
        <v>0</v>
      </c>
      <c r="J3121" s="1437">
        <v>0</v>
      </c>
      <c r="K3121" s="1438"/>
      <c r="L3121" s="1438"/>
      <c r="M3121" s="1437">
        <f t="shared" si="458"/>
        <v>0</v>
      </c>
      <c r="N3121" s="1437">
        <f t="shared" si="462"/>
        <v>2.6575694E-2</v>
      </c>
    </row>
    <row r="3122" spans="1:14" outlineLevel="1">
      <c r="A3122" s="1499">
        <f t="shared" si="464"/>
        <v>136</v>
      </c>
      <c r="B3122" s="1539" t="str">
        <f t="shared" si="464"/>
        <v>Project-U#8-Steam Turbine set-10503</v>
      </c>
      <c r="C3122" s="1491" t="str">
        <f t="shared" si="464"/>
        <v>N.A.</v>
      </c>
      <c r="D3122" s="1531" t="str">
        <f t="shared" si="464"/>
        <v>-</v>
      </c>
      <c r="E3122" s="1318">
        <f t="shared" si="464"/>
        <v>0</v>
      </c>
      <c r="F3122" s="1437">
        <f t="shared" si="459"/>
        <v>0.138637134</v>
      </c>
      <c r="G3122" s="1437">
        <f t="shared" si="460"/>
        <v>0</v>
      </c>
      <c r="H3122" s="1437">
        <f t="shared" si="461"/>
        <v>0.138637134</v>
      </c>
      <c r="I3122" s="1437">
        <v>0</v>
      </c>
      <c r="J3122" s="1437">
        <v>0</v>
      </c>
      <c r="K3122" s="1438"/>
      <c r="L3122" s="1438"/>
      <c r="M3122" s="1437">
        <f t="shared" si="458"/>
        <v>0</v>
      </c>
      <c r="N3122" s="1437">
        <f t="shared" si="462"/>
        <v>0.138637134</v>
      </c>
    </row>
    <row r="3123" spans="1:14" outlineLevel="1">
      <c r="A3123" s="1499">
        <f t="shared" si="464"/>
        <v>137</v>
      </c>
      <c r="B3123" s="1539" t="str">
        <f t="shared" si="464"/>
        <v>Project-U#8-TG set and its auxilleries- Condensor</v>
      </c>
      <c r="C3123" s="1491" t="str">
        <f t="shared" si="464"/>
        <v>N.A.</v>
      </c>
      <c r="D3123" s="1531" t="str">
        <f t="shared" si="464"/>
        <v>-</v>
      </c>
      <c r="E3123" s="1318">
        <f t="shared" si="464"/>
        <v>0</v>
      </c>
      <c r="F3123" s="1437">
        <f t="shared" si="459"/>
        <v>1.2702985999999999E-2</v>
      </c>
      <c r="G3123" s="1437">
        <f t="shared" si="460"/>
        <v>0</v>
      </c>
      <c r="H3123" s="1437">
        <f t="shared" si="461"/>
        <v>1.2702985999999999E-2</v>
      </c>
      <c r="I3123" s="1437">
        <v>0</v>
      </c>
      <c r="J3123" s="1437">
        <v>0</v>
      </c>
      <c r="K3123" s="1438"/>
      <c r="L3123" s="1438"/>
      <c r="M3123" s="1437">
        <f t="shared" si="458"/>
        <v>0</v>
      </c>
      <c r="N3123" s="1437">
        <f t="shared" si="462"/>
        <v>1.2702985999999999E-2</v>
      </c>
    </row>
    <row r="3124" spans="1:14" outlineLevel="1">
      <c r="A3124" s="1499">
        <f t="shared" si="464"/>
        <v>138</v>
      </c>
      <c r="B3124" s="1539" t="str">
        <f t="shared" si="464"/>
        <v>Project-U#8-TG set and its auxilleries -Generator</v>
      </c>
      <c r="C3124" s="1491" t="str">
        <f t="shared" si="464"/>
        <v>N.A.</v>
      </c>
      <c r="D3124" s="1531" t="str">
        <f t="shared" si="464"/>
        <v>-</v>
      </c>
      <c r="E3124" s="1318">
        <f t="shared" si="464"/>
        <v>0</v>
      </c>
      <c r="F3124" s="1437">
        <f t="shared" si="459"/>
        <v>3.2544958999999998E-2</v>
      </c>
      <c r="G3124" s="1437">
        <f t="shared" si="460"/>
        <v>0</v>
      </c>
      <c r="H3124" s="1437">
        <f t="shared" si="461"/>
        <v>3.2544958999999998E-2</v>
      </c>
      <c r="I3124" s="1437">
        <v>0</v>
      </c>
      <c r="J3124" s="1437">
        <v>0</v>
      </c>
      <c r="K3124" s="1438"/>
      <c r="L3124" s="1438"/>
      <c r="M3124" s="1437">
        <f t="shared" si="458"/>
        <v>0</v>
      </c>
      <c r="N3124" s="1437">
        <f t="shared" si="462"/>
        <v>3.2544958999999998E-2</v>
      </c>
    </row>
    <row r="3125" spans="1:14" outlineLevel="1">
      <c r="A3125" s="1499">
        <f t="shared" si="464"/>
        <v>139</v>
      </c>
      <c r="B3125" s="1539" t="str">
        <f t="shared" si="464"/>
        <v>Project-U#8-TG set and its auxilleries-Condensor</v>
      </c>
      <c r="C3125" s="1491" t="str">
        <f t="shared" si="464"/>
        <v>N.A.</v>
      </c>
      <c r="D3125" s="1531" t="str">
        <f t="shared" si="464"/>
        <v>-</v>
      </c>
      <c r="E3125" s="1318">
        <f t="shared" si="464"/>
        <v>0</v>
      </c>
      <c r="F3125" s="1437">
        <f t="shared" si="459"/>
        <v>2.9272968E-2</v>
      </c>
      <c r="G3125" s="1437">
        <f t="shared" si="460"/>
        <v>0</v>
      </c>
      <c r="H3125" s="1437">
        <f t="shared" si="461"/>
        <v>2.9272968E-2</v>
      </c>
      <c r="I3125" s="1437">
        <v>0</v>
      </c>
      <c r="J3125" s="1437">
        <v>0</v>
      </c>
      <c r="K3125" s="1438"/>
      <c r="L3125" s="1438"/>
      <c r="M3125" s="1437">
        <f t="shared" si="458"/>
        <v>0</v>
      </c>
      <c r="N3125" s="1437">
        <f t="shared" si="462"/>
        <v>2.9272968E-2</v>
      </c>
    </row>
    <row r="3126" spans="1:14" outlineLevel="1">
      <c r="A3126" s="1499">
        <f t="shared" si="464"/>
        <v>140</v>
      </c>
      <c r="B3126" s="1539" t="str">
        <f t="shared" si="464"/>
        <v>Project-U#8-TG set &amp; its auxilleries-Derator-10503</v>
      </c>
      <c r="C3126" s="1491" t="str">
        <f t="shared" si="464"/>
        <v>N.A.</v>
      </c>
      <c r="D3126" s="1531" t="str">
        <f t="shared" si="464"/>
        <v>-</v>
      </c>
      <c r="E3126" s="1318">
        <f t="shared" si="464"/>
        <v>0</v>
      </c>
      <c r="F3126" s="1437">
        <f t="shared" si="459"/>
        <v>2.7579689999999999E-3</v>
      </c>
      <c r="G3126" s="1437">
        <f t="shared" si="460"/>
        <v>0</v>
      </c>
      <c r="H3126" s="1437">
        <f t="shared" si="461"/>
        <v>2.7579689999999999E-3</v>
      </c>
      <c r="I3126" s="1437">
        <v>0</v>
      </c>
      <c r="J3126" s="1437">
        <v>0</v>
      </c>
      <c r="K3126" s="1438"/>
      <c r="L3126" s="1438"/>
      <c r="M3126" s="1437">
        <f t="shared" si="458"/>
        <v>0</v>
      </c>
      <c r="N3126" s="1437">
        <f t="shared" si="462"/>
        <v>2.7579689999999999E-3</v>
      </c>
    </row>
    <row r="3127" spans="1:14" outlineLevel="1">
      <c r="A3127" s="1499">
        <f t="shared" ref="A3127:E3142" si="465">A2734</f>
        <v>141</v>
      </c>
      <c r="B3127" s="1539" t="str">
        <f t="shared" si="465"/>
        <v>Project-U#8-TG set and its auxilleries-DMMakeUpSys</v>
      </c>
      <c r="C3127" s="1491" t="str">
        <f t="shared" si="465"/>
        <v>N.A.</v>
      </c>
      <c r="D3127" s="1531" t="str">
        <f t="shared" si="465"/>
        <v>-</v>
      </c>
      <c r="E3127" s="1318">
        <f t="shared" si="465"/>
        <v>0</v>
      </c>
      <c r="F3127" s="1437">
        <f t="shared" si="459"/>
        <v>1.049073E-3</v>
      </c>
      <c r="G3127" s="1437">
        <f t="shared" si="460"/>
        <v>0</v>
      </c>
      <c r="H3127" s="1437">
        <f t="shared" si="461"/>
        <v>1.049073E-3</v>
      </c>
      <c r="I3127" s="1437">
        <v>0</v>
      </c>
      <c r="J3127" s="1437">
        <v>0</v>
      </c>
      <c r="K3127" s="1438"/>
      <c r="L3127" s="1438"/>
      <c r="M3127" s="1437">
        <f t="shared" si="458"/>
        <v>0</v>
      </c>
      <c r="N3127" s="1437">
        <f t="shared" si="462"/>
        <v>1.049073E-3</v>
      </c>
    </row>
    <row r="3128" spans="1:14" outlineLevel="1">
      <c r="A3128" s="1499">
        <f t="shared" si="465"/>
        <v>142</v>
      </c>
      <c r="B3128" s="1539" t="str">
        <f t="shared" si="465"/>
        <v>Project-U#8-TG set and its auxilleries-Gas System</v>
      </c>
      <c r="C3128" s="1491" t="str">
        <f t="shared" si="465"/>
        <v>N.A.</v>
      </c>
      <c r="D3128" s="1531" t="str">
        <f t="shared" si="465"/>
        <v>-</v>
      </c>
      <c r="E3128" s="1318">
        <f t="shared" si="465"/>
        <v>0</v>
      </c>
      <c r="F3128" s="1437">
        <f t="shared" si="459"/>
        <v>5.6178390000000003E-3</v>
      </c>
      <c r="G3128" s="1437">
        <f t="shared" si="460"/>
        <v>0</v>
      </c>
      <c r="H3128" s="1437">
        <f t="shared" si="461"/>
        <v>5.6178390000000003E-3</v>
      </c>
      <c r="I3128" s="1437">
        <v>0</v>
      </c>
      <c r="J3128" s="1437">
        <v>0</v>
      </c>
      <c r="K3128" s="1438"/>
      <c r="L3128" s="1438"/>
      <c r="M3128" s="1437">
        <f t="shared" si="458"/>
        <v>0</v>
      </c>
      <c r="N3128" s="1437">
        <f t="shared" si="462"/>
        <v>5.6178390000000003E-3</v>
      </c>
    </row>
    <row r="3129" spans="1:14" outlineLevel="1">
      <c r="A3129" s="1499">
        <f t="shared" si="465"/>
        <v>143</v>
      </c>
      <c r="B3129" s="1539" t="str">
        <f t="shared" si="465"/>
        <v>Project-U#8-TG set and its auxilleries-GoveringSys</v>
      </c>
      <c r="C3129" s="1491" t="str">
        <f t="shared" si="465"/>
        <v>N.A.</v>
      </c>
      <c r="D3129" s="1531" t="str">
        <f t="shared" si="465"/>
        <v>-</v>
      </c>
      <c r="E3129" s="1318">
        <f t="shared" si="465"/>
        <v>0</v>
      </c>
      <c r="F3129" s="1437">
        <f t="shared" si="459"/>
        <v>4.9465999999999997E-5</v>
      </c>
      <c r="G3129" s="1437">
        <f t="shared" si="460"/>
        <v>0</v>
      </c>
      <c r="H3129" s="1437">
        <f t="shared" si="461"/>
        <v>4.9465999999999997E-5</v>
      </c>
      <c r="I3129" s="1437">
        <v>0</v>
      </c>
      <c r="J3129" s="1437">
        <v>0</v>
      </c>
      <c r="K3129" s="1438"/>
      <c r="L3129" s="1438"/>
      <c r="M3129" s="1437">
        <f t="shared" si="458"/>
        <v>0</v>
      </c>
      <c r="N3129" s="1437">
        <f t="shared" si="462"/>
        <v>4.9465999999999997E-5</v>
      </c>
    </row>
    <row r="3130" spans="1:14" outlineLevel="1">
      <c r="A3130" s="1499">
        <f t="shared" si="465"/>
        <v>144</v>
      </c>
      <c r="B3130" s="1539" t="str">
        <f t="shared" si="465"/>
        <v>Project-U#8-TG set and its auxilleries-HP/LP By-pa</v>
      </c>
      <c r="C3130" s="1491" t="str">
        <f t="shared" si="465"/>
        <v>N.A.</v>
      </c>
      <c r="D3130" s="1531" t="str">
        <f t="shared" si="465"/>
        <v>-</v>
      </c>
      <c r="E3130" s="1318">
        <f t="shared" si="465"/>
        <v>0</v>
      </c>
      <c r="F3130" s="1437">
        <f t="shared" si="459"/>
        <v>1.0752108999999999E-2</v>
      </c>
      <c r="G3130" s="1437">
        <f t="shared" si="460"/>
        <v>0</v>
      </c>
      <c r="H3130" s="1437">
        <f t="shared" si="461"/>
        <v>1.0752108999999999E-2</v>
      </c>
      <c r="I3130" s="1437">
        <v>0</v>
      </c>
      <c r="J3130" s="1437">
        <v>0</v>
      </c>
      <c r="K3130" s="1438"/>
      <c r="L3130" s="1438"/>
      <c r="M3130" s="1437">
        <f t="shared" si="458"/>
        <v>0</v>
      </c>
      <c r="N3130" s="1437">
        <f t="shared" si="462"/>
        <v>1.0752108999999999E-2</v>
      </c>
    </row>
    <row r="3131" spans="1:14" outlineLevel="1">
      <c r="A3131" s="1499">
        <f t="shared" si="465"/>
        <v>145</v>
      </c>
      <c r="B3131" s="1539" t="str">
        <f t="shared" si="465"/>
        <v>Project-U#8-TG set and its auxilleries-HP/LP Dozin</v>
      </c>
      <c r="C3131" s="1491" t="str">
        <f t="shared" si="465"/>
        <v>N.A.</v>
      </c>
      <c r="D3131" s="1531" t="str">
        <f t="shared" si="465"/>
        <v>-</v>
      </c>
      <c r="E3131" s="1318">
        <f t="shared" si="465"/>
        <v>0</v>
      </c>
      <c r="F3131" s="1437">
        <f t="shared" si="459"/>
        <v>3.9941100000000002E-4</v>
      </c>
      <c r="G3131" s="1437">
        <f t="shared" si="460"/>
        <v>0</v>
      </c>
      <c r="H3131" s="1437">
        <f t="shared" si="461"/>
        <v>3.9941100000000002E-4</v>
      </c>
      <c r="I3131" s="1437">
        <v>0</v>
      </c>
      <c r="J3131" s="1437">
        <v>0</v>
      </c>
      <c r="K3131" s="1438"/>
      <c r="L3131" s="1438"/>
      <c r="M3131" s="1437">
        <f t="shared" si="458"/>
        <v>0</v>
      </c>
      <c r="N3131" s="1437">
        <f t="shared" si="462"/>
        <v>3.9941100000000002E-4</v>
      </c>
    </row>
    <row r="3132" spans="1:14" outlineLevel="1">
      <c r="A3132" s="1499">
        <f t="shared" si="465"/>
        <v>146</v>
      </c>
      <c r="B3132" s="1539" t="str">
        <f t="shared" si="465"/>
        <v>Project-U#8-TG set and its auxilleries-SealOilPump</v>
      </c>
      <c r="C3132" s="1491" t="str">
        <f t="shared" si="465"/>
        <v>N.A.</v>
      </c>
      <c r="D3132" s="1531" t="str">
        <f t="shared" si="465"/>
        <v>-</v>
      </c>
      <c r="E3132" s="1318">
        <f t="shared" si="465"/>
        <v>0</v>
      </c>
      <c r="F3132" s="1437">
        <f t="shared" si="459"/>
        <v>9.8566000000000005E-5</v>
      </c>
      <c r="G3132" s="1437">
        <f t="shared" si="460"/>
        <v>0</v>
      </c>
      <c r="H3132" s="1437">
        <f t="shared" si="461"/>
        <v>9.8566000000000005E-5</v>
      </c>
      <c r="I3132" s="1437">
        <v>0</v>
      </c>
      <c r="J3132" s="1437">
        <v>0</v>
      </c>
      <c r="K3132" s="1438"/>
      <c r="L3132" s="1438"/>
      <c r="M3132" s="1437">
        <f t="shared" si="458"/>
        <v>0</v>
      </c>
      <c r="N3132" s="1437">
        <f t="shared" si="462"/>
        <v>9.8566000000000005E-5</v>
      </c>
    </row>
    <row r="3133" spans="1:14" outlineLevel="1">
      <c r="A3133" s="1499">
        <f t="shared" si="465"/>
        <v>147</v>
      </c>
      <c r="B3133" s="1539" t="str">
        <f t="shared" si="465"/>
        <v>Project-U#8-TG set and its auxilleries-Vaccum Syst</v>
      </c>
      <c r="C3133" s="1491" t="str">
        <f t="shared" si="465"/>
        <v>N.A.</v>
      </c>
      <c r="D3133" s="1531" t="str">
        <f t="shared" si="465"/>
        <v>-</v>
      </c>
      <c r="E3133" s="1318">
        <f t="shared" si="465"/>
        <v>0</v>
      </c>
      <c r="F3133" s="1437">
        <f t="shared" si="459"/>
        <v>1.0304429E-2</v>
      </c>
      <c r="G3133" s="1437">
        <f t="shared" si="460"/>
        <v>0</v>
      </c>
      <c r="H3133" s="1437">
        <f t="shared" si="461"/>
        <v>1.0304429E-2</v>
      </c>
      <c r="I3133" s="1437">
        <v>0</v>
      </c>
      <c r="J3133" s="1437">
        <v>0</v>
      </c>
      <c r="K3133" s="1438"/>
      <c r="L3133" s="1438"/>
      <c r="M3133" s="1437">
        <f t="shared" si="458"/>
        <v>0</v>
      </c>
      <c r="N3133" s="1437">
        <f t="shared" si="462"/>
        <v>1.0304429E-2</v>
      </c>
    </row>
    <row r="3134" spans="1:14" outlineLevel="1">
      <c r="A3134" s="1499">
        <f t="shared" si="465"/>
        <v>148</v>
      </c>
      <c r="B3134" s="1539" t="str">
        <f t="shared" si="465"/>
        <v>Project-U#8-Turbine Lub. Oil System With Purifier</v>
      </c>
      <c r="C3134" s="1491" t="str">
        <f t="shared" si="465"/>
        <v>N.A.</v>
      </c>
      <c r="D3134" s="1531" t="str">
        <f t="shared" si="465"/>
        <v>-</v>
      </c>
      <c r="E3134" s="1318">
        <f t="shared" si="465"/>
        <v>0</v>
      </c>
      <c r="F3134" s="1437">
        <f t="shared" si="459"/>
        <v>2.2363740000000002E-3</v>
      </c>
      <c r="G3134" s="1437">
        <f t="shared" si="460"/>
        <v>0</v>
      </c>
      <c r="H3134" s="1437">
        <f t="shared" si="461"/>
        <v>2.2363740000000002E-3</v>
      </c>
      <c r="I3134" s="1437">
        <v>0</v>
      </c>
      <c r="J3134" s="1437">
        <v>0</v>
      </c>
      <c r="K3134" s="1438"/>
      <c r="L3134" s="1438"/>
      <c r="M3134" s="1437">
        <f t="shared" si="458"/>
        <v>0</v>
      </c>
      <c r="N3134" s="1437">
        <f t="shared" si="462"/>
        <v>2.2363740000000002E-3</v>
      </c>
    </row>
    <row r="3135" spans="1:14" outlineLevel="1">
      <c r="A3135" s="1499">
        <f t="shared" si="465"/>
        <v>149</v>
      </c>
      <c r="B3135" s="1539" t="str">
        <f t="shared" si="465"/>
        <v>Project-U#8-Ventillation system-10599</v>
      </c>
      <c r="C3135" s="1491" t="str">
        <f t="shared" si="465"/>
        <v>N.A.</v>
      </c>
      <c r="D3135" s="1531" t="str">
        <f t="shared" si="465"/>
        <v>-</v>
      </c>
      <c r="E3135" s="1318">
        <f t="shared" si="465"/>
        <v>0</v>
      </c>
      <c r="F3135" s="1437">
        <f t="shared" si="459"/>
        <v>1.438855E-3</v>
      </c>
      <c r="G3135" s="1437">
        <f t="shared" si="460"/>
        <v>0</v>
      </c>
      <c r="H3135" s="1437">
        <f t="shared" si="461"/>
        <v>1.438855E-3</v>
      </c>
      <c r="I3135" s="1437">
        <v>0</v>
      </c>
      <c r="J3135" s="1437">
        <v>0</v>
      </c>
      <c r="K3135" s="1438"/>
      <c r="L3135" s="1438"/>
      <c r="M3135" s="1437">
        <f t="shared" si="458"/>
        <v>0</v>
      </c>
      <c r="N3135" s="1437">
        <f t="shared" si="462"/>
        <v>1.438855E-3</v>
      </c>
    </row>
    <row r="3136" spans="1:14" outlineLevel="1">
      <c r="A3136" s="1499">
        <f t="shared" si="465"/>
        <v>150</v>
      </c>
      <c r="B3136" s="1539" t="str">
        <f t="shared" si="465"/>
        <v>Asset Recived From Project-U#8-M.SPARE_Ventillation system-10599</v>
      </c>
      <c r="C3136" s="1491" t="str">
        <f t="shared" si="465"/>
        <v>N.A.</v>
      </c>
      <c r="D3136" s="1531" t="str">
        <f t="shared" si="465"/>
        <v>-</v>
      </c>
      <c r="E3136" s="1318">
        <f t="shared" si="465"/>
        <v>0</v>
      </c>
      <c r="F3136" s="1437">
        <f t="shared" si="459"/>
        <v>8.5482000000000006E-5</v>
      </c>
      <c r="G3136" s="1437">
        <f t="shared" si="460"/>
        <v>0</v>
      </c>
      <c r="H3136" s="1437">
        <f t="shared" si="461"/>
        <v>8.5482000000000006E-5</v>
      </c>
      <c r="I3136" s="1437">
        <v>0</v>
      </c>
      <c r="J3136" s="1437">
        <v>0</v>
      </c>
      <c r="K3136" s="1438"/>
      <c r="L3136" s="1438"/>
      <c r="M3136" s="1437">
        <f t="shared" si="458"/>
        <v>0</v>
      </c>
      <c r="N3136" s="1437">
        <f t="shared" si="462"/>
        <v>8.5482000000000006E-5</v>
      </c>
    </row>
    <row r="3137" spans="1:14" outlineLevel="1">
      <c r="A3137" s="1499">
        <f t="shared" si="465"/>
        <v>151</v>
      </c>
      <c r="B3137" s="1539" t="str">
        <f t="shared" si="465"/>
        <v>Asset Recived From Project-U#8-Water Treatment Plant-10509</v>
      </c>
      <c r="C3137" s="1491" t="str">
        <f t="shared" si="465"/>
        <v>N.A.</v>
      </c>
      <c r="D3137" s="1531" t="str">
        <f t="shared" si="465"/>
        <v>-</v>
      </c>
      <c r="E3137" s="1318">
        <f t="shared" si="465"/>
        <v>0</v>
      </c>
      <c r="F3137" s="1437">
        <f t="shared" si="459"/>
        <v>4.2384409999999999E-3</v>
      </c>
      <c r="G3137" s="1437">
        <f t="shared" si="460"/>
        <v>0</v>
      </c>
      <c r="H3137" s="1437">
        <f t="shared" si="461"/>
        <v>4.2384409999999999E-3</v>
      </c>
      <c r="I3137" s="1437">
        <v>0</v>
      </c>
      <c r="J3137" s="1437">
        <v>0</v>
      </c>
      <c r="K3137" s="1438"/>
      <c r="L3137" s="1438"/>
      <c r="M3137" s="1437">
        <f t="shared" si="458"/>
        <v>0</v>
      </c>
      <c r="N3137" s="1437">
        <f t="shared" si="462"/>
        <v>4.2384409999999999E-3</v>
      </c>
    </row>
    <row r="3138" spans="1:14" outlineLevel="1">
      <c r="A3138" s="1499">
        <f t="shared" si="465"/>
        <v>152</v>
      </c>
      <c r="B3138" s="1539" t="str">
        <f t="shared" si="465"/>
        <v>Asset Recived From Project-U#8-WORK SHOP MAD_SPARE-10565</v>
      </c>
      <c r="C3138" s="1491" t="str">
        <f t="shared" si="465"/>
        <v>N.A.</v>
      </c>
      <c r="D3138" s="1531" t="str">
        <f t="shared" si="465"/>
        <v>-</v>
      </c>
      <c r="E3138" s="1318">
        <f t="shared" si="465"/>
        <v>0</v>
      </c>
      <c r="F3138" s="1437">
        <f t="shared" si="459"/>
        <v>3.0444899999999998E-4</v>
      </c>
      <c r="G3138" s="1437">
        <f t="shared" si="460"/>
        <v>0</v>
      </c>
      <c r="H3138" s="1437">
        <f t="shared" si="461"/>
        <v>3.0444899999999998E-4</v>
      </c>
      <c r="I3138" s="1437">
        <v>0</v>
      </c>
      <c r="J3138" s="1437">
        <v>0</v>
      </c>
      <c r="K3138" s="1438"/>
      <c r="L3138" s="1438"/>
      <c r="M3138" s="1437">
        <f t="shared" si="458"/>
        <v>0</v>
      </c>
      <c r="N3138" s="1437">
        <f t="shared" si="462"/>
        <v>3.0444899999999998E-4</v>
      </c>
    </row>
    <row r="3139" spans="1:14" outlineLevel="1">
      <c r="A3139" s="1499">
        <f t="shared" si="465"/>
        <v>153</v>
      </c>
      <c r="B3139" s="1539" t="str">
        <f t="shared" si="465"/>
        <v>Asset Recived From Project-U#8-Workshop-10565</v>
      </c>
      <c r="C3139" s="1491" t="str">
        <f t="shared" si="465"/>
        <v>N.A.</v>
      </c>
      <c r="D3139" s="1531" t="str">
        <f t="shared" si="465"/>
        <v>-</v>
      </c>
      <c r="E3139" s="1318">
        <f t="shared" si="465"/>
        <v>0</v>
      </c>
      <c r="F3139" s="1437">
        <f t="shared" si="459"/>
        <v>1.3285770000000001E-3</v>
      </c>
      <c r="G3139" s="1437">
        <f t="shared" si="460"/>
        <v>0</v>
      </c>
      <c r="H3139" s="1437">
        <f t="shared" si="461"/>
        <v>1.3285770000000001E-3</v>
      </c>
      <c r="I3139" s="1437">
        <v>0</v>
      </c>
      <c r="J3139" s="1437">
        <v>0</v>
      </c>
      <c r="K3139" s="1438"/>
      <c r="L3139" s="1438"/>
      <c r="M3139" s="1437">
        <f t="shared" si="458"/>
        <v>0</v>
      </c>
      <c r="N3139" s="1437">
        <f t="shared" si="462"/>
        <v>1.3285770000000001E-3</v>
      </c>
    </row>
    <row r="3140" spans="1:14" outlineLevel="1">
      <c r="A3140" s="1499">
        <f t="shared" si="465"/>
        <v>154</v>
      </c>
      <c r="B3140" s="1539" t="str">
        <f t="shared" si="465"/>
        <v>Asset Recived From Project-U#8-CMR SYSTEM-10501</v>
      </c>
      <c r="C3140" s="1491" t="str">
        <f t="shared" si="465"/>
        <v>N.A.</v>
      </c>
      <c r="D3140" s="1531" t="str">
        <f t="shared" si="465"/>
        <v>-</v>
      </c>
      <c r="E3140" s="1318">
        <f t="shared" si="465"/>
        <v>0</v>
      </c>
      <c r="F3140" s="1437">
        <f t="shared" si="459"/>
        <v>2.0736180000000002E-3</v>
      </c>
      <c r="G3140" s="1437">
        <f t="shared" si="460"/>
        <v>0</v>
      </c>
      <c r="H3140" s="1437">
        <f t="shared" si="461"/>
        <v>2.0736180000000002E-3</v>
      </c>
      <c r="I3140" s="1437">
        <v>0</v>
      </c>
      <c r="J3140" s="1437">
        <v>0</v>
      </c>
      <c r="K3140" s="1438"/>
      <c r="L3140" s="1438"/>
      <c r="M3140" s="1437">
        <f t="shared" si="458"/>
        <v>0</v>
      </c>
      <c r="N3140" s="1437">
        <f t="shared" si="462"/>
        <v>2.0736180000000002E-3</v>
      </c>
    </row>
    <row r="3141" spans="1:14" outlineLevel="1">
      <c r="A3141" s="1499">
        <f t="shared" si="465"/>
        <v>155</v>
      </c>
      <c r="B3141" s="1539" t="str">
        <f t="shared" si="465"/>
        <v>Asset Recived From Project-U#8-MandatorySpares-WTP-10.509</v>
      </c>
      <c r="C3141" s="1491" t="str">
        <f t="shared" si="465"/>
        <v>N.A.</v>
      </c>
      <c r="D3141" s="1531" t="str">
        <f t="shared" si="465"/>
        <v>-</v>
      </c>
      <c r="E3141" s="1318">
        <f t="shared" si="465"/>
        <v>0</v>
      </c>
      <c r="F3141" s="1437">
        <f t="shared" si="459"/>
        <v>8.1516999999999999E-5</v>
      </c>
      <c r="G3141" s="1437">
        <f t="shared" si="460"/>
        <v>0</v>
      </c>
      <c r="H3141" s="1437">
        <f t="shared" si="461"/>
        <v>8.1516999999999999E-5</v>
      </c>
      <c r="I3141" s="1437">
        <v>0</v>
      </c>
      <c r="J3141" s="1437">
        <v>0</v>
      </c>
      <c r="K3141" s="1438"/>
      <c r="L3141" s="1438"/>
      <c r="M3141" s="1437">
        <f t="shared" si="458"/>
        <v>0</v>
      </c>
      <c r="N3141" s="1437">
        <f t="shared" si="462"/>
        <v>8.1516999999999999E-5</v>
      </c>
    </row>
    <row r="3142" spans="1:14" ht="29" outlineLevel="1">
      <c r="A3142" s="1499">
        <f t="shared" si="465"/>
        <v>156</v>
      </c>
      <c r="B3142" s="1539" t="str">
        <f t="shared" si="465"/>
        <v>Asset Recived From Project-U#8-E.1.07_MandSpar 4 C&amp;I MS 4MeasuringIns E.1.07_M S for C&amp;I_ MS For Measuring Ins</v>
      </c>
      <c r="C3142" s="1491" t="str">
        <f t="shared" si="465"/>
        <v>N.A.</v>
      </c>
      <c r="D3142" s="1531" t="str">
        <f t="shared" si="465"/>
        <v>-</v>
      </c>
      <c r="E3142" s="1318">
        <f t="shared" si="465"/>
        <v>0</v>
      </c>
      <c r="F3142" s="1437">
        <f t="shared" si="459"/>
        <v>7.8696799999999997E-2</v>
      </c>
      <c r="G3142" s="1437">
        <f t="shared" si="460"/>
        <v>0</v>
      </c>
      <c r="H3142" s="1437">
        <f t="shared" si="461"/>
        <v>7.8696799999999997E-2</v>
      </c>
      <c r="I3142" s="1437">
        <v>0</v>
      </c>
      <c r="J3142" s="1437">
        <v>0</v>
      </c>
      <c r="K3142" s="1438"/>
      <c r="L3142" s="1438"/>
      <c r="M3142" s="1437">
        <f t="shared" si="458"/>
        <v>0</v>
      </c>
      <c r="N3142" s="1437">
        <f t="shared" si="462"/>
        <v>7.8696799999999997E-2</v>
      </c>
    </row>
    <row r="3143" spans="1:14" outlineLevel="1">
      <c r="A3143" s="1499">
        <f t="shared" ref="A3143:E3148" si="466">A2750</f>
        <v>157</v>
      </c>
      <c r="B3143" s="1539" t="str">
        <f t="shared" si="466"/>
        <v>Asset Recived From Project-U#8-BOP_ELECTRICAL-10612</v>
      </c>
      <c r="C3143" s="1491" t="str">
        <f t="shared" si="466"/>
        <v>N.A.</v>
      </c>
      <c r="D3143" s="1531" t="str">
        <f t="shared" si="466"/>
        <v>-</v>
      </c>
      <c r="E3143" s="1318">
        <f t="shared" si="466"/>
        <v>0</v>
      </c>
      <c r="F3143" s="1437">
        <f t="shared" si="459"/>
        <v>1.6370498000000001E-2</v>
      </c>
      <c r="G3143" s="1437">
        <f t="shared" si="460"/>
        <v>0</v>
      </c>
      <c r="H3143" s="1437">
        <f t="shared" si="461"/>
        <v>1.6370498000000001E-2</v>
      </c>
      <c r="I3143" s="1437">
        <v>0</v>
      </c>
      <c r="J3143" s="1437">
        <v>0</v>
      </c>
      <c r="K3143" s="1438"/>
      <c r="L3143" s="1438"/>
      <c r="M3143" s="1437">
        <f t="shared" si="458"/>
        <v>0</v>
      </c>
      <c r="N3143" s="1437">
        <f t="shared" si="462"/>
        <v>1.6370498000000001E-2</v>
      </c>
    </row>
    <row r="3144" spans="1:14" outlineLevel="1">
      <c r="A3144" s="1499">
        <f t="shared" si="466"/>
        <v>158</v>
      </c>
      <c r="B3144" s="1539" t="str">
        <f t="shared" si="466"/>
        <v>Asset Recived From Project-U#8-Bus Ducts-10612</v>
      </c>
      <c r="C3144" s="1491" t="str">
        <f t="shared" si="466"/>
        <v>N.A.</v>
      </c>
      <c r="D3144" s="1531" t="str">
        <f t="shared" si="466"/>
        <v>-</v>
      </c>
      <c r="E3144" s="1318">
        <f t="shared" si="466"/>
        <v>0</v>
      </c>
      <c r="F3144" s="1437">
        <f t="shared" si="459"/>
        <v>1.2547599E-2</v>
      </c>
      <c r="G3144" s="1437">
        <f t="shared" si="460"/>
        <v>0</v>
      </c>
      <c r="H3144" s="1437">
        <f t="shared" si="461"/>
        <v>1.2547599E-2</v>
      </c>
      <c r="I3144" s="1437">
        <v>0</v>
      </c>
      <c r="J3144" s="1437">
        <v>0</v>
      </c>
      <c r="K3144" s="1438"/>
      <c r="L3144" s="1438"/>
      <c r="M3144" s="1437">
        <f t="shared" si="458"/>
        <v>0</v>
      </c>
      <c r="N3144" s="1437">
        <f t="shared" si="462"/>
        <v>1.2547599E-2</v>
      </c>
    </row>
    <row r="3145" spans="1:14" outlineLevel="1">
      <c r="A3145" s="1499">
        <f t="shared" si="466"/>
        <v>159</v>
      </c>
      <c r="B3145" s="1539" t="str">
        <f t="shared" si="466"/>
        <v>Asset Recived From Project-U#8-Cable trays &amp; supports-10612</v>
      </c>
      <c r="C3145" s="1491" t="str">
        <f t="shared" si="466"/>
        <v>N.A.</v>
      </c>
      <c r="D3145" s="1531" t="str">
        <f t="shared" si="466"/>
        <v>-</v>
      </c>
      <c r="E3145" s="1318">
        <f t="shared" si="466"/>
        <v>0</v>
      </c>
      <c r="F3145" s="1437">
        <f t="shared" si="459"/>
        <v>3.6008699999999998E-4</v>
      </c>
      <c r="G3145" s="1437">
        <f t="shared" si="460"/>
        <v>0</v>
      </c>
      <c r="H3145" s="1437">
        <f t="shared" si="461"/>
        <v>3.6008699999999998E-4</v>
      </c>
      <c r="I3145" s="1437">
        <v>0</v>
      </c>
      <c r="J3145" s="1437">
        <v>0</v>
      </c>
      <c r="K3145" s="1438"/>
      <c r="L3145" s="1438"/>
      <c r="M3145" s="1437">
        <f t="shared" ref="M3145:M3148" si="467">SUM(J3145:L3145)</f>
        <v>0</v>
      </c>
      <c r="N3145" s="1437">
        <f t="shared" si="462"/>
        <v>3.6008699999999998E-4</v>
      </c>
    </row>
    <row r="3146" spans="1:14" outlineLevel="1">
      <c r="A3146" s="1499">
        <f t="shared" si="466"/>
        <v>160</v>
      </c>
      <c r="B3146" s="1539" t="str">
        <f t="shared" si="466"/>
        <v>Project-U#8-PCR FURNITURE-10810</v>
      </c>
      <c r="C3146" s="1491" t="str">
        <f t="shared" si="466"/>
        <v>N.A.</v>
      </c>
      <c r="D3146" s="1531" t="str">
        <f t="shared" si="466"/>
        <v>-</v>
      </c>
      <c r="E3146" s="1318">
        <f t="shared" si="466"/>
        <v>0</v>
      </c>
      <c r="F3146" s="1437">
        <f t="shared" ref="F3146:F3148" si="468">F2753+I2753</f>
        <v>3.0684199999999999E-4</v>
      </c>
      <c r="G3146" s="1437">
        <f t="shared" ref="G3146:G3148" si="469">G2753+M2753</f>
        <v>0</v>
      </c>
      <c r="H3146" s="1437">
        <f t="shared" si="461"/>
        <v>3.0684199999999999E-4</v>
      </c>
      <c r="I3146" s="1437">
        <v>0</v>
      </c>
      <c r="J3146" s="1437">
        <v>0</v>
      </c>
      <c r="K3146" s="1438"/>
      <c r="L3146" s="1438"/>
      <c r="M3146" s="1437">
        <f t="shared" si="467"/>
        <v>0</v>
      </c>
      <c r="N3146" s="1437">
        <f t="shared" si="462"/>
        <v>3.0684199999999999E-4</v>
      </c>
    </row>
    <row r="3147" spans="1:14" outlineLevel="1">
      <c r="A3147" s="1499">
        <f t="shared" si="466"/>
        <v>161</v>
      </c>
      <c r="B3147" s="1539" t="str">
        <f t="shared" si="466"/>
        <v>Project-U#8 Server Intel QUAD CORE 02No. HP Office Server</v>
      </c>
      <c r="C3147" s="1491" t="str">
        <f t="shared" si="466"/>
        <v>N.A.</v>
      </c>
      <c r="D3147" s="1531" t="str">
        <f t="shared" si="466"/>
        <v>-</v>
      </c>
      <c r="E3147" s="1318">
        <f t="shared" si="466"/>
        <v>0</v>
      </c>
      <c r="F3147" s="1437">
        <f t="shared" si="468"/>
        <v>0.11917999999999999</v>
      </c>
      <c r="G3147" s="1437">
        <f t="shared" si="469"/>
        <v>0.11917999999999999</v>
      </c>
      <c r="H3147" s="1437">
        <f t="shared" ref="H3147:H3148" si="470">F3147-G3147</f>
        <v>0</v>
      </c>
      <c r="I3147" s="1437">
        <v>0</v>
      </c>
      <c r="J3147" s="1437">
        <v>0</v>
      </c>
      <c r="K3147" s="1438"/>
      <c r="L3147" s="1438"/>
      <c r="M3147" s="1437">
        <f t="shared" si="467"/>
        <v>0</v>
      </c>
      <c r="N3147" s="1437">
        <f t="shared" ref="N3147:N3148" si="471">H3147+I3147-M3147</f>
        <v>0</v>
      </c>
    </row>
    <row r="3148" spans="1:14" ht="15" outlineLevel="1" thickBot="1">
      <c r="A3148" s="1499">
        <f t="shared" si="466"/>
        <v>162</v>
      </c>
      <c r="B3148" s="1539" t="str">
        <f t="shared" si="466"/>
        <v>Supply Erection testing and commissining of 1000 m3 ETP Civil works</v>
      </c>
      <c r="C3148" s="1491" t="str">
        <f t="shared" si="466"/>
        <v>N.A.</v>
      </c>
      <c r="D3148" s="1531" t="str">
        <f t="shared" si="466"/>
        <v>-</v>
      </c>
      <c r="E3148" s="1318">
        <f t="shared" si="466"/>
        <v>0</v>
      </c>
      <c r="F3148" s="1437">
        <f t="shared" si="468"/>
        <v>0.68323680199999992</v>
      </c>
      <c r="G3148" s="1437">
        <f t="shared" si="469"/>
        <v>0.68323680199999992</v>
      </c>
      <c r="H3148" s="1437">
        <f t="shared" si="470"/>
        <v>0</v>
      </c>
      <c r="I3148" s="1437">
        <v>0</v>
      </c>
      <c r="J3148" s="1437">
        <v>0</v>
      </c>
      <c r="K3148" s="1438"/>
      <c r="L3148" s="1438"/>
      <c r="M3148" s="1437">
        <f t="shared" si="467"/>
        <v>0</v>
      </c>
      <c r="N3148" s="1437">
        <f t="shared" si="471"/>
        <v>0</v>
      </c>
    </row>
    <row r="3149" spans="1:14" ht="15" thickBot="1">
      <c r="A3149" s="1311"/>
      <c r="B3149" s="1431"/>
      <c r="C3149" s="1311"/>
      <c r="D3149" s="1432"/>
      <c r="E3149" s="1431"/>
      <c r="F3149" s="1543">
        <f>SUM(F2762:F3148)</f>
        <v>838.15354515099887</v>
      </c>
      <c r="G3149" s="1543">
        <f t="shared" ref="G3149:N3149" si="472">SUM(G2762:G3148)</f>
        <v>844.43262843100001</v>
      </c>
      <c r="H3149" s="1543">
        <f t="shared" si="472"/>
        <v>-6.279083280000016</v>
      </c>
      <c r="I3149" s="1543">
        <f t="shared" si="472"/>
        <v>65.290000000000006</v>
      </c>
      <c r="J3149" s="1543">
        <f t="shared" si="472"/>
        <v>65.290000000000006</v>
      </c>
      <c r="K3149" s="1543">
        <f t="shared" si="472"/>
        <v>0</v>
      </c>
      <c r="L3149" s="1543">
        <f t="shared" si="472"/>
        <v>0</v>
      </c>
      <c r="M3149" s="1543">
        <f t="shared" si="472"/>
        <v>65.290000000000006</v>
      </c>
      <c r="N3149" s="1543">
        <f t="shared" si="472"/>
        <v>-6.279083280000016</v>
      </c>
    </row>
    <row r="88711" spans="12:12">
      <c r="L88711" s="1544"/>
    </row>
  </sheetData>
  <mergeCells count="11">
    <mergeCell ref="F4:F6"/>
    <mergeCell ref="A4:A6"/>
    <mergeCell ref="B4:B6"/>
    <mergeCell ref="C4:C6"/>
    <mergeCell ref="D4:D6"/>
    <mergeCell ref="E4:E6"/>
    <mergeCell ref="G4:G6"/>
    <mergeCell ref="H4:H6"/>
    <mergeCell ref="I4:I6"/>
    <mergeCell ref="J4:M5"/>
    <mergeCell ref="N4:N6"/>
  </mergeCells>
  <conditionalFormatting sqref="C9:C57">
    <cfRule type="containsText" dxfId="79" priority="79" operator="containsText" text="DPR not submitted">
      <formula>NOT(ISERROR(SEARCH("DPR not submitted",C9)))</formula>
    </cfRule>
    <cfRule type="containsText" dxfId="78" priority="80" operator="containsText" text="Yet to be approved">
      <formula>NOT(ISERROR(SEARCH("Yet to be approved",C9)))</formula>
    </cfRule>
  </conditionalFormatting>
  <conditionalFormatting sqref="C80">
    <cfRule type="containsText" dxfId="77" priority="77" operator="containsText" text="DPR not submitted">
      <formula>NOT(ISERROR(SEARCH("DPR not submitted",C80)))</formula>
    </cfRule>
    <cfRule type="containsText" dxfId="76" priority="78" operator="containsText" text="Yet to be approved">
      <formula>NOT(ISERROR(SEARCH("Yet to be approved",C80)))</formula>
    </cfRule>
  </conditionalFormatting>
  <conditionalFormatting sqref="C88:C119">
    <cfRule type="containsText" dxfId="75" priority="75" operator="containsText" text="DPR not submitted">
      <formula>NOT(ISERROR(SEARCH("DPR not submitted",C88)))</formula>
    </cfRule>
    <cfRule type="containsText" dxfId="74" priority="76" operator="containsText" text="Yet to be approved">
      <formula>NOT(ISERROR(SEARCH("Yet to be approved",C88)))</formula>
    </cfRule>
  </conditionalFormatting>
  <conditionalFormatting sqref="C121:C399">
    <cfRule type="containsText" dxfId="73" priority="71" operator="containsText" text="DPR not submitted">
      <formula>NOT(ISERROR(SEARCH("DPR not submitted",C121)))</formula>
    </cfRule>
    <cfRule type="containsText" dxfId="72" priority="72" operator="containsText" text="Yet to be approved">
      <formula>NOT(ISERROR(SEARCH("Yet to be approved",C121)))</formula>
    </cfRule>
  </conditionalFormatting>
  <conditionalFormatting sqref="C402:C450">
    <cfRule type="containsText" dxfId="71" priority="69" operator="containsText" text="DPR not submitted">
      <formula>NOT(ISERROR(SEARCH("DPR not submitted",C402)))</formula>
    </cfRule>
    <cfRule type="containsText" dxfId="70" priority="70" operator="containsText" text="Yet to be approved">
      <formula>NOT(ISERROR(SEARCH("Yet to be approved",C402)))</formula>
    </cfRule>
  </conditionalFormatting>
  <conditionalFormatting sqref="C473">
    <cfRule type="containsText" dxfId="69" priority="67" operator="containsText" text="DPR not submitted">
      <formula>NOT(ISERROR(SEARCH("DPR not submitted",C473)))</formula>
    </cfRule>
    <cfRule type="containsText" dxfId="68" priority="68" operator="containsText" text="Yet to be approved">
      <formula>NOT(ISERROR(SEARCH("Yet to be approved",C473)))</formula>
    </cfRule>
  </conditionalFormatting>
  <conditionalFormatting sqref="C481:C512">
    <cfRule type="containsText" dxfId="67" priority="65" operator="containsText" text="DPR not submitted">
      <formula>NOT(ISERROR(SEARCH("DPR not submitted",C481)))</formula>
    </cfRule>
    <cfRule type="containsText" dxfId="66" priority="66" operator="containsText" text="Yet to be approved">
      <formula>NOT(ISERROR(SEARCH("Yet to be approved",C481)))</formula>
    </cfRule>
  </conditionalFormatting>
  <conditionalFormatting sqref="C514:C790">
    <cfRule type="containsText" dxfId="65" priority="61" operator="containsText" text="DPR not submitted">
      <formula>NOT(ISERROR(SEARCH("DPR not submitted",C514)))</formula>
    </cfRule>
    <cfRule type="containsText" dxfId="64" priority="62" operator="containsText" text="Yet to be approved">
      <formula>NOT(ISERROR(SEARCH("Yet to be approved",C514)))</formula>
    </cfRule>
  </conditionalFormatting>
  <conditionalFormatting sqref="C795:C843">
    <cfRule type="containsText" dxfId="63" priority="59" operator="containsText" text="DPR not submitted">
      <formula>NOT(ISERROR(SEARCH("DPR not submitted",C795)))</formula>
    </cfRule>
    <cfRule type="containsText" dxfId="62" priority="60" operator="containsText" text="Yet to be approved">
      <formula>NOT(ISERROR(SEARCH("Yet to be approved",C795)))</formula>
    </cfRule>
  </conditionalFormatting>
  <conditionalFormatting sqref="C866">
    <cfRule type="containsText" dxfId="61" priority="57" operator="containsText" text="DPR not submitted">
      <formula>NOT(ISERROR(SEARCH("DPR not submitted",C866)))</formula>
    </cfRule>
    <cfRule type="containsText" dxfId="60" priority="58" operator="containsText" text="Yet to be approved">
      <formula>NOT(ISERROR(SEARCH("Yet to be approved",C866)))</formula>
    </cfRule>
  </conditionalFormatting>
  <conditionalFormatting sqref="C874:C905">
    <cfRule type="containsText" dxfId="59" priority="55" operator="containsText" text="DPR not submitted">
      <formula>NOT(ISERROR(SEARCH("DPR not submitted",C874)))</formula>
    </cfRule>
    <cfRule type="containsText" dxfId="58" priority="56" operator="containsText" text="Yet to be approved">
      <formula>NOT(ISERROR(SEARCH("Yet to be approved",C874)))</formula>
    </cfRule>
  </conditionalFormatting>
  <conditionalFormatting sqref="C907:C1183">
    <cfRule type="containsText" dxfId="57" priority="51" operator="containsText" text="DPR not submitted">
      <formula>NOT(ISERROR(SEARCH("DPR not submitted",C907)))</formula>
    </cfRule>
    <cfRule type="containsText" dxfId="56" priority="52" operator="containsText" text="Yet to be approved">
      <formula>NOT(ISERROR(SEARCH("Yet to be approved",C907)))</formula>
    </cfRule>
  </conditionalFormatting>
  <conditionalFormatting sqref="C1188:C1236">
    <cfRule type="containsText" dxfId="55" priority="49" operator="containsText" text="DPR not submitted">
      <formula>NOT(ISERROR(SEARCH("DPR not submitted",C1188)))</formula>
    </cfRule>
    <cfRule type="containsText" dxfId="54" priority="50" operator="containsText" text="Yet to be approved">
      <formula>NOT(ISERROR(SEARCH("Yet to be approved",C1188)))</formula>
    </cfRule>
  </conditionalFormatting>
  <conditionalFormatting sqref="C1259">
    <cfRule type="containsText" dxfId="53" priority="47" operator="containsText" text="DPR not submitted">
      <formula>NOT(ISERROR(SEARCH("DPR not submitted",C1259)))</formula>
    </cfRule>
    <cfRule type="containsText" dxfId="52" priority="48" operator="containsText" text="Yet to be approved">
      <formula>NOT(ISERROR(SEARCH("Yet to be approved",C1259)))</formula>
    </cfRule>
  </conditionalFormatting>
  <conditionalFormatting sqref="C1267:C1298">
    <cfRule type="containsText" dxfId="51" priority="45" operator="containsText" text="DPR not submitted">
      <formula>NOT(ISERROR(SEARCH("DPR not submitted",C1267)))</formula>
    </cfRule>
    <cfRule type="containsText" dxfId="50" priority="46" operator="containsText" text="Yet to be approved">
      <formula>NOT(ISERROR(SEARCH("Yet to be approved",C1267)))</formula>
    </cfRule>
  </conditionalFormatting>
  <conditionalFormatting sqref="C1300:C1576">
    <cfRule type="containsText" dxfId="49" priority="41" operator="containsText" text="DPR not submitted">
      <formula>NOT(ISERROR(SEARCH("DPR not submitted",C1300)))</formula>
    </cfRule>
    <cfRule type="containsText" dxfId="48" priority="42" operator="containsText" text="Yet to be approved">
      <formula>NOT(ISERROR(SEARCH("Yet to be approved",C1300)))</formula>
    </cfRule>
  </conditionalFormatting>
  <conditionalFormatting sqref="C1581:C1629">
    <cfRule type="containsText" dxfId="47" priority="39" operator="containsText" text="DPR not submitted">
      <formula>NOT(ISERROR(SEARCH("DPR not submitted",C1581)))</formula>
    </cfRule>
    <cfRule type="containsText" dxfId="46" priority="40" operator="containsText" text="Yet to be approved">
      <formula>NOT(ISERROR(SEARCH("Yet to be approved",C1581)))</formula>
    </cfRule>
  </conditionalFormatting>
  <conditionalFormatting sqref="C1652">
    <cfRule type="containsText" dxfId="45" priority="37" operator="containsText" text="DPR not submitted">
      <formula>NOT(ISERROR(SEARCH("DPR not submitted",C1652)))</formula>
    </cfRule>
    <cfRule type="containsText" dxfId="44" priority="38" operator="containsText" text="Yet to be approved">
      <formula>NOT(ISERROR(SEARCH("Yet to be approved",C1652)))</formula>
    </cfRule>
  </conditionalFormatting>
  <conditionalFormatting sqref="C1660:C1691">
    <cfRule type="containsText" dxfId="43" priority="35" operator="containsText" text="DPR not submitted">
      <formula>NOT(ISERROR(SEARCH("DPR not submitted",C1660)))</formula>
    </cfRule>
    <cfRule type="containsText" dxfId="42" priority="36" operator="containsText" text="Yet to be approved">
      <formula>NOT(ISERROR(SEARCH("Yet to be approved",C1660)))</formula>
    </cfRule>
  </conditionalFormatting>
  <conditionalFormatting sqref="C1693:C1969">
    <cfRule type="containsText" dxfId="41" priority="31" operator="containsText" text="DPR not submitted">
      <formula>NOT(ISERROR(SEARCH("DPR not submitted",C1693)))</formula>
    </cfRule>
    <cfRule type="containsText" dxfId="40" priority="32" operator="containsText" text="Yet to be approved">
      <formula>NOT(ISERROR(SEARCH("Yet to be approved",C1693)))</formula>
    </cfRule>
  </conditionalFormatting>
  <conditionalFormatting sqref="C1974:C2022">
    <cfRule type="containsText" dxfId="39" priority="29" operator="containsText" text="DPR not submitted">
      <formula>NOT(ISERROR(SEARCH("DPR not submitted",C1974)))</formula>
    </cfRule>
    <cfRule type="containsText" dxfId="38" priority="30" operator="containsText" text="Yet to be approved">
      <formula>NOT(ISERROR(SEARCH("Yet to be approved",C1974)))</formula>
    </cfRule>
  </conditionalFormatting>
  <conditionalFormatting sqref="C2045">
    <cfRule type="containsText" dxfId="37" priority="27" operator="containsText" text="DPR not submitted">
      <formula>NOT(ISERROR(SEARCH("DPR not submitted",C2045)))</formula>
    </cfRule>
    <cfRule type="containsText" dxfId="36" priority="28" operator="containsText" text="Yet to be approved">
      <formula>NOT(ISERROR(SEARCH("Yet to be approved",C2045)))</formula>
    </cfRule>
  </conditionalFormatting>
  <conditionalFormatting sqref="C2053:C2084">
    <cfRule type="containsText" dxfId="35" priority="25" operator="containsText" text="DPR not submitted">
      <formula>NOT(ISERROR(SEARCH("DPR not submitted",C2053)))</formula>
    </cfRule>
    <cfRule type="containsText" dxfId="34" priority="26" operator="containsText" text="Yet to be approved">
      <formula>NOT(ISERROR(SEARCH("Yet to be approved",C2053)))</formula>
    </cfRule>
  </conditionalFormatting>
  <conditionalFormatting sqref="C2086:C2362">
    <cfRule type="containsText" dxfId="33" priority="21" operator="containsText" text="DPR not submitted">
      <formula>NOT(ISERROR(SEARCH("DPR not submitted",C2086)))</formula>
    </cfRule>
    <cfRule type="containsText" dxfId="32" priority="22" operator="containsText" text="Yet to be approved">
      <formula>NOT(ISERROR(SEARCH("Yet to be approved",C2086)))</formula>
    </cfRule>
  </conditionalFormatting>
  <conditionalFormatting sqref="C2367:C2415">
    <cfRule type="containsText" dxfId="31" priority="19" operator="containsText" text="DPR not submitted">
      <formula>NOT(ISERROR(SEARCH("DPR not submitted",C2367)))</formula>
    </cfRule>
    <cfRule type="containsText" dxfId="30" priority="20" operator="containsText" text="Yet to be approved">
      <formula>NOT(ISERROR(SEARCH("Yet to be approved",C2367)))</formula>
    </cfRule>
  </conditionalFormatting>
  <conditionalFormatting sqref="C2438">
    <cfRule type="containsText" dxfId="29" priority="17" operator="containsText" text="DPR not submitted">
      <formula>NOT(ISERROR(SEARCH("DPR not submitted",C2438)))</formula>
    </cfRule>
    <cfRule type="containsText" dxfId="28" priority="18" operator="containsText" text="Yet to be approved">
      <formula>NOT(ISERROR(SEARCH("Yet to be approved",C2438)))</formula>
    </cfRule>
  </conditionalFormatting>
  <conditionalFormatting sqref="C2446:C2477">
    <cfRule type="containsText" dxfId="27" priority="15" operator="containsText" text="DPR not submitted">
      <formula>NOT(ISERROR(SEARCH("DPR not submitted",C2446)))</formula>
    </cfRule>
    <cfRule type="containsText" dxfId="26" priority="16" operator="containsText" text="Yet to be approved">
      <formula>NOT(ISERROR(SEARCH("Yet to be approved",C2446)))</formula>
    </cfRule>
  </conditionalFormatting>
  <conditionalFormatting sqref="C2479:C2755">
    <cfRule type="containsText" dxfId="25" priority="11" operator="containsText" text="DPR not submitted">
      <formula>NOT(ISERROR(SEARCH("DPR not submitted",C2479)))</formula>
    </cfRule>
    <cfRule type="containsText" dxfId="24" priority="12" operator="containsText" text="Yet to be approved">
      <formula>NOT(ISERROR(SEARCH("Yet to be approved",C2479)))</formula>
    </cfRule>
  </conditionalFormatting>
  <conditionalFormatting sqref="C2760:C2808">
    <cfRule type="containsText" dxfId="23" priority="9" operator="containsText" text="DPR not submitted">
      <formula>NOT(ISERROR(SEARCH("DPR not submitted",C2760)))</formula>
    </cfRule>
    <cfRule type="containsText" dxfId="22" priority="10" operator="containsText" text="Yet to be approved">
      <formula>NOT(ISERROR(SEARCH("Yet to be approved",C2760)))</formula>
    </cfRule>
  </conditionalFormatting>
  <conditionalFormatting sqref="C2831">
    <cfRule type="containsText" dxfId="21" priority="7" operator="containsText" text="DPR not submitted">
      <formula>NOT(ISERROR(SEARCH("DPR not submitted",C2831)))</formula>
    </cfRule>
    <cfRule type="containsText" dxfId="20" priority="8" operator="containsText" text="Yet to be approved">
      <formula>NOT(ISERROR(SEARCH("Yet to be approved",C2831)))</formula>
    </cfRule>
  </conditionalFormatting>
  <conditionalFormatting sqref="C2839:C2870">
    <cfRule type="containsText" dxfId="19" priority="5" operator="containsText" text="DPR not submitted">
      <formula>NOT(ISERROR(SEARCH("DPR not submitted",C2839)))</formula>
    </cfRule>
    <cfRule type="containsText" dxfId="18" priority="6" operator="containsText" text="Yet to be approved">
      <formula>NOT(ISERROR(SEARCH("Yet to be approved",C2839)))</formula>
    </cfRule>
  </conditionalFormatting>
  <conditionalFormatting sqref="C2872:C3148">
    <cfRule type="containsText" dxfId="17" priority="1" operator="containsText" text="DPR not submitted">
      <formula>NOT(ISERROR(SEARCH("DPR not submitted",C2872)))</formula>
    </cfRule>
    <cfRule type="containsText" dxfId="16" priority="2" operator="containsText" text="Yet to be approved">
      <formula>NOT(ISERROR(SEARCH("Yet to be approved",C2872)))</formula>
    </cfRule>
  </conditionalFormatting>
  <printOptions verticalCentered="1"/>
  <pageMargins left="0" right="0" top="0.235416666666667" bottom="0.235416666666667" header="0.235416666666667" footer="0.235416666666667"/>
  <pageSetup paperSize="9" scale="10" orientation="landscape" r:id="rId1"/>
  <headerFooter alignWithMargins="0">
    <oddHeader>&amp;C&amp;F</oddHeader>
  </headerFooter>
  <extLst>
    <ext xmlns:x14="http://schemas.microsoft.com/office/spreadsheetml/2009/9/main" uri="{78C0D931-6437-407d-A8EE-F0AAD7539E65}">
      <x14:conditionalFormattings>
        <x14:conditionalFormatting xmlns:xm="http://schemas.microsoft.com/office/excel/2006/main">
          <x14:cfRule type="containsText" priority="73" operator="containsText" id="{6699FC99-A0D6-4C8B-B2FA-F4A2887944D8}">
            <xm:f>NOT(ISERROR(SEARCH($P$5,D122)))</xm:f>
            <xm:f>$P$5</xm:f>
            <x14:dxf>
              <font>
                <color rgb="FF9C6500"/>
              </font>
              <fill>
                <patternFill>
                  <bgColor rgb="FFFFEB9C"/>
                </patternFill>
              </fill>
            </x14:dxf>
          </x14:cfRule>
          <xm:sqref>D122:D123 D125:D126 D128:D130</xm:sqref>
        </x14:conditionalFormatting>
        <x14:conditionalFormatting xmlns:xm="http://schemas.microsoft.com/office/excel/2006/main">
          <x14:cfRule type="containsText" priority="74" operator="containsText" id="{09D63CDA-09F2-4BC4-9F43-45E12E6E7606}">
            <xm:f>NOT(ISERROR(SEARCH($P$5,D132)))</xm:f>
            <xm:f>$P$5</xm:f>
            <x14:dxf>
              <font>
                <color rgb="FF9C6500"/>
              </font>
              <fill>
                <patternFill>
                  <bgColor rgb="FFFFEB9C"/>
                </patternFill>
              </fill>
            </x14:dxf>
          </x14:cfRule>
          <xm:sqref>D132:D399</xm:sqref>
        </x14:conditionalFormatting>
        <x14:conditionalFormatting xmlns:xm="http://schemas.microsoft.com/office/excel/2006/main">
          <x14:cfRule type="containsText" priority="63" operator="containsText" id="{C9B8DC40-C44E-44F8-A7B0-8B84A5414B11}">
            <xm:f>NOT(ISERROR(SEARCH($P$5,D515)))</xm:f>
            <xm:f>$P$5</xm:f>
            <x14:dxf>
              <font>
                <color rgb="FF9C6500"/>
              </font>
              <fill>
                <patternFill>
                  <bgColor rgb="FFFFEB9C"/>
                </patternFill>
              </fill>
            </x14:dxf>
          </x14:cfRule>
          <xm:sqref>D515:D516 D518:D519 D521:D523</xm:sqref>
        </x14:conditionalFormatting>
        <x14:conditionalFormatting xmlns:xm="http://schemas.microsoft.com/office/excel/2006/main">
          <x14:cfRule type="containsText" priority="64" operator="containsText" id="{6F91C4E1-38F2-4805-828F-ED6646F003B7}">
            <xm:f>NOT(ISERROR(SEARCH($P$5,D525)))</xm:f>
            <xm:f>$P$5</xm:f>
            <x14:dxf>
              <font>
                <color rgb="FF9C6500"/>
              </font>
              <fill>
                <patternFill>
                  <bgColor rgb="FFFFEB9C"/>
                </patternFill>
              </fill>
            </x14:dxf>
          </x14:cfRule>
          <xm:sqref>D525:D790</xm:sqref>
        </x14:conditionalFormatting>
        <x14:conditionalFormatting xmlns:xm="http://schemas.microsoft.com/office/excel/2006/main">
          <x14:cfRule type="containsText" priority="53" operator="containsText" id="{03D75672-AA9A-4CF2-8471-D1824C95CE1B}">
            <xm:f>NOT(ISERROR(SEARCH($P$5,D908)))</xm:f>
            <xm:f>$P$5</xm:f>
            <x14:dxf>
              <font>
                <color rgb="FF9C6500"/>
              </font>
              <fill>
                <patternFill>
                  <bgColor rgb="FFFFEB9C"/>
                </patternFill>
              </fill>
            </x14:dxf>
          </x14:cfRule>
          <xm:sqref>D908:D909 D911:D912 D914:D916</xm:sqref>
        </x14:conditionalFormatting>
        <x14:conditionalFormatting xmlns:xm="http://schemas.microsoft.com/office/excel/2006/main">
          <x14:cfRule type="containsText" priority="54" operator="containsText" id="{47603527-2269-4B7D-9D40-BCAE1C8BBCB7}">
            <xm:f>NOT(ISERROR(SEARCH($P$5,D918)))</xm:f>
            <xm:f>$P$5</xm:f>
            <x14:dxf>
              <font>
                <color rgb="FF9C6500"/>
              </font>
              <fill>
                <patternFill>
                  <bgColor rgb="FFFFEB9C"/>
                </patternFill>
              </fill>
            </x14:dxf>
          </x14:cfRule>
          <xm:sqref>D918:D1183</xm:sqref>
        </x14:conditionalFormatting>
        <x14:conditionalFormatting xmlns:xm="http://schemas.microsoft.com/office/excel/2006/main">
          <x14:cfRule type="containsText" priority="43" operator="containsText" id="{566A41EF-4D0B-4B31-8070-3344C3CCCB37}">
            <xm:f>NOT(ISERROR(SEARCH($P$5,D1301)))</xm:f>
            <xm:f>$P$5</xm:f>
            <x14:dxf>
              <font>
                <color rgb="FF9C6500"/>
              </font>
              <fill>
                <patternFill>
                  <bgColor rgb="FFFFEB9C"/>
                </patternFill>
              </fill>
            </x14:dxf>
          </x14:cfRule>
          <xm:sqref>D1301:D1302 D1304:D1305 D1307:D1309</xm:sqref>
        </x14:conditionalFormatting>
        <x14:conditionalFormatting xmlns:xm="http://schemas.microsoft.com/office/excel/2006/main">
          <x14:cfRule type="containsText" priority="44" operator="containsText" id="{245BBF64-0FDA-4926-A6E2-89C97847571B}">
            <xm:f>NOT(ISERROR(SEARCH($P$5,D1311)))</xm:f>
            <xm:f>$P$5</xm:f>
            <x14:dxf>
              <font>
                <color rgb="FF9C6500"/>
              </font>
              <fill>
                <patternFill>
                  <bgColor rgb="FFFFEB9C"/>
                </patternFill>
              </fill>
            </x14:dxf>
          </x14:cfRule>
          <xm:sqref>D1311:D1576</xm:sqref>
        </x14:conditionalFormatting>
        <x14:conditionalFormatting xmlns:xm="http://schemas.microsoft.com/office/excel/2006/main">
          <x14:cfRule type="containsText" priority="33" operator="containsText" id="{09826CD4-6FFC-4B0D-835D-9EC40391E5DE}">
            <xm:f>NOT(ISERROR(SEARCH($P$5,D1694)))</xm:f>
            <xm:f>$P$5</xm:f>
            <x14:dxf>
              <font>
                <color rgb="FF9C6500"/>
              </font>
              <fill>
                <patternFill>
                  <bgColor rgb="FFFFEB9C"/>
                </patternFill>
              </fill>
            </x14:dxf>
          </x14:cfRule>
          <xm:sqref>D1694:D1695 D1697:D1698 D1700:D1702</xm:sqref>
        </x14:conditionalFormatting>
        <x14:conditionalFormatting xmlns:xm="http://schemas.microsoft.com/office/excel/2006/main">
          <x14:cfRule type="containsText" priority="34" operator="containsText" id="{ECFBB8CD-85F3-4539-AB1B-F94162CB614E}">
            <xm:f>NOT(ISERROR(SEARCH($P$5,D1704)))</xm:f>
            <xm:f>$P$5</xm:f>
            <x14:dxf>
              <font>
                <color rgb="FF9C6500"/>
              </font>
              <fill>
                <patternFill>
                  <bgColor rgb="FFFFEB9C"/>
                </patternFill>
              </fill>
            </x14:dxf>
          </x14:cfRule>
          <xm:sqref>D1704:D1969</xm:sqref>
        </x14:conditionalFormatting>
        <x14:conditionalFormatting xmlns:xm="http://schemas.microsoft.com/office/excel/2006/main">
          <x14:cfRule type="containsText" priority="23" operator="containsText" id="{5B0B914E-B389-4389-9167-F65761715385}">
            <xm:f>NOT(ISERROR(SEARCH($P$5,D2087)))</xm:f>
            <xm:f>$P$5</xm:f>
            <x14:dxf>
              <font>
                <color rgb="FF9C6500"/>
              </font>
              <fill>
                <patternFill>
                  <bgColor rgb="FFFFEB9C"/>
                </patternFill>
              </fill>
            </x14:dxf>
          </x14:cfRule>
          <xm:sqref>D2087:D2088 D2090:D2091 D2093:D2095</xm:sqref>
        </x14:conditionalFormatting>
        <x14:conditionalFormatting xmlns:xm="http://schemas.microsoft.com/office/excel/2006/main">
          <x14:cfRule type="containsText" priority="24" operator="containsText" id="{D3B0F51E-4AD7-4E5D-9026-77F6AA5FE0C4}">
            <xm:f>NOT(ISERROR(SEARCH($P$5,D2097)))</xm:f>
            <xm:f>$P$5</xm:f>
            <x14:dxf>
              <font>
                <color rgb="FF9C6500"/>
              </font>
              <fill>
                <patternFill>
                  <bgColor rgb="FFFFEB9C"/>
                </patternFill>
              </fill>
            </x14:dxf>
          </x14:cfRule>
          <xm:sqref>D2097:D2362</xm:sqref>
        </x14:conditionalFormatting>
        <x14:conditionalFormatting xmlns:xm="http://schemas.microsoft.com/office/excel/2006/main">
          <x14:cfRule type="containsText" priority="13" operator="containsText" id="{950100CE-C26A-4913-99E7-2C147453F3EF}">
            <xm:f>NOT(ISERROR(SEARCH($P$5,D2480)))</xm:f>
            <xm:f>$P$5</xm:f>
            <x14:dxf>
              <font>
                <color rgb="FF9C6500"/>
              </font>
              <fill>
                <patternFill>
                  <bgColor rgb="FFFFEB9C"/>
                </patternFill>
              </fill>
            </x14:dxf>
          </x14:cfRule>
          <xm:sqref>D2480:D2481 D2483:D2484 D2486:D2488</xm:sqref>
        </x14:conditionalFormatting>
        <x14:conditionalFormatting xmlns:xm="http://schemas.microsoft.com/office/excel/2006/main">
          <x14:cfRule type="containsText" priority="14" operator="containsText" id="{F4753508-0087-47CA-AB22-33FD55152E7F}">
            <xm:f>NOT(ISERROR(SEARCH($P$5,D2490)))</xm:f>
            <xm:f>$P$5</xm:f>
            <x14:dxf>
              <font>
                <color rgb="FF9C6500"/>
              </font>
              <fill>
                <patternFill>
                  <bgColor rgb="FFFFEB9C"/>
                </patternFill>
              </fill>
            </x14:dxf>
          </x14:cfRule>
          <xm:sqref>D2490:D2755</xm:sqref>
        </x14:conditionalFormatting>
        <x14:conditionalFormatting xmlns:xm="http://schemas.microsoft.com/office/excel/2006/main">
          <x14:cfRule type="containsText" priority="3" operator="containsText" id="{FDF4A580-274F-400A-A16B-599B72B89BE9}">
            <xm:f>NOT(ISERROR(SEARCH($P$5,D2873)))</xm:f>
            <xm:f>$P$5</xm:f>
            <x14:dxf>
              <font>
                <color rgb="FF9C6500"/>
              </font>
              <fill>
                <patternFill>
                  <bgColor rgb="FFFFEB9C"/>
                </patternFill>
              </fill>
            </x14:dxf>
          </x14:cfRule>
          <xm:sqref>D2873:D2874 D2876:D2877 D2879:D2881</xm:sqref>
        </x14:conditionalFormatting>
        <x14:conditionalFormatting xmlns:xm="http://schemas.microsoft.com/office/excel/2006/main">
          <x14:cfRule type="containsText" priority="4" operator="containsText" id="{C891C4D4-8F65-4095-9656-A258D91A5565}">
            <xm:f>NOT(ISERROR(SEARCH($P$5,D2883)))</xm:f>
            <xm:f>$P$5</xm:f>
            <x14:dxf>
              <font>
                <color rgb="FF9C6500"/>
              </font>
              <fill>
                <patternFill>
                  <bgColor rgb="FFFFEB9C"/>
                </patternFill>
              </fill>
            </x14:dxf>
          </x14:cfRule>
          <xm:sqref>D2883:D3148</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166"/>
  <sheetViews>
    <sheetView showGridLines="0" topLeftCell="K34" zoomScale="70" zoomScaleNormal="70" workbookViewId="0">
      <selection activeCell="V57" sqref="V57"/>
    </sheetView>
  </sheetViews>
  <sheetFormatPr defaultColWidth="9.453125" defaultRowHeight="14"/>
  <cols>
    <col min="1" max="1" width="7.90625" style="5" customWidth="1"/>
    <col min="2" max="2" width="6.453125" style="5" customWidth="1"/>
    <col min="3" max="3" width="43" style="5" customWidth="1"/>
    <col min="4" max="7" width="18.453125" style="5" customWidth="1"/>
    <col min="8" max="8" width="24.54296875" style="5" bestFit="1" customWidth="1"/>
    <col min="9" max="12" width="18.453125" style="5" customWidth="1"/>
    <col min="13" max="13" width="23.453125" style="5" bestFit="1" customWidth="1"/>
    <col min="14" max="17" width="18.453125" style="5" customWidth="1"/>
    <col min="18" max="18" width="23.453125" style="5" bestFit="1" customWidth="1"/>
    <col min="19" max="22" width="18.54296875" style="5" customWidth="1"/>
    <col min="23" max="23" width="14.54296875" style="5" customWidth="1"/>
    <col min="24" max="33" width="16" style="5" customWidth="1"/>
    <col min="34" max="16384" width="9.453125" style="5"/>
  </cols>
  <sheetData>
    <row r="1" spans="1:23">
      <c r="B1" s="53"/>
    </row>
    <row r="2" spans="1:23">
      <c r="B2" s="53"/>
    </row>
    <row r="3" spans="1:23">
      <c r="B3" s="53"/>
    </row>
    <row r="4" spans="1:23">
      <c r="B4" s="19"/>
      <c r="I4" s="18"/>
      <c r="J4" s="18"/>
      <c r="K4" s="899" t="str">
        <f>Index!B2</f>
        <v xml:space="preserve">      Maharashtra State Power Generation Company Ltd.</v>
      </c>
      <c r="L4" s="899"/>
      <c r="M4" s="18"/>
      <c r="N4" s="18"/>
      <c r="O4" s="18"/>
      <c r="P4" s="18"/>
      <c r="Q4" s="18"/>
      <c r="R4" s="18"/>
    </row>
    <row r="5" spans="1:23">
      <c r="B5" s="19"/>
      <c r="I5" s="65"/>
      <c r="J5" s="65"/>
      <c r="K5" s="899" t="str">
        <f>Index!B3</f>
        <v>MYT Petition Formats for Parli 8</v>
      </c>
      <c r="L5" s="899"/>
      <c r="M5" s="65"/>
      <c r="N5" s="65"/>
      <c r="O5" s="65"/>
      <c r="P5" s="65"/>
      <c r="Q5" s="65"/>
      <c r="R5" s="65"/>
    </row>
    <row r="6" spans="1:23">
      <c r="B6" s="18"/>
      <c r="I6" s="66"/>
      <c r="J6" s="67"/>
      <c r="K6" s="130" t="s">
        <v>1455</v>
      </c>
      <c r="L6" s="72"/>
      <c r="M6" s="67"/>
      <c r="N6" s="19"/>
      <c r="O6" s="18"/>
      <c r="P6" s="18"/>
      <c r="Q6" s="18"/>
      <c r="R6" s="18"/>
    </row>
    <row r="7" spans="1:23">
      <c r="C7" s="19"/>
      <c r="D7" s="19"/>
      <c r="E7" s="19"/>
      <c r="F7" s="19"/>
      <c r="G7" s="19"/>
      <c r="H7" s="19"/>
      <c r="J7" s="6"/>
      <c r="M7" s="6"/>
      <c r="N7" s="6"/>
    </row>
    <row r="8" spans="1:23">
      <c r="A8" s="5" t="s">
        <v>265</v>
      </c>
      <c r="B8" s="901" t="s">
        <v>266</v>
      </c>
      <c r="C8" s="901"/>
      <c r="D8" s="901"/>
      <c r="E8" s="901"/>
      <c r="F8" s="901"/>
      <c r="G8" s="901"/>
      <c r="H8" s="901"/>
      <c r="I8" s="1"/>
      <c r="J8" s="44"/>
      <c r="K8" s="1"/>
      <c r="L8" s="1"/>
      <c r="M8" s="44"/>
      <c r="N8" s="44"/>
      <c r="O8" s="1"/>
      <c r="P8" s="1"/>
      <c r="Q8" s="1"/>
      <c r="R8" s="256"/>
    </row>
    <row r="9" spans="1:23">
      <c r="B9" s="263"/>
      <c r="C9" s="8"/>
      <c r="D9" s="8"/>
      <c r="E9" s="8"/>
      <c r="F9" s="8"/>
      <c r="G9" s="8"/>
      <c r="H9" s="8"/>
      <c r="I9" s="1"/>
      <c r="J9" s="44"/>
      <c r="K9" s="1"/>
      <c r="L9" s="1"/>
      <c r="M9" s="264" t="s">
        <v>10</v>
      </c>
      <c r="N9" s="44"/>
      <c r="O9" s="1"/>
      <c r="P9" s="1"/>
      <c r="Q9" s="1"/>
    </row>
    <row r="10" spans="1:23" ht="15.75" customHeight="1">
      <c r="B10" s="1804" t="s">
        <v>340</v>
      </c>
      <c r="C10" s="1804" t="s">
        <v>36</v>
      </c>
      <c r="D10" s="1937" t="s">
        <v>508</v>
      </c>
      <c r="E10" s="1937"/>
      <c r="F10" s="1937"/>
      <c r="G10" s="1937"/>
      <c r="H10" s="1937"/>
      <c r="I10" s="1937" t="s">
        <v>509</v>
      </c>
      <c r="J10" s="1937"/>
      <c r="K10" s="1937"/>
      <c r="L10" s="1937"/>
      <c r="M10" s="1937"/>
      <c r="N10" s="1933" t="s">
        <v>510</v>
      </c>
      <c r="O10" s="1933"/>
      <c r="P10" s="1933"/>
      <c r="Q10" s="1933"/>
      <c r="R10" s="1933"/>
      <c r="S10" s="1933" t="s">
        <v>958</v>
      </c>
      <c r="T10" s="1933"/>
      <c r="U10" s="1933"/>
      <c r="V10" s="1933"/>
      <c r="W10" s="1933"/>
    </row>
    <row r="11" spans="1:23" ht="15.75" customHeight="1">
      <c r="B11" s="1804"/>
      <c r="C11" s="1804"/>
      <c r="D11" s="1942" t="s">
        <v>7</v>
      </c>
      <c r="E11" s="1943"/>
      <c r="F11" s="1943"/>
      <c r="G11" s="1943"/>
      <c r="H11" s="1943"/>
      <c r="I11" s="1942" t="s">
        <v>7</v>
      </c>
      <c r="J11" s="1943"/>
      <c r="K11" s="1943"/>
      <c r="L11" s="1943"/>
      <c r="M11" s="1943"/>
      <c r="N11" s="1942" t="s">
        <v>12</v>
      </c>
      <c r="O11" s="1943"/>
      <c r="P11" s="1943"/>
      <c r="Q11" s="1943"/>
      <c r="R11" s="1943"/>
      <c r="S11" s="1937" t="s">
        <v>21</v>
      </c>
      <c r="T11" s="1938"/>
      <c r="U11" s="1938"/>
      <c r="V11" s="1938"/>
      <c r="W11" s="1938"/>
    </row>
    <row r="12" spans="1:23" s="35" customFormat="1" ht="42">
      <c r="B12" s="1804"/>
      <c r="C12" s="1804"/>
      <c r="D12" s="900" t="s">
        <v>267</v>
      </c>
      <c r="E12" s="900" t="s">
        <v>268</v>
      </c>
      <c r="F12" s="900" t="s">
        <v>269</v>
      </c>
      <c r="G12" s="900" t="s">
        <v>589</v>
      </c>
      <c r="H12" s="900" t="s">
        <v>270</v>
      </c>
      <c r="I12" s="900" t="s">
        <v>267</v>
      </c>
      <c r="J12" s="900" t="s">
        <v>268</v>
      </c>
      <c r="K12" s="900" t="s">
        <v>269</v>
      </c>
      <c r="L12" s="900" t="s">
        <v>589</v>
      </c>
      <c r="M12" s="900" t="s">
        <v>270</v>
      </c>
      <c r="N12" s="902" t="s">
        <v>267</v>
      </c>
      <c r="O12" s="902" t="s">
        <v>268</v>
      </c>
      <c r="P12" s="902" t="s">
        <v>269</v>
      </c>
      <c r="Q12" s="900" t="s">
        <v>589</v>
      </c>
      <c r="R12" s="902" t="s">
        <v>270</v>
      </c>
      <c r="S12" s="902" t="s">
        <v>267</v>
      </c>
      <c r="T12" s="902" t="s">
        <v>268</v>
      </c>
      <c r="U12" s="902" t="s">
        <v>269</v>
      </c>
      <c r="V12" s="900" t="s">
        <v>589</v>
      </c>
      <c r="W12" s="902" t="s">
        <v>270</v>
      </c>
    </row>
    <row r="13" spans="1:23" s="36" customFormat="1" ht="28">
      <c r="B13" s="265"/>
      <c r="C13" s="265"/>
      <c r="D13" s="265" t="s">
        <v>80</v>
      </c>
      <c r="E13" s="265" t="s">
        <v>81</v>
      </c>
      <c r="F13" s="265" t="s">
        <v>461</v>
      </c>
      <c r="G13" s="265" t="s">
        <v>391</v>
      </c>
      <c r="H13" s="265" t="s">
        <v>590</v>
      </c>
      <c r="I13" s="265" t="s">
        <v>409</v>
      </c>
      <c r="J13" s="265" t="s">
        <v>511</v>
      </c>
      <c r="K13" s="265" t="s">
        <v>410</v>
      </c>
      <c r="L13" s="265" t="s">
        <v>411</v>
      </c>
      <c r="M13" s="265" t="s">
        <v>654</v>
      </c>
      <c r="N13" s="265" t="s">
        <v>591</v>
      </c>
      <c r="O13" s="265" t="s">
        <v>655</v>
      </c>
      <c r="P13" s="265" t="s">
        <v>592</v>
      </c>
      <c r="Q13" s="265" t="s">
        <v>593</v>
      </c>
      <c r="R13" s="265" t="s">
        <v>1044</v>
      </c>
      <c r="S13" s="265" t="s">
        <v>594</v>
      </c>
      <c r="T13" s="265" t="s">
        <v>595</v>
      </c>
      <c r="U13" s="265" t="s">
        <v>1045</v>
      </c>
      <c r="V13" s="265" t="s">
        <v>1046</v>
      </c>
      <c r="W13" s="265" t="s">
        <v>1047</v>
      </c>
    </row>
    <row r="14" spans="1:23" s="427" customFormat="1">
      <c r="B14" s="474">
        <v>1</v>
      </c>
      <c r="C14" s="476" t="s">
        <v>841</v>
      </c>
      <c r="D14" s="935">
        <f>'F5'!D14</f>
        <v>20.51997533484003</v>
      </c>
      <c r="E14" s="935">
        <f>'F5'!E14</f>
        <v>0</v>
      </c>
      <c r="F14" s="935">
        <f>'F5'!F14</f>
        <v>0</v>
      </c>
      <c r="G14" s="935">
        <f>'F5'!G14</f>
        <v>0</v>
      </c>
      <c r="H14" s="935">
        <f t="shared" ref="H14:H30" si="0">D14+E14-F14-G14</f>
        <v>20.51997533484003</v>
      </c>
      <c r="I14" s="880">
        <f t="shared" ref="I14:I30" si="1">H14</f>
        <v>20.51997533484003</v>
      </c>
      <c r="J14" s="935">
        <f>'F5'!J14</f>
        <v>0</v>
      </c>
      <c r="K14" s="935">
        <f>'F5'!K14</f>
        <v>0</v>
      </c>
      <c r="L14" s="935">
        <f>'F5'!L14</f>
        <v>0</v>
      </c>
      <c r="M14" s="880">
        <f t="shared" ref="M14:M30" si="2">I14+J14-K14-L14</f>
        <v>20.51997533484003</v>
      </c>
      <c r="N14" s="935">
        <f t="shared" ref="N14:N30" si="3">M14</f>
        <v>20.51997533484003</v>
      </c>
      <c r="O14" s="935">
        <f>'F5'!O14</f>
        <v>0</v>
      </c>
      <c r="P14" s="935">
        <f>'F5'!P14</f>
        <v>0</v>
      </c>
      <c r="Q14" s="935">
        <f>'F5'!Q14</f>
        <v>0</v>
      </c>
      <c r="R14" s="935">
        <f t="shared" ref="R14:R30" si="4">N14+O14-P14-Q14</f>
        <v>20.51997533484003</v>
      </c>
      <c r="S14" s="880">
        <f>'F5'!S14+'F5.1 (N)'!D16</f>
        <v>20.51997533484003</v>
      </c>
      <c r="T14" s="935">
        <f>'F5'!T14+'F5.1 (N)'!E16</f>
        <v>0</v>
      </c>
      <c r="U14" s="935">
        <f>'F5'!U14+'F5.1 (N)'!F16</f>
        <v>0</v>
      </c>
      <c r="V14" s="935">
        <f>'F5'!V14+'F5.1 (N)'!G16</f>
        <v>0</v>
      </c>
      <c r="W14" s="880">
        <f t="shared" ref="W14:W30" si="5">S14+T14-U14-V14</f>
        <v>20.51997533484003</v>
      </c>
    </row>
    <row r="15" spans="1:23" s="427" customFormat="1">
      <c r="B15" s="474">
        <f t="shared" ref="B15:B30" si="6">B14+1</f>
        <v>2</v>
      </c>
      <c r="C15" s="476" t="s">
        <v>842</v>
      </c>
      <c r="D15" s="935">
        <f>'F5'!D15</f>
        <v>136.89074260736595</v>
      </c>
      <c r="E15" s="935">
        <f>'F5'!E15</f>
        <v>0</v>
      </c>
      <c r="F15" s="935">
        <f>'F5'!F15</f>
        <v>0</v>
      </c>
      <c r="G15" s="935">
        <f>'F5'!G15</f>
        <v>0</v>
      </c>
      <c r="H15" s="935">
        <f t="shared" si="0"/>
        <v>136.89074260736595</v>
      </c>
      <c r="I15" s="880">
        <f t="shared" si="1"/>
        <v>136.89074260736595</v>
      </c>
      <c r="J15" s="935">
        <f>'F5'!J15</f>
        <v>2.2332679999999998</v>
      </c>
      <c r="K15" s="935">
        <f>'F5'!K15</f>
        <v>0</v>
      </c>
      <c r="L15" s="935">
        <f>'F5'!L15</f>
        <v>0</v>
      </c>
      <c r="M15" s="880">
        <f t="shared" si="2"/>
        <v>139.12401060736596</v>
      </c>
      <c r="N15" s="935">
        <f t="shared" si="3"/>
        <v>139.12401060736596</v>
      </c>
      <c r="O15" s="935">
        <f>'F5'!O15</f>
        <v>0</v>
      </c>
      <c r="P15" s="935">
        <f>'F5'!P15</f>
        <v>0</v>
      </c>
      <c r="Q15" s="935">
        <f>'F5'!Q15</f>
        <v>0</v>
      </c>
      <c r="R15" s="935">
        <f t="shared" si="4"/>
        <v>139.12401060736596</v>
      </c>
      <c r="S15" s="880">
        <f>'F5'!S15+'F5.1 (N)'!D17</f>
        <v>139.12401060736596</v>
      </c>
      <c r="T15" s="935">
        <f>'F5'!T15+'F5.1 (N)'!E17</f>
        <v>0</v>
      </c>
      <c r="U15" s="935">
        <f>'F5'!U15+'F5.1 (N)'!F17</f>
        <v>0</v>
      </c>
      <c r="V15" s="935">
        <f>'F5'!V15+'F5.1 (N)'!G17</f>
        <v>0</v>
      </c>
      <c r="W15" s="880">
        <f t="shared" si="5"/>
        <v>139.12401060736596</v>
      </c>
    </row>
    <row r="16" spans="1:23" s="427" customFormat="1">
      <c r="B16" s="474">
        <f t="shared" si="6"/>
        <v>3</v>
      </c>
      <c r="C16" s="476" t="s">
        <v>843</v>
      </c>
      <c r="D16" s="935">
        <f>'F5'!D16</f>
        <v>0</v>
      </c>
      <c r="E16" s="935">
        <f>'F5'!E16</f>
        <v>0</v>
      </c>
      <c r="F16" s="935">
        <f>'F5'!F16</f>
        <v>0</v>
      </c>
      <c r="G16" s="935">
        <f>'F5'!G16</f>
        <v>0</v>
      </c>
      <c r="H16" s="935">
        <f t="shared" si="0"/>
        <v>0</v>
      </c>
      <c r="I16" s="880">
        <f t="shared" si="1"/>
        <v>0</v>
      </c>
      <c r="J16" s="935">
        <f>'F5'!J16</f>
        <v>0</v>
      </c>
      <c r="K16" s="935">
        <f>'F5'!K16</f>
        <v>0</v>
      </c>
      <c r="L16" s="935">
        <f>'F5'!L16</f>
        <v>0</v>
      </c>
      <c r="M16" s="880">
        <f t="shared" si="2"/>
        <v>0</v>
      </c>
      <c r="N16" s="935">
        <f t="shared" si="3"/>
        <v>0</v>
      </c>
      <c r="O16" s="935">
        <f>'F5'!O16</f>
        <v>0</v>
      </c>
      <c r="P16" s="935">
        <f>'F5'!P16</f>
        <v>0</v>
      </c>
      <c r="Q16" s="935">
        <f>'F5'!Q16</f>
        <v>0</v>
      </c>
      <c r="R16" s="935">
        <f t="shared" si="4"/>
        <v>0</v>
      </c>
      <c r="S16" s="880">
        <f>'F5'!S16+'F5.1 (N)'!D18</f>
        <v>0</v>
      </c>
      <c r="T16" s="935">
        <f>'F5'!T16+'F5.1 (N)'!E18</f>
        <v>0</v>
      </c>
      <c r="U16" s="935">
        <f>'F5'!U16+'F5.1 (N)'!F18</f>
        <v>0</v>
      </c>
      <c r="V16" s="935">
        <f>'F5'!V16+'F5.1 (N)'!G18</f>
        <v>0</v>
      </c>
      <c r="W16" s="880">
        <f t="shared" si="5"/>
        <v>0</v>
      </c>
    </row>
    <row r="17" spans="2:23" s="427" customFormat="1">
      <c r="B17" s="474">
        <f t="shared" si="6"/>
        <v>4</v>
      </c>
      <c r="C17" s="476" t="s">
        <v>844</v>
      </c>
      <c r="D17" s="935">
        <f>'F5'!D17</f>
        <v>104.36282450430936</v>
      </c>
      <c r="E17" s="935">
        <f>'F5'!E17</f>
        <v>0.68323680199999992</v>
      </c>
      <c r="F17" s="935">
        <f>'F5'!F17</f>
        <v>0</v>
      </c>
      <c r="G17" s="935">
        <f>'F5'!G17</f>
        <v>0</v>
      </c>
      <c r="H17" s="935">
        <f t="shared" si="0"/>
        <v>105.04606130630935</v>
      </c>
      <c r="I17" s="880">
        <f t="shared" si="1"/>
        <v>105.04606130630935</v>
      </c>
      <c r="J17" s="935">
        <f>'F5'!J17</f>
        <v>0</v>
      </c>
      <c r="K17" s="935">
        <f>'F5'!K17</f>
        <v>0</v>
      </c>
      <c r="L17" s="935">
        <f>'F5'!L17</f>
        <v>0</v>
      </c>
      <c r="M17" s="880">
        <f t="shared" si="2"/>
        <v>105.04606130630935</v>
      </c>
      <c r="N17" s="935">
        <f t="shared" si="3"/>
        <v>105.04606130630935</v>
      </c>
      <c r="O17" s="935">
        <f>'F5'!O17</f>
        <v>0</v>
      </c>
      <c r="P17" s="935">
        <f>'F5'!P17</f>
        <v>0</v>
      </c>
      <c r="Q17" s="935">
        <f>'F5'!Q17</f>
        <v>0</v>
      </c>
      <c r="R17" s="935">
        <f t="shared" si="4"/>
        <v>105.04606130630935</v>
      </c>
      <c r="S17" s="880">
        <f>'F5'!S17+'F5.1 (N)'!D19</f>
        <v>105.04606130630935</v>
      </c>
      <c r="T17" s="935">
        <f>'F5'!T17+'F5.1 (N)'!E19</f>
        <v>0</v>
      </c>
      <c r="U17" s="935">
        <f>'F5'!U17+'F5.1 (N)'!F19</f>
        <v>0</v>
      </c>
      <c r="V17" s="935">
        <f>'F5'!V17+'F5.1 (N)'!G19</f>
        <v>0</v>
      </c>
      <c r="W17" s="880">
        <f t="shared" si="5"/>
        <v>105.04606130630935</v>
      </c>
    </row>
    <row r="18" spans="2:23" s="427" customFormat="1">
      <c r="B18" s="474">
        <f t="shared" si="6"/>
        <v>5</v>
      </c>
      <c r="C18" s="476" t="s">
        <v>845</v>
      </c>
      <c r="D18" s="935">
        <f>'F5'!D18</f>
        <v>31.32210421217405</v>
      </c>
      <c r="E18" s="935">
        <f>'F5'!E18</f>
        <v>0</v>
      </c>
      <c r="F18" s="935">
        <f>'F5'!F18</f>
        <v>0</v>
      </c>
      <c r="G18" s="935">
        <f>'F5'!G18</f>
        <v>0</v>
      </c>
      <c r="H18" s="935">
        <f t="shared" si="0"/>
        <v>31.32210421217405</v>
      </c>
      <c r="I18" s="880">
        <f t="shared" si="1"/>
        <v>31.32210421217405</v>
      </c>
      <c r="J18" s="935">
        <f>'F5'!J18</f>
        <v>47.005816248000002</v>
      </c>
      <c r="K18" s="935">
        <f>'F5'!K18</f>
        <v>0</v>
      </c>
      <c r="L18" s="935">
        <f>'F5'!L18</f>
        <v>0</v>
      </c>
      <c r="M18" s="880">
        <f t="shared" si="2"/>
        <v>78.327920460174056</v>
      </c>
      <c r="N18" s="935">
        <f t="shared" si="3"/>
        <v>78.327920460174056</v>
      </c>
      <c r="O18" s="935">
        <f>'F5'!O18</f>
        <v>2.0299999999999998</v>
      </c>
      <c r="P18" s="935">
        <f>'F5'!P18</f>
        <v>0</v>
      </c>
      <c r="Q18" s="935">
        <f>'F5'!Q18</f>
        <v>0</v>
      </c>
      <c r="R18" s="935">
        <f t="shared" si="4"/>
        <v>80.357920460174057</v>
      </c>
      <c r="S18" s="880">
        <f>'F5'!S18+'F5.1 (N)'!D20</f>
        <v>80.357920460174057</v>
      </c>
      <c r="T18" s="935">
        <f>'F5'!T18+'F5.1 (N)'!E20</f>
        <v>0</v>
      </c>
      <c r="U18" s="935">
        <f>'F5'!U18+'F5.1 (N)'!F20</f>
        <v>0</v>
      </c>
      <c r="V18" s="935">
        <f>'F5'!V18+'F5.1 (N)'!G20</f>
        <v>0</v>
      </c>
      <c r="W18" s="880">
        <f t="shared" si="5"/>
        <v>80.357920460174057</v>
      </c>
    </row>
    <row r="19" spans="2:23" s="11" customFormat="1">
      <c r="B19" s="474">
        <f t="shared" si="6"/>
        <v>6</v>
      </c>
      <c r="C19" s="476" t="s">
        <v>255</v>
      </c>
      <c r="D19" s="935">
        <f>'F5'!D19</f>
        <v>1538.6799327967624</v>
      </c>
      <c r="E19" s="935">
        <f>'F5'!E19</f>
        <v>11.601230874000001</v>
      </c>
      <c r="F19" s="935">
        <f>'F5'!F19</f>
        <v>0</v>
      </c>
      <c r="G19" s="935">
        <f>'F5'!G19</f>
        <v>0</v>
      </c>
      <c r="H19" s="935">
        <f t="shared" si="0"/>
        <v>1550.2811636707625</v>
      </c>
      <c r="I19" s="880">
        <f t="shared" si="1"/>
        <v>1550.2811636707625</v>
      </c>
      <c r="J19" s="935">
        <f>'F5'!J19</f>
        <v>29.028518059</v>
      </c>
      <c r="K19" s="935">
        <f>'F5'!K19</f>
        <v>0</v>
      </c>
      <c r="L19" s="935">
        <f>'F5'!L19</f>
        <v>0</v>
      </c>
      <c r="M19" s="880">
        <f t="shared" si="2"/>
        <v>1579.3096817297624</v>
      </c>
      <c r="N19" s="935">
        <f t="shared" si="3"/>
        <v>1579.3096817297624</v>
      </c>
      <c r="O19" s="935">
        <f>'F5'!O19</f>
        <v>15.08</v>
      </c>
      <c r="P19" s="935">
        <f>'F5'!P19</f>
        <v>0</v>
      </c>
      <c r="Q19" s="935">
        <f>'F5'!Q19</f>
        <v>0</v>
      </c>
      <c r="R19" s="935">
        <f t="shared" si="4"/>
        <v>1594.3896817297623</v>
      </c>
      <c r="S19" s="880">
        <f>'F5'!S19+'F5.1 (N)'!D21</f>
        <v>1594.3896817297623</v>
      </c>
      <c r="T19" s="935">
        <f>'F5'!T19+'F5.1 (N)'!E21</f>
        <v>102.99666666666666</v>
      </c>
      <c r="U19" s="935">
        <f>'F5'!U19+'F5.1 (N)'!F21</f>
        <v>0</v>
      </c>
      <c r="V19" s="935">
        <f>'F5'!V19+'F5.1 (N)'!G21</f>
        <v>0</v>
      </c>
      <c r="W19" s="880">
        <f t="shared" si="5"/>
        <v>1697.386348396429</v>
      </c>
    </row>
    <row r="20" spans="2:23" s="11" customFormat="1">
      <c r="B20" s="474">
        <f t="shared" si="6"/>
        <v>7</v>
      </c>
      <c r="C20" s="476" t="s">
        <v>846</v>
      </c>
      <c r="D20" s="935">
        <f>'F5'!D20</f>
        <v>0</v>
      </c>
      <c r="E20" s="935">
        <f>'F5'!E20</f>
        <v>0</v>
      </c>
      <c r="F20" s="935">
        <f>'F5'!F20</f>
        <v>0</v>
      </c>
      <c r="G20" s="935">
        <f>'F5'!G20</f>
        <v>0</v>
      </c>
      <c r="H20" s="935">
        <f t="shared" si="0"/>
        <v>0</v>
      </c>
      <c r="I20" s="880">
        <f t="shared" si="1"/>
        <v>0</v>
      </c>
      <c r="J20" s="935">
        <f>'F5'!J20</f>
        <v>0</v>
      </c>
      <c r="K20" s="935">
        <f>'F5'!K20</f>
        <v>0</v>
      </c>
      <c r="L20" s="935">
        <f>'F5'!L20</f>
        <v>0</v>
      </c>
      <c r="M20" s="880">
        <f t="shared" si="2"/>
        <v>0</v>
      </c>
      <c r="N20" s="935">
        <f t="shared" si="3"/>
        <v>0</v>
      </c>
      <c r="O20" s="935">
        <f>'F5'!O20</f>
        <v>0</v>
      </c>
      <c r="P20" s="935">
        <f>'F5'!P20</f>
        <v>0</v>
      </c>
      <c r="Q20" s="935">
        <f>'F5'!Q20</f>
        <v>0</v>
      </c>
      <c r="R20" s="935">
        <f t="shared" si="4"/>
        <v>0</v>
      </c>
      <c r="S20" s="880">
        <f>'F5'!S20+'F5.1 (N)'!D22</f>
        <v>0</v>
      </c>
      <c r="T20" s="935">
        <f>'F5'!T20+'F5.1 (N)'!E22</f>
        <v>0</v>
      </c>
      <c r="U20" s="935">
        <f>'F5'!U20+'F5.1 (N)'!F22</f>
        <v>0</v>
      </c>
      <c r="V20" s="935">
        <f>'F5'!V20+'F5.1 (N)'!G22</f>
        <v>0</v>
      </c>
      <c r="W20" s="880">
        <f t="shared" si="5"/>
        <v>0</v>
      </c>
    </row>
    <row r="21" spans="2:23" s="11" customFormat="1">
      <c r="B21" s="474">
        <f t="shared" si="6"/>
        <v>8</v>
      </c>
      <c r="C21" s="476" t="s">
        <v>847</v>
      </c>
      <c r="D21" s="935">
        <f>'F5'!D21</f>
        <v>0</v>
      </c>
      <c r="E21" s="935">
        <f>'F5'!E21</f>
        <v>0</v>
      </c>
      <c r="F21" s="935">
        <f>'F5'!F21</f>
        <v>0</v>
      </c>
      <c r="G21" s="935">
        <f>'F5'!G21</f>
        <v>0</v>
      </c>
      <c r="H21" s="935">
        <f t="shared" si="0"/>
        <v>0</v>
      </c>
      <c r="I21" s="880">
        <f t="shared" si="1"/>
        <v>0</v>
      </c>
      <c r="J21" s="935">
        <f>'F5'!J21</f>
        <v>0</v>
      </c>
      <c r="K21" s="935">
        <f>'F5'!K21</f>
        <v>0</v>
      </c>
      <c r="L21" s="935">
        <f>'F5'!L21</f>
        <v>0</v>
      </c>
      <c r="M21" s="880">
        <f t="shared" si="2"/>
        <v>0</v>
      </c>
      <c r="N21" s="935">
        <f t="shared" si="3"/>
        <v>0</v>
      </c>
      <c r="O21" s="935">
        <f>'F5'!O21</f>
        <v>0</v>
      </c>
      <c r="P21" s="935">
        <f>'F5'!P21</f>
        <v>0</v>
      </c>
      <c r="Q21" s="935">
        <f>'F5'!Q21</f>
        <v>0</v>
      </c>
      <c r="R21" s="935">
        <f t="shared" si="4"/>
        <v>0</v>
      </c>
      <c r="S21" s="880">
        <f>'F5'!S21+'F5.1 (N)'!D23</f>
        <v>0</v>
      </c>
      <c r="T21" s="935">
        <f>'F5'!T21+'F5.1 (N)'!E23</f>
        <v>2.3333333333333334E-2</v>
      </c>
      <c r="U21" s="935">
        <f>'F5'!U21+'F5.1 (N)'!F23</f>
        <v>0</v>
      </c>
      <c r="V21" s="935">
        <f>'F5'!V21+'F5.1 (N)'!G23</f>
        <v>0</v>
      </c>
      <c r="W21" s="880">
        <f t="shared" si="5"/>
        <v>2.3333333333333334E-2</v>
      </c>
    </row>
    <row r="22" spans="2:23" s="11" customFormat="1">
      <c r="B22" s="474">
        <f t="shared" si="6"/>
        <v>9</v>
      </c>
      <c r="C22" s="476" t="s">
        <v>848</v>
      </c>
      <c r="D22" s="935">
        <f>'F5'!D22</f>
        <v>38.728728173932197</v>
      </c>
      <c r="E22" s="935">
        <f>'F5'!E22</f>
        <v>0</v>
      </c>
      <c r="F22" s="935">
        <f>'F5'!F22</f>
        <v>0</v>
      </c>
      <c r="G22" s="935">
        <f>'F5'!G22</f>
        <v>0</v>
      </c>
      <c r="H22" s="935">
        <f t="shared" si="0"/>
        <v>38.728728173932197</v>
      </c>
      <c r="I22" s="880">
        <f t="shared" si="1"/>
        <v>38.728728173932197</v>
      </c>
      <c r="J22" s="935">
        <f>'F5'!J22</f>
        <v>0</v>
      </c>
      <c r="K22" s="935">
        <f>'F5'!K22</f>
        <v>0</v>
      </c>
      <c r="L22" s="935">
        <f>'F5'!L22</f>
        <v>0</v>
      </c>
      <c r="M22" s="880">
        <f t="shared" si="2"/>
        <v>38.728728173932197</v>
      </c>
      <c r="N22" s="935">
        <f t="shared" si="3"/>
        <v>38.728728173932197</v>
      </c>
      <c r="O22" s="935">
        <f>'F5'!O22</f>
        <v>0</v>
      </c>
      <c r="P22" s="935">
        <f>'F5'!P22</f>
        <v>0</v>
      </c>
      <c r="Q22" s="935">
        <f>'F5'!Q22</f>
        <v>0</v>
      </c>
      <c r="R22" s="935">
        <f t="shared" si="4"/>
        <v>38.728728173932197</v>
      </c>
      <c r="S22" s="880">
        <f>'F5'!S22+'F5.1 (N)'!D24</f>
        <v>38.728728173932197</v>
      </c>
      <c r="T22" s="935">
        <f>'F5'!T22+'F5.1 (N)'!E24</f>
        <v>0</v>
      </c>
      <c r="U22" s="935">
        <f>'F5'!U22+'F5.1 (N)'!F24</f>
        <v>0</v>
      </c>
      <c r="V22" s="935">
        <f>'F5'!V22+'F5.1 (N)'!G24</f>
        <v>0</v>
      </c>
      <c r="W22" s="880">
        <f t="shared" si="5"/>
        <v>38.728728173932197</v>
      </c>
    </row>
    <row r="23" spans="2:23" s="11" customFormat="1">
      <c r="B23" s="474">
        <f t="shared" si="6"/>
        <v>10</v>
      </c>
      <c r="C23" s="476" t="s">
        <v>258</v>
      </c>
      <c r="D23" s="935">
        <f>'F5'!D23</f>
        <v>0</v>
      </c>
      <c r="E23" s="935">
        <f>'F5'!E23</f>
        <v>0</v>
      </c>
      <c r="F23" s="935">
        <f>'F5'!F23</f>
        <v>0</v>
      </c>
      <c r="G23" s="935">
        <f>'F5'!G23</f>
        <v>0</v>
      </c>
      <c r="H23" s="935">
        <f t="shared" si="0"/>
        <v>0</v>
      </c>
      <c r="I23" s="880">
        <f t="shared" si="1"/>
        <v>0</v>
      </c>
      <c r="J23" s="935">
        <f>'F5'!J23</f>
        <v>0</v>
      </c>
      <c r="K23" s="935">
        <f>'F5'!K23</f>
        <v>0</v>
      </c>
      <c r="L23" s="935">
        <f>'F5'!L23</f>
        <v>0</v>
      </c>
      <c r="M23" s="880">
        <f t="shared" si="2"/>
        <v>0</v>
      </c>
      <c r="N23" s="935">
        <f t="shared" si="3"/>
        <v>0</v>
      </c>
      <c r="O23" s="935">
        <f>'F5'!O23</f>
        <v>0</v>
      </c>
      <c r="P23" s="935">
        <f>'F5'!P23</f>
        <v>0</v>
      </c>
      <c r="Q23" s="935">
        <f>'F5'!Q23</f>
        <v>0</v>
      </c>
      <c r="R23" s="935">
        <f t="shared" si="4"/>
        <v>0</v>
      </c>
      <c r="S23" s="880">
        <f>'F5'!S23+'F5.1 (N)'!D25</f>
        <v>0</v>
      </c>
      <c r="T23" s="935">
        <f>'F5'!T23+'F5.1 (N)'!E25</f>
        <v>0</v>
      </c>
      <c r="U23" s="935">
        <f>'F5'!U23+'F5.1 (N)'!F25</f>
        <v>0</v>
      </c>
      <c r="V23" s="935">
        <f>'F5'!V23+'F5.1 (N)'!G25</f>
        <v>0</v>
      </c>
      <c r="W23" s="880">
        <f t="shared" si="5"/>
        <v>0</v>
      </c>
    </row>
    <row r="24" spans="2:23" s="11" customFormat="1">
      <c r="B24" s="474">
        <f t="shared" si="6"/>
        <v>11</v>
      </c>
      <c r="C24" s="476" t="s">
        <v>259</v>
      </c>
      <c r="D24" s="935">
        <f>'F5'!D24</f>
        <v>0.59461078264395029</v>
      </c>
      <c r="E24" s="935">
        <f>'F5'!E24</f>
        <v>3.8904069999999994E-3</v>
      </c>
      <c r="F24" s="935">
        <f>'F5'!F24</f>
        <v>0</v>
      </c>
      <c r="G24" s="935">
        <f>'F5'!G24</f>
        <v>0</v>
      </c>
      <c r="H24" s="935">
        <f t="shared" si="0"/>
        <v>0.59850118964395027</v>
      </c>
      <c r="I24" s="880">
        <f t="shared" si="1"/>
        <v>0.59850118964395027</v>
      </c>
      <c r="J24" s="935">
        <f>'F5'!J24</f>
        <v>0.18916240600000001</v>
      </c>
      <c r="K24" s="935">
        <f>'F5'!K24</f>
        <v>0</v>
      </c>
      <c r="L24" s="935">
        <f>'F5'!L24</f>
        <v>0</v>
      </c>
      <c r="M24" s="880">
        <f t="shared" si="2"/>
        <v>0.78766359564395028</v>
      </c>
      <c r="N24" s="935">
        <f t="shared" si="3"/>
        <v>0.78766359564395028</v>
      </c>
      <c r="O24" s="935">
        <f>'F5'!O24</f>
        <v>0</v>
      </c>
      <c r="P24" s="935">
        <f>'F5'!P24</f>
        <v>0</v>
      </c>
      <c r="Q24" s="935">
        <f>'F5'!Q24</f>
        <v>0</v>
      </c>
      <c r="R24" s="935">
        <f t="shared" si="4"/>
        <v>0.78766359564395028</v>
      </c>
      <c r="S24" s="880">
        <f>'F5'!S24+'F5.1 (N)'!D26</f>
        <v>0.78766359564395028</v>
      </c>
      <c r="T24" s="935">
        <f>'F5'!T24+'F5.1 (N)'!E26</f>
        <v>6.6666666666666662E-3</v>
      </c>
      <c r="U24" s="935">
        <f>'F5'!U24+'F5.1 (N)'!F26</f>
        <v>0</v>
      </c>
      <c r="V24" s="935">
        <f>'F5'!V24+'F5.1 (N)'!G26</f>
        <v>0</v>
      </c>
      <c r="W24" s="880">
        <f t="shared" si="5"/>
        <v>0.79433026231061699</v>
      </c>
    </row>
    <row r="25" spans="2:23" s="11" customFormat="1">
      <c r="B25" s="474">
        <f t="shared" si="6"/>
        <v>12</v>
      </c>
      <c r="C25" s="476" t="s">
        <v>260</v>
      </c>
      <c r="D25" s="935">
        <f>'F5'!D25</f>
        <v>0</v>
      </c>
      <c r="E25" s="935">
        <f>'F5'!E25</f>
        <v>0</v>
      </c>
      <c r="F25" s="935">
        <f>'F5'!F25</f>
        <v>0</v>
      </c>
      <c r="G25" s="935">
        <f>'F5'!G25</f>
        <v>0</v>
      </c>
      <c r="H25" s="935">
        <f t="shared" si="0"/>
        <v>0</v>
      </c>
      <c r="I25" s="880">
        <f t="shared" si="1"/>
        <v>0</v>
      </c>
      <c r="J25" s="935">
        <f>'F5'!J25</f>
        <v>0</v>
      </c>
      <c r="K25" s="935">
        <f>'F5'!K25</f>
        <v>0</v>
      </c>
      <c r="L25" s="935">
        <f>'F5'!L25</f>
        <v>0</v>
      </c>
      <c r="M25" s="880">
        <f t="shared" si="2"/>
        <v>0</v>
      </c>
      <c r="N25" s="935">
        <f t="shared" si="3"/>
        <v>0</v>
      </c>
      <c r="O25" s="935">
        <f>'F5'!O25</f>
        <v>0</v>
      </c>
      <c r="P25" s="935">
        <f>'F5'!P25</f>
        <v>0</v>
      </c>
      <c r="Q25" s="935">
        <f>'F5'!Q25</f>
        <v>0</v>
      </c>
      <c r="R25" s="935">
        <f t="shared" si="4"/>
        <v>0</v>
      </c>
      <c r="S25" s="880">
        <f>'F5'!S25+'F5.1 (N)'!D27</f>
        <v>0</v>
      </c>
      <c r="T25" s="935">
        <f>'F5'!T25+'F5.1 (N)'!E27</f>
        <v>0</v>
      </c>
      <c r="U25" s="935">
        <f>'F5'!U25+'F5.1 (N)'!F27</f>
        <v>0</v>
      </c>
      <c r="V25" s="935">
        <f>'F5'!V25+'F5.1 (N)'!G27</f>
        <v>0</v>
      </c>
      <c r="W25" s="880">
        <f t="shared" si="5"/>
        <v>0</v>
      </c>
    </row>
    <row r="26" spans="2:23" s="11" customFormat="1">
      <c r="B26" s="474">
        <f t="shared" si="6"/>
        <v>13</v>
      </c>
      <c r="C26" s="476" t="s">
        <v>897</v>
      </c>
      <c r="D26" s="935">
        <f>'F5'!D26</f>
        <v>0</v>
      </c>
      <c r="E26" s="935">
        <f>'F5'!E26</f>
        <v>0</v>
      </c>
      <c r="F26" s="935">
        <f>'F5'!F26</f>
        <v>0</v>
      </c>
      <c r="G26" s="935">
        <f>'F5'!G26</f>
        <v>0</v>
      </c>
      <c r="H26" s="935">
        <f t="shared" si="0"/>
        <v>0</v>
      </c>
      <c r="I26" s="880">
        <f t="shared" si="1"/>
        <v>0</v>
      </c>
      <c r="J26" s="935">
        <f>'F5'!J26</f>
        <v>0</v>
      </c>
      <c r="K26" s="935">
        <f>'F5'!K26</f>
        <v>0</v>
      </c>
      <c r="L26" s="935">
        <f>'F5'!L26</f>
        <v>0</v>
      </c>
      <c r="M26" s="880">
        <f t="shared" si="2"/>
        <v>0</v>
      </c>
      <c r="N26" s="935">
        <f t="shared" si="3"/>
        <v>0</v>
      </c>
      <c r="O26" s="935">
        <f>'F5'!O26</f>
        <v>0</v>
      </c>
      <c r="P26" s="935">
        <f>'F5'!P26</f>
        <v>0</v>
      </c>
      <c r="Q26" s="935">
        <f>'F5'!Q26</f>
        <v>0</v>
      </c>
      <c r="R26" s="935">
        <f t="shared" si="4"/>
        <v>0</v>
      </c>
      <c r="S26" s="880">
        <f>'F5'!S26+'F5.1 (N)'!D28</f>
        <v>0</v>
      </c>
      <c r="T26" s="935">
        <f>'F5'!T26+'F5.1 (N)'!E28</f>
        <v>0</v>
      </c>
      <c r="U26" s="935">
        <f>'F5'!U26+'F5.1 (N)'!F28</f>
        <v>0</v>
      </c>
      <c r="V26" s="935">
        <f>'F5'!V26+'F5.1 (N)'!G28</f>
        <v>0</v>
      </c>
      <c r="W26" s="880">
        <f t="shared" si="5"/>
        <v>0</v>
      </c>
    </row>
    <row r="27" spans="2:23" s="11" customFormat="1">
      <c r="B27" s="474">
        <f t="shared" si="6"/>
        <v>14</v>
      </c>
      <c r="C27" s="476" t="s">
        <v>898</v>
      </c>
      <c r="D27" s="935">
        <f>'F5'!D27</f>
        <v>0</v>
      </c>
      <c r="E27" s="935">
        <f>'F5'!E27</f>
        <v>0.51900124400000003</v>
      </c>
      <c r="F27" s="935">
        <f>'F5'!F27</f>
        <v>0</v>
      </c>
      <c r="G27" s="935">
        <f>'F5'!G27</f>
        <v>0</v>
      </c>
      <c r="H27" s="935">
        <f t="shared" si="0"/>
        <v>0.51900124400000003</v>
      </c>
      <c r="I27" s="880">
        <f t="shared" si="1"/>
        <v>0.51900124400000003</v>
      </c>
      <c r="J27" s="935">
        <f>'F5'!J27</f>
        <v>0.37698879999999996</v>
      </c>
      <c r="K27" s="935">
        <f>'F5'!K27</f>
        <v>0</v>
      </c>
      <c r="L27" s="935">
        <f>'F5'!L27</f>
        <v>0</v>
      </c>
      <c r="M27" s="880">
        <f t="shared" si="2"/>
        <v>0.89599004399999993</v>
      </c>
      <c r="N27" s="935">
        <f t="shared" si="3"/>
        <v>0.89599004399999993</v>
      </c>
      <c r="O27" s="935">
        <f>'F5'!O27</f>
        <v>0</v>
      </c>
      <c r="P27" s="935">
        <f>'F5'!P27</f>
        <v>0</v>
      </c>
      <c r="Q27" s="935">
        <f>'F5'!Q27</f>
        <v>0</v>
      </c>
      <c r="R27" s="935">
        <f t="shared" si="4"/>
        <v>0.89599004399999993</v>
      </c>
      <c r="S27" s="880">
        <f>'F5'!S27+'F5.1 (N)'!D29</f>
        <v>0.89599004399999993</v>
      </c>
      <c r="T27" s="935">
        <f>'F5'!T27+'F5.1 (N)'!E29</f>
        <v>6.6666666666666666E-2</v>
      </c>
      <c r="U27" s="935">
        <f>'F5'!U27+'F5.1 (N)'!F29</f>
        <v>0</v>
      </c>
      <c r="V27" s="935">
        <f>'F5'!V27+'F5.1 (N)'!G29</f>
        <v>0</v>
      </c>
      <c r="W27" s="880">
        <f t="shared" si="5"/>
        <v>0.96265671066666658</v>
      </c>
    </row>
    <row r="28" spans="2:23" s="11" customFormat="1">
      <c r="B28" s="474">
        <f t="shared" si="6"/>
        <v>15</v>
      </c>
      <c r="C28" s="476" t="s">
        <v>899</v>
      </c>
      <c r="D28" s="935">
        <f>'F5'!D28</f>
        <v>0</v>
      </c>
      <c r="E28" s="935">
        <f>'F5'!E28</f>
        <v>0</v>
      </c>
      <c r="F28" s="935">
        <f>'F5'!F28</f>
        <v>0</v>
      </c>
      <c r="G28" s="935">
        <f>'F5'!G28</f>
        <v>0</v>
      </c>
      <c r="H28" s="935">
        <f t="shared" si="0"/>
        <v>0</v>
      </c>
      <c r="I28" s="880">
        <f t="shared" si="1"/>
        <v>0</v>
      </c>
      <c r="J28" s="935">
        <f>'F5'!J28</f>
        <v>0</v>
      </c>
      <c r="K28" s="935">
        <f>'F5'!K28</f>
        <v>0</v>
      </c>
      <c r="L28" s="935">
        <f>'F5'!L28</f>
        <v>0</v>
      </c>
      <c r="M28" s="880">
        <f t="shared" si="2"/>
        <v>0</v>
      </c>
      <c r="N28" s="935">
        <f t="shared" si="3"/>
        <v>0</v>
      </c>
      <c r="O28" s="935">
        <f>'F5'!O28</f>
        <v>0</v>
      </c>
      <c r="P28" s="935">
        <f>'F5'!P28</f>
        <v>0</v>
      </c>
      <c r="Q28" s="935">
        <f>'F5'!Q28</f>
        <v>0</v>
      </c>
      <c r="R28" s="935">
        <f t="shared" si="4"/>
        <v>0</v>
      </c>
      <c r="S28" s="880">
        <f>'F5'!S28+'F5.1 (N)'!D30</f>
        <v>0</v>
      </c>
      <c r="T28" s="935">
        <f>'F5'!T28+'F5.1 (N)'!E30</f>
        <v>0</v>
      </c>
      <c r="U28" s="935">
        <f>'F5'!U28+'F5.1 (N)'!F30</f>
        <v>0</v>
      </c>
      <c r="V28" s="935">
        <f>'F5'!V28+'F5.1 (N)'!G30</f>
        <v>0</v>
      </c>
      <c r="W28" s="880">
        <f t="shared" si="5"/>
        <v>0</v>
      </c>
    </row>
    <row r="29" spans="2:23" s="11" customFormat="1">
      <c r="B29" s="474">
        <f t="shared" si="6"/>
        <v>16</v>
      </c>
      <c r="C29" s="476" t="s">
        <v>849</v>
      </c>
      <c r="D29" s="935">
        <f>'F5'!D29</f>
        <v>0</v>
      </c>
      <c r="E29" s="935">
        <f>'F5'!E29</f>
        <v>0</v>
      </c>
      <c r="F29" s="935">
        <f>'F5'!F29</f>
        <v>0</v>
      </c>
      <c r="G29" s="935">
        <f>'F5'!G29</f>
        <v>0</v>
      </c>
      <c r="H29" s="935">
        <f t="shared" si="0"/>
        <v>0</v>
      </c>
      <c r="I29" s="880">
        <f t="shared" si="1"/>
        <v>0</v>
      </c>
      <c r="J29" s="935">
        <f>'F5'!J29</f>
        <v>0</v>
      </c>
      <c r="K29" s="935">
        <f>'F5'!K29</f>
        <v>0</v>
      </c>
      <c r="L29" s="935">
        <f>'F5'!L29</f>
        <v>0</v>
      </c>
      <c r="M29" s="880">
        <f t="shared" si="2"/>
        <v>0</v>
      </c>
      <c r="N29" s="935">
        <f t="shared" si="3"/>
        <v>0</v>
      </c>
      <c r="O29" s="935">
        <f>'F5'!O29</f>
        <v>0</v>
      </c>
      <c r="P29" s="935">
        <f>'F5'!P29</f>
        <v>0</v>
      </c>
      <c r="Q29" s="935">
        <f>'F5'!Q29</f>
        <v>0</v>
      </c>
      <c r="R29" s="935">
        <f t="shared" si="4"/>
        <v>0</v>
      </c>
      <c r="S29" s="880">
        <f>'F5'!S29+'F5.1 (N)'!D31</f>
        <v>0</v>
      </c>
      <c r="T29" s="935">
        <f>'F5'!T29+'F5.1 (N)'!E31</f>
        <v>0</v>
      </c>
      <c r="U29" s="935">
        <f>'F5'!U29+'F5.1 (N)'!F31</f>
        <v>0</v>
      </c>
      <c r="V29" s="935">
        <f>'F5'!V29+'F5.1 (N)'!G31</f>
        <v>0</v>
      </c>
      <c r="W29" s="880">
        <f t="shared" si="5"/>
        <v>0</v>
      </c>
    </row>
    <row r="30" spans="2:23" s="11" customFormat="1">
      <c r="B30" s="474">
        <f t="shared" si="6"/>
        <v>17</v>
      </c>
      <c r="C30" s="476" t="s">
        <v>900</v>
      </c>
      <c r="D30" s="935">
        <f>'F5'!D30</f>
        <v>0</v>
      </c>
      <c r="E30" s="935">
        <f>'F5'!E30</f>
        <v>0</v>
      </c>
      <c r="F30" s="935">
        <f>'F5'!F30</f>
        <v>0</v>
      </c>
      <c r="G30" s="935">
        <f>'F5'!G30</f>
        <v>0</v>
      </c>
      <c r="H30" s="935">
        <f t="shared" si="0"/>
        <v>0</v>
      </c>
      <c r="I30" s="880">
        <f t="shared" si="1"/>
        <v>0</v>
      </c>
      <c r="J30" s="935">
        <f>'F5'!J30</f>
        <v>0</v>
      </c>
      <c r="K30" s="935">
        <f>'F5'!K30</f>
        <v>0</v>
      </c>
      <c r="L30" s="935">
        <f>'F5'!L30</f>
        <v>0</v>
      </c>
      <c r="M30" s="880">
        <f t="shared" si="2"/>
        <v>0</v>
      </c>
      <c r="N30" s="935">
        <f t="shared" si="3"/>
        <v>0</v>
      </c>
      <c r="O30" s="935">
        <f>'F5'!O30</f>
        <v>0</v>
      </c>
      <c r="P30" s="935">
        <f>'F5'!P30</f>
        <v>0</v>
      </c>
      <c r="Q30" s="935">
        <f>'F5'!Q30</f>
        <v>0</v>
      </c>
      <c r="R30" s="935">
        <f t="shared" si="4"/>
        <v>0</v>
      </c>
      <c r="S30" s="880">
        <f>'F5'!S30+'F5.1 (N)'!D32</f>
        <v>0</v>
      </c>
      <c r="T30" s="935">
        <f>'F5'!T30+'F5.1 (N)'!E32</f>
        <v>0</v>
      </c>
      <c r="U30" s="935">
        <f>'F5'!U30+'F5.1 (N)'!F32</f>
        <v>0</v>
      </c>
      <c r="V30" s="935">
        <f>'F5'!V30+'F5.1 (N)'!G32</f>
        <v>0</v>
      </c>
      <c r="W30" s="880">
        <f t="shared" si="5"/>
        <v>0</v>
      </c>
    </row>
    <row r="31" spans="2:23" s="1" customFormat="1" ht="16">
      <c r="B31" s="83"/>
      <c r="C31" s="97" t="s">
        <v>271</v>
      </c>
      <c r="D31" s="945">
        <f t="shared" ref="D31:W31" si="7">SUM(D14:D30)</f>
        <v>1871.0989184120281</v>
      </c>
      <c r="E31" s="945">
        <f t="shared" si="7"/>
        <v>12.807359327</v>
      </c>
      <c r="F31" s="945">
        <f t="shared" si="7"/>
        <v>0</v>
      </c>
      <c r="G31" s="945">
        <f t="shared" si="7"/>
        <v>0</v>
      </c>
      <c r="H31" s="945">
        <f t="shared" si="7"/>
        <v>1883.9062777390282</v>
      </c>
      <c r="I31" s="945">
        <f t="shared" si="7"/>
        <v>1883.9062777390282</v>
      </c>
      <c r="J31" s="945">
        <f t="shared" si="7"/>
        <v>78.833753513000005</v>
      </c>
      <c r="K31" s="945">
        <f t="shared" si="7"/>
        <v>0</v>
      </c>
      <c r="L31" s="945">
        <f t="shared" si="7"/>
        <v>0</v>
      </c>
      <c r="M31" s="945">
        <f t="shared" si="7"/>
        <v>1962.7400312520281</v>
      </c>
      <c r="N31" s="945">
        <f t="shared" si="7"/>
        <v>1962.7400312520281</v>
      </c>
      <c r="O31" s="945">
        <f t="shared" si="7"/>
        <v>17.11</v>
      </c>
      <c r="P31" s="945">
        <f t="shared" si="7"/>
        <v>0</v>
      </c>
      <c r="Q31" s="945">
        <f t="shared" si="7"/>
        <v>0</v>
      </c>
      <c r="R31" s="945">
        <f t="shared" si="7"/>
        <v>1979.850031252028</v>
      </c>
      <c r="S31" s="945">
        <f t="shared" si="7"/>
        <v>1979.850031252028</v>
      </c>
      <c r="T31" s="945">
        <f t="shared" si="7"/>
        <v>103.09333333333331</v>
      </c>
      <c r="U31" s="945">
        <f t="shared" si="7"/>
        <v>0</v>
      </c>
      <c r="V31" s="945">
        <f t="shared" si="7"/>
        <v>0</v>
      </c>
      <c r="W31" s="945">
        <f t="shared" si="7"/>
        <v>2082.943364585361</v>
      </c>
    </row>
    <row r="32" spans="2:23" s="1" customFormat="1">
      <c r="B32" s="901"/>
      <c r="C32" s="8"/>
      <c r="D32" s="8"/>
      <c r="E32" s="8"/>
      <c r="F32" s="8"/>
      <c r="G32" s="8"/>
      <c r="H32" s="8"/>
      <c r="J32" s="44"/>
      <c r="M32" s="44"/>
      <c r="N32" s="44"/>
    </row>
    <row r="33" spans="1:33">
      <c r="B33" s="1944" t="s">
        <v>599</v>
      </c>
      <c r="C33" s="1944"/>
      <c r="D33" s="1944"/>
      <c r="E33" s="1944"/>
      <c r="F33" s="1944"/>
      <c r="G33" s="1944"/>
      <c r="H33" s="8"/>
      <c r="I33" s="1"/>
      <c r="J33" s="44"/>
      <c r="K33" s="1"/>
      <c r="L33" s="1"/>
      <c r="M33" s="44"/>
      <c r="N33" s="44"/>
      <c r="O33" s="1"/>
      <c r="P33" s="1"/>
      <c r="Q33" s="1"/>
      <c r="R33" s="1"/>
    </row>
    <row r="34" spans="1:33">
      <c r="B34" s="901"/>
      <c r="C34" s="8"/>
      <c r="D34" s="8"/>
      <c r="E34" s="8"/>
      <c r="F34" s="8"/>
      <c r="G34" s="8"/>
      <c r="H34" s="8"/>
      <c r="I34" s="1"/>
      <c r="J34" s="44"/>
      <c r="K34" s="1"/>
      <c r="L34" s="1"/>
      <c r="M34" s="44"/>
      <c r="N34" s="44"/>
      <c r="O34" s="1"/>
      <c r="P34" s="1"/>
      <c r="Q34" s="1"/>
      <c r="R34" s="1"/>
    </row>
    <row r="35" spans="1:33" ht="15.75" customHeight="1">
      <c r="B35" s="901"/>
      <c r="C35" s="8"/>
      <c r="D35" s="8"/>
      <c r="E35" s="8"/>
      <c r="F35" s="8"/>
      <c r="G35" s="8"/>
      <c r="H35" s="8"/>
      <c r="I35" s="1"/>
      <c r="J35" s="44"/>
      <c r="K35" s="1"/>
      <c r="L35" s="1"/>
      <c r="M35" s="44"/>
      <c r="N35" s="44"/>
      <c r="O35" s="1"/>
      <c r="P35" s="1"/>
      <c r="Q35" s="1"/>
      <c r="AG35" s="264" t="s">
        <v>10</v>
      </c>
    </row>
    <row r="36" spans="1:33" ht="15.75" customHeight="1">
      <c r="B36" s="1804" t="s">
        <v>340</v>
      </c>
      <c r="C36" s="1804" t="s">
        <v>36</v>
      </c>
      <c r="D36" s="1939" t="s">
        <v>959</v>
      </c>
      <c r="E36" s="1940"/>
      <c r="F36" s="1940"/>
      <c r="G36" s="1940"/>
      <c r="H36" s="1941"/>
      <c r="I36" s="1939" t="s">
        <v>960</v>
      </c>
      <c r="J36" s="1940"/>
      <c r="K36" s="1940"/>
      <c r="L36" s="1940"/>
      <c r="M36" s="1941"/>
      <c r="N36" s="1933" t="s">
        <v>961</v>
      </c>
      <c r="O36" s="1933"/>
      <c r="P36" s="1933"/>
      <c r="Q36" s="1933"/>
      <c r="R36" s="1933"/>
      <c r="S36" s="1933" t="s">
        <v>962</v>
      </c>
      <c r="T36" s="1933"/>
      <c r="U36" s="1933"/>
      <c r="V36" s="1933"/>
      <c r="W36" s="1933"/>
    </row>
    <row r="37" spans="1:33" s="35" customFormat="1">
      <c r="B37" s="1804"/>
      <c r="C37" s="1804"/>
      <c r="D37" s="1934" t="s">
        <v>21</v>
      </c>
      <c r="E37" s="1935"/>
      <c r="F37" s="1935"/>
      <c r="G37" s="1935"/>
      <c r="H37" s="1936"/>
      <c r="I37" s="1934" t="s">
        <v>21</v>
      </c>
      <c r="J37" s="1935"/>
      <c r="K37" s="1935"/>
      <c r="L37" s="1935"/>
      <c r="M37" s="1936"/>
      <c r="N37" s="1937" t="s">
        <v>21</v>
      </c>
      <c r="O37" s="1938"/>
      <c r="P37" s="1938"/>
      <c r="Q37" s="1938"/>
      <c r="R37" s="1938"/>
      <c r="S37" s="1937" t="s">
        <v>21</v>
      </c>
      <c r="T37" s="1938"/>
      <c r="U37" s="1938"/>
      <c r="V37" s="1938"/>
      <c r="W37" s="1938"/>
    </row>
    <row r="38" spans="1:33" s="36" customFormat="1" ht="42">
      <c r="B38" s="1804"/>
      <c r="C38" s="1804"/>
      <c r="D38" s="902" t="s">
        <v>267</v>
      </c>
      <c r="E38" s="902" t="s">
        <v>268</v>
      </c>
      <c r="F38" s="902" t="s">
        <v>269</v>
      </c>
      <c r="G38" s="900" t="s">
        <v>589</v>
      </c>
      <c r="H38" s="902" t="s">
        <v>270</v>
      </c>
      <c r="I38" s="902" t="s">
        <v>267</v>
      </c>
      <c r="J38" s="902" t="s">
        <v>268</v>
      </c>
      <c r="K38" s="902" t="s">
        <v>269</v>
      </c>
      <c r="L38" s="900" t="s">
        <v>589</v>
      </c>
      <c r="M38" s="902" t="s">
        <v>270</v>
      </c>
      <c r="N38" s="902" t="s">
        <v>267</v>
      </c>
      <c r="O38" s="902" t="s">
        <v>268</v>
      </c>
      <c r="P38" s="902" t="s">
        <v>269</v>
      </c>
      <c r="Q38" s="900" t="s">
        <v>589</v>
      </c>
      <c r="R38" s="902" t="s">
        <v>270</v>
      </c>
      <c r="S38" s="902" t="s">
        <v>267</v>
      </c>
      <c r="T38" s="902" t="s">
        <v>268</v>
      </c>
      <c r="U38" s="902" t="s">
        <v>269</v>
      </c>
      <c r="V38" s="900" t="s">
        <v>589</v>
      </c>
      <c r="W38" s="902" t="s">
        <v>270</v>
      </c>
    </row>
    <row r="39" spans="1:33" s="6" customFormat="1" ht="28">
      <c r="B39" s="265"/>
      <c r="C39" s="265"/>
      <c r="D39" s="265" t="s">
        <v>596</v>
      </c>
      <c r="E39" s="265" t="s">
        <v>597</v>
      </c>
      <c r="F39" s="265" t="s">
        <v>598</v>
      </c>
      <c r="G39" s="265" t="s">
        <v>656</v>
      </c>
      <c r="H39" s="265" t="s">
        <v>657</v>
      </c>
      <c r="I39" s="265" t="s">
        <v>658</v>
      </c>
      <c r="J39" s="265" t="s">
        <v>659</v>
      </c>
      <c r="K39" s="265" t="s">
        <v>660</v>
      </c>
      <c r="L39" s="265" t="s">
        <v>661</v>
      </c>
      <c r="M39" s="265" t="s">
        <v>662</v>
      </c>
      <c r="N39" s="265" t="s">
        <v>663</v>
      </c>
      <c r="O39" s="265" t="s">
        <v>664</v>
      </c>
      <c r="P39" s="265" t="s">
        <v>665</v>
      </c>
      <c r="Q39" s="265" t="s">
        <v>666</v>
      </c>
      <c r="R39" s="265" t="s">
        <v>667</v>
      </c>
      <c r="S39" s="265" t="s">
        <v>1454</v>
      </c>
      <c r="T39" s="265" t="s">
        <v>1453</v>
      </c>
      <c r="U39" s="265" t="s">
        <v>1452</v>
      </c>
      <c r="V39" s="265" t="s">
        <v>1451</v>
      </c>
      <c r="W39" s="265" t="s">
        <v>1450</v>
      </c>
    </row>
    <row r="40" spans="1:33" s="427" customFormat="1">
      <c r="B40" s="474">
        <v>1</v>
      </c>
      <c r="C40" s="476" t="s">
        <v>841</v>
      </c>
      <c r="D40" s="880">
        <f t="shared" ref="D40:D56" si="8">W14</f>
        <v>20.51997533484003</v>
      </c>
      <c r="E40" s="935">
        <f>'F5'!E40+'F5.1 (N)'!J16</f>
        <v>0</v>
      </c>
      <c r="F40" s="935">
        <f>'F5'!F40+'F5.1 (N)'!K16</f>
        <v>0</v>
      </c>
      <c r="G40" s="935">
        <f>'F5'!G40+'F5.1 (N)'!L16</f>
        <v>0</v>
      </c>
      <c r="H40" s="880">
        <f t="shared" ref="H40:H56" si="9">D40+E40-F40-G40</f>
        <v>20.51997533484003</v>
      </c>
      <c r="I40" s="880">
        <f t="shared" ref="I40:I56" si="10">H40</f>
        <v>20.51997533484003</v>
      </c>
      <c r="J40" s="935">
        <f>'F5'!J40+'F5.1 (N)'!O16</f>
        <v>0</v>
      </c>
      <c r="K40" s="935">
        <f>'F5'!K40+'F5.1 (N)'!P16</f>
        <v>0</v>
      </c>
      <c r="L40" s="935">
        <f>'F5'!L40+'F5.1 (N)'!Q16</f>
        <v>0</v>
      </c>
      <c r="M40" s="880">
        <f t="shared" ref="M40:M56" si="11">I40+J40-K40-L40</f>
        <v>20.51997533484003</v>
      </c>
      <c r="N40" s="880">
        <f t="shared" ref="N40:N56" si="12">M40</f>
        <v>20.51997533484003</v>
      </c>
      <c r="O40" s="935">
        <f>'F5'!O40+'F5.1 (N)'!T16</f>
        <v>0</v>
      </c>
      <c r="P40" s="935">
        <f>'F5'!P40+'F5.1 (N)'!U16</f>
        <v>0</v>
      </c>
      <c r="Q40" s="935">
        <f>'F5'!Q40+'F5.1 (N)'!V16</f>
        <v>0</v>
      </c>
      <c r="R40" s="880">
        <f t="shared" ref="R40:R56" si="13">N40+O40-P40-Q40</f>
        <v>20.51997533484003</v>
      </c>
      <c r="S40" s="880">
        <f t="shared" ref="S40:S56" si="14">R40</f>
        <v>20.51997533484003</v>
      </c>
      <c r="T40" s="935">
        <f>'F5'!T40+'F5.1 (N)'!Y16</f>
        <v>0</v>
      </c>
      <c r="U40" s="935">
        <f>'F5'!U40+'F5.1 (N)'!Z16</f>
        <v>0</v>
      </c>
      <c r="V40" s="935">
        <f>'F5'!V40+'F5.1 (N)'!AA16</f>
        <v>0</v>
      </c>
      <c r="W40" s="880">
        <f t="shared" ref="W40:W56" si="15">S40+T40-U40-V40</f>
        <v>20.51997533484003</v>
      </c>
    </row>
    <row r="41" spans="1:33" s="427" customFormat="1">
      <c r="B41" s="474">
        <f t="shared" ref="B41:B56" si="16">B40+1</f>
        <v>2</v>
      </c>
      <c r="C41" s="476" t="s">
        <v>842</v>
      </c>
      <c r="D41" s="880">
        <f t="shared" si="8"/>
        <v>139.12401060736596</v>
      </c>
      <c r="E41" s="935">
        <f>'F5'!E41+'F5.1 (N)'!J17</f>
        <v>2.8075000000000001</v>
      </c>
      <c r="F41" s="935">
        <f>'F5'!F41+'F5.1 (N)'!K17</f>
        <v>0</v>
      </c>
      <c r="G41" s="935">
        <f>'F5'!G41+'F5.1 (N)'!L17</f>
        <v>0</v>
      </c>
      <c r="H41" s="880">
        <f t="shared" si="9"/>
        <v>141.93151060736596</v>
      </c>
      <c r="I41" s="880">
        <f t="shared" si="10"/>
        <v>141.93151060736596</v>
      </c>
      <c r="J41" s="935">
        <f>'F5'!J41+'F5.1 (N)'!O17</f>
        <v>0</v>
      </c>
      <c r="K41" s="935">
        <f>'F5'!K41+'F5.1 (N)'!P17</f>
        <v>0</v>
      </c>
      <c r="L41" s="935">
        <f>'F5'!L41+'F5.1 (N)'!Q17</f>
        <v>0</v>
      </c>
      <c r="M41" s="880">
        <f t="shared" si="11"/>
        <v>141.93151060736596</v>
      </c>
      <c r="N41" s="880">
        <f t="shared" si="12"/>
        <v>141.93151060736596</v>
      </c>
      <c r="O41" s="935">
        <f>'F5'!O41+'F5.1 (N)'!T17</f>
        <v>0</v>
      </c>
      <c r="P41" s="935">
        <f>'F5'!P41+'F5.1 (N)'!U17</f>
        <v>0</v>
      </c>
      <c r="Q41" s="935">
        <f>'F5'!Q41+'F5.1 (N)'!V17</f>
        <v>0</v>
      </c>
      <c r="R41" s="880">
        <f t="shared" si="13"/>
        <v>141.93151060736596</v>
      </c>
      <c r="S41" s="880">
        <f t="shared" si="14"/>
        <v>141.93151060736596</v>
      </c>
      <c r="T41" s="935">
        <f>'F5'!T41+'F5.1 (N)'!Y17</f>
        <v>0</v>
      </c>
      <c r="U41" s="935">
        <f>'F5'!U41+'F5.1 (N)'!Z17</f>
        <v>0</v>
      </c>
      <c r="V41" s="935">
        <f>'F5'!V41+'F5.1 (N)'!AA17</f>
        <v>0</v>
      </c>
      <c r="W41" s="880">
        <f t="shared" si="15"/>
        <v>141.93151060736596</v>
      </c>
    </row>
    <row r="42" spans="1:33" s="11" customFormat="1">
      <c r="A42" s="427"/>
      <c r="B42" s="474">
        <f t="shared" si="16"/>
        <v>3</v>
      </c>
      <c r="C42" s="476" t="s">
        <v>843</v>
      </c>
      <c r="D42" s="880">
        <f t="shared" si="8"/>
        <v>0</v>
      </c>
      <c r="E42" s="935">
        <f>'F5'!E42+'F5.1 (N)'!J18</f>
        <v>0</v>
      </c>
      <c r="F42" s="935">
        <f>'F5'!F42+'F5.1 (N)'!K18</f>
        <v>0</v>
      </c>
      <c r="G42" s="935">
        <f>'F5'!G42+'F5.1 (N)'!L18</f>
        <v>0</v>
      </c>
      <c r="H42" s="880">
        <f t="shared" si="9"/>
        <v>0</v>
      </c>
      <c r="I42" s="880">
        <f t="shared" si="10"/>
        <v>0</v>
      </c>
      <c r="J42" s="935">
        <f>'F5'!J42+'F5.1 (N)'!O18</f>
        <v>0</v>
      </c>
      <c r="K42" s="935">
        <f>'F5'!K42+'F5.1 (N)'!P18</f>
        <v>0</v>
      </c>
      <c r="L42" s="935">
        <f>'F5'!L42+'F5.1 (N)'!Q18</f>
        <v>0</v>
      </c>
      <c r="M42" s="880">
        <f t="shared" si="11"/>
        <v>0</v>
      </c>
      <c r="N42" s="880">
        <f t="shared" si="12"/>
        <v>0</v>
      </c>
      <c r="O42" s="935">
        <f>'F5'!O42+'F5.1 (N)'!T18</f>
        <v>0</v>
      </c>
      <c r="P42" s="935">
        <f>'F5'!P42+'F5.1 (N)'!U18</f>
        <v>0</v>
      </c>
      <c r="Q42" s="935">
        <f>'F5'!Q42+'F5.1 (N)'!V18</f>
        <v>0</v>
      </c>
      <c r="R42" s="880">
        <f t="shared" si="13"/>
        <v>0</v>
      </c>
      <c r="S42" s="880">
        <f t="shared" si="14"/>
        <v>0</v>
      </c>
      <c r="T42" s="935">
        <f>'F5'!T42+'F5.1 (N)'!Y18</f>
        <v>0</v>
      </c>
      <c r="U42" s="935">
        <f>'F5'!U42+'F5.1 (N)'!Z18</f>
        <v>0</v>
      </c>
      <c r="V42" s="935">
        <f>'F5'!V42+'F5.1 (N)'!AA18</f>
        <v>0</v>
      </c>
      <c r="W42" s="880">
        <f t="shared" si="15"/>
        <v>0</v>
      </c>
    </row>
    <row r="43" spans="1:33" s="11" customFormat="1">
      <c r="A43" s="427"/>
      <c r="B43" s="474">
        <f t="shared" si="16"/>
        <v>4</v>
      </c>
      <c r="C43" s="476" t="s">
        <v>844</v>
      </c>
      <c r="D43" s="880">
        <f t="shared" si="8"/>
        <v>105.04606130630935</v>
      </c>
      <c r="E43" s="935">
        <f>'F5'!E43+'F5.1 (N)'!J19</f>
        <v>0</v>
      </c>
      <c r="F43" s="935">
        <f>'F5'!F43+'F5.1 (N)'!K19</f>
        <v>0</v>
      </c>
      <c r="G43" s="935">
        <f>'F5'!G43+'F5.1 (N)'!L19</f>
        <v>0</v>
      </c>
      <c r="H43" s="880">
        <f t="shared" si="9"/>
        <v>105.04606130630935</v>
      </c>
      <c r="I43" s="880">
        <f t="shared" si="10"/>
        <v>105.04606130630935</v>
      </c>
      <c r="J43" s="935">
        <f>'F5'!J43+'F5.1 (N)'!O19</f>
        <v>0</v>
      </c>
      <c r="K43" s="935">
        <f>'F5'!K43+'F5.1 (N)'!P19</f>
        <v>0</v>
      </c>
      <c r="L43" s="935">
        <f>'F5'!L43+'F5.1 (N)'!Q19</f>
        <v>0</v>
      </c>
      <c r="M43" s="880">
        <f t="shared" si="11"/>
        <v>105.04606130630935</v>
      </c>
      <c r="N43" s="880">
        <f t="shared" si="12"/>
        <v>105.04606130630935</v>
      </c>
      <c r="O43" s="935">
        <f>'F5'!O43+'F5.1 (N)'!T19</f>
        <v>0</v>
      </c>
      <c r="P43" s="935">
        <f>'F5'!P43+'F5.1 (N)'!U19</f>
        <v>0</v>
      </c>
      <c r="Q43" s="935">
        <f>'F5'!Q43+'F5.1 (N)'!V19</f>
        <v>0</v>
      </c>
      <c r="R43" s="880">
        <f t="shared" si="13"/>
        <v>105.04606130630935</v>
      </c>
      <c r="S43" s="880">
        <f t="shared" si="14"/>
        <v>105.04606130630935</v>
      </c>
      <c r="T43" s="935">
        <f>'F5'!T43+'F5.1 (N)'!Y19</f>
        <v>0</v>
      </c>
      <c r="U43" s="935">
        <f>'F5'!U43+'F5.1 (N)'!Z19</f>
        <v>0</v>
      </c>
      <c r="V43" s="935">
        <f>'F5'!V43+'F5.1 (N)'!AA19</f>
        <v>0</v>
      </c>
      <c r="W43" s="880">
        <f t="shared" si="15"/>
        <v>105.04606130630935</v>
      </c>
    </row>
    <row r="44" spans="1:33" s="11" customFormat="1">
      <c r="A44" s="427"/>
      <c r="B44" s="474">
        <f t="shared" si="16"/>
        <v>5</v>
      </c>
      <c r="C44" s="476" t="s">
        <v>845</v>
      </c>
      <c r="D44" s="880">
        <f t="shared" si="8"/>
        <v>80.357920460174057</v>
      </c>
      <c r="E44" s="935">
        <f>'F5'!E44+'F5.1 (N)'!J20</f>
        <v>0</v>
      </c>
      <c r="F44" s="935">
        <f>'F5'!F44+'F5.1 (N)'!K20</f>
        <v>0</v>
      </c>
      <c r="G44" s="935">
        <f>'F5'!G44+'F5.1 (N)'!L20</f>
        <v>0</v>
      </c>
      <c r="H44" s="880">
        <f t="shared" si="9"/>
        <v>80.357920460174057</v>
      </c>
      <c r="I44" s="880">
        <f t="shared" si="10"/>
        <v>80.357920460174057</v>
      </c>
      <c r="J44" s="935">
        <f>'F5'!J44+'F5.1 (N)'!O20</f>
        <v>0</v>
      </c>
      <c r="K44" s="935">
        <f>'F5'!K44+'F5.1 (N)'!P20</f>
        <v>0</v>
      </c>
      <c r="L44" s="935">
        <f>'F5'!L44+'F5.1 (N)'!Q20</f>
        <v>0</v>
      </c>
      <c r="M44" s="880">
        <f t="shared" si="11"/>
        <v>80.357920460174057</v>
      </c>
      <c r="N44" s="880">
        <f t="shared" si="12"/>
        <v>80.357920460174057</v>
      </c>
      <c r="O44" s="935">
        <f>'F5'!O44+'F5.1 (N)'!T20</f>
        <v>0</v>
      </c>
      <c r="P44" s="935">
        <f>'F5'!P44+'F5.1 (N)'!U20</f>
        <v>0</v>
      </c>
      <c r="Q44" s="935">
        <f>'F5'!Q44+'F5.1 (N)'!V20</f>
        <v>0</v>
      </c>
      <c r="R44" s="880">
        <f t="shared" si="13"/>
        <v>80.357920460174057</v>
      </c>
      <c r="S44" s="880">
        <f t="shared" si="14"/>
        <v>80.357920460174057</v>
      </c>
      <c r="T44" s="935">
        <f>'F5'!T44+'F5.1 (N)'!Y20</f>
        <v>0</v>
      </c>
      <c r="U44" s="935">
        <f>'F5'!U44+'F5.1 (N)'!Z20</f>
        <v>0</v>
      </c>
      <c r="V44" s="935">
        <f>'F5'!V44+'F5.1 (N)'!AA20</f>
        <v>0</v>
      </c>
      <c r="W44" s="880">
        <f t="shared" si="15"/>
        <v>80.357920460174057</v>
      </c>
    </row>
    <row r="45" spans="1:33" s="11" customFormat="1">
      <c r="A45" s="427"/>
      <c r="B45" s="474">
        <f t="shared" si="16"/>
        <v>6</v>
      </c>
      <c r="C45" s="476" t="s">
        <v>255</v>
      </c>
      <c r="D45" s="880">
        <f t="shared" si="8"/>
        <v>1697.386348396429</v>
      </c>
      <c r="E45" s="935">
        <f>'F5'!E45+'F5.1 (N)'!J21</f>
        <v>47.962499999999999</v>
      </c>
      <c r="F45" s="935">
        <f>'F5'!F45+'F5.1 (N)'!K21</f>
        <v>0</v>
      </c>
      <c r="G45" s="935">
        <f>'F5'!G45+'F5.1 (N)'!L21</f>
        <v>0</v>
      </c>
      <c r="H45" s="880">
        <f t="shared" si="9"/>
        <v>1745.348848396429</v>
      </c>
      <c r="I45" s="880">
        <f t="shared" si="10"/>
        <v>1745.348848396429</v>
      </c>
      <c r="J45" s="935">
        <f>'F5'!J45+'F5.1 (N)'!O21</f>
        <v>80.625</v>
      </c>
      <c r="K45" s="935">
        <f>'F5'!K45+'F5.1 (N)'!P21</f>
        <v>0</v>
      </c>
      <c r="L45" s="935">
        <f>'F5'!L45+'F5.1 (N)'!Q21</f>
        <v>0</v>
      </c>
      <c r="M45" s="880">
        <f t="shared" si="11"/>
        <v>1825.973848396429</v>
      </c>
      <c r="N45" s="880">
        <f t="shared" si="12"/>
        <v>1825.973848396429</v>
      </c>
      <c r="O45" s="935">
        <f>'F5'!O45+'F5.1 (N)'!T21</f>
        <v>7.6666666666666661</v>
      </c>
      <c r="P45" s="935">
        <f>'F5'!P45+'F5.1 (N)'!U21</f>
        <v>0</v>
      </c>
      <c r="Q45" s="935">
        <f>'F5'!Q45+'F5.1 (N)'!V21</f>
        <v>0</v>
      </c>
      <c r="R45" s="880">
        <f t="shared" si="13"/>
        <v>1833.6405150630958</v>
      </c>
      <c r="S45" s="880">
        <f t="shared" si="14"/>
        <v>1833.6405150630958</v>
      </c>
      <c r="T45" s="935">
        <f>'F5'!T45+'F5.1 (N)'!Y21</f>
        <v>65</v>
      </c>
      <c r="U45" s="935">
        <f>'F5'!U45+'F5.1 (N)'!Z21</f>
        <v>0</v>
      </c>
      <c r="V45" s="935">
        <f>'F5'!V45+'F5.1 (N)'!AA21</f>
        <v>0</v>
      </c>
      <c r="W45" s="880">
        <f t="shared" si="15"/>
        <v>1898.6405150630958</v>
      </c>
    </row>
    <row r="46" spans="1:33" s="11" customFormat="1">
      <c r="A46" s="427"/>
      <c r="B46" s="474">
        <f t="shared" si="16"/>
        <v>7</v>
      </c>
      <c r="C46" s="476" t="s">
        <v>846</v>
      </c>
      <c r="D46" s="880">
        <f t="shared" si="8"/>
        <v>0</v>
      </c>
      <c r="E46" s="935">
        <f>'F5'!E46+'F5.1 (N)'!J22</f>
        <v>0</v>
      </c>
      <c r="F46" s="935">
        <f>'F5'!F46+'F5.1 (N)'!K22</f>
        <v>0</v>
      </c>
      <c r="G46" s="935">
        <f>'F5'!G46+'F5.1 (N)'!L22</f>
        <v>0</v>
      </c>
      <c r="H46" s="880">
        <f t="shared" si="9"/>
        <v>0</v>
      </c>
      <c r="I46" s="880">
        <f t="shared" si="10"/>
        <v>0</v>
      </c>
      <c r="J46" s="935">
        <f>'F5'!J46+'F5.1 (N)'!O22</f>
        <v>0</v>
      </c>
      <c r="K46" s="935">
        <f>'F5'!K46+'F5.1 (N)'!P22</f>
        <v>0</v>
      </c>
      <c r="L46" s="935">
        <f>'F5'!L46+'F5.1 (N)'!Q22</f>
        <v>0</v>
      </c>
      <c r="M46" s="880">
        <f t="shared" si="11"/>
        <v>0</v>
      </c>
      <c r="N46" s="880">
        <f t="shared" si="12"/>
        <v>0</v>
      </c>
      <c r="O46" s="935">
        <f>'F5'!O46+'F5.1 (N)'!T22</f>
        <v>0</v>
      </c>
      <c r="P46" s="935">
        <f>'F5'!P46+'F5.1 (N)'!U22</f>
        <v>0</v>
      </c>
      <c r="Q46" s="935">
        <f>'F5'!Q46+'F5.1 (N)'!V22</f>
        <v>0</v>
      </c>
      <c r="R46" s="880">
        <f t="shared" si="13"/>
        <v>0</v>
      </c>
      <c r="S46" s="880">
        <f t="shared" si="14"/>
        <v>0</v>
      </c>
      <c r="T46" s="935">
        <f>'F5'!T46+'F5.1 (N)'!Y22</f>
        <v>0</v>
      </c>
      <c r="U46" s="935">
        <f>'F5'!U46+'F5.1 (N)'!Z22</f>
        <v>0</v>
      </c>
      <c r="V46" s="935">
        <f>'F5'!V46+'F5.1 (N)'!AA22</f>
        <v>0</v>
      </c>
      <c r="W46" s="880">
        <f t="shared" si="15"/>
        <v>0</v>
      </c>
    </row>
    <row r="47" spans="1:33" s="11" customFormat="1">
      <c r="A47" s="427"/>
      <c r="B47" s="474">
        <f t="shared" si="16"/>
        <v>8</v>
      </c>
      <c r="C47" s="476" t="s">
        <v>847</v>
      </c>
      <c r="D47" s="880">
        <f t="shared" si="8"/>
        <v>2.3333333333333334E-2</v>
      </c>
      <c r="E47" s="935">
        <f>'F5'!E47+'F5.1 (N)'!J23</f>
        <v>1.7500000000000002E-2</v>
      </c>
      <c r="F47" s="935">
        <f>'F5'!F47+'F5.1 (N)'!K23</f>
        <v>0</v>
      </c>
      <c r="G47" s="935">
        <f>'F5'!G47+'F5.1 (N)'!L23</f>
        <v>0</v>
      </c>
      <c r="H47" s="880">
        <f t="shared" si="9"/>
        <v>4.0833333333333333E-2</v>
      </c>
      <c r="I47" s="880">
        <f t="shared" si="10"/>
        <v>4.0833333333333333E-2</v>
      </c>
      <c r="J47" s="935">
        <f>'F5'!J47+'F5.1 (N)'!O23</f>
        <v>3.5000000000000003E-2</v>
      </c>
      <c r="K47" s="935">
        <f>'F5'!K47+'F5.1 (N)'!P23</f>
        <v>0</v>
      </c>
      <c r="L47" s="935">
        <f>'F5'!L47+'F5.1 (N)'!Q23</f>
        <v>0</v>
      </c>
      <c r="M47" s="880">
        <f t="shared" si="11"/>
        <v>7.5833333333333336E-2</v>
      </c>
      <c r="N47" s="880">
        <f t="shared" si="12"/>
        <v>7.5833333333333336E-2</v>
      </c>
      <c r="O47" s="935">
        <f>'F5'!O47+'F5.1 (N)'!T23</f>
        <v>4.6666666666666669E-2</v>
      </c>
      <c r="P47" s="935">
        <f>'F5'!P47+'F5.1 (N)'!U23</f>
        <v>0</v>
      </c>
      <c r="Q47" s="935">
        <f>'F5'!Q47+'F5.1 (N)'!V23</f>
        <v>0</v>
      </c>
      <c r="R47" s="880">
        <f t="shared" si="13"/>
        <v>0.1225</v>
      </c>
      <c r="S47" s="880">
        <f t="shared" si="14"/>
        <v>0.1225</v>
      </c>
      <c r="T47" s="935">
        <f>'F5'!T47+'F5.1 (N)'!Y23</f>
        <v>7.0000000000000007E-2</v>
      </c>
      <c r="U47" s="935">
        <f>'F5'!U47+'F5.1 (N)'!Z23</f>
        <v>0</v>
      </c>
      <c r="V47" s="935">
        <f>'F5'!V47+'F5.1 (N)'!AA23</f>
        <v>0</v>
      </c>
      <c r="W47" s="880">
        <f t="shared" si="15"/>
        <v>0.1925</v>
      </c>
    </row>
    <row r="48" spans="1:33" s="11" customFormat="1">
      <c r="A48" s="427"/>
      <c r="B48" s="474">
        <f t="shared" si="16"/>
        <v>9</v>
      </c>
      <c r="C48" s="476" t="s">
        <v>848</v>
      </c>
      <c r="D48" s="880">
        <f t="shared" si="8"/>
        <v>38.728728173932197</v>
      </c>
      <c r="E48" s="935">
        <f>'F5'!E48+'F5.1 (N)'!J24</f>
        <v>0</v>
      </c>
      <c r="F48" s="935">
        <f>'F5'!F48+'F5.1 (N)'!K24</f>
        <v>0</v>
      </c>
      <c r="G48" s="935">
        <f>'F5'!G48+'F5.1 (N)'!L24</f>
        <v>0</v>
      </c>
      <c r="H48" s="880">
        <f t="shared" si="9"/>
        <v>38.728728173932197</v>
      </c>
      <c r="I48" s="880">
        <f t="shared" si="10"/>
        <v>38.728728173932197</v>
      </c>
      <c r="J48" s="935">
        <f>'F5'!J48+'F5.1 (N)'!O24</f>
        <v>0</v>
      </c>
      <c r="K48" s="935">
        <f>'F5'!K48+'F5.1 (N)'!P24</f>
        <v>0</v>
      </c>
      <c r="L48" s="935">
        <f>'F5'!L48+'F5.1 (N)'!Q24</f>
        <v>0</v>
      </c>
      <c r="M48" s="880">
        <f t="shared" si="11"/>
        <v>38.728728173932197</v>
      </c>
      <c r="N48" s="880">
        <f t="shared" si="12"/>
        <v>38.728728173932197</v>
      </c>
      <c r="O48" s="935">
        <f>'F5'!O48+'F5.1 (N)'!T24</f>
        <v>0</v>
      </c>
      <c r="P48" s="935">
        <f>'F5'!P48+'F5.1 (N)'!U24</f>
        <v>0</v>
      </c>
      <c r="Q48" s="935">
        <f>'F5'!Q48+'F5.1 (N)'!V24</f>
        <v>0</v>
      </c>
      <c r="R48" s="880">
        <f t="shared" si="13"/>
        <v>38.728728173932197</v>
      </c>
      <c r="S48" s="880">
        <f t="shared" si="14"/>
        <v>38.728728173932197</v>
      </c>
      <c r="T48" s="935">
        <f>'F5'!T48+'F5.1 (N)'!Y24</f>
        <v>0</v>
      </c>
      <c r="U48" s="935">
        <f>'F5'!U48+'F5.1 (N)'!Z24</f>
        <v>0</v>
      </c>
      <c r="V48" s="935">
        <f>'F5'!V48+'F5.1 (N)'!AA24</f>
        <v>0</v>
      </c>
      <c r="W48" s="880">
        <f t="shared" si="15"/>
        <v>38.728728173932197</v>
      </c>
    </row>
    <row r="49" spans="1:23" s="11" customFormat="1">
      <c r="A49" s="427"/>
      <c r="B49" s="474">
        <f t="shared" si="16"/>
        <v>10</v>
      </c>
      <c r="C49" s="476" t="s">
        <v>258</v>
      </c>
      <c r="D49" s="880">
        <f t="shared" si="8"/>
        <v>0</v>
      </c>
      <c r="E49" s="935">
        <f>'F5'!E49+'F5.1 (N)'!J25</f>
        <v>0</v>
      </c>
      <c r="F49" s="935">
        <f>'F5'!F49+'F5.1 (N)'!K25</f>
        <v>0</v>
      </c>
      <c r="G49" s="935">
        <f>'F5'!G49+'F5.1 (N)'!L25</f>
        <v>0</v>
      </c>
      <c r="H49" s="880">
        <f t="shared" si="9"/>
        <v>0</v>
      </c>
      <c r="I49" s="880">
        <f t="shared" si="10"/>
        <v>0</v>
      </c>
      <c r="J49" s="935">
        <f>'F5'!J49+'F5.1 (N)'!O25</f>
        <v>0</v>
      </c>
      <c r="K49" s="935">
        <f>'F5'!K49+'F5.1 (N)'!P25</f>
        <v>0</v>
      </c>
      <c r="L49" s="935">
        <f>'F5'!L49+'F5.1 (N)'!Q25</f>
        <v>0</v>
      </c>
      <c r="M49" s="880">
        <f t="shared" si="11"/>
        <v>0</v>
      </c>
      <c r="N49" s="880">
        <f t="shared" si="12"/>
        <v>0</v>
      </c>
      <c r="O49" s="935">
        <f>'F5'!O49+'F5.1 (N)'!T25</f>
        <v>0</v>
      </c>
      <c r="P49" s="935">
        <f>'F5'!P49+'F5.1 (N)'!U25</f>
        <v>0</v>
      </c>
      <c r="Q49" s="935">
        <f>'F5'!Q49+'F5.1 (N)'!V25</f>
        <v>0</v>
      </c>
      <c r="R49" s="880">
        <f t="shared" si="13"/>
        <v>0</v>
      </c>
      <c r="S49" s="880">
        <f t="shared" si="14"/>
        <v>0</v>
      </c>
      <c r="T49" s="935">
        <f>'F5'!T49+'F5.1 (N)'!Y25</f>
        <v>0</v>
      </c>
      <c r="U49" s="935">
        <f>'F5'!U49+'F5.1 (N)'!Z25</f>
        <v>0</v>
      </c>
      <c r="V49" s="935">
        <f>'F5'!V49+'F5.1 (N)'!AA25</f>
        <v>0</v>
      </c>
      <c r="W49" s="880">
        <f t="shared" si="15"/>
        <v>0</v>
      </c>
    </row>
    <row r="50" spans="1:23" s="11" customFormat="1">
      <c r="A50" s="427"/>
      <c r="B50" s="474">
        <f t="shared" si="16"/>
        <v>11</v>
      </c>
      <c r="C50" s="476" t="s">
        <v>259</v>
      </c>
      <c r="D50" s="880">
        <f t="shared" si="8"/>
        <v>0.79433026231061699</v>
      </c>
      <c r="E50" s="935">
        <f>'F5'!E50+'F5.1 (N)'!J26</f>
        <v>5.0000000000000001E-3</v>
      </c>
      <c r="F50" s="935">
        <f>'F5'!F50+'F5.1 (N)'!K26</f>
        <v>0</v>
      </c>
      <c r="G50" s="935">
        <f>'F5'!G50+'F5.1 (N)'!L26</f>
        <v>0</v>
      </c>
      <c r="H50" s="880">
        <f t="shared" si="9"/>
        <v>0.79933026231061699</v>
      </c>
      <c r="I50" s="880">
        <f t="shared" si="10"/>
        <v>0.79933026231061699</v>
      </c>
      <c r="J50" s="935">
        <f>'F5'!J50+'F5.1 (N)'!O26</f>
        <v>0.01</v>
      </c>
      <c r="K50" s="935">
        <f>'F5'!K50+'F5.1 (N)'!P26</f>
        <v>0</v>
      </c>
      <c r="L50" s="935">
        <f>'F5'!L50+'F5.1 (N)'!Q26</f>
        <v>0</v>
      </c>
      <c r="M50" s="880">
        <f t="shared" si="11"/>
        <v>0.809330262310617</v>
      </c>
      <c r="N50" s="880">
        <f t="shared" si="12"/>
        <v>0.809330262310617</v>
      </c>
      <c r="O50" s="935">
        <f>'F5'!O50+'F5.1 (N)'!T26</f>
        <v>1.3333333333333332E-2</v>
      </c>
      <c r="P50" s="935">
        <f>'F5'!P50+'F5.1 (N)'!U26</f>
        <v>0</v>
      </c>
      <c r="Q50" s="935">
        <f>'F5'!Q50+'F5.1 (N)'!V26</f>
        <v>0</v>
      </c>
      <c r="R50" s="880">
        <f t="shared" si="13"/>
        <v>0.82266359564395031</v>
      </c>
      <c r="S50" s="880">
        <f t="shared" si="14"/>
        <v>0.82266359564395031</v>
      </c>
      <c r="T50" s="935">
        <f>'F5'!T50+'F5.1 (N)'!Y26</f>
        <v>0.02</v>
      </c>
      <c r="U50" s="935">
        <f>'F5'!U50+'F5.1 (N)'!Z26</f>
        <v>0</v>
      </c>
      <c r="V50" s="935">
        <f>'F5'!V50+'F5.1 (N)'!AA26</f>
        <v>0</v>
      </c>
      <c r="W50" s="880">
        <f t="shared" si="15"/>
        <v>0.84266359564395032</v>
      </c>
    </row>
    <row r="51" spans="1:23" s="2" customFormat="1">
      <c r="A51" s="427"/>
      <c r="B51" s="474">
        <f t="shared" si="16"/>
        <v>12</v>
      </c>
      <c r="C51" s="476" t="s">
        <v>260</v>
      </c>
      <c r="D51" s="880">
        <f t="shared" si="8"/>
        <v>0</v>
      </c>
      <c r="E51" s="935">
        <f>'F5'!E51+'F5.1 (N)'!J27</f>
        <v>0</v>
      </c>
      <c r="F51" s="935">
        <f>'F5'!F51+'F5.1 (N)'!K27</f>
        <v>0</v>
      </c>
      <c r="G51" s="935">
        <f>'F5'!G51+'F5.1 (N)'!L27</f>
        <v>0</v>
      </c>
      <c r="H51" s="880">
        <f t="shared" si="9"/>
        <v>0</v>
      </c>
      <c r="I51" s="880">
        <f t="shared" si="10"/>
        <v>0</v>
      </c>
      <c r="J51" s="935">
        <f>'F5'!J51+'F5.1 (N)'!O27</f>
        <v>0</v>
      </c>
      <c r="K51" s="935">
        <f>'F5'!K51+'F5.1 (N)'!P27</f>
        <v>0</v>
      </c>
      <c r="L51" s="935">
        <f>'F5'!L51+'F5.1 (N)'!Q27</f>
        <v>0</v>
      </c>
      <c r="M51" s="880">
        <f t="shared" si="11"/>
        <v>0</v>
      </c>
      <c r="N51" s="880">
        <f t="shared" si="12"/>
        <v>0</v>
      </c>
      <c r="O51" s="935">
        <f>'F5'!O51+'F5.1 (N)'!T27</f>
        <v>0</v>
      </c>
      <c r="P51" s="935">
        <f>'F5'!P51+'F5.1 (N)'!U27</f>
        <v>0</v>
      </c>
      <c r="Q51" s="935">
        <f>'F5'!Q51+'F5.1 (N)'!V27</f>
        <v>0</v>
      </c>
      <c r="R51" s="880">
        <f t="shared" si="13"/>
        <v>0</v>
      </c>
      <c r="S51" s="880">
        <f t="shared" si="14"/>
        <v>0</v>
      </c>
      <c r="T51" s="935">
        <f>'F5'!T51+'F5.1 (N)'!Y27</f>
        <v>0</v>
      </c>
      <c r="U51" s="935">
        <f>'F5'!U51+'F5.1 (N)'!Z27</f>
        <v>0</v>
      </c>
      <c r="V51" s="935">
        <f>'F5'!V51+'F5.1 (N)'!AA27</f>
        <v>0</v>
      </c>
      <c r="W51" s="880">
        <f t="shared" si="15"/>
        <v>0</v>
      </c>
    </row>
    <row r="52" spans="1:23" s="2" customFormat="1">
      <c r="A52" s="427"/>
      <c r="B52" s="474">
        <f t="shared" si="16"/>
        <v>13</v>
      </c>
      <c r="C52" s="476" t="s">
        <v>897</v>
      </c>
      <c r="D52" s="880">
        <f t="shared" si="8"/>
        <v>0</v>
      </c>
      <c r="E52" s="935">
        <f>'F5'!E52+'F5.1 (N)'!J28</f>
        <v>0</v>
      </c>
      <c r="F52" s="935">
        <f>'F5'!F52+'F5.1 (N)'!K28</f>
        <v>0</v>
      </c>
      <c r="G52" s="935">
        <f>'F5'!G52+'F5.1 (N)'!L28</f>
        <v>0</v>
      </c>
      <c r="H52" s="880">
        <f t="shared" si="9"/>
        <v>0</v>
      </c>
      <c r="I52" s="880">
        <f t="shared" si="10"/>
        <v>0</v>
      </c>
      <c r="J52" s="935">
        <f>'F5'!J52+'F5.1 (N)'!O28</f>
        <v>0</v>
      </c>
      <c r="K52" s="935">
        <f>'F5'!K52+'F5.1 (N)'!P28</f>
        <v>0</v>
      </c>
      <c r="L52" s="935">
        <f>'F5'!L52+'F5.1 (N)'!Q28</f>
        <v>0</v>
      </c>
      <c r="M52" s="880">
        <f t="shared" si="11"/>
        <v>0</v>
      </c>
      <c r="N52" s="880">
        <f t="shared" si="12"/>
        <v>0</v>
      </c>
      <c r="O52" s="935">
        <f>'F5'!O52+'F5.1 (N)'!T28</f>
        <v>0</v>
      </c>
      <c r="P52" s="935">
        <f>'F5'!P52+'F5.1 (N)'!U28</f>
        <v>0</v>
      </c>
      <c r="Q52" s="935">
        <f>'F5'!Q52+'F5.1 (N)'!V28</f>
        <v>0</v>
      </c>
      <c r="R52" s="880">
        <f t="shared" si="13"/>
        <v>0</v>
      </c>
      <c r="S52" s="880">
        <f t="shared" si="14"/>
        <v>0</v>
      </c>
      <c r="T52" s="935">
        <f>'F5'!T52+'F5.1 (N)'!Y28</f>
        <v>0</v>
      </c>
      <c r="U52" s="935">
        <f>'F5'!U52+'F5.1 (N)'!Z28</f>
        <v>0</v>
      </c>
      <c r="V52" s="935">
        <f>'F5'!V52+'F5.1 (N)'!AA28</f>
        <v>0</v>
      </c>
      <c r="W52" s="880">
        <f t="shared" si="15"/>
        <v>0</v>
      </c>
    </row>
    <row r="53" spans="1:23" s="2" customFormat="1">
      <c r="A53" s="427"/>
      <c r="B53" s="474">
        <f t="shared" si="16"/>
        <v>14</v>
      </c>
      <c r="C53" s="476" t="s">
        <v>898</v>
      </c>
      <c r="D53" s="880">
        <f t="shared" si="8"/>
        <v>0.96265671066666658</v>
      </c>
      <c r="E53" s="935">
        <f>'F5'!E53+'F5.1 (N)'!J29</f>
        <v>0.05</v>
      </c>
      <c r="F53" s="935">
        <f>'F5'!F53+'F5.1 (N)'!K29</f>
        <v>0</v>
      </c>
      <c r="G53" s="935">
        <f>'F5'!G53+'F5.1 (N)'!L29</f>
        <v>0</v>
      </c>
      <c r="H53" s="880">
        <f t="shared" si="9"/>
        <v>1.0126567106666666</v>
      </c>
      <c r="I53" s="880">
        <f t="shared" si="10"/>
        <v>1.0126567106666666</v>
      </c>
      <c r="J53" s="935">
        <f>'F5'!J53+'F5.1 (N)'!O29</f>
        <v>0.1</v>
      </c>
      <c r="K53" s="935">
        <f>'F5'!K53+'F5.1 (N)'!P29</f>
        <v>0</v>
      </c>
      <c r="L53" s="935">
        <f>'F5'!L53+'F5.1 (N)'!Q29</f>
        <v>0</v>
      </c>
      <c r="M53" s="880">
        <f t="shared" si="11"/>
        <v>1.1126567106666667</v>
      </c>
      <c r="N53" s="880">
        <f t="shared" si="12"/>
        <v>1.1126567106666667</v>
      </c>
      <c r="O53" s="935">
        <f>'F5'!O53+'F5.1 (N)'!T29</f>
        <v>0.13333333333333333</v>
      </c>
      <c r="P53" s="935">
        <f>'F5'!P53+'F5.1 (N)'!U29</f>
        <v>0</v>
      </c>
      <c r="Q53" s="935">
        <f>'F5'!Q53+'F5.1 (N)'!V29</f>
        <v>0</v>
      </c>
      <c r="R53" s="880">
        <f t="shared" si="13"/>
        <v>1.245990044</v>
      </c>
      <c r="S53" s="880">
        <f t="shared" si="14"/>
        <v>1.245990044</v>
      </c>
      <c r="T53" s="935">
        <f>'F5'!T53+'F5.1 (N)'!Y29</f>
        <v>0.2</v>
      </c>
      <c r="U53" s="935">
        <f>'F5'!U53+'F5.1 (N)'!Z29</f>
        <v>0</v>
      </c>
      <c r="V53" s="935">
        <f>'F5'!V53+'F5.1 (N)'!AA29</f>
        <v>0</v>
      </c>
      <c r="W53" s="880">
        <f t="shared" si="15"/>
        <v>1.445990044</v>
      </c>
    </row>
    <row r="54" spans="1:23" s="2" customFormat="1">
      <c r="A54" s="427"/>
      <c r="B54" s="474">
        <f t="shared" si="16"/>
        <v>15</v>
      </c>
      <c r="C54" s="476" t="s">
        <v>899</v>
      </c>
      <c r="D54" s="880">
        <f t="shared" si="8"/>
        <v>0</v>
      </c>
      <c r="E54" s="935">
        <f>'F5'!E54+'F5.1 (N)'!J30</f>
        <v>0</v>
      </c>
      <c r="F54" s="935">
        <f>'F5'!F54+'F5.1 (N)'!K30</f>
        <v>0</v>
      </c>
      <c r="G54" s="935">
        <f>'F5'!G54+'F5.1 (N)'!L30</f>
        <v>0</v>
      </c>
      <c r="H54" s="880">
        <f t="shared" si="9"/>
        <v>0</v>
      </c>
      <c r="I54" s="880">
        <f t="shared" si="10"/>
        <v>0</v>
      </c>
      <c r="J54" s="935">
        <f>'F5'!J54+'F5.1 (N)'!O30</f>
        <v>0</v>
      </c>
      <c r="K54" s="935">
        <f>'F5'!K54+'F5.1 (N)'!P30</f>
        <v>0</v>
      </c>
      <c r="L54" s="935">
        <f>'F5'!L54+'F5.1 (N)'!Q30</f>
        <v>0</v>
      </c>
      <c r="M54" s="880">
        <f t="shared" si="11"/>
        <v>0</v>
      </c>
      <c r="N54" s="880">
        <f t="shared" si="12"/>
        <v>0</v>
      </c>
      <c r="O54" s="935">
        <f>'F5'!O54+'F5.1 (N)'!T30</f>
        <v>0</v>
      </c>
      <c r="P54" s="935">
        <f>'F5'!P54+'F5.1 (N)'!U30</f>
        <v>0</v>
      </c>
      <c r="Q54" s="935">
        <f>'F5'!Q54+'F5.1 (N)'!V30</f>
        <v>0</v>
      </c>
      <c r="R54" s="880">
        <f t="shared" si="13"/>
        <v>0</v>
      </c>
      <c r="S54" s="880">
        <f t="shared" si="14"/>
        <v>0</v>
      </c>
      <c r="T54" s="935">
        <f>'F5'!T54+'F5.1 (N)'!Y30</f>
        <v>0</v>
      </c>
      <c r="U54" s="935">
        <f>'F5'!U54+'F5.1 (N)'!Z30</f>
        <v>0</v>
      </c>
      <c r="V54" s="935">
        <f>'F5'!V54+'F5.1 (N)'!AA30</f>
        <v>0</v>
      </c>
      <c r="W54" s="880">
        <f t="shared" si="15"/>
        <v>0</v>
      </c>
    </row>
    <row r="55" spans="1:23" s="2" customFormat="1">
      <c r="A55" s="427"/>
      <c r="B55" s="474">
        <f t="shared" si="16"/>
        <v>16</v>
      </c>
      <c r="C55" s="476" t="s">
        <v>849</v>
      </c>
      <c r="D55" s="880">
        <f t="shared" si="8"/>
        <v>0</v>
      </c>
      <c r="E55" s="935">
        <f>'F5'!E55+'F5.1 (N)'!J31</f>
        <v>0</v>
      </c>
      <c r="F55" s="935">
        <f>'F5'!F55+'F5.1 (N)'!K31</f>
        <v>0</v>
      </c>
      <c r="G55" s="935">
        <f>'F5'!G55+'F5.1 (N)'!L31</f>
        <v>0</v>
      </c>
      <c r="H55" s="880">
        <f t="shared" si="9"/>
        <v>0</v>
      </c>
      <c r="I55" s="880">
        <f t="shared" si="10"/>
        <v>0</v>
      </c>
      <c r="J55" s="935">
        <f>'F5'!J55+'F5.1 (N)'!O31</f>
        <v>0</v>
      </c>
      <c r="K55" s="935">
        <f>'F5'!K55+'F5.1 (N)'!P31</f>
        <v>0</v>
      </c>
      <c r="L55" s="935">
        <f>'F5'!L55+'F5.1 (N)'!Q31</f>
        <v>0</v>
      </c>
      <c r="M55" s="880">
        <f t="shared" si="11"/>
        <v>0</v>
      </c>
      <c r="N55" s="880">
        <f t="shared" si="12"/>
        <v>0</v>
      </c>
      <c r="O55" s="935">
        <f>'F5'!O55+'F5.1 (N)'!T31</f>
        <v>0</v>
      </c>
      <c r="P55" s="935">
        <f>'F5'!P55+'F5.1 (N)'!U31</f>
        <v>0</v>
      </c>
      <c r="Q55" s="935">
        <f>'F5'!Q55+'F5.1 (N)'!V31</f>
        <v>0</v>
      </c>
      <c r="R55" s="880">
        <f t="shared" si="13"/>
        <v>0</v>
      </c>
      <c r="S55" s="880">
        <f t="shared" si="14"/>
        <v>0</v>
      </c>
      <c r="T55" s="935">
        <f>'F5'!T55+'F5.1 (N)'!Y31</f>
        <v>0</v>
      </c>
      <c r="U55" s="935">
        <f>'F5'!U55+'F5.1 (N)'!Z31</f>
        <v>0</v>
      </c>
      <c r="V55" s="935">
        <f>'F5'!V55+'F5.1 (N)'!AA31</f>
        <v>0</v>
      </c>
      <c r="W55" s="880">
        <f t="shared" si="15"/>
        <v>0</v>
      </c>
    </row>
    <row r="56" spans="1:23" s="2" customFormat="1">
      <c r="A56" s="427"/>
      <c r="B56" s="474">
        <f t="shared" si="16"/>
        <v>17</v>
      </c>
      <c r="C56" s="476" t="s">
        <v>900</v>
      </c>
      <c r="D56" s="880">
        <f t="shared" si="8"/>
        <v>0</v>
      </c>
      <c r="E56" s="935">
        <f>'F5'!E56+'F5.1 (N)'!J32</f>
        <v>0</v>
      </c>
      <c r="F56" s="935">
        <f>'F5'!F56+'F5.1 (N)'!K32</f>
        <v>0</v>
      </c>
      <c r="G56" s="935">
        <f>'F5'!G56+'F5.1 (N)'!L32</f>
        <v>0</v>
      </c>
      <c r="H56" s="880">
        <f t="shared" si="9"/>
        <v>0</v>
      </c>
      <c r="I56" s="880">
        <f t="shared" si="10"/>
        <v>0</v>
      </c>
      <c r="J56" s="935">
        <f>'F5'!J56+'F5.1 (N)'!O32</f>
        <v>0</v>
      </c>
      <c r="K56" s="935">
        <f>'F5'!K56+'F5.1 (N)'!P32</f>
        <v>0</v>
      </c>
      <c r="L56" s="935">
        <f>'F5'!L56+'F5.1 (N)'!Q32</f>
        <v>0</v>
      </c>
      <c r="M56" s="880">
        <f t="shared" si="11"/>
        <v>0</v>
      </c>
      <c r="N56" s="880">
        <f t="shared" si="12"/>
        <v>0</v>
      </c>
      <c r="O56" s="935">
        <f>'F5'!O56+'F5.1 (N)'!T32</f>
        <v>0</v>
      </c>
      <c r="P56" s="935">
        <f>'F5'!P56+'F5.1 (N)'!U32</f>
        <v>0</v>
      </c>
      <c r="Q56" s="935">
        <f>'F5'!Q56+'F5.1 (N)'!V32</f>
        <v>0</v>
      </c>
      <c r="R56" s="880">
        <f t="shared" si="13"/>
        <v>0</v>
      </c>
      <c r="S56" s="880">
        <f t="shared" si="14"/>
        <v>0</v>
      </c>
      <c r="T56" s="935">
        <f>'F5'!T56+'F5.1 (N)'!Y32</f>
        <v>0</v>
      </c>
      <c r="U56" s="935">
        <f>'F5'!U56+'F5.1 (N)'!Z32</f>
        <v>0</v>
      </c>
      <c r="V56" s="935">
        <f>'F5'!V56+'F5.1 (N)'!AA32</f>
        <v>0</v>
      </c>
      <c r="W56" s="880">
        <f t="shared" si="15"/>
        <v>0</v>
      </c>
    </row>
    <row r="57" spans="1:23" s="1" customFormat="1" ht="16">
      <c r="B57" s="83"/>
      <c r="C57" s="97" t="s">
        <v>271</v>
      </c>
      <c r="D57" s="945">
        <f t="shared" ref="D57:W57" si="17">SUM(D40:D56)</f>
        <v>2082.943364585361</v>
      </c>
      <c r="E57" s="945">
        <f t="shared" si="17"/>
        <v>50.842499999999994</v>
      </c>
      <c r="F57" s="945">
        <f t="shared" si="17"/>
        <v>0</v>
      </c>
      <c r="G57" s="945">
        <f t="shared" si="17"/>
        <v>0</v>
      </c>
      <c r="H57" s="945">
        <f t="shared" si="17"/>
        <v>2133.7858645853617</v>
      </c>
      <c r="I57" s="945">
        <f t="shared" si="17"/>
        <v>2133.7858645853617</v>
      </c>
      <c r="J57" s="945">
        <f t="shared" si="17"/>
        <v>80.77</v>
      </c>
      <c r="K57" s="945">
        <f t="shared" si="17"/>
        <v>0</v>
      </c>
      <c r="L57" s="945">
        <f t="shared" si="17"/>
        <v>0</v>
      </c>
      <c r="M57" s="945">
        <f t="shared" si="17"/>
        <v>2214.5558645853612</v>
      </c>
      <c r="N57" s="945">
        <f t="shared" si="17"/>
        <v>2214.5558645853612</v>
      </c>
      <c r="O57" s="945">
        <f t="shared" si="17"/>
        <v>7.86</v>
      </c>
      <c r="P57" s="945">
        <f t="shared" si="17"/>
        <v>0</v>
      </c>
      <c r="Q57" s="945">
        <f t="shared" si="17"/>
        <v>0</v>
      </c>
      <c r="R57" s="945">
        <f t="shared" si="17"/>
        <v>2222.4158645853613</v>
      </c>
      <c r="S57" s="945">
        <f t="shared" si="17"/>
        <v>2222.4158645853613</v>
      </c>
      <c r="T57" s="945">
        <f t="shared" si="17"/>
        <v>65.289999999999992</v>
      </c>
      <c r="U57" s="945">
        <f t="shared" si="17"/>
        <v>0</v>
      </c>
      <c r="V57" s="945">
        <f t="shared" si="17"/>
        <v>0</v>
      </c>
      <c r="W57" s="945">
        <f t="shared" si="17"/>
        <v>2287.7058645853617</v>
      </c>
    </row>
    <row r="58" spans="1:23" s="1" customFormat="1" ht="16">
      <c r="B58" s="267"/>
      <c r="C58" s="267"/>
      <c r="D58" s="267"/>
      <c r="E58" s="267"/>
      <c r="F58" s="267"/>
      <c r="G58" s="267"/>
      <c r="H58" s="267"/>
      <c r="I58" s="267"/>
      <c r="J58" s="267"/>
      <c r="K58" s="267"/>
      <c r="L58" s="267"/>
      <c r="M58" s="267"/>
      <c r="N58" s="267"/>
      <c r="O58" s="267"/>
    </row>
    <row r="59" spans="1:23" ht="16">
      <c r="B59" s="267"/>
      <c r="C59" s="267"/>
      <c r="D59" s="267"/>
      <c r="E59" s="267"/>
      <c r="F59" s="267"/>
      <c r="G59" s="267"/>
      <c r="H59" s="267"/>
      <c r="I59" s="267"/>
      <c r="J59" s="267"/>
      <c r="K59" s="267"/>
      <c r="L59" s="267"/>
      <c r="M59" s="267"/>
      <c r="N59" s="267"/>
      <c r="O59" s="267"/>
      <c r="P59" s="1"/>
      <c r="Q59" s="1"/>
      <c r="R59" s="1"/>
    </row>
    <row r="60" spans="1:23">
      <c r="B60" s="1"/>
      <c r="C60" s="1"/>
      <c r="D60" s="1"/>
      <c r="E60" s="1"/>
      <c r="F60" s="1"/>
      <c r="G60" s="1"/>
      <c r="H60" s="1"/>
      <c r="I60" s="1"/>
      <c r="J60" s="1"/>
      <c r="K60" s="1"/>
      <c r="L60" s="1"/>
      <c r="M60" s="1"/>
      <c r="N60" s="1"/>
      <c r="O60" s="1"/>
      <c r="P60" s="1"/>
      <c r="Q60" s="1"/>
      <c r="R60" s="1"/>
    </row>
    <row r="61" spans="1:23">
      <c r="B61" s="901" t="s">
        <v>272</v>
      </c>
      <c r="C61" s="1"/>
      <c r="D61" s="1"/>
      <c r="E61" s="1"/>
      <c r="F61" s="1"/>
      <c r="G61" s="1"/>
      <c r="H61" s="1"/>
      <c r="I61" s="1"/>
      <c r="J61" s="1"/>
      <c r="K61" s="1"/>
      <c r="L61" s="1"/>
      <c r="M61" s="1"/>
      <c r="N61" s="1"/>
      <c r="O61" s="1"/>
      <c r="P61" s="1"/>
      <c r="Q61" s="1"/>
      <c r="R61" s="1"/>
    </row>
    <row r="62" spans="1:23">
      <c r="B62" s="901"/>
      <c r="C62" s="1"/>
      <c r="D62" s="1"/>
      <c r="E62" s="1"/>
      <c r="F62" s="1"/>
      <c r="G62" s="1"/>
      <c r="H62" s="1"/>
      <c r="I62" s="1"/>
      <c r="J62" s="1"/>
      <c r="K62" s="1"/>
      <c r="L62" s="1"/>
      <c r="M62" s="1"/>
      <c r="N62" s="1"/>
      <c r="O62" s="1"/>
      <c r="P62" s="1"/>
      <c r="Q62" s="1"/>
      <c r="R62" s="1"/>
    </row>
    <row r="63" spans="1:23" ht="15" customHeight="1">
      <c r="B63" s="1"/>
      <c r="C63" s="1"/>
      <c r="D63" s="8"/>
      <c r="E63" s="8"/>
      <c r="F63" s="8"/>
      <c r="G63" s="8"/>
      <c r="H63" s="8"/>
      <c r="I63" s="1"/>
      <c r="J63" s="44"/>
      <c r="K63" s="1"/>
      <c r="L63" s="1"/>
      <c r="M63" s="264" t="s">
        <v>10</v>
      </c>
      <c r="N63" s="44"/>
      <c r="O63" s="1"/>
      <c r="P63" s="1"/>
      <c r="Q63" s="1"/>
    </row>
    <row r="64" spans="1:23" ht="15" customHeight="1">
      <c r="B64" s="1804" t="s">
        <v>340</v>
      </c>
      <c r="C64" s="1804" t="s">
        <v>36</v>
      </c>
      <c r="D64" s="1934" t="s">
        <v>508</v>
      </c>
      <c r="E64" s="1935"/>
      <c r="F64" s="1935"/>
      <c r="G64" s="1935"/>
      <c r="H64" s="1936"/>
      <c r="I64" s="1937" t="s">
        <v>509</v>
      </c>
      <c r="J64" s="1937"/>
      <c r="K64" s="1937"/>
      <c r="L64" s="1937"/>
      <c r="M64" s="1937"/>
      <c r="N64" s="1933" t="s">
        <v>510</v>
      </c>
      <c r="O64" s="1933"/>
      <c r="P64" s="1933"/>
      <c r="Q64" s="1933"/>
      <c r="R64" s="1933"/>
      <c r="S64" s="1933" t="s">
        <v>958</v>
      </c>
      <c r="T64" s="1933"/>
      <c r="U64" s="1933"/>
      <c r="V64" s="1933"/>
      <c r="W64" s="1933"/>
    </row>
    <row r="65" spans="1:25">
      <c r="B65" s="1804"/>
      <c r="C65" s="1804"/>
      <c r="D65" s="1942" t="s">
        <v>7</v>
      </c>
      <c r="E65" s="1943"/>
      <c r="F65" s="1943"/>
      <c r="G65" s="1943"/>
      <c r="H65" s="1943"/>
      <c r="I65" s="1942" t="s">
        <v>7</v>
      </c>
      <c r="J65" s="1943"/>
      <c r="K65" s="1943"/>
      <c r="L65" s="1943"/>
      <c r="M65" s="1943"/>
      <c r="N65" s="1942" t="s">
        <v>12</v>
      </c>
      <c r="O65" s="1943"/>
      <c r="P65" s="1943"/>
      <c r="Q65" s="1943"/>
      <c r="R65" s="1943"/>
      <c r="S65" s="1937" t="s">
        <v>21</v>
      </c>
      <c r="T65" s="1938"/>
      <c r="U65" s="1938"/>
      <c r="V65" s="1938"/>
      <c r="W65" s="1938"/>
    </row>
    <row r="66" spans="1:25" ht="56">
      <c r="A66" s="5" t="s">
        <v>808</v>
      </c>
      <c r="B66" s="1804"/>
      <c r="C66" s="1804"/>
      <c r="D66" s="902" t="s">
        <v>273</v>
      </c>
      <c r="E66" s="902" t="s">
        <v>268</v>
      </c>
      <c r="F66" s="268" t="s">
        <v>274</v>
      </c>
      <c r="G66" s="900" t="s">
        <v>589</v>
      </c>
      <c r="H66" s="902" t="s">
        <v>275</v>
      </c>
      <c r="I66" s="902" t="s">
        <v>273</v>
      </c>
      <c r="J66" s="902" t="s">
        <v>268</v>
      </c>
      <c r="K66" s="268" t="s">
        <v>274</v>
      </c>
      <c r="L66" s="900" t="s">
        <v>589</v>
      </c>
      <c r="M66" s="902" t="s">
        <v>275</v>
      </c>
      <c r="N66" s="902" t="s">
        <v>273</v>
      </c>
      <c r="O66" s="902" t="s">
        <v>268</v>
      </c>
      <c r="P66" s="268" t="s">
        <v>274</v>
      </c>
      <c r="Q66" s="900" t="s">
        <v>589</v>
      </c>
      <c r="R66" s="902" t="s">
        <v>275</v>
      </c>
      <c r="S66" s="902" t="s">
        <v>273</v>
      </c>
      <c r="T66" s="902" t="s">
        <v>268</v>
      </c>
      <c r="U66" s="268" t="s">
        <v>274</v>
      </c>
      <c r="V66" s="900" t="s">
        <v>589</v>
      </c>
      <c r="W66" s="902" t="s">
        <v>275</v>
      </c>
    </row>
    <row r="67" spans="1:25" ht="28">
      <c r="B67" s="265"/>
      <c r="C67" s="265"/>
      <c r="D67" s="265" t="s">
        <v>80</v>
      </c>
      <c r="E67" s="265" t="s">
        <v>81</v>
      </c>
      <c r="F67" s="265" t="s">
        <v>461</v>
      </c>
      <c r="G67" s="265" t="s">
        <v>391</v>
      </c>
      <c r="H67" s="265" t="s">
        <v>590</v>
      </c>
      <c r="I67" s="265" t="s">
        <v>409</v>
      </c>
      <c r="J67" s="265" t="s">
        <v>511</v>
      </c>
      <c r="K67" s="265" t="s">
        <v>410</v>
      </c>
      <c r="L67" s="265" t="s">
        <v>411</v>
      </c>
      <c r="M67" s="265" t="s">
        <v>654</v>
      </c>
      <c r="N67" s="265" t="s">
        <v>591</v>
      </c>
      <c r="O67" s="265" t="s">
        <v>655</v>
      </c>
      <c r="P67" s="265" t="s">
        <v>592</v>
      </c>
      <c r="Q67" s="265" t="s">
        <v>593</v>
      </c>
      <c r="R67" s="265" t="s">
        <v>1044</v>
      </c>
      <c r="S67" s="265" t="s">
        <v>594</v>
      </c>
      <c r="T67" s="265" t="s">
        <v>595</v>
      </c>
      <c r="U67" s="265" t="s">
        <v>1045</v>
      </c>
      <c r="V67" s="265" t="s">
        <v>1046</v>
      </c>
      <c r="W67" s="265" t="s">
        <v>1047</v>
      </c>
    </row>
    <row r="68" spans="1:25">
      <c r="A68" s="696"/>
      <c r="B68" s="95">
        <v>1</v>
      </c>
      <c r="C68" s="455" t="s">
        <v>841</v>
      </c>
      <c r="D68" s="697">
        <f>'F5'!D68</f>
        <v>0</v>
      </c>
      <c r="E68" s="697">
        <f>'F5'!E68</f>
        <v>0</v>
      </c>
      <c r="F68" s="697">
        <f>'F5'!F68</f>
        <v>0</v>
      </c>
      <c r="G68" s="697">
        <f>'F5'!G68</f>
        <v>0</v>
      </c>
      <c r="H68" s="697">
        <f t="shared" ref="H68:H84" si="18">D68+E68-F68-G68</f>
        <v>0</v>
      </c>
      <c r="I68" s="943">
        <f t="shared" ref="I68:I84" si="19">H68</f>
        <v>0</v>
      </c>
      <c r="J68" s="697">
        <f>'F5'!J68</f>
        <v>0</v>
      </c>
      <c r="K68" s="697">
        <f>'F5'!K68</f>
        <v>0</v>
      </c>
      <c r="L68" s="697">
        <f>'F5'!L68</f>
        <v>0</v>
      </c>
      <c r="M68" s="943">
        <f t="shared" ref="M68:M84" si="20">I68+J68-K68-L68</f>
        <v>0</v>
      </c>
      <c r="N68" s="697">
        <f t="shared" ref="N68:N84" si="21">M68</f>
        <v>0</v>
      </c>
      <c r="O68" s="697">
        <f>'F5'!O68</f>
        <v>0</v>
      </c>
      <c r="P68" s="697">
        <f>'F5'!P68</f>
        <v>0</v>
      </c>
      <c r="Q68" s="697">
        <f>'F5'!Q68</f>
        <v>0</v>
      </c>
      <c r="R68" s="697">
        <f t="shared" ref="R68:R84" si="22">N68+O68-P68-Q68</f>
        <v>0</v>
      </c>
      <c r="S68" s="943">
        <f>'F5'!S68+'F5.1 (N)'!D44</f>
        <v>0</v>
      </c>
      <c r="T68" s="943">
        <f>'F5'!T68+'F5.1 (N)'!E44</f>
        <v>0</v>
      </c>
      <c r="U68" s="943">
        <f>'F5'!U68+'F5.1 (N)'!F44</f>
        <v>0</v>
      </c>
      <c r="V68" s="943">
        <f>'F5'!V68+'F5.1 (N)'!G44</f>
        <v>0</v>
      </c>
      <c r="W68" s="943">
        <f t="shared" ref="W68:W84" si="23">S68+T68-U68-V68</f>
        <v>0</v>
      </c>
      <c r="Y68" s="696"/>
    </row>
    <row r="69" spans="1:25">
      <c r="A69" s="696"/>
      <c r="B69" s="95">
        <f t="shared" ref="B69:B84" si="24">B68+1</f>
        <v>2</v>
      </c>
      <c r="C69" s="455" t="s">
        <v>842</v>
      </c>
      <c r="D69" s="697">
        <f>'F5'!D69</f>
        <v>23.108787330895083</v>
      </c>
      <c r="E69" s="697">
        <f>'F5'!E69</f>
        <v>4.5721508030860223</v>
      </c>
      <c r="F69" s="697">
        <f>'F5'!F69</f>
        <v>0</v>
      </c>
      <c r="G69" s="697">
        <f>'F5'!G69</f>
        <v>0</v>
      </c>
      <c r="H69" s="1125">
        <f t="shared" si="18"/>
        <v>27.680938133981105</v>
      </c>
      <c r="I69" s="943">
        <f t="shared" si="19"/>
        <v>27.680938133981105</v>
      </c>
      <c r="J69" s="697">
        <f>'F5'!J69</f>
        <v>4.6094463786860231</v>
      </c>
      <c r="K69" s="697">
        <f>'F5'!K69</f>
        <v>0</v>
      </c>
      <c r="L69" s="697">
        <f>'F5'!L69</f>
        <v>0</v>
      </c>
      <c r="M69" s="943">
        <f t="shared" si="20"/>
        <v>32.290384512667131</v>
      </c>
      <c r="N69" s="697">
        <f t="shared" si="21"/>
        <v>32.290384512667131</v>
      </c>
      <c r="O69" s="697">
        <f>'F5'!O69</f>
        <v>4.6467419542860231</v>
      </c>
      <c r="P69" s="697">
        <f>'F5'!P69</f>
        <v>0</v>
      </c>
      <c r="Q69" s="697">
        <f>'F5'!Q69</f>
        <v>0</v>
      </c>
      <c r="R69" s="697">
        <f t="shared" si="22"/>
        <v>36.937126466953153</v>
      </c>
      <c r="S69" s="943">
        <f>'F5'!S69+'F5.1 (N)'!D45</f>
        <v>36.937126466953153</v>
      </c>
      <c r="T69" s="943">
        <f>'F5'!T69+'F5.1 (N)'!E45</f>
        <v>4.6467419542860231</v>
      </c>
      <c r="U69" s="943">
        <f>'F5'!U69+'F5.1 (N)'!F45</f>
        <v>0</v>
      </c>
      <c r="V69" s="943">
        <f>'F5'!V69+'F5.1 (N)'!G45</f>
        <v>0</v>
      </c>
      <c r="W69" s="943">
        <f t="shared" si="23"/>
        <v>41.583868421239174</v>
      </c>
      <c r="Y69" s="696"/>
    </row>
    <row r="70" spans="1:25">
      <c r="A70" s="696"/>
      <c r="B70" s="95">
        <f t="shared" si="24"/>
        <v>3</v>
      </c>
      <c r="C70" s="455" t="s">
        <v>843</v>
      </c>
      <c r="D70" s="697">
        <f>'F5'!D70</f>
        <v>0</v>
      </c>
      <c r="E70" s="697">
        <f>'F5'!E70</f>
        <v>0</v>
      </c>
      <c r="F70" s="697">
        <f>'F5'!F70</f>
        <v>0</v>
      </c>
      <c r="G70" s="697">
        <f>'F5'!G70</f>
        <v>0</v>
      </c>
      <c r="H70" s="697">
        <f t="shared" si="18"/>
        <v>0</v>
      </c>
      <c r="I70" s="943">
        <f t="shared" si="19"/>
        <v>0</v>
      </c>
      <c r="J70" s="697">
        <f>'F5'!J70</f>
        <v>0</v>
      </c>
      <c r="K70" s="697">
        <f>'F5'!K70</f>
        <v>0</v>
      </c>
      <c r="L70" s="697">
        <f>'F5'!L70</f>
        <v>0</v>
      </c>
      <c r="M70" s="943">
        <f t="shared" si="20"/>
        <v>0</v>
      </c>
      <c r="N70" s="697">
        <f t="shared" si="21"/>
        <v>0</v>
      </c>
      <c r="O70" s="697">
        <f>'F5'!O70</f>
        <v>0</v>
      </c>
      <c r="P70" s="697">
        <f>'F5'!P70</f>
        <v>0</v>
      </c>
      <c r="Q70" s="697">
        <f>'F5'!Q70</f>
        <v>0</v>
      </c>
      <c r="R70" s="697">
        <f t="shared" si="22"/>
        <v>0</v>
      </c>
      <c r="S70" s="943">
        <f>'F5'!S70+'F5.1 (N)'!D46</f>
        <v>0</v>
      </c>
      <c r="T70" s="943">
        <f>'F5'!T70+'F5.1 (N)'!E46</f>
        <v>0</v>
      </c>
      <c r="U70" s="943">
        <f>'F5'!U70+'F5.1 (N)'!F46</f>
        <v>0</v>
      </c>
      <c r="V70" s="943">
        <f>'F5'!V70+'F5.1 (N)'!G46</f>
        <v>0</v>
      </c>
      <c r="W70" s="943">
        <f t="shared" si="23"/>
        <v>0</v>
      </c>
      <c r="Y70" s="696"/>
    </row>
    <row r="71" spans="1:25">
      <c r="A71" s="696"/>
      <c r="B71" s="95">
        <f t="shared" si="24"/>
        <v>4</v>
      </c>
      <c r="C71" s="455" t="s">
        <v>844</v>
      </c>
      <c r="D71" s="697">
        <f>'F5'!D71</f>
        <v>28.809328370671452</v>
      </c>
      <c r="E71" s="697">
        <f>'F5'!E71</f>
        <v>5.528394585400334</v>
      </c>
      <c r="F71" s="697">
        <f>'F5'!F71</f>
        <v>0</v>
      </c>
      <c r="G71" s="697">
        <f>'F5'!G71</f>
        <v>0</v>
      </c>
      <c r="H71" s="697">
        <f t="shared" si="18"/>
        <v>34.337722956071786</v>
      </c>
      <c r="I71" s="943">
        <f t="shared" si="19"/>
        <v>34.337722956071786</v>
      </c>
      <c r="J71" s="697">
        <f>'F5'!J71</f>
        <v>5.5464320369731341</v>
      </c>
      <c r="K71" s="697">
        <f>'F5'!K71</f>
        <v>0</v>
      </c>
      <c r="L71" s="697">
        <f>'F5'!L71</f>
        <v>0</v>
      </c>
      <c r="M71" s="943">
        <f t="shared" si="20"/>
        <v>39.884154993044923</v>
      </c>
      <c r="N71" s="697">
        <f t="shared" si="21"/>
        <v>39.884154993044923</v>
      </c>
      <c r="O71" s="697">
        <f>'F5'!O71</f>
        <v>5.5464320369731341</v>
      </c>
      <c r="P71" s="697">
        <f>'F5'!P71</f>
        <v>0</v>
      </c>
      <c r="Q71" s="697">
        <f>'F5'!Q71</f>
        <v>0</v>
      </c>
      <c r="R71" s="697">
        <f t="shared" si="22"/>
        <v>45.43058703001806</v>
      </c>
      <c r="S71" s="943">
        <f>'F5'!S71+'F5.1 (N)'!D47</f>
        <v>45.43058703001806</v>
      </c>
      <c r="T71" s="943">
        <f>'F5'!T71+'F5.1 (N)'!E47</f>
        <v>5.5464320369731341</v>
      </c>
      <c r="U71" s="943">
        <f>'F5'!U71+'F5.1 (N)'!F47</f>
        <v>0</v>
      </c>
      <c r="V71" s="943">
        <f>'F5'!V71+'F5.1 (N)'!G47</f>
        <v>0</v>
      </c>
      <c r="W71" s="943">
        <f t="shared" si="23"/>
        <v>50.977019066991197</v>
      </c>
      <c r="Y71" s="696"/>
    </row>
    <row r="72" spans="1:25">
      <c r="A72" s="696"/>
      <c r="B72" s="95">
        <f t="shared" si="24"/>
        <v>5</v>
      </c>
      <c r="C72" s="455" t="s">
        <v>845</v>
      </c>
      <c r="D72" s="697">
        <f>'F5'!D72</f>
        <v>5.4199334560536805</v>
      </c>
      <c r="E72" s="697">
        <f>'F5'!E72</f>
        <v>1.0461582806866132</v>
      </c>
      <c r="F72" s="697">
        <f>'F5'!F72</f>
        <v>0</v>
      </c>
      <c r="G72" s="697">
        <f>'F5'!G72</f>
        <v>0</v>
      </c>
      <c r="H72" s="697">
        <f t="shared" si="18"/>
        <v>6.4660917367402941</v>
      </c>
      <c r="I72" s="943">
        <f t="shared" si="19"/>
        <v>6.4660917367402941</v>
      </c>
      <c r="J72" s="697">
        <f>'F5'!J72</f>
        <v>1.8311554120282134</v>
      </c>
      <c r="K72" s="697">
        <f>'F5'!K72</f>
        <v>0</v>
      </c>
      <c r="L72" s="697">
        <f>'F5'!L72</f>
        <v>0</v>
      </c>
      <c r="M72" s="943">
        <f t="shared" si="20"/>
        <v>8.2972471487685073</v>
      </c>
      <c r="N72" s="697">
        <f t="shared" si="21"/>
        <v>8.2972471487685073</v>
      </c>
      <c r="O72" s="697">
        <f>'F5'!O72</f>
        <v>2.6500535433698134</v>
      </c>
      <c r="P72" s="697">
        <f>'F5'!P72</f>
        <v>0</v>
      </c>
      <c r="Q72" s="697">
        <f>'F5'!Q72</f>
        <v>0</v>
      </c>
      <c r="R72" s="697">
        <f t="shared" si="22"/>
        <v>10.94730069213832</v>
      </c>
      <c r="S72" s="943">
        <f>'F5'!S72+'F5.1 (N)'!D48</f>
        <v>10.94730069213832</v>
      </c>
      <c r="T72" s="943">
        <f>'F5'!T72+'F5.1 (N)'!E48</f>
        <v>2.6839545433698135</v>
      </c>
      <c r="U72" s="943">
        <f>'F5'!U72+'F5.1 (N)'!F48</f>
        <v>0</v>
      </c>
      <c r="V72" s="943">
        <f>'F5'!V72+'F5.1 (N)'!G48</f>
        <v>0</v>
      </c>
      <c r="W72" s="943">
        <f t="shared" si="23"/>
        <v>13.631255235508133</v>
      </c>
      <c r="Y72" s="696"/>
    </row>
    <row r="73" spans="1:25">
      <c r="A73" s="696"/>
      <c r="B73" s="95">
        <f t="shared" si="24"/>
        <v>6</v>
      </c>
      <c r="C73" s="455" t="s">
        <v>255</v>
      </c>
      <c r="D73" s="697">
        <f>'F5'!D73</f>
        <v>420.29665966327389</v>
      </c>
      <c r="E73" s="697">
        <f>'F5'!E73</f>
        <v>81.548572946742652</v>
      </c>
      <c r="F73" s="697">
        <f>'F5'!F73</f>
        <v>0</v>
      </c>
      <c r="G73" s="697">
        <f>'F5'!G73</f>
        <v>0</v>
      </c>
      <c r="H73" s="697">
        <f t="shared" si="18"/>
        <v>501.84523261001652</v>
      </c>
      <c r="I73" s="943">
        <f t="shared" si="19"/>
        <v>501.84523261001652</v>
      </c>
      <c r="J73" s="697">
        <f>'F5'!J73</f>
        <v>82.62119831857386</v>
      </c>
      <c r="K73" s="697">
        <f>'F5'!K73</f>
        <v>0</v>
      </c>
      <c r="L73" s="697">
        <f>'F5'!L73</f>
        <v>0</v>
      </c>
      <c r="M73" s="943">
        <f t="shared" si="20"/>
        <v>584.4664309285904</v>
      </c>
      <c r="N73" s="697">
        <f t="shared" si="21"/>
        <v>584.4664309285904</v>
      </c>
      <c r="O73" s="697">
        <f>'F5'!O73</f>
        <v>83.785663195331452</v>
      </c>
      <c r="P73" s="697">
        <f>'F5'!P73</f>
        <v>0</v>
      </c>
      <c r="Q73" s="697">
        <f>'F5'!Q73</f>
        <v>0</v>
      </c>
      <c r="R73" s="697">
        <f t="shared" si="22"/>
        <v>668.25209412392189</v>
      </c>
      <c r="S73" s="943">
        <f>'F5'!S73+'F5.1 (N)'!D49</f>
        <v>668.25209412392189</v>
      </c>
      <c r="T73" s="943">
        <f>'F5'!T73+'F5.1 (N)'!E49</f>
        <v>86.549324195331451</v>
      </c>
      <c r="U73" s="943">
        <f>'F5'!U73+'F5.1 (N)'!F49</f>
        <v>0</v>
      </c>
      <c r="V73" s="943">
        <f>'F5'!V73+'F5.1 (N)'!G49</f>
        <v>0</v>
      </c>
      <c r="W73" s="943">
        <f t="shared" si="23"/>
        <v>754.80141831925334</v>
      </c>
      <c r="Y73" s="696"/>
    </row>
    <row r="74" spans="1:25">
      <c r="A74" s="696"/>
      <c r="B74" s="95">
        <f t="shared" si="24"/>
        <v>7</v>
      </c>
      <c r="C74" s="455" t="s">
        <v>846</v>
      </c>
      <c r="D74" s="697">
        <f>'F5'!D74</f>
        <v>0</v>
      </c>
      <c r="E74" s="697">
        <f>'F5'!E74</f>
        <v>0</v>
      </c>
      <c r="F74" s="697">
        <f>'F5'!F74</f>
        <v>0</v>
      </c>
      <c r="G74" s="697">
        <f>'F5'!G74</f>
        <v>0</v>
      </c>
      <c r="H74" s="697">
        <f t="shared" si="18"/>
        <v>0</v>
      </c>
      <c r="I74" s="943">
        <f t="shared" si="19"/>
        <v>0</v>
      </c>
      <c r="J74" s="697">
        <f>'F5'!J74</f>
        <v>0</v>
      </c>
      <c r="K74" s="697">
        <f>'F5'!K74</f>
        <v>0</v>
      </c>
      <c r="L74" s="697">
        <f>'F5'!L74</f>
        <v>0</v>
      </c>
      <c r="M74" s="943">
        <f t="shared" si="20"/>
        <v>0</v>
      </c>
      <c r="N74" s="697">
        <f t="shared" si="21"/>
        <v>0</v>
      </c>
      <c r="O74" s="697">
        <f>'F5'!O74</f>
        <v>0</v>
      </c>
      <c r="P74" s="697">
        <f>'F5'!P74</f>
        <v>0</v>
      </c>
      <c r="Q74" s="697">
        <f>'F5'!Q74</f>
        <v>0</v>
      </c>
      <c r="R74" s="697">
        <f t="shared" si="22"/>
        <v>0</v>
      </c>
      <c r="S74" s="943">
        <f>'F5'!S74+'F5.1 (N)'!D50</f>
        <v>0</v>
      </c>
      <c r="T74" s="943">
        <f>'F5'!T74+'F5.1 (N)'!E50</f>
        <v>0</v>
      </c>
      <c r="U74" s="943">
        <f>'F5'!U74+'F5.1 (N)'!F50</f>
        <v>0</v>
      </c>
      <c r="V74" s="943">
        <f>'F5'!V74+'F5.1 (N)'!G50</f>
        <v>0</v>
      </c>
      <c r="W74" s="943">
        <f t="shared" si="23"/>
        <v>0</v>
      </c>
      <c r="Y74" s="696"/>
    </row>
    <row r="75" spans="1:25">
      <c r="A75" s="696"/>
      <c r="B75" s="95">
        <f t="shared" si="24"/>
        <v>8</v>
      </c>
      <c r="C75" s="455" t="s">
        <v>847</v>
      </c>
      <c r="D75" s="697">
        <f>'F5'!D75</f>
        <v>0</v>
      </c>
      <c r="E75" s="697">
        <f>'F5'!E75</f>
        <v>0</v>
      </c>
      <c r="F75" s="697">
        <f>'F5'!F75</f>
        <v>0</v>
      </c>
      <c r="G75" s="697">
        <f>'F5'!G75</f>
        <v>0</v>
      </c>
      <c r="H75" s="697">
        <f t="shared" si="18"/>
        <v>0</v>
      </c>
      <c r="I75" s="943">
        <f t="shared" si="19"/>
        <v>0</v>
      </c>
      <c r="J75" s="697">
        <f>'F5'!J75</f>
        <v>0</v>
      </c>
      <c r="K75" s="697">
        <f>'F5'!K75</f>
        <v>0</v>
      </c>
      <c r="L75" s="697">
        <f>'F5'!L75</f>
        <v>0</v>
      </c>
      <c r="M75" s="943">
        <f t="shared" si="20"/>
        <v>0</v>
      </c>
      <c r="N75" s="697">
        <f t="shared" si="21"/>
        <v>0</v>
      </c>
      <c r="O75" s="697">
        <f>'F5'!O75</f>
        <v>0</v>
      </c>
      <c r="P75" s="697">
        <f>'F5'!P75</f>
        <v>0</v>
      </c>
      <c r="Q75" s="697">
        <f>'F5'!Q75</f>
        <v>0</v>
      </c>
      <c r="R75" s="697">
        <f t="shared" si="22"/>
        <v>0</v>
      </c>
      <c r="S75" s="943">
        <f>'F5'!S75+'F5.1 (N)'!D51</f>
        <v>0</v>
      </c>
      <c r="T75" s="943">
        <f>'F5'!T75+'F5.1 (N)'!E51</f>
        <v>1.1083333333333333E-3</v>
      </c>
      <c r="U75" s="943">
        <f>'F5'!U75+'F5.1 (N)'!F51</f>
        <v>0</v>
      </c>
      <c r="V75" s="943">
        <f>'F5'!V75+'F5.1 (N)'!G51</f>
        <v>0</v>
      </c>
      <c r="W75" s="943">
        <f t="shared" si="23"/>
        <v>1.1083333333333333E-3</v>
      </c>
      <c r="Y75" s="696"/>
    </row>
    <row r="76" spans="1:25">
      <c r="A76" s="696"/>
      <c r="B76" s="95">
        <f t="shared" si="24"/>
        <v>9</v>
      </c>
      <c r="C76" s="455" t="s">
        <v>848</v>
      </c>
      <c r="D76" s="697">
        <f>'F5'!D76</f>
        <v>10.965103820676342</v>
      </c>
      <c r="E76" s="697">
        <f>'F5'!E76</f>
        <v>2.0448768475836201</v>
      </c>
      <c r="F76" s="697">
        <f>'F5'!F76</f>
        <v>0</v>
      </c>
      <c r="G76" s="697">
        <f>'F5'!G76</f>
        <v>0</v>
      </c>
      <c r="H76" s="697">
        <f t="shared" si="18"/>
        <v>13.009980668259962</v>
      </c>
      <c r="I76" s="943">
        <f t="shared" si="19"/>
        <v>13.009980668259962</v>
      </c>
      <c r="J76" s="697">
        <f>'F5'!J76</f>
        <v>2.0448768475836201</v>
      </c>
      <c r="K76" s="697">
        <f>'F5'!K76</f>
        <v>0</v>
      </c>
      <c r="L76" s="697">
        <f>'F5'!L76</f>
        <v>0</v>
      </c>
      <c r="M76" s="943">
        <f t="shared" si="20"/>
        <v>15.054857515843581</v>
      </c>
      <c r="N76" s="697">
        <f t="shared" si="21"/>
        <v>15.054857515843581</v>
      </c>
      <c r="O76" s="697">
        <f>'F5'!O76</f>
        <v>2.0448768475836201</v>
      </c>
      <c r="P76" s="697">
        <f>'F5'!P76</f>
        <v>0</v>
      </c>
      <c r="Q76" s="697">
        <f>'F5'!Q76</f>
        <v>0</v>
      </c>
      <c r="R76" s="697">
        <f t="shared" si="22"/>
        <v>17.099734363427203</v>
      </c>
      <c r="S76" s="943">
        <f>'F5'!S76+'F5.1 (N)'!D52</f>
        <v>17.099734363427203</v>
      </c>
      <c r="T76" s="943">
        <f>'F5'!T76+'F5.1 (N)'!E52</f>
        <v>2.0448768475836201</v>
      </c>
      <c r="U76" s="943">
        <f>'F5'!U76+'F5.1 (N)'!F52</f>
        <v>0</v>
      </c>
      <c r="V76" s="943">
        <f>'F5'!V76+'F5.1 (N)'!G52</f>
        <v>0</v>
      </c>
      <c r="W76" s="943">
        <f t="shared" si="23"/>
        <v>19.144611211010822</v>
      </c>
      <c r="Y76" s="696"/>
    </row>
    <row r="77" spans="1:25">
      <c r="A77" s="696"/>
      <c r="B77" s="95">
        <f t="shared" si="24"/>
        <v>10</v>
      </c>
      <c r="C77" s="455" t="s">
        <v>258</v>
      </c>
      <c r="D77" s="697">
        <f>'F5'!D77</f>
        <v>0</v>
      </c>
      <c r="E77" s="697">
        <f>'F5'!E77</f>
        <v>0</v>
      </c>
      <c r="F77" s="697">
        <f>'F5'!F77</f>
        <v>0</v>
      </c>
      <c r="G77" s="697">
        <f>'F5'!G77</f>
        <v>0</v>
      </c>
      <c r="H77" s="697">
        <f t="shared" si="18"/>
        <v>0</v>
      </c>
      <c r="I77" s="943">
        <f t="shared" si="19"/>
        <v>0</v>
      </c>
      <c r="J77" s="697">
        <f>'F5'!J77</f>
        <v>0</v>
      </c>
      <c r="K77" s="697">
        <f>'F5'!K77</f>
        <v>0</v>
      </c>
      <c r="L77" s="697">
        <f>'F5'!L77</f>
        <v>0</v>
      </c>
      <c r="M77" s="943">
        <f t="shared" si="20"/>
        <v>0</v>
      </c>
      <c r="N77" s="697">
        <f t="shared" si="21"/>
        <v>0</v>
      </c>
      <c r="O77" s="697">
        <f>'F5'!O77</f>
        <v>0</v>
      </c>
      <c r="P77" s="697">
        <f>'F5'!P77</f>
        <v>0</v>
      </c>
      <c r="Q77" s="697">
        <f>'F5'!Q77</f>
        <v>0</v>
      </c>
      <c r="R77" s="697">
        <f t="shared" si="22"/>
        <v>0</v>
      </c>
      <c r="S77" s="943">
        <f>'F5'!S77+'F5.1 (N)'!D53</f>
        <v>0</v>
      </c>
      <c r="T77" s="943">
        <f>'F5'!T77+'F5.1 (N)'!E53</f>
        <v>0</v>
      </c>
      <c r="U77" s="943">
        <f>'F5'!U77+'F5.1 (N)'!F53</f>
        <v>0</v>
      </c>
      <c r="V77" s="943">
        <f>'F5'!V77+'F5.1 (N)'!G53</f>
        <v>0</v>
      </c>
      <c r="W77" s="943">
        <f t="shared" si="23"/>
        <v>0</v>
      </c>
      <c r="Y77" s="696"/>
    </row>
    <row r="78" spans="1:25">
      <c r="A78" s="696"/>
      <c r="B78" s="95">
        <f t="shared" si="24"/>
        <v>11</v>
      </c>
      <c r="C78" s="455" t="s">
        <v>259</v>
      </c>
      <c r="D78" s="697">
        <f>'F5'!D78</f>
        <v>0.14495389796824823</v>
      </c>
      <c r="E78" s="697">
        <f>'F5'!E78</f>
        <v>3.7761993922912053E-2</v>
      </c>
      <c r="F78" s="697">
        <f>'F5'!F78</f>
        <v>0</v>
      </c>
      <c r="G78" s="697">
        <f>'F5'!G78</f>
        <v>0</v>
      </c>
      <c r="H78" s="697">
        <f t="shared" si="18"/>
        <v>0.18271589189116028</v>
      </c>
      <c r="I78" s="943">
        <f t="shared" si="19"/>
        <v>0.18271589189116028</v>
      </c>
      <c r="J78" s="697">
        <f>'F5'!J78</f>
        <v>4.3872115454362044E-2</v>
      </c>
      <c r="K78" s="697">
        <f>'F5'!K78</f>
        <v>0</v>
      </c>
      <c r="L78" s="697">
        <f>'F5'!L78</f>
        <v>0</v>
      </c>
      <c r="M78" s="943">
        <f t="shared" si="20"/>
        <v>0.22658800734552231</v>
      </c>
      <c r="N78" s="697">
        <f t="shared" si="21"/>
        <v>0.22658800734552231</v>
      </c>
      <c r="O78" s="697">
        <f>'F5'!O78</f>
        <v>4.9859105604262051E-2</v>
      </c>
      <c r="P78" s="697">
        <f>'F5'!P78</f>
        <v>0</v>
      </c>
      <c r="Q78" s="697">
        <f>'F5'!Q78</f>
        <v>0</v>
      </c>
      <c r="R78" s="697">
        <f t="shared" si="22"/>
        <v>0.27644711294978436</v>
      </c>
      <c r="S78" s="943">
        <f>'F5'!S78+'F5.1 (N)'!D54</f>
        <v>0.27644711294978436</v>
      </c>
      <c r="T78" s="943">
        <f>'F5'!T78+'F5.1 (N)'!E54</f>
        <v>5.0070105604262054E-2</v>
      </c>
      <c r="U78" s="943">
        <f>'F5'!U78+'F5.1 (N)'!F54</f>
        <v>0</v>
      </c>
      <c r="V78" s="943">
        <f>'F5'!V78+'F5.1 (N)'!G54</f>
        <v>0</v>
      </c>
      <c r="W78" s="943">
        <f t="shared" si="23"/>
        <v>0.32651721855404642</v>
      </c>
      <c r="Y78" s="696"/>
    </row>
    <row r="79" spans="1:25">
      <c r="A79" s="696"/>
      <c r="B79" s="95">
        <f t="shared" si="24"/>
        <v>12</v>
      </c>
      <c r="C79" s="455" t="s">
        <v>260</v>
      </c>
      <c r="D79" s="697">
        <f>'F5'!D79</f>
        <v>0</v>
      </c>
      <c r="E79" s="697">
        <f>'F5'!E79</f>
        <v>0</v>
      </c>
      <c r="F79" s="697">
        <f>'F5'!F79</f>
        <v>0</v>
      </c>
      <c r="G79" s="697">
        <f>'F5'!G79</f>
        <v>0</v>
      </c>
      <c r="H79" s="697">
        <f t="shared" si="18"/>
        <v>0</v>
      </c>
      <c r="I79" s="943">
        <f t="shared" si="19"/>
        <v>0</v>
      </c>
      <c r="J79" s="697">
        <f>'F5'!J79</f>
        <v>0</v>
      </c>
      <c r="K79" s="697">
        <f>'F5'!K79</f>
        <v>0</v>
      </c>
      <c r="L79" s="697">
        <f>'F5'!L79</f>
        <v>0</v>
      </c>
      <c r="M79" s="943">
        <f t="shared" si="20"/>
        <v>0</v>
      </c>
      <c r="N79" s="697">
        <f t="shared" si="21"/>
        <v>0</v>
      </c>
      <c r="O79" s="697">
        <f>'F5'!O79</f>
        <v>0</v>
      </c>
      <c r="P79" s="697">
        <f>'F5'!P79</f>
        <v>0</v>
      </c>
      <c r="Q79" s="697">
        <f>'F5'!Q79</f>
        <v>0</v>
      </c>
      <c r="R79" s="697">
        <f t="shared" si="22"/>
        <v>0</v>
      </c>
      <c r="S79" s="943">
        <f>'F5'!S79+'F5.1 (N)'!D55</f>
        <v>0</v>
      </c>
      <c r="T79" s="943">
        <f>'F5'!T79+'F5.1 (N)'!E55</f>
        <v>0</v>
      </c>
      <c r="U79" s="943">
        <f>'F5'!U79+'F5.1 (N)'!F55</f>
        <v>0</v>
      </c>
      <c r="V79" s="943">
        <f>'F5'!V79+'F5.1 (N)'!G55</f>
        <v>0</v>
      </c>
      <c r="W79" s="943">
        <f t="shared" si="23"/>
        <v>0</v>
      </c>
      <c r="Y79" s="696"/>
    </row>
    <row r="80" spans="1:25">
      <c r="A80" s="696"/>
      <c r="B80" s="95">
        <f t="shared" si="24"/>
        <v>13</v>
      </c>
      <c r="C80" s="476" t="s">
        <v>897</v>
      </c>
      <c r="D80" s="697">
        <f>'F5'!D80</f>
        <v>0</v>
      </c>
      <c r="E80" s="697">
        <f>'F5'!E80</f>
        <v>0</v>
      </c>
      <c r="F80" s="697">
        <f>'F5'!F80</f>
        <v>0</v>
      </c>
      <c r="G80" s="697">
        <f>'F5'!G80</f>
        <v>0</v>
      </c>
      <c r="H80" s="697">
        <f t="shared" si="18"/>
        <v>0</v>
      </c>
      <c r="I80" s="943">
        <f t="shared" si="19"/>
        <v>0</v>
      </c>
      <c r="J80" s="697">
        <f>'F5'!J80</f>
        <v>0</v>
      </c>
      <c r="K80" s="697">
        <f>'F5'!K80</f>
        <v>0</v>
      </c>
      <c r="L80" s="697">
        <f>'F5'!L80</f>
        <v>0</v>
      </c>
      <c r="M80" s="943">
        <f t="shared" si="20"/>
        <v>0</v>
      </c>
      <c r="N80" s="697">
        <f t="shared" si="21"/>
        <v>0</v>
      </c>
      <c r="O80" s="697">
        <f>'F5'!O80</f>
        <v>0</v>
      </c>
      <c r="P80" s="697">
        <f>'F5'!P80</f>
        <v>0</v>
      </c>
      <c r="Q80" s="697">
        <f>'F5'!Q80</f>
        <v>0</v>
      </c>
      <c r="R80" s="697">
        <f t="shared" si="22"/>
        <v>0</v>
      </c>
      <c r="S80" s="943">
        <f>'F5'!S80+'F5.1 (N)'!D56</f>
        <v>0</v>
      </c>
      <c r="T80" s="943">
        <f>'F5'!T80+'F5.1 (N)'!E56</f>
        <v>0</v>
      </c>
      <c r="U80" s="943">
        <f>'F5'!U80+'F5.1 (N)'!F56</f>
        <v>0</v>
      </c>
      <c r="V80" s="943">
        <f>'F5'!V80+'F5.1 (N)'!G56</f>
        <v>0</v>
      </c>
      <c r="W80" s="943">
        <f t="shared" si="23"/>
        <v>0</v>
      </c>
      <c r="Y80" s="696"/>
    </row>
    <row r="81" spans="1:33">
      <c r="A81" s="696"/>
      <c r="B81" s="95">
        <f t="shared" si="24"/>
        <v>14</v>
      </c>
      <c r="C81" s="476" t="s">
        <v>898</v>
      </c>
      <c r="D81" s="697">
        <f>'F5'!D81</f>
        <v>0</v>
      </c>
      <c r="E81" s="697">
        <f>'F5'!E81</f>
        <v>3.8925093299999998E-2</v>
      </c>
      <c r="F81" s="697">
        <f>'F5'!F81</f>
        <v>0</v>
      </c>
      <c r="G81" s="697">
        <f>'F5'!G81</f>
        <v>0</v>
      </c>
      <c r="H81" s="697">
        <f t="shared" si="18"/>
        <v>3.8925093299999998E-2</v>
      </c>
      <c r="I81" s="943">
        <f t="shared" si="19"/>
        <v>3.8925093299999998E-2</v>
      </c>
      <c r="J81" s="697">
        <f>'F5'!J81</f>
        <v>0.10612434659999999</v>
      </c>
      <c r="K81" s="697">
        <f>'F5'!K81</f>
        <v>0</v>
      </c>
      <c r="L81" s="697">
        <f>'F5'!L81</f>
        <v>0</v>
      </c>
      <c r="M81" s="943">
        <f t="shared" si="20"/>
        <v>0.14504943989999999</v>
      </c>
      <c r="N81" s="697">
        <f t="shared" si="21"/>
        <v>0.14504943989999999</v>
      </c>
      <c r="O81" s="697">
        <f>'F5'!O81</f>
        <v>0.1343985066</v>
      </c>
      <c r="P81" s="697">
        <f>'F5'!P81</f>
        <v>0</v>
      </c>
      <c r="Q81" s="697">
        <f>'F5'!Q81</f>
        <v>0</v>
      </c>
      <c r="R81" s="697">
        <f t="shared" si="22"/>
        <v>0.27944794649999999</v>
      </c>
      <c r="S81" s="943">
        <f>'F5'!S81+'F5.1 (N)'!D57</f>
        <v>0.27944794649999999</v>
      </c>
      <c r="T81" s="943">
        <f>'F5'!T81+'F5.1 (N)'!E57</f>
        <v>0.1393985066</v>
      </c>
      <c r="U81" s="943">
        <f>'F5'!U81+'F5.1 (N)'!F57</f>
        <v>0</v>
      </c>
      <c r="V81" s="943">
        <f>'F5'!V81+'F5.1 (N)'!G57</f>
        <v>0</v>
      </c>
      <c r="W81" s="943">
        <f t="shared" si="23"/>
        <v>0.41884645310000002</v>
      </c>
      <c r="Y81" s="696"/>
    </row>
    <row r="82" spans="1:33">
      <c r="A82" s="696"/>
      <c r="B82" s="95">
        <f t="shared" si="24"/>
        <v>15</v>
      </c>
      <c r="C82" s="476" t="s">
        <v>899</v>
      </c>
      <c r="D82" s="697">
        <f>'F5'!D82</f>
        <v>0</v>
      </c>
      <c r="E82" s="697">
        <f>'F5'!E82</f>
        <v>0</v>
      </c>
      <c r="F82" s="697">
        <f>'F5'!F82</f>
        <v>0</v>
      </c>
      <c r="G82" s="697">
        <f>'F5'!G82</f>
        <v>0</v>
      </c>
      <c r="H82" s="697">
        <f t="shared" si="18"/>
        <v>0</v>
      </c>
      <c r="I82" s="943">
        <f t="shared" si="19"/>
        <v>0</v>
      </c>
      <c r="J82" s="697">
        <f>'F5'!J82</f>
        <v>0</v>
      </c>
      <c r="K82" s="697">
        <f>'F5'!K82</f>
        <v>0</v>
      </c>
      <c r="L82" s="697">
        <f>'F5'!L82</f>
        <v>0</v>
      </c>
      <c r="M82" s="943">
        <f t="shared" si="20"/>
        <v>0</v>
      </c>
      <c r="N82" s="697">
        <f t="shared" si="21"/>
        <v>0</v>
      </c>
      <c r="O82" s="697">
        <f>'F5'!O82</f>
        <v>0</v>
      </c>
      <c r="P82" s="697">
        <f>'F5'!P82</f>
        <v>0</v>
      </c>
      <c r="Q82" s="697">
        <f>'F5'!Q82</f>
        <v>0</v>
      </c>
      <c r="R82" s="697">
        <f t="shared" si="22"/>
        <v>0</v>
      </c>
      <c r="S82" s="943">
        <f>'F5'!S82+'F5.1 (N)'!D58</f>
        <v>0</v>
      </c>
      <c r="T82" s="943">
        <f>'F5'!T82+'F5.1 (N)'!E58</f>
        <v>0</v>
      </c>
      <c r="U82" s="943">
        <f>'F5'!U82+'F5.1 (N)'!F58</f>
        <v>0</v>
      </c>
      <c r="V82" s="943">
        <f>'F5'!V82+'F5.1 (N)'!G58</f>
        <v>0</v>
      </c>
      <c r="W82" s="943">
        <f t="shared" si="23"/>
        <v>0</v>
      </c>
      <c r="Y82" s="696"/>
    </row>
    <row r="83" spans="1:33">
      <c r="A83" s="696"/>
      <c r="B83" s="95">
        <f t="shared" si="24"/>
        <v>16</v>
      </c>
      <c r="C83" s="476" t="s">
        <v>849</v>
      </c>
      <c r="D83" s="697">
        <f>'F5'!D83</f>
        <v>0</v>
      </c>
      <c r="E83" s="697">
        <f>'F5'!E83</f>
        <v>0</v>
      </c>
      <c r="F83" s="697">
        <f>'F5'!F83</f>
        <v>0</v>
      </c>
      <c r="G83" s="697">
        <f>'F5'!G83</f>
        <v>0</v>
      </c>
      <c r="H83" s="697">
        <f t="shared" si="18"/>
        <v>0</v>
      </c>
      <c r="I83" s="943">
        <f t="shared" si="19"/>
        <v>0</v>
      </c>
      <c r="J83" s="697">
        <f>'F5'!J83</f>
        <v>0</v>
      </c>
      <c r="K83" s="697">
        <f>'F5'!K83</f>
        <v>0</v>
      </c>
      <c r="L83" s="697">
        <f>'F5'!L83</f>
        <v>0</v>
      </c>
      <c r="M83" s="943">
        <f t="shared" si="20"/>
        <v>0</v>
      </c>
      <c r="N83" s="697">
        <f t="shared" si="21"/>
        <v>0</v>
      </c>
      <c r="O83" s="697">
        <f>'F5'!O83</f>
        <v>0</v>
      </c>
      <c r="P83" s="697">
        <f>'F5'!P83</f>
        <v>0</v>
      </c>
      <c r="Q83" s="697">
        <f>'F5'!Q83</f>
        <v>0</v>
      </c>
      <c r="R83" s="697">
        <f t="shared" si="22"/>
        <v>0</v>
      </c>
      <c r="S83" s="943">
        <f>'F5'!S83+'F5.1 (N)'!D59</f>
        <v>0</v>
      </c>
      <c r="T83" s="943">
        <f>'F5'!T83+'F5.1 (N)'!E59</f>
        <v>0</v>
      </c>
      <c r="U83" s="943">
        <f>'F5'!U83+'F5.1 (N)'!F59</f>
        <v>0</v>
      </c>
      <c r="V83" s="943">
        <f>'F5'!V83+'F5.1 (N)'!G59</f>
        <v>0</v>
      </c>
      <c r="W83" s="943">
        <f t="shared" si="23"/>
        <v>0</v>
      </c>
      <c r="Y83" s="696"/>
    </row>
    <row r="84" spans="1:33">
      <c r="A84" s="696"/>
      <c r="B84" s="95">
        <f t="shared" si="24"/>
        <v>17</v>
      </c>
      <c r="C84" s="476" t="s">
        <v>900</v>
      </c>
      <c r="D84" s="697">
        <f>'F5'!D84</f>
        <v>0</v>
      </c>
      <c r="E84" s="697">
        <f>'F5'!E84</f>
        <v>0</v>
      </c>
      <c r="F84" s="697">
        <f>'F5'!F84</f>
        <v>0</v>
      </c>
      <c r="G84" s="697">
        <f>'F5'!G84</f>
        <v>0</v>
      </c>
      <c r="H84" s="697">
        <f t="shared" si="18"/>
        <v>0</v>
      </c>
      <c r="I84" s="943">
        <f t="shared" si="19"/>
        <v>0</v>
      </c>
      <c r="J84" s="697">
        <f>'F5'!J84</f>
        <v>0</v>
      </c>
      <c r="K84" s="697">
        <f>'F5'!K84</f>
        <v>0</v>
      </c>
      <c r="L84" s="697">
        <f>'F5'!L84</f>
        <v>0</v>
      </c>
      <c r="M84" s="943">
        <f t="shared" si="20"/>
        <v>0</v>
      </c>
      <c r="N84" s="697">
        <f t="shared" si="21"/>
        <v>0</v>
      </c>
      <c r="O84" s="697">
        <f>'F5'!O84</f>
        <v>0</v>
      </c>
      <c r="P84" s="697">
        <f>'F5'!P84</f>
        <v>0</v>
      </c>
      <c r="Q84" s="697">
        <f>'F5'!Q84</f>
        <v>0</v>
      </c>
      <c r="R84" s="697">
        <f t="shared" si="22"/>
        <v>0</v>
      </c>
      <c r="S84" s="943">
        <f>'F5'!S84+'F5.1 (N)'!D60</f>
        <v>0</v>
      </c>
      <c r="T84" s="943">
        <f>'F5'!T84+'F5.1 (N)'!E60</f>
        <v>0</v>
      </c>
      <c r="U84" s="943">
        <f>'F5'!U84+'F5.1 (N)'!F60</f>
        <v>0</v>
      </c>
      <c r="V84" s="943">
        <f>'F5'!V84+'F5.1 (N)'!G60</f>
        <v>0</v>
      </c>
      <c r="W84" s="943">
        <f t="shared" si="23"/>
        <v>0</v>
      </c>
      <c r="Y84" s="696"/>
    </row>
    <row r="85" spans="1:33" ht="16">
      <c r="A85" s="1025"/>
      <c r="B85" s="83"/>
      <c r="C85" s="97" t="s">
        <v>271</v>
      </c>
      <c r="D85" s="945">
        <f t="shared" ref="D85:W85" si="25">SUM(D68:D84)</f>
        <v>488.74476653953872</v>
      </c>
      <c r="E85" s="945">
        <f t="shared" si="25"/>
        <v>94.816840550722148</v>
      </c>
      <c r="F85" s="945">
        <f t="shared" si="25"/>
        <v>0</v>
      </c>
      <c r="G85" s="945">
        <f t="shared" si="25"/>
        <v>0</v>
      </c>
      <c r="H85" s="945">
        <f t="shared" si="25"/>
        <v>583.56160709026074</v>
      </c>
      <c r="I85" s="945">
        <f t="shared" si="25"/>
        <v>583.56160709026074</v>
      </c>
      <c r="J85" s="945">
        <f t="shared" si="25"/>
        <v>96.803105455899214</v>
      </c>
      <c r="K85" s="945">
        <f t="shared" si="25"/>
        <v>0</v>
      </c>
      <c r="L85" s="945">
        <f t="shared" si="25"/>
        <v>0</v>
      </c>
      <c r="M85" s="945">
        <f t="shared" si="25"/>
        <v>680.36471254616004</v>
      </c>
      <c r="N85" s="945">
        <f t="shared" si="25"/>
        <v>680.36471254616004</v>
      </c>
      <c r="O85" s="945">
        <f t="shared" si="25"/>
        <v>98.85802518974829</v>
      </c>
      <c r="P85" s="945">
        <f t="shared" si="25"/>
        <v>0</v>
      </c>
      <c r="Q85" s="945">
        <f t="shared" si="25"/>
        <v>0</v>
      </c>
      <c r="R85" s="945">
        <f t="shared" si="25"/>
        <v>779.22273773590837</v>
      </c>
      <c r="S85" s="945">
        <f t="shared" si="25"/>
        <v>779.22273773590837</v>
      </c>
      <c r="T85" s="945">
        <f t="shared" si="25"/>
        <v>101.66190652308164</v>
      </c>
      <c r="U85" s="945">
        <f t="shared" si="25"/>
        <v>0</v>
      </c>
      <c r="V85" s="945">
        <f t="shared" si="25"/>
        <v>0</v>
      </c>
      <c r="W85" s="945">
        <f t="shared" si="25"/>
        <v>880.88464425898997</v>
      </c>
    </row>
    <row r="86" spans="1:33" ht="16">
      <c r="A86" s="1025"/>
      <c r="B86" s="267"/>
      <c r="C86" s="269" t="s">
        <v>809</v>
      </c>
      <c r="D86" s="1128"/>
      <c r="E86" s="1127"/>
      <c r="F86" s="1128"/>
      <c r="G86" s="1128"/>
      <c r="H86" s="1128"/>
      <c r="I86" s="1126"/>
      <c r="J86" s="1127"/>
      <c r="K86" s="1126"/>
      <c r="L86" s="1126"/>
      <c r="M86" s="1126"/>
      <c r="N86" s="1128"/>
      <c r="O86" s="1127"/>
      <c r="P86" s="1128"/>
      <c r="Q86" s="1128"/>
      <c r="R86" s="1128"/>
      <c r="S86" s="1126"/>
      <c r="T86" s="1127"/>
      <c r="U86" s="1126"/>
      <c r="V86" s="1126"/>
      <c r="W86" s="1126"/>
      <c r="X86" s="45"/>
      <c r="Y86" s="45"/>
      <c r="Z86" s="45"/>
      <c r="AA86" s="45"/>
      <c r="AB86" s="45"/>
      <c r="AC86" s="45"/>
      <c r="AD86" s="45"/>
      <c r="AE86" s="45"/>
      <c r="AF86" s="45"/>
      <c r="AG86" s="45"/>
    </row>
    <row r="87" spans="1:33" ht="16">
      <c r="A87" s="1025"/>
      <c r="B87" s="266" t="s">
        <v>600</v>
      </c>
      <c r="C87" s="270"/>
      <c r="D87" s="271"/>
      <c r="E87" s="271"/>
      <c r="F87" s="271"/>
      <c r="G87" s="271"/>
      <c r="H87" s="271"/>
      <c r="I87" s="272"/>
      <c r="J87" s="272"/>
      <c r="K87" s="267"/>
      <c r="L87" s="267"/>
      <c r="M87" s="267"/>
      <c r="N87" s="267"/>
      <c r="O87" s="267"/>
      <c r="P87" s="267"/>
      <c r="Q87" s="267"/>
      <c r="R87" s="267"/>
      <c r="S87" s="45"/>
      <c r="T87" s="45"/>
      <c r="U87" s="45"/>
      <c r="V87" s="45"/>
      <c r="W87" s="45"/>
      <c r="X87" s="45"/>
      <c r="Y87" s="45"/>
      <c r="Z87" s="45"/>
      <c r="AA87" s="45"/>
      <c r="AB87" s="45"/>
      <c r="AC87" s="45"/>
      <c r="AD87" s="45"/>
      <c r="AE87" s="45"/>
      <c r="AF87" s="45"/>
      <c r="AG87" s="45"/>
    </row>
    <row r="88" spans="1:33" ht="16">
      <c r="A88" s="1025"/>
      <c r="B88" s="266" t="s">
        <v>715</v>
      </c>
      <c r="C88" s="270"/>
      <c r="D88" s="271"/>
      <c r="E88" s="271"/>
      <c r="F88" s="271"/>
      <c r="G88" s="271"/>
      <c r="H88" s="271"/>
      <c r="I88" s="272"/>
      <c r="J88" s="272"/>
      <c r="K88" s="267"/>
      <c r="L88" s="267"/>
      <c r="M88" s="267"/>
      <c r="N88" s="267"/>
      <c r="O88" s="267"/>
      <c r="P88" s="267"/>
      <c r="Q88" s="267"/>
      <c r="R88" s="267"/>
      <c r="S88" s="45"/>
      <c r="T88" s="45"/>
      <c r="U88" s="45"/>
      <c r="V88" s="45"/>
      <c r="W88" s="45"/>
      <c r="X88" s="45"/>
      <c r="Y88" s="45"/>
      <c r="Z88" s="45"/>
      <c r="AA88" s="45"/>
      <c r="AB88" s="45"/>
      <c r="AC88" s="45"/>
      <c r="AD88" s="45"/>
      <c r="AE88" s="45"/>
      <c r="AF88" s="45"/>
      <c r="AG88" s="45"/>
    </row>
    <row r="89" spans="1:33" ht="15" customHeight="1">
      <c r="A89" s="1025"/>
      <c r="B89" s="267"/>
      <c r="C89" s="269"/>
      <c r="D89" s="269"/>
      <c r="E89" s="269"/>
      <c r="F89" s="269"/>
      <c r="G89" s="269"/>
      <c r="H89" s="269"/>
      <c r="I89" s="267"/>
      <c r="J89" s="267"/>
      <c r="K89" s="267"/>
      <c r="L89" s="267"/>
      <c r="M89" s="267"/>
      <c r="N89" s="267"/>
      <c r="O89" s="267"/>
      <c r="P89" s="267"/>
      <c r="Q89" s="267"/>
      <c r="R89" s="267"/>
    </row>
    <row r="90" spans="1:33" ht="16">
      <c r="A90" s="1025"/>
      <c r="B90" s="267"/>
      <c r="C90" s="269"/>
      <c r="D90" s="8"/>
      <c r="E90" s="8"/>
      <c r="F90" s="8"/>
      <c r="G90" s="8"/>
      <c r="H90" s="8"/>
      <c r="I90" s="1"/>
      <c r="J90" s="44"/>
      <c r="K90" s="1"/>
      <c r="L90" s="1"/>
      <c r="M90" s="44"/>
      <c r="N90" s="44"/>
      <c r="O90" s="1"/>
      <c r="P90" s="1"/>
      <c r="Q90" s="1"/>
      <c r="AG90" s="264" t="s">
        <v>10</v>
      </c>
    </row>
    <row r="91" spans="1:33" ht="13.75" customHeight="1">
      <c r="A91" s="1025"/>
      <c r="B91" s="1804" t="s">
        <v>340</v>
      </c>
      <c r="C91" s="1804" t="s">
        <v>36</v>
      </c>
      <c r="D91" s="1939" t="s">
        <v>959</v>
      </c>
      <c r="E91" s="1940"/>
      <c r="F91" s="1940"/>
      <c r="G91" s="1940"/>
      <c r="H91" s="1941"/>
      <c r="I91" s="1939" t="s">
        <v>960</v>
      </c>
      <c r="J91" s="1940"/>
      <c r="K91" s="1940"/>
      <c r="L91" s="1940"/>
      <c r="M91" s="1941"/>
      <c r="N91" s="1933" t="s">
        <v>961</v>
      </c>
      <c r="O91" s="1933"/>
      <c r="P91" s="1933"/>
      <c r="Q91" s="1933"/>
      <c r="R91" s="1933"/>
      <c r="S91" s="1933" t="s">
        <v>962</v>
      </c>
      <c r="T91" s="1933"/>
      <c r="U91" s="1933"/>
      <c r="V91" s="1933"/>
      <c r="W91" s="1933"/>
    </row>
    <row r="92" spans="1:33">
      <c r="A92" s="1025"/>
      <c r="B92" s="1804"/>
      <c r="C92" s="1804"/>
      <c r="D92" s="1934" t="s">
        <v>21</v>
      </c>
      <c r="E92" s="1935"/>
      <c r="F92" s="1935"/>
      <c r="G92" s="1935"/>
      <c r="H92" s="1936"/>
      <c r="I92" s="1934" t="s">
        <v>21</v>
      </c>
      <c r="J92" s="1935"/>
      <c r="K92" s="1935"/>
      <c r="L92" s="1935"/>
      <c r="M92" s="1936"/>
      <c r="N92" s="1937" t="s">
        <v>21</v>
      </c>
      <c r="O92" s="1938"/>
      <c r="P92" s="1938"/>
      <c r="Q92" s="1938"/>
      <c r="R92" s="1938"/>
      <c r="S92" s="1937" t="s">
        <v>21</v>
      </c>
      <c r="T92" s="1938"/>
      <c r="U92" s="1938"/>
      <c r="V92" s="1938"/>
      <c r="W92" s="1938"/>
    </row>
    <row r="93" spans="1:33" ht="56">
      <c r="A93" s="1025"/>
      <c r="B93" s="1804"/>
      <c r="C93" s="1804"/>
      <c r="D93" s="902" t="s">
        <v>273</v>
      </c>
      <c r="E93" s="902" t="s">
        <v>268</v>
      </c>
      <c r="F93" s="268" t="s">
        <v>274</v>
      </c>
      <c r="G93" s="900" t="s">
        <v>589</v>
      </c>
      <c r="H93" s="902" t="s">
        <v>275</v>
      </c>
      <c r="I93" s="902" t="s">
        <v>267</v>
      </c>
      <c r="J93" s="902" t="s">
        <v>268</v>
      </c>
      <c r="K93" s="902" t="s">
        <v>269</v>
      </c>
      <c r="L93" s="900" t="s">
        <v>589</v>
      </c>
      <c r="M93" s="902" t="s">
        <v>270</v>
      </c>
      <c r="N93" s="902" t="s">
        <v>267</v>
      </c>
      <c r="O93" s="902" t="s">
        <v>268</v>
      </c>
      <c r="P93" s="902" t="s">
        <v>269</v>
      </c>
      <c r="Q93" s="900" t="s">
        <v>589</v>
      </c>
      <c r="R93" s="902" t="s">
        <v>270</v>
      </c>
      <c r="S93" s="902" t="s">
        <v>267</v>
      </c>
      <c r="T93" s="902" t="s">
        <v>268</v>
      </c>
      <c r="U93" s="902" t="s">
        <v>269</v>
      </c>
      <c r="V93" s="900" t="s">
        <v>589</v>
      </c>
      <c r="W93" s="902" t="s">
        <v>270</v>
      </c>
    </row>
    <row r="94" spans="1:33" ht="28">
      <c r="A94" s="1025"/>
      <c r="B94" s="265"/>
      <c r="C94" s="265"/>
      <c r="D94" s="265" t="s">
        <v>663</v>
      </c>
      <c r="E94" s="265" t="s">
        <v>664</v>
      </c>
      <c r="F94" s="265" t="s">
        <v>665</v>
      </c>
      <c r="G94" s="265" t="s">
        <v>666</v>
      </c>
      <c r="H94" s="265" t="s">
        <v>667</v>
      </c>
      <c r="I94" s="265" t="s">
        <v>663</v>
      </c>
      <c r="J94" s="265" t="s">
        <v>664</v>
      </c>
      <c r="K94" s="265" t="s">
        <v>665</v>
      </c>
      <c r="L94" s="265" t="s">
        <v>666</v>
      </c>
      <c r="M94" s="265" t="s">
        <v>667</v>
      </c>
      <c r="N94" s="265" t="s">
        <v>663</v>
      </c>
      <c r="O94" s="265" t="s">
        <v>664</v>
      </c>
      <c r="P94" s="265" t="s">
        <v>665</v>
      </c>
      <c r="Q94" s="265" t="s">
        <v>666</v>
      </c>
      <c r="R94" s="265" t="s">
        <v>667</v>
      </c>
      <c r="S94" s="265" t="s">
        <v>663</v>
      </c>
      <c r="T94" s="265" t="s">
        <v>664</v>
      </c>
      <c r="U94" s="265" t="s">
        <v>665</v>
      </c>
      <c r="V94" s="265" t="s">
        <v>666</v>
      </c>
      <c r="W94" s="265" t="s">
        <v>667</v>
      </c>
    </row>
    <row r="95" spans="1:33">
      <c r="A95" s="696"/>
      <c r="B95" s="95">
        <v>1</v>
      </c>
      <c r="C95" s="455" t="s">
        <v>841</v>
      </c>
      <c r="D95" s="943">
        <f t="shared" ref="D95:D111" si="26">W68</f>
        <v>0</v>
      </c>
      <c r="E95" s="697">
        <f>'F5'!E95+'F5.1 (N)'!J44</f>
        <v>0</v>
      </c>
      <c r="F95" s="697">
        <f>'F5'!F95+'F5.1 (N)'!K44</f>
        <v>0</v>
      </c>
      <c r="G95" s="697">
        <f>'F5'!G95+'F5.1 (N)'!L44</f>
        <v>0</v>
      </c>
      <c r="H95" s="943">
        <f t="shared" ref="H95:H111" si="27">D95+E95-F95-G95</f>
        <v>0</v>
      </c>
      <c r="I95" s="880">
        <f t="shared" ref="I95:I111" si="28">H95</f>
        <v>0</v>
      </c>
      <c r="J95" s="935">
        <f>'F5'!J95+'F5.1 (N)'!O44</f>
        <v>0</v>
      </c>
      <c r="K95" s="935">
        <f>'F5'!K95+'F5.1 (N)'!P44</f>
        <v>0</v>
      </c>
      <c r="L95" s="935">
        <f>'F5'!L95+'F5.1 (N)'!Q44</f>
        <v>0</v>
      </c>
      <c r="M95" s="880">
        <f t="shared" ref="M95:M111" si="29">I95+J95-K95-L95</f>
        <v>0</v>
      </c>
      <c r="N95" s="880">
        <f t="shared" ref="N95:N111" si="30">M95</f>
        <v>0</v>
      </c>
      <c r="O95" s="935">
        <f>'F5'!O95+'F5.1 (N)'!T44</f>
        <v>0</v>
      </c>
      <c r="P95" s="935">
        <f>'F5'!P95+'F5.1 (N)'!U44</f>
        <v>0</v>
      </c>
      <c r="Q95" s="935">
        <f>'F5'!Q95+'F5.1 (N)'!V44</f>
        <v>0</v>
      </c>
      <c r="R95" s="880">
        <f t="shared" ref="R95:R111" si="31">N95+O95-P95-Q95</f>
        <v>0</v>
      </c>
      <c r="S95" s="880">
        <f t="shared" ref="S95:S111" si="32">R95</f>
        <v>0</v>
      </c>
      <c r="T95" s="935">
        <f>'F5'!T95+'F5.1 (N)'!Y44</f>
        <v>0</v>
      </c>
      <c r="U95" s="935">
        <f>'F5'!U95+'F5.1 (N)'!Z44</f>
        <v>0</v>
      </c>
      <c r="V95" s="935">
        <f>'F5'!V95+'F5.1 (N)'!AA44</f>
        <v>0</v>
      </c>
      <c r="W95" s="880">
        <f t="shared" ref="W95:W111" si="33">S95+T95-U95-V95</f>
        <v>0</v>
      </c>
    </row>
    <row r="96" spans="1:33">
      <c r="A96" s="696"/>
      <c r="B96" s="95">
        <f t="shared" ref="B96:B111" si="34">B95+1</f>
        <v>2</v>
      </c>
      <c r="C96" s="455" t="s">
        <v>842</v>
      </c>
      <c r="D96" s="943">
        <f t="shared" si="26"/>
        <v>41.583868421239174</v>
      </c>
      <c r="E96" s="697">
        <f>'F5'!E96+'F5.1 (N)'!J45</f>
        <v>4.693627204286023</v>
      </c>
      <c r="F96" s="697">
        <f>'F5'!F96+'F5.1 (N)'!K45</f>
        <v>0</v>
      </c>
      <c r="G96" s="697">
        <f>'F5'!G96+'F5.1 (N)'!L45</f>
        <v>0</v>
      </c>
      <c r="H96" s="943">
        <f t="shared" si="27"/>
        <v>46.277495625525198</v>
      </c>
      <c r="I96" s="880">
        <f t="shared" si="28"/>
        <v>46.277495625525198</v>
      </c>
      <c r="J96" s="935">
        <f>'F5'!J96+'F5.1 (N)'!O45</f>
        <v>4.7405124542860229</v>
      </c>
      <c r="K96" s="935">
        <f>'F5'!K96+'F5.1 (N)'!P45</f>
        <v>0</v>
      </c>
      <c r="L96" s="935">
        <f>'F5'!L96+'F5.1 (N)'!Q45</f>
        <v>0</v>
      </c>
      <c r="M96" s="880">
        <f t="shared" si="29"/>
        <v>51.018008079811224</v>
      </c>
      <c r="N96" s="880">
        <f t="shared" si="30"/>
        <v>51.018008079811224</v>
      </c>
      <c r="O96" s="935">
        <f>'F5'!O96+'F5.1 (N)'!T45</f>
        <v>4.7405124542860229</v>
      </c>
      <c r="P96" s="935">
        <f>'F5'!P96+'F5.1 (N)'!U45</f>
        <v>0</v>
      </c>
      <c r="Q96" s="935">
        <f>'F5'!Q96+'F5.1 (N)'!V45</f>
        <v>0</v>
      </c>
      <c r="R96" s="880">
        <f t="shared" si="31"/>
        <v>55.758520534097244</v>
      </c>
      <c r="S96" s="880">
        <f t="shared" si="32"/>
        <v>55.758520534097244</v>
      </c>
      <c r="T96" s="935">
        <f>'F5'!T96+'F5.1 (N)'!Y45</f>
        <v>4.7405124542860229</v>
      </c>
      <c r="U96" s="935">
        <f>'F5'!U96+'F5.1 (N)'!Z45</f>
        <v>0</v>
      </c>
      <c r="V96" s="935">
        <f>'F5'!V96+'F5.1 (N)'!AA45</f>
        <v>0</v>
      </c>
      <c r="W96" s="880">
        <f t="shared" si="33"/>
        <v>60.499032988383263</v>
      </c>
    </row>
    <row r="97" spans="1:23">
      <c r="A97" s="696"/>
      <c r="B97" s="95">
        <f t="shared" si="34"/>
        <v>3</v>
      </c>
      <c r="C97" s="455" t="s">
        <v>843</v>
      </c>
      <c r="D97" s="943">
        <f t="shared" si="26"/>
        <v>0</v>
      </c>
      <c r="E97" s="697">
        <f>'F5'!E97+'F5.1 (N)'!J46</f>
        <v>0</v>
      </c>
      <c r="F97" s="697">
        <f>'F5'!F97+'F5.1 (N)'!K46</f>
        <v>0</v>
      </c>
      <c r="G97" s="697">
        <f>'F5'!G97+'F5.1 (N)'!L46</f>
        <v>0</v>
      </c>
      <c r="H97" s="943">
        <f t="shared" si="27"/>
        <v>0</v>
      </c>
      <c r="I97" s="880">
        <f t="shared" si="28"/>
        <v>0</v>
      </c>
      <c r="J97" s="935">
        <f>'F5'!J97+'F5.1 (N)'!O46</f>
        <v>0</v>
      </c>
      <c r="K97" s="935">
        <f>'F5'!K97+'F5.1 (N)'!P46</f>
        <v>0</v>
      </c>
      <c r="L97" s="935">
        <f>'F5'!L97+'F5.1 (N)'!Q46</f>
        <v>0</v>
      </c>
      <c r="M97" s="880">
        <f t="shared" si="29"/>
        <v>0</v>
      </c>
      <c r="N97" s="880">
        <f t="shared" si="30"/>
        <v>0</v>
      </c>
      <c r="O97" s="935">
        <f>'F5'!O97+'F5.1 (N)'!T46</f>
        <v>0</v>
      </c>
      <c r="P97" s="935">
        <f>'F5'!P97+'F5.1 (N)'!U46</f>
        <v>0</v>
      </c>
      <c r="Q97" s="935">
        <f>'F5'!Q97+'F5.1 (N)'!V46</f>
        <v>0</v>
      </c>
      <c r="R97" s="880">
        <f t="shared" si="31"/>
        <v>0</v>
      </c>
      <c r="S97" s="880">
        <f t="shared" si="32"/>
        <v>0</v>
      </c>
      <c r="T97" s="935">
        <f>'F5'!T97+'F5.1 (N)'!Y46</f>
        <v>0</v>
      </c>
      <c r="U97" s="935">
        <f>'F5'!U97+'F5.1 (N)'!Z46</f>
        <v>0</v>
      </c>
      <c r="V97" s="935">
        <f>'F5'!V97+'F5.1 (N)'!AA46</f>
        <v>0</v>
      </c>
      <c r="W97" s="880">
        <f t="shared" si="33"/>
        <v>0</v>
      </c>
    </row>
    <row r="98" spans="1:23">
      <c r="A98" s="696"/>
      <c r="B98" s="95">
        <f t="shared" si="34"/>
        <v>4</v>
      </c>
      <c r="C98" s="455" t="s">
        <v>844</v>
      </c>
      <c r="D98" s="943">
        <f t="shared" si="26"/>
        <v>50.977019066991197</v>
      </c>
      <c r="E98" s="697">
        <f>'F5'!E98+'F5.1 (N)'!J47</f>
        <v>5.5464320369731341</v>
      </c>
      <c r="F98" s="697">
        <f>'F5'!F98+'F5.1 (N)'!K47</f>
        <v>0</v>
      </c>
      <c r="G98" s="697">
        <f>'F5'!G98+'F5.1 (N)'!L47</f>
        <v>0</v>
      </c>
      <c r="H98" s="943">
        <f t="shared" si="27"/>
        <v>56.523451103964334</v>
      </c>
      <c r="I98" s="880">
        <f t="shared" si="28"/>
        <v>56.523451103964334</v>
      </c>
      <c r="J98" s="935">
        <f>'F5'!J98+'F5.1 (N)'!O47</f>
        <v>5.5464320369731341</v>
      </c>
      <c r="K98" s="935">
        <f>'F5'!K98+'F5.1 (N)'!P47</f>
        <v>0</v>
      </c>
      <c r="L98" s="935">
        <f>'F5'!L98+'F5.1 (N)'!Q47</f>
        <v>0</v>
      </c>
      <c r="M98" s="880">
        <f t="shared" si="29"/>
        <v>62.069883140937471</v>
      </c>
      <c r="N98" s="880">
        <f t="shared" si="30"/>
        <v>62.069883140937471</v>
      </c>
      <c r="O98" s="935">
        <f>'F5'!O98+'F5.1 (N)'!T47</f>
        <v>5.5464320369731341</v>
      </c>
      <c r="P98" s="935">
        <f>'F5'!P98+'F5.1 (N)'!U47</f>
        <v>0</v>
      </c>
      <c r="Q98" s="935">
        <f>'F5'!Q98+'F5.1 (N)'!V47</f>
        <v>0</v>
      </c>
      <c r="R98" s="880">
        <f t="shared" si="31"/>
        <v>67.616315177910607</v>
      </c>
      <c r="S98" s="880">
        <f t="shared" si="32"/>
        <v>67.616315177910607</v>
      </c>
      <c r="T98" s="935">
        <f>'F5'!T98+'F5.1 (N)'!Y47</f>
        <v>2.1290459486969788</v>
      </c>
      <c r="U98" s="935">
        <f>'F5'!U98+'F5.1 (N)'!Z47</f>
        <v>0</v>
      </c>
      <c r="V98" s="935">
        <f>'F5'!V98+'F5.1 (N)'!AA47</f>
        <v>0</v>
      </c>
      <c r="W98" s="880">
        <f t="shared" si="33"/>
        <v>69.745361126607591</v>
      </c>
    </row>
    <row r="99" spans="1:23">
      <c r="A99" s="696"/>
      <c r="B99" s="95">
        <f t="shared" si="34"/>
        <v>5</v>
      </c>
      <c r="C99" s="455" t="s">
        <v>845</v>
      </c>
      <c r="D99" s="943">
        <f t="shared" si="26"/>
        <v>13.631255235508133</v>
      </c>
      <c r="E99" s="697">
        <f>'F5'!E99+'F5.1 (N)'!J48</f>
        <v>2.6839545433698135</v>
      </c>
      <c r="F99" s="697">
        <f>'F5'!F99+'F5.1 (N)'!K48</f>
        <v>0</v>
      </c>
      <c r="G99" s="697">
        <f>'F5'!G99+'F5.1 (N)'!L48</f>
        <v>0</v>
      </c>
      <c r="H99" s="943">
        <f t="shared" si="27"/>
        <v>16.315209778877946</v>
      </c>
      <c r="I99" s="880">
        <f t="shared" si="28"/>
        <v>16.315209778877946</v>
      </c>
      <c r="J99" s="935">
        <f>'F5'!J99+'F5.1 (N)'!O48</f>
        <v>2.6839545433698135</v>
      </c>
      <c r="K99" s="935">
        <f>'F5'!K99+'F5.1 (N)'!P48</f>
        <v>0</v>
      </c>
      <c r="L99" s="935">
        <f>'F5'!L99+'F5.1 (N)'!Q48</f>
        <v>0</v>
      </c>
      <c r="M99" s="880">
        <f t="shared" si="29"/>
        <v>18.999164322247761</v>
      </c>
      <c r="N99" s="880">
        <f t="shared" si="30"/>
        <v>18.999164322247761</v>
      </c>
      <c r="O99" s="935">
        <f>'F5'!O99+'F5.1 (N)'!T48</f>
        <v>2.6839545433698135</v>
      </c>
      <c r="P99" s="935">
        <f>'F5'!P99+'F5.1 (N)'!U48</f>
        <v>0</v>
      </c>
      <c r="Q99" s="935">
        <f>'F5'!Q99+'F5.1 (N)'!V48</f>
        <v>0</v>
      </c>
      <c r="R99" s="880">
        <f t="shared" si="31"/>
        <v>21.683118865617576</v>
      </c>
      <c r="S99" s="880">
        <f t="shared" si="32"/>
        <v>21.683118865617576</v>
      </c>
      <c r="T99" s="935">
        <f>'F5'!T99+'F5.1 (N)'!Y48</f>
        <v>2.6839545433698135</v>
      </c>
      <c r="U99" s="935">
        <f>'F5'!U99+'F5.1 (N)'!Z48</f>
        <v>0</v>
      </c>
      <c r="V99" s="935">
        <f>'F5'!V99+'F5.1 (N)'!AA48</f>
        <v>0</v>
      </c>
      <c r="W99" s="880">
        <f t="shared" si="33"/>
        <v>24.367073408987391</v>
      </c>
    </row>
    <row r="100" spans="1:23">
      <c r="A100" s="696"/>
      <c r="B100" s="95">
        <f t="shared" si="34"/>
        <v>6</v>
      </c>
      <c r="C100" s="455" t="s">
        <v>255</v>
      </c>
      <c r="D100" s="943">
        <f t="shared" si="26"/>
        <v>754.80141831925334</v>
      </c>
      <c r="E100" s="697">
        <f>'F5'!E100+'F5.1 (N)'!J49</f>
        <v>89.926881945331445</v>
      </c>
      <c r="F100" s="697">
        <f>'F5'!F100+'F5.1 (N)'!K49</f>
        <v>0</v>
      </c>
      <c r="G100" s="697">
        <f>'F5'!G100+'F5.1 (N)'!L49</f>
        <v>0</v>
      </c>
      <c r="H100" s="943">
        <f t="shared" si="27"/>
        <v>844.72830026458473</v>
      </c>
      <c r="I100" s="880">
        <f t="shared" si="28"/>
        <v>844.72830026458473</v>
      </c>
      <c r="J100" s="935">
        <f>'F5'!J100+'F5.1 (N)'!O49</f>
        <v>92.640078195331455</v>
      </c>
      <c r="K100" s="935">
        <f>'F5'!K100+'F5.1 (N)'!P49</f>
        <v>0</v>
      </c>
      <c r="L100" s="935">
        <f>'F5'!L100+'F5.1 (N)'!Q49</f>
        <v>0</v>
      </c>
      <c r="M100" s="880">
        <f t="shared" si="29"/>
        <v>937.36837845991613</v>
      </c>
      <c r="N100" s="880">
        <f t="shared" si="30"/>
        <v>937.36837845991613</v>
      </c>
      <c r="O100" s="935">
        <f>'F5'!O100+'F5.1 (N)'!T49</f>
        <v>94.503032361998123</v>
      </c>
      <c r="P100" s="935">
        <f>'F5'!P100+'F5.1 (N)'!U49</f>
        <v>0</v>
      </c>
      <c r="Q100" s="935">
        <f>'F5'!Q100+'F5.1 (N)'!V49</f>
        <v>0</v>
      </c>
      <c r="R100" s="880">
        <f t="shared" si="31"/>
        <v>1031.8714108219142</v>
      </c>
      <c r="S100" s="880">
        <f t="shared" si="32"/>
        <v>1031.8714108219142</v>
      </c>
      <c r="T100" s="935">
        <f>'F5'!T100+'F5.1 (N)'!Y49</f>
        <v>96.036299028664786</v>
      </c>
      <c r="U100" s="935">
        <f>'F5'!U100+'F5.1 (N)'!Z49</f>
        <v>0</v>
      </c>
      <c r="V100" s="935">
        <f>'F5'!V100+'F5.1 (N)'!AA49</f>
        <v>0</v>
      </c>
      <c r="W100" s="880">
        <f t="shared" si="33"/>
        <v>1127.9077098505791</v>
      </c>
    </row>
    <row r="101" spans="1:23">
      <c r="A101" s="696"/>
      <c r="B101" s="95">
        <f t="shared" si="34"/>
        <v>7</v>
      </c>
      <c r="C101" s="455" t="s">
        <v>846</v>
      </c>
      <c r="D101" s="943">
        <f t="shared" si="26"/>
        <v>0</v>
      </c>
      <c r="E101" s="697">
        <f>'F5'!E101+'F5.1 (N)'!J50</f>
        <v>0</v>
      </c>
      <c r="F101" s="697">
        <f>'F5'!F101+'F5.1 (N)'!K50</f>
        <v>0</v>
      </c>
      <c r="G101" s="697">
        <f>'F5'!G101+'F5.1 (N)'!L50</f>
        <v>0</v>
      </c>
      <c r="H101" s="943">
        <f t="shared" si="27"/>
        <v>0</v>
      </c>
      <c r="I101" s="880">
        <f t="shared" si="28"/>
        <v>0</v>
      </c>
      <c r="J101" s="935">
        <f>'F5'!J101+'F5.1 (N)'!O50</f>
        <v>0</v>
      </c>
      <c r="K101" s="935">
        <f>'F5'!K101+'F5.1 (N)'!P50</f>
        <v>0</v>
      </c>
      <c r="L101" s="935">
        <f>'F5'!L101+'F5.1 (N)'!Q50</f>
        <v>0</v>
      </c>
      <c r="M101" s="880">
        <f t="shared" si="29"/>
        <v>0</v>
      </c>
      <c r="N101" s="880">
        <f t="shared" si="30"/>
        <v>0</v>
      </c>
      <c r="O101" s="935">
        <f>'F5'!O101+'F5.1 (N)'!T50</f>
        <v>0</v>
      </c>
      <c r="P101" s="935">
        <f>'F5'!P101+'F5.1 (N)'!U50</f>
        <v>0</v>
      </c>
      <c r="Q101" s="935">
        <f>'F5'!Q101+'F5.1 (N)'!V50</f>
        <v>0</v>
      </c>
      <c r="R101" s="880">
        <f t="shared" si="31"/>
        <v>0</v>
      </c>
      <c r="S101" s="880">
        <f t="shared" si="32"/>
        <v>0</v>
      </c>
      <c r="T101" s="935">
        <f>'F5'!T101+'F5.1 (N)'!Y50</f>
        <v>0</v>
      </c>
      <c r="U101" s="935">
        <f>'F5'!U101+'F5.1 (N)'!Z50</f>
        <v>0</v>
      </c>
      <c r="V101" s="935">
        <f>'F5'!V101+'F5.1 (N)'!AA50</f>
        <v>0</v>
      </c>
      <c r="W101" s="880">
        <f t="shared" si="33"/>
        <v>0</v>
      </c>
    </row>
    <row r="102" spans="1:23">
      <c r="A102" s="696"/>
      <c r="B102" s="95">
        <f t="shared" si="34"/>
        <v>8</v>
      </c>
      <c r="C102" s="455" t="s">
        <v>847</v>
      </c>
      <c r="D102" s="943">
        <f t="shared" si="26"/>
        <v>1.1083333333333333E-3</v>
      </c>
      <c r="E102" s="697">
        <f>'F5'!E102+'F5.1 (N)'!J51</f>
        <v>3.0479166666666671E-3</v>
      </c>
      <c r="F102" s="697">
        <f>'F5'!F102+'F5.1 (N)'!K51</f>
        <v>0</v>
      </c>
      <c r="G102" s="697">
        <f>'F5'!G102+'F5.1 (N)'!L51</f>
        <v>0</v>
      </c>
      <c r="H102" s="943">
        <f t="shared" si="27"/>
        <v>4.1562500000000002E-3</v>
      </c>
      <c r="I102" s="880">
        <f t="shared" si="28"/>
        <v>4.1562500000000002E-3</v>
      </c>
      <c r="J102" s="935">
        <f>'F5'!J102+'F5.1 (N)'!O51</f>
        <v>5.541666666666667E-3</v>
      </c>
      <c r="K102" s="935">
        <f>'F5'!K102+'F5.1 (N)'!P51</f>
        <v>0</v>
      </c>
      <c r="L102" s="935">
        <f>'F5'!L102+'F5.1 (N)'!Q51</f>
        <v>0</v>
      </c>
      <c r="M102" s="880">
        <f t="shared" si="29"/>
        <v>9.6979166666666672E-3</v>
      </c>
      <c r="N102" s="880">
        <f t="shared" si="30"/>
        <v>9.6979166666666672E-3</v>
      </c>
      <c r="O102" s="935">
        <f>'F5'!O102+'F5.1 (N)'!T51</f>
        <v>9.4208333333333331E-3</v>
      </c>
      <c r="P102" s="935">
        <f>'F5'!P102+'F5.1 (N)'!U51</f>
        <v>0</v>
      </c>
      <c r="Q102" s="935">
        <f>'F5'!Q102+'F5.1 (N)'!V51</f>
        <v>0</v>
      </c>
      <c r="R102" s="880">
        <f t="shared" si="31"/>
        <v>1.911875E-2</v>
      </c>
      <c r="S102" s="880">
        <f t="shared" si="32"/>
        <v>1.911875E-2</v>
      </c>
      <c r="T102" s="935">
        <f>'F5'!T102+'F5.1 (N)'!Y51</f>
        <v>1.49625E-2</v>
      </c>
      <c r="U102" s="935">
        <f>'F5'!U102+'F5.1 (N)'!Z51</f>
        <v>0</v>
      </c>
      <c r="V102" s="935">
        <f>'F5'!V102+'F5.1 (N)'!AA51</f>
        <v>0</v>
      </c>
      <c r="W102" s="880">
        <f t="shared" si="33"/>
        <v>3.408125E-2</v>
      </c>
    </row>
    <row r="103" spans="1:23">
      <c r="A103" s="696"/>
      <c r="B103" s="95">
        <f t="shared" si="34"/>
        <v>9</v>
      </c>
      <c r="C103" s="455" t="s">
        <v>848</v>
      </c>
      <c r="D103" s="943">
        <f t="shared" si="26"/>
        <v>19.144611211010822</v>
      </c>
      <c r="E103" s="697">
        <f>'F5'!E103+'F5.1 (N)'!J52</f>
        <v>2.0448768475836201</v>
      </c>
      <c r="F103" s="697">
        <f>'F5'!F103+'F5.1 (N)'!K52</f>
        <v>0</v>
      </c>
      <c r="G103" s="697">
        <f>'F5'!G103+'F5.1 (N)'!L52</f>
        <v>0</v>
      </c>
      <c r="H103" s="943">
        <f t="shared" si="27"/>
        <v>21.189488058594442</v>
      </c>
      <c r="I103" s="880">
        <f t="shared" si="28"/>
        <v>21.189488058594442</v>
      </c>
      <c r="J103" s="935">
        <f>'F5'!J103+'F5.1 (N)'!O52</f>
        <v>2.0448768475836201</v>
      </c>
      <c r="K103" s="935">
        <f>'F5'!K103+'F5.1 (N)'!P52</f>
        <v>0</v>
      </c>
      <c r="L103" s="935">
        <f>'F5'!L103+'F5.1 (N)'!Q52</f>
        <v>0</v>
      </c>
      <c r="M103" s="880">
        <f t="shared" si="29"/>
        <v>23.234364906178062</v>
      </c>
      <c r="N103" s="880">
        <f t="shared" si="30"/>
        <v>23.234364906178062</v>
      </c>
      <c r="O103" s="935">
        <f>'F5'!O103+'F5.1 (N)'!T52</f>
        <v>2.0448768475836201</v>
      </c>
      <c r="P103" s="935">
        <f>'F5'!P103+'F5.1 (N)'!U52</f>
        <v>0</v>
      </c>
      <c r="Q103" s="935">
        <f>'F5'!Q103+'F5.1 (N)'!V52</f>
        <v>0</v>
      </c>
      <c r="R103" s="880">
        <f t="shared" si="31"/>
        <v>25.279241753761681</v>
      </c>
      <c r="S103" s="880">
        <f t="shared" si="32"/>
        <v>25.279241753761681</v>
      </c>
      <c r="T103" s="935">
        <f>'F5'!T103+'F5.1 (N)'!Y52</f>
        <v>0.75724955914508552</v>
      </c>
      <c r="U103" s="935">
        <f>'F5'!U103+'F5.1 (N)'!Z52</f>
        <v>0</v>
      </c>
      <c r="V103" s="935">
        <f>'F5'!V103+'F5.1 (N)'!AA52</f>
        <v>0</v>
      </c>
      <c r="W103" s="880">
        <f t="shared" si="33"/>
        <v>26.036491312906765</v>
      </c>
    </row>
    <row r="104" spans="1:23">
      <c r="A104" s="696"/>
      <c r="B104" s="95">
        <f t="shared" si="34"/>
        <v>10</v>
      </c>
      <c r="C104" s="455" t="s">
        <v>258</v>
      </c>
      <c r="D104" s="943">
        <f t="shared" si="26"/>
        <v>0</v>
      </c>
      <c r="E104" s="697">
        <f>'F5'!E104+'F5.1 (N)'!J53</f>
        <v>0</v>
      </c>
      <c r="F104" s="697">
        <f>'F5'!F104+'F5.1 (N)'!K53</f>
        <v>0</v>
      </c>
      <c r="G104" s="697">
        <f>'F5'!G104+'F5.1 (N)'!L53</f>
        <v>0</v>
      </c>
      <c r="H104" s="943">
        <f t="shared" si="27"/>
        <v>0</v>
      </c>
      <c r="I104" s="880">
        <f t="shared" si="28"/>
        <v>0</v>
      </c>
      <c r="J104" s="935">
        <f>'F5'!J104+'F5.1 (N)'!O53</f>
        <v>0</v>
      </c>
      <c r="K104" s="935">
        <f>'F5'!K104+'F5.1 (N)'!P53</f>
        <v>0</v>
      </c>
      <c r="L104" s="935">
        <f>'F5'!L104+'F5.1 (N)'!Q53</f>
        <v>0</v>
      </c>
      <c r="M104" s="880">
        <f t="shared" si="29"/>
        <v>0</v>
      </c>
      <c r="N104" s="880">
        <f t="shared" si="30"/>
        <v>0</v>
      </c>
      <c r="O104" s="935">
        <f>'F5'!O104+'F5.1 (N)'!T53</f>
        <v>0</v>
      </c>
      <c r="P104" s="935">
        <f>'F5'!P104+'F5.1 (N)'!U53</f>
        <v>0</v>
      </c>
      <c r="Q104" s="935">
        <f>'F5'!Q104+'F5.1 (N)'!V53</f>
        <v>0</v>
      </c>
      <c r="R104" s="880">
        <f t="shared" si="31"/>
        <v>0</v>
      </c>
      <c r="S104" s="880">
        <f t="shared" si="32"/>
        <v>0</v>
      </c>
      <c r="T104" s="935">
        <f>'F5'!T104+'F5.1 (N)'!Y53</f>
        <v>0</v>
      </c>
      <c r="U104" s="935">
        <f>'F5'!U104+'F5.1 (N)'!Z53</f>
        <v>0</v>
      </c>
      <c r="V104" s="935">
        <f>'F5'!V104+'F5.1 (N)'!AA53</f>
        <v>0</v>
      </c>
      <c r="W104" s="880">
        <f t="shared" si="33"/>
        <v>0</v>
      </c>
    </row>
    <row r="105" spans="1:23">
      <c r="A105" s="696"/>
      <c r="B105" s="95">
        <f t="shared" si="34"/>
        <v>11</v>
      </c>
      <c r="C105" s="455" t="s">
        <v>259</v>
      </c>
      <c r="D105" s="943">
        <f t="shared" si="26"/>
        <v>0.32651721855404642</v>
      </c>
      <c r="E105" s="697">
        <f>'F5'!E105+'F5.1 (N)'!J54</f>
        <v>5.0439355604262048E-2</v>
      </c>
      <c r="F105" s="697">
        <f>'F5'!F105+'F5.1 (N)'!K54</f>
        <v>0</v>
      </c>
      <c r="G105" s="697">
        <f>'F5'!G105+'F5.1 (N)'!L54</f>
        <v>0</v>
      </c>
      <c r="H105" s="943">
        <f t="shared" si="27"/>
        <v>0.37695657415830847</v>
      </c>
      <c r="I105" s="880">
        <f t="shared" si="28"/>
        <v>0.37695657415830847</v>
      </c>
      <c r="J105" s="935">
        <f>'F5'!J105+'F5.1 (N)'!O54</f>
        <v>5.0914105604262051E-2</v>
      </c>
      <c r="K105" s="935">
        <f>'F5'!K105+'F5.1 (N)'!P54</f>
        <v>0</v>
      </c>
      <c r="L105" s="935">
        <f>'F5'!L105+'F5.1 (N)'!Q54</f>
        <v>0</v>
      </c>
      <c r="M105" s="880">
        <f t="shared" si="29"/>
        <v>0.42787067976257054</v>
      </c>
      <c r="N105" s="880">
        <f t="shared" si="30"/>
        <v>0.42787067976257054</v>
      </c>
      <c r="O105" s="935">
        <f>'F5'!O105+'F5.1 (N)'!T54</f>
        <v>5.1652605604262047E-2</v>
      </c>
      <c r="P105" s="935">
        <f>'F5'!P105+'F5.1 (N)'!U54</f>
        <v>0</v>
      </c>
      <c r="Q105" s="935">
        <f>'F5'!Q105+'F5.1 (N)'!V54</f>
        <v>0</v>
      </c>
      <c r="R105" s="880">
        <f t="shared" si="31"/>
        <v>0.47952328536683259</v>
      </c>
      <c r="S105" s="880">
        <f t="shared" si="32"/>
        <v>0.47952328536683259</v>
      </c>
      <c r="T105" s="935">
        <f>'F5'!T105+'F5.1 (N)'!Y54</f>
        <v>5.2707605604262048E-2</v>
      </c>
      <c r="U105" s="935">
        <f>'F5'!U105+'F5.1 (N)'!Z54</f>
        <v>0</v>
      </c>
      <c r="V105" s="935">
        <f>'F5'!V105+'F5.1 (N)'!AA54</f>
        <v>0</v>
      </c>
      <c r="W105" s="880">
        <f t="shared" si="33"/>
        <v>0.53223089097109466</v>
      </c>
    </row>
    <row r="106" spans="1:23">
      <c r="A106" s="696"/>
      <c r="B106" s="95">
        <f t="shared" si="34"/>
        <v>12</v>
      </c>
      <c r="C106" s="455" t="s">
        <v>260</v>
      </c>
      <c r="D106" s="943">
        <f t="shared" si="26"/>
        <v>0</v>
      </c>
      <c r="E106" s="697">
        <f>'F5'!E106+'F5.1 (N)'!J55</f>
        <v>0</v>
      </c>
      <c r="F106" s="697">
        <f>'F5'!F106+'F5.1 (N)'!K55</f>
        <v>0</v>
      </c>
      <c r="G106" s="697">
        <f>'F5'!G106+'F5.1 (N)'!L55</f>
        <v>0</v>
      </c>
      <c r="H106" s="943">
        <f t="shared" si="27"/>
        <v>0</v>
      </c>
      <c r="I106" s="880">
        <f t="shared" si="28"/>
        <v>0</v>
      </c>
      <c r="J106" s="935">
        <f>'F5'!J106+'F5.1 (N)'!O55</f>
        <v>0</v>
      </c>
      <c r="K106" s="935">
        <f>'F5'!K106+'F5.1 (N)'!P55</f>
        <v>0</v>
      </c>
      <c r="L106" s="935">
        <f>'F5'!L106+'F5.1 (N)'!Q55</f>
        <v>0</v>
      </c>
      <c r="M106" s="880">
        <f t="shared" si="29"/>
        <v>0</v>
      </c>
      <c r="N106" s="880">
        <f t="shared" si="30"/>
        <v>0</v>
      </c>
      <c r="O106" s="935">
        <f>'F5'!O106+'F5.1 (N)'!T55</f>
        <v>0</v>
      </c>
      <c r="P106" s="935">
        <f>'F5'!P106+'F5.1 (N)'!U55</f>
        <v>0</v>
      </c>
      <c r="Q106" s="935">
        <f>'F5'!Q106+'F5.1 (N)'!V55</f>
        <v>0</v>
      </c>
      <c r="R106" s="880">
        <f t="shared" si="31"/>
        <v>0</v>
      </c>
      <c r="S106" s="880">
        <f t="shared" si="32"/>
        <v>0</v>
      </c>
      <c r="T106" s="935">
        <f>'F5'!T106+'F5.1 (N)'!Y55</f>
        <v>0</v>
      </c>
      <c r="U106" s="935">
        <f>'F5'!U106+'F5.1 (N)'!Z55</f>
        <v>0</v>
      </c>
      <c r="V106" s="935">
        <f>'F5'!V106+'F5.1 (N)'!AA55</f>
        <v>0</v>
      </c>
      <c r="W106" s="880">
        <f t="shared" si="33"/>
        <v>0</v>
      </c>
    </row>
    <row r="107" spans="1:23">
      <c r="A107" s="696"/>
      <c r="B107" s="95">
        <f t="shared" si="34"/>
        <v>13</v>
      </c>
      <c r="C107" s="476" t="s">
        <v>897</v>
      </c>
      <c r="D107" s="943">
        <f t="shared" si="26"/>
        <v>0</v>
      </c>
      <c r="E107" s="697">
        <f>'F5'!E107+'F5.1 (N)'!J56</f>
        <v>0</v>
      </c>
      <c r="F107" s="697">
        <f>'F5'!F107+'F5.1 (N)'!K56</f>
        <v>0</v>
      </c>
      <c r="G107" s="697">
        <f>'F5'!G107+'F5.1 (N)'!L56</f>
        <v>0</v>
      </c>
      <c r="H107" s="943">
        <f t="shared" si="27"/>
        <v>0</v>
      </c>
      <c r="I107" s="880">
        <f t="shared" si="28"/>
        <v>0</v>
      </c>
      <c r="J107" s="935">
        <f>'F5'!J107+'F5.1 (N)'!O56</f>
        <v>0</v>
      </c>
      <c r="K107" s="935">
        <f>'F5'!K107+'F5.1 (N)'!P56</f>
        <v>0</v>
      </c>
      <c r="L107" s="935">
        <f>'F5'!L107+'F5.1 (N)'!Q56</f>
        <v>0</v>
      </c>
      <c r="M107" s="880">
        <f t="shared" si="29"/>
        <v>0</v>
      </c>
      <c r="N107" s="880">
        <f t="shared" si="30"/>
        <v>0</v>
      </c>
      <c r="O107" s="935">
        <f>'F5'!O107+'F5.1 (N)'!T56</f>
        <v>0</v>
      </c>
      <c r="P107" s="935">
        <f>'F5'!P107+'F5.1 (N)'!U56</f>
        <v>0</v>
      </c>
      <c r="Q107" s="935">
        <f>'F5'!Q107+'F5.1 (N)'!V56</f>
        <v>0</v>
      </c>
      <c r="R107" s="880">
        <f t="shared" si="31"/>
        <v>0</v>
      </c>
      <c r="S107" s="880">
        <f t="shared" si="32"/>
        <v>0</v>
      </c>
      <c r="T107" s="935">
        <f>'F5'!T107+'F5.1 (N)'!Y56</f>
        <v>0</v>
      </c>
      <c r="U107" s="935">
        <f>'F5'!U107+'F5.1 (N)'!Z56</f>
        <v>0</v>
      </c>
      <c r="V107" s="935">
        <f>'F5'!V107+'F5.1 (N)'!AA56</f>
        <v>0</v>
      </c>
      <c r="W107" s="880">
        <f t="shared" si="33"/>
        <v>0</v>
      </c>
    </row>
    <row r="108" spans="1:23">
      <c r="A108" s="696"/>
      <c r="B108" s="95">
        <f t="shared" si="34"/>
        <v>14</v>
      </c>
      <c r="C108" s="476" t="s">
        <v>898</v>
      </c>
      <c r="D108" s="943">
        <f t="shared" si="26"/>
        <v>0.41884645310000002</v>
      </c>
      <c r="E108" s="697">
        <f>'F5'!E108+'F5.1 (N)'!J57</f>
        <v>0.14814850660000001</v>
      </c>
      <c r="F108" s="697">
        <f>'F5'!F108+'F5.1 (N)'!K57</f>
        <v>0</v>
      </c>
      <c r="G108" s="697">
        <f>'F5'!G108+'F5.1 (N)'!L57</f>
        <v>0</v>
      </c>
      <c r="H108" s="943">
        <f t="shared" si="27"/>
        <v>0.56699495970000002</v>
      </c>
      <c r="I108" s="880">
        <f t="shared" si="28"/>
        <v>0.56699495970000002</v>
      </c>
      <c r="J108" s="935">
        <f>'F5'!J108+'F5.1 (N)'!O57</f>
        <v>0.15939850659999999</v>
      </c>
      <c r="K108" s="935">
        <f>'F5'!K108+'F5.1 (N)'!P57</f>
        <v>0</v>
      </c>
      <c r="L108" s="935">
        <f>'F5'!L108+'F5.1 (N)'!Q57</f>
        <v>0</v>
      </c>
      <c r="M108" s="880">
        <f t="shared" si="29"/>
        <v>0.72639346630000001</v>
      </c>
      <c r="N108" s="880">
        <f t="shared" si="30"/>
        <v>0.72639346630000001</v>
      </c>
      <c r="O108" s="935">
        <f>'F5'!O108+'F5.1 (N)'!T57</f>
        <v>5.8133708263501296E-2</v>
      </c>
      <c r="P108" s="935">
        <f>'F5'!P108+'F5.1 (N)'!U57</f>
        <v>0</v>
      </c>
      <c r="Q108" s="935">
        <f>'F5'!Q108+'F5.1 (N)'!V57</f>
        <v>0</v>
      </c>
      <c r="R108" s="880">
        <f t="shared" si="31"/>
        <v>0.78452717456350129</v>
      </c>
      <c r="S108" s="880">
        <f t="shared" si="32"/>
        <v>0.78452717456350129</v>
      </c>
      <c r="T108" s="935">
        <f>'F5'!T108+'F5.1 (N)'!Y57</f>
        <v>8.3133708263501305E-2</v>
      </c>
      <c r="U108" s="935">
        <f>'F5'!U108+'F5.1 (N)'!Z57</f>
        <v>0</v>
      </c>
      <c r="V108" s="935">
        <f>'F5'!V108+'F5.1 (N)'!AA57</f>
        <v>0</v>
      </c>
      <c r="W108" s="880">
        <f t="shared" si="33"/>
        <v>0.8676608828270026</v>
      </c>
    </row>
    <row r="109" spans="1:23">
      <c r="A109" s="696"/>
      <c r="B109" s="95">
        <f t="shared" si="34"/>
        <v>15</v>
      </c>
      <c r="C109" s="476" t="s">
        <v>899</v>
      </c>
      <c r="D109" s="943">
        <f t="shared" si="26"/>
        <v>0</v>
      </c>
      <c r="E109" s="697">
        <f>'F5'!E109+'F5.1 (N)'!J58</f>
        <v>0</v>
      </c>
      <c r="F109" s="697">
        <f>'F5'!F109+'F5.1 (N)'!K58</f>
        <v>0</v>
      </c>
      <c r="G109" s="697">
        <f>'F5'!G109+'F5.1 (N)'!L58</f>
        <v>0</v>
      </c>
      <c r="H109" s="943">
        <f t="shared" si="27"/>
        <v>0</v>
      </c>
      <c r="I109" s="880">
        <f t="shared" si="28"/>
        <v>0</v>
      </c>
      <c r="J109" s="935">
        <f>'F5'!J109+'F5.1 (N)'!O58</f>
        <v>0</v>
      </c>
      <c r="K109" s="935">
        <f>'F5'!K109+'F5.1 (N)'!P58</f>
        <v>0</v>
      </c>
      <c r="L109" s="935">
        <f>'F5'!L109+'F5.1 (N)'!Q58</f>
        <v>0</v>
      </c>
      <c r="M109" s="880">
        <f t="shared" si="29"/>
        <v>0</v>
      </c>
      <c r="N109" s="880">
        <f t="shared" si="30"/>
        <v>0</v>
      </c>
      <c r="O109" s="935">
        <f>'F5'!O109+'F5.1 (N)'!T58</f>
        <v>0</v>
      </c>
      <c r="P109" s="935">
        <f>'F5'!P109+'F5.1 (N)'!U58</f>
        <v>0</v>
      </c>
      <c r="Q109" s="935">
        <f>'F5'!Q109+'F5.1 (N)'!V58</f>
        <v>0</v>
      </c>
      <c r="R109" s="880">
        <f t="shared" si="31"/>
        <v>0</v>
      </c>
      <c r="S109" s="880">
        <f t="shared" si="32"/>
        <v>0</v>
      </c>
      <c r="T109" s="935">
        <f>'F5'!T109+'F5.1 (N)'!Y58</f>
        <v>0</v>
      </c>
      <c r="U109" s="935">
        <f>'F5'!U109+'F5.1 (N)'!Z58</f>
        <v>0</v>
      </c>
      <c r="V109" s="935">
        <f>'F5'!V109+'F5.1 (N)'!AA58</f>
        <v>0</v>
      </c>
      <c r="W109" s="880">
        <f t="shared" si="33"/>
        <v>0</v>
      </c>
    </row>
    <row r="110" spans="1:23">
      <c r="A110" s="696"/>
      <c r="B110" s="95">
        <f t="shared" si="34"/>
        <v>16</v>
      </c>
      <c r="C110" s="476" t="s">
        <v>849</v>
      </c>
      <c r="D110" s="943">
        <f t="shared" si="26"/>
        <v>0</v>
      </c>
      <c r="E110" s="697">
        <f>'F5'!E110+'F5.1 (N)'!J59</f>
        <v>0</v>
      </c>
      <c r="F110" s="697">
        <f>'F5'!F110+'F5.1 (N)'!K59</f>
        <v>0</v>
      </c>
      <c r="G110" s="697">
        <f>'F5'!G110+'F5.1 (N)'!L59</f>
        <v>0</v>
      </c>
      <c r="H110" s="943">
        <f t="shared" si="27"/>
        <v>0</v>
      </c>
      <c r="I110" s="880">
        <f t="shared" si="28"/>
        <v>0</v>
      </c>
      <c r="J110" s="935">
        <f>'F5'!J110+'F5.1 (N)'!O59</f>
        <v>0</v>
      </c>
      <c r="K110" s="935">
        <f>'F5'!K110+'F5.1 (N)'!P59</f>
        <v>0</v>
      </c>
      <c r="L110" s="935">
        <f>'F5'!L110+'F5.1 (N)'!Q59</f>
        <v>0</v>
      </c>
      <c r="M110" s="880">
        <f t="shared" si="29"/>
        <v>0</v>
      </c>
      <c r="N110" s="880">
        <f t="shared" si="30"/>
        <v>0</v>
      </c>
      <c r="O110" s="935">
        <f>'F5'!O110+'F5.1 (N)'!T59</f>
        <v>0</v>
      </c>
      <c r="P110" s="935">
        <f>'F5'!P110+'F5.1 (N)'!U59</f>
        <v>0</v>
      </c>
      <c r="Q110" s="935">
        <f>'F5'!Q110+'F5.1 (N)'!V59</f>
        <v>0</v>
      </c>
      <c r="R110" s="880">
        <f t="shared" si="31"/>
        <v>0</v>
      </c>
      <c r="S110" s="880">
        <f t="shared" si="32"/>
        <v>0</v>
      </c>
      <c r="T110" s="935">
        <f>'F5'!T110+'F5.1 (N)'!Y59</f>
        <v>0</v>
      </c>
      <c r="U110" s="935">
        <f>'F5'!U110+'F5.1 (N)'!Z59</f>
        <v>0</v>
      </c>
      <c r="V110" s="935">
        <f>'F5'!V110+'F5.1 (N)'!AA59</f>
        <v>0</v>
      </c>
      <c r="W110" s="880">
        <f t="shared" si="33"/>
        <v>0</v>
      </c>
    </row>
    <row r="111" spans="1:23">
      <c r="A111" s="696"/>
      <c r="B111" s="95">
        <f t="shared" si="34"/>
        <v>17</v>
      </c>
      <c r="C111" s="476" t="s">
        <v>900</v>
      </c>
      <c r="D111" s="943">
        <f t="shared" si="26"/>
        <v>0</v>
      </c>
      <c r="E111" s="697">
        <f>'F5'!E111+'F5.1 (N)'!J60</f>
        <v>0</v>
      </c>
      <c r="F111" s="697">
        <f>'F5'!F111+'F5.1 (N)'!K60</f>
        <v>0</v>
      </c>
      <c r="G111" s="697">
        <f>'F5'!G111+'F5.1 (N)'!L60</f>
        <v>0</v>
      </c>
      <c r="H111" s="943">
        <f t="shared" si="27"/>
        <v>0</v>
      </c>
      <c r="I111" s="880">
        <f t="shared" si="28"/>
        <v>0</v>
      </c>
      <c r="J111" s="935">
        <f>'F5'!J111+'F5.1 (N)'!O60</f>
        <v>0</v>
      </c>
      <c r="K111" s="935">
        <f>'F5'!K111+'F5.1 (N)'!P60</f>
        <v>0</v>
      </c>
      <c r="L111" s="935">
        <f>'F5'!L111+'F5.1 (N)'!Q60</f>
        <v>0</v>
      </c>
      <c r="M111" s="880">
        <f t="shared" si="29"/>
        <v>0</v>
      </c>
      <c r="N111" s="880">
        <f t="shared" si="30"/>
        <v>0</v>
      </c>
      <c r="O111" s="935">
        <f>'F5'!O111+'F5.1 (N)'!T60</f>
        <v>0</v>
      </c>
      <c r="P111" s="935">
        <f>'F5'!P111+'F5.1 (N)'!U60</f>
        <v>0</v>
      </c>
      <c r="Q111" s="935">
        <f>'F5'!Q111+'F5.1 (N)'!V60</f>
        <v>0</v>
      </c>
      <c r="R111" s="880">
        <f t="shared" si="31"/>
        <v>0</v>
      </c>
      <c r="S111" s="880">
        <f t="shared" si="32"/>
        <v>0</v>
      </c>
      <c r="T111" s="935">
        <f>'F5'!T111+'F5.1 (N)'!Y60</f>
        <v>0</v>
      </c>
      <c r="U111" s="935">
        <f>'F5'!U111+'F5.1 (N)'!Z60</f>
        <v>0</v>
      </c>
      <c r="V111" s="935">
        <f>'F5'!V111+'F5.1 (N)'!AA60</f>
        <v>0</v>
      </c>
      <c r="W111" s="880">
        <f t="shared" si="33"/>
        <v>0</v>
      </c>
    </row>
    <row r="112" spans="1:23" ht="16">
      <c r="B112" s="83"/>
      <c r="C112" s="97" t="s">
        <v>271</v>
      </c>
      <c r="D112" s="945">
        <f t="shared" ref="D112:W112" si="35">SUM(D95:D111)</f>
        <v>880.88464425898997</v>
      </c>
      <c r="E112" s="945">
        <f t="shared" si="35"/>
        <v>105.09740835641497</v>
      </c>
      <c r="F112" s="945">
        <f t="shared" si="35"/>
        <v>0</v>
      </c>
      <c r="G112" s="945">
        <f t="shared" si="35"/>
        <v>0</v>
      </c>
      <c r="H112" s="945">
        <f t="shared" si="35"/>
        <v>985.98205261540488</v>
      </c>
      <c r="I112" s="945">
        <f t="shared" si="35"/>
        <v>985.98205261540488</v>
      </c>
      <c r="J112" s="945">
        <f t="shared" si="35"/>
        <v>107.87170835641498</v>
      </c>
      <c r="K112" s="945">
        <f t="shared" si="35"/>
        <v>0</v>
      </c>
      <c r="L112" s="945">
        <f t="shared" si="35"/>
        <v>0</v>
      </c>
      <c r="M112" s="945">
        <f t="shared" si="35"/>
        <v>1093.8537609718198</v>
      </c>
      <c r="N112" s="945">
        <f t="shared" si="35"/>
        <v>1093.8537609718198</v>
      </c>
      <c r="O112" s="945">
        <f t="shared" si="35"/>
        <v>109.63801539141181</v>
      </c>
      <c r="P112" s="945">
        <f t="shared" si="35"/>
        <v>0</v>
      </c>
      <c r="Q112" s="945">
        <f t="shared" si="35"/>
        <v>0</v>
      </c>
      <c r="R112" s="945">
        <f t="shared" si="35"/>
        <v>1203.4917763632316</v>
      </c>
      <c r="S112" s="945">
        <f t="shared" si="35"/>
        <v>1203.4917763632316</v>
      </c>
      <c r="T112" s="945">
        <f t="shared" si="35"/>
        <v>106.49786534803044</v>
      </c>
      <c r="U112" s="945">
        <f t="shared" si="35"/>
        <v>0</v>
      </c>
      <c r="V112" s="945">
        <f t="shared" si="35"/>
        <v>0</v>
      </c>
      <c r="W112" s="945">
        <f t="shared" si="35"/>
        <v>1309.9896417112623</v>
      </c>
    </row>
    <row r="113" spans="2:23" ht="16">
      <c r="B113" s="267"/>
      <c r="C113" s="269"/>
      <c r="D113" s="1126"/>
      <c r="E113" s="1127"/>
      <c r="F113" s="1126"/>
      <c r="G113" s="1126"/>
      <c r="H113" s="1126"/>
    </row>
    <row r="114" spans="2:23">
      <c r="B114" s="1"/>
      <c r="C114" s="1"/>
      <c r="D114" s="1"/>
      <c r="E114" s="1"/>
      <c r="F114" s="1"/>
      <c r="G114" s="1"/>
      <c r="H114" s="1"/>
      <c r="I114" s="1"/>
      <c r="J114" s="1"/>
      <c r="K114" s="1"/>
      <c r="L114" s="1"/>
      <c r="M114" s="1"/>
      <c r="N114" s="1"/>
      <c r="O114" s="1"/>
      <c r="P114" s="1"/>
      <c r="Q114" s="1"/>
      <c r="R114" s="1"/>
    </row>
    <row r="115" spans="2:23">
      <c r="B115" s="901" t="s">
        <v>341</v>
      </c>
      <c r="C115" s="1"/>
      <c r="D115" s="1"/>
      <c r="E115" s="1"/>
      <c r="F115" s="1"/>
      <c r="G115" s="1"/>
      <c r="H115" s="1"/>
      <c r="I115" s="1"/>
      <c r="J115" s="1"/>
      <c r="K115" s="1"/>
      <c r="L115" s="1"/>
      <c r="M115" s="1"/>
      <c r="N115" s="1"/>
      <c r="O115" s="1"/>
      <c r="P115" s="1"/>
      <c r="Q115" s="1"/>
      <c r="R115" s="1"/>
    </row>
    <row r="116" spans="2:23">
      <c r="B116" s="901"/>
      <c r="C116" s="1"/>
      <c r="D116" s="1"/>
      <c r="E116" s="1"/>
      <c r="F116" s="1"/>
      <c r="G116" s="1"/>
      <c r="H116" s="1"/>
      <c r="I116" s="1"/>
      <c r="J116" s="1"/>
      <c r="K116" s="1"/>
      <c r="L116" s="1"/>
      <c r="M116" s="1"/>
      <c r="N116" s="1"/>
      <c r="O116" s="1"/>
      <c r="P116" s="1"/>
      <c r="Q116" s="1"/>
      <c r="R116" s="1"/>
    </row>
    <row r="117" spans="2:23">
      <c r="B117" s="1"/>
      <c r="C117" s="1"/>
      <c r="D117" s="8"/>
      <c r="E117" s="8"/>
      <c r="F117" s="8"/>
      <c r="G117" s="8"/>
      <c r="H117" s="8"/>
      <c r="I117" s="1"/>
      <c r="J117" s="44"/>
      <c r="K117" s="1"/>
      <c r="L117" s="1"/>
      <c r="M117" s="264" t="s">
        <v>10</v>
      </c>
      <c r="O117" s="1"/>
      <c r="P117" s="1"/>
      <c r="Q117" s="1"/>
    </row>
    <row r="118" spans="2:23" ht="15" customHeight="1">
      <c r="B118" s="1804" t="s">
        <v>340</v>
      </c>
      <c r="C118" s="1804" t="s">
        <v>36</v>
      </c>
      <c r="D118" s="1934" t="s">
        <v>508</v>
      </c>
      <c r="E118" s="1935"/>
      <c r="F118" s="1935"/>
      <c r="G118" s="1935"/>
      <c r="H118" s="1936"/>
      <c r="I118" s="1937" t="s">
        <v>509</v>
      </c>
      <c r="J118" s="1937"/>
      <c r="K118" s="1937"/>
      <c r="L118" s="1937"/>
      <c r="M118" s="1937"/>
      <c r="N118" s="1933" t="s">
        <v>510</v>
      </c>
      <c r="O118" s="1933"/>
      <c r="P118" s="1933"/>
      <c r="Q118" s="1933"/>
      <c r="R118" s="1933"/>
      <c r="S118" s="1933" t="s">
        <v>958</v>
      </c>
      <c r="T118" s="1933"/>
      <c r="U118" s="1933"/>
      <c r="V118" s="1933"/>
      <c r="W118" s="1933"/>
    </row>
    <row r="119" spans="2:23">
      <c r="B119" s="1804"/>
      <c r="C119" s="1804"/>
      <c r="D119" s="1942" t="s">
        <v>7</v>
      </c>
      <c r="E119" s="1943"/>
      <c r="F119" s="1943"/>
      <c r="G119" s="1943"/>
      <c r="H119" s="1943"/>
      <c r="I119" s="1942" t="s">
        <v>7</v>
      </c>
      <c r="J119" s="1943"/>
      <c r="K119" s="1943"/>
      <c r="L119" s="1943"/>
      <c r="M119" s="1943"/>
      <c r="N119" s="1937" t="s">
        <v>12</v>
      </c>
      <c r="O119" s="1938"/>
      <c r="P119" s="1938"/>
      <c r="Q119" s="1938"/>
      <c r="R119" s="1938"/>
      <c r="S119" s="1937" t="s">
        <v>21</v>
      </c>
      <c r="T119" s="1938"/>
      <c r="U119" s="1938"/>
      <c r="V119" s="1938"/>
      <c r="W119" s="1938"/>
    </row>
    <row r="120" spans="2:23" ht="42">
      <c r="B120" s="1804"/>
      <c r="C120" s="1804"/>
      <c r="D120" s="902" t="s">
        <v>267</v>
      </c>
      <c r="E120" s="902" t="s">
        <v>268</v>
      </c>
      <c r="F120" s="268" t="s">
        <v>274</v>
      </c>
      <c r="G120" s="900" t="s">
        <v>589</v>
      </c>
      <c r="H120" s="902" t="s">
        <v>270</v>
      </c>
      <c r="I120" s="902" t="s">
        <v>267</v>
      </c>
      <c r="J120" s="902" t="s">
        <v>268</v>
      </c>
      <c r="K120" s="268" t="s">
        <v>274</v>
      </c>
      <c r="L120" s="900" t="s">
        <v>589</v>
      </c>
      <c r="M120" s="902" t="s">
        <v>270</v>
      </c>
      <c r="N120" s="902" t="s">
        <v>267</v>
      </c>
      <c r="O120" s="902" t="s">
        <v>268</v>
      </c>
      <c r="P120" s="268" t="s">
        <v>274</v>
      </c>
      <c r="Q120" s="900" t="s">
        <v>589</v>
      </c>
      <c r="R120" s="902" t="s">
        <v>270</v>
      </c>
      <c r="S120" s="902" t="s">
        <v>267</v>
      </c>
      <c r="T120" s="902" t="s">
        <v>268</v>
      </c>
      <c r="U120" s="268" t="s">
        <v>274</v>
      </c>
      <c r="V120" s="900" t="s">
        <v>589</v>
      </c>
      <c r="W120" s="902" t="s">
        <v>270</v>
      </c>
    </row>
    <row r="121" spans="2:23" ht="28">
      <c r="B121" s="265"/>
      <c r="C121" s="265"/>
      <c r="D121" s="265" t="s">
        <v>80</v>
      </c>
      <c r="E121" s="265" t="s">
        <v>81</v>
      </c>
      <c r="F121" s="265" t="s">
        <v>461</v>
      </c>
      <c r="G121" s="265" t="s">
        <v>391</v>
      </c>
      <c r="H121" s="265" t="s">
        <v>590</v>
      </c>
      <c r="I121" s="265" t="s">
        <v>409</v>
      </c>
      <c r="J121" s="265" t="s">
        <v>511</v>
      </c>
      <c r="K121" s="265" t="s">
        <v>410</v>
      </c>
      <c r="L121" s="265" t="s">
        <v>411</v>
      </c>
      <c r="M121" s="265" t="s">
        <v>654</v>
      </c>
      <c r="N121" s="265" t="s">
        <v>596</v>
      </c>
      <c r="O121" s="265" t="s">
        <v>597</v>
      </c>
      <c r="P121" s="265" t="s">
        <v>598</v>
      </c>
      <c r="Q121" s="265" t="s">
        <v>656</v>
      </c>
      <c r="R121" s="265" t="s">
        <v>657</v>
      </c>
      <c r="S121" s="265" t="s">
        <v>658</v>
      </c>
      <c r="T121" s="265" t="s">
        <v>659</v>
      </c>
      <c r="U121" s="265" t="s">
        <v>660</v>
      </c>
      <c r="V121" s="265" t="s">
        <v>661</v>
      </c>
      <c r="W121" s="265" t="s">
        <v>662</v>
      </c>
    </row>
    <row r="122" spans="2:23">
      <c r="B122" s="95">
        <v>1</v>
      </c>
      <c r="C122" s="455" t="s">
        <v>841</v>
      </c>
      <c r="D122" s="697">
        <f t="shared" ref="D122:G138" si="36">D14-D68</f>
        <v>20.51997533484003</v>
      </c>
      <c r="E122" s="697">
        <f t="shared" si="36"/>
        <v>0</v>
      </c>
      <c r="F122" s="697">
        <f t="shared" si="36"/>
        <v>0</v>
      </c>
      <c r="G122" s="697">
        <f t="shared" si="36"/>
        <v>0</v>
      </c>
      <c r="H122" s="697">
        <f t="shared" ref="H122:H138" si="37">D122+E122-F122-G122</f>
        <v>20.51997533484003</v>
      </c>
      <c r="I122" s="697">
        <f t="shared" ref="I122:L138" si="38">I14-I68</f>
        <v>20.51997533484003</v>
      </c>
      <c r="J122" s="697">
        <f t="shared" si="38"/>
        <v>0</v>
      </c>
      <c r="K122" s="697">
        <f t="shared" si="38"/>
        <v>0</v>
      </c>
      <c r="L122" s="697">
        <f t="shared" si="38"/>
        <v>0</v>
      </c>
      <c r="M122" s="943">
        <f t="shared" ref="M122:M138" si="39">I122+J122-K122-L122</f>
        <v>20.51997533484003</v>
      </c>
      <c r="N122" s="697">
        <f t="shared" ref="N122:Q138" si="40">N14-N68</f>
        <v>20.51997533484003</v>
      </c>
      <c r="O122" s="697">
        <f t="shared" si="40"/>
        <v>0</v>
      </c>
      <c r="P122" s="697">
        <f t="shared" si="40"/>
        <v>0</v>
      </c>
      <c r="Q122" s="697">
        <f t="shared" si="40"/>
        <v>0</v>
      </c>
      <c r="R122" s="697">
        <f t="shared" ref="R122:R138" si="41">N122+O122-P122-Q122</f>
        <v>20.51997533484003</v>
      </c>
      <c r="S122" s="697">
        <f t="shared" ref="S122:V138" si="42">S14-S68</f>
        <v>20.51997533484003</v>
      </c>
      <c r="T122" s="697">
        <f t="shared" si="42"/>
        <v>0</v>
      </c>
      <c r="U122" s="697">
        <f t="shared" si="42"/>
        <v>0</v>
      </c>
      <c r="V122" s="697">
        <f t="shared" si="42"/>
        <v>0</v>
      </c>
      <c r="W122" s="943">
        <f t="shared" ref="W122:W138" si="43">S122+T122-U122-V122</f>
        <v>20.51997533484003</v>
      </c>
    </row>
    <row r="123" spans="2:23">
      <c r="B123" s="95">
        <f t="shared" ref="B123:B138" si="44">B122+1</f>
        <v>2</v>
      </c>
      <c r="C123" s="455" t="s">
        <v>842</v>
      </c>
      <c r="D123" s="697">
        <f t="shared" si="36"/>
        <v>113.78195527647087</v>
      </c>
      <c r="E123" s="697">
        <f t="shared" si="36"/>
        <v>-4.5721508030860223</v>
      </c>
      <c r="F123" s="697">
        <f t="shared" si="36"/>
        <v>0</v>
      </c>
      <c r="G123" s="697">
        <f t="shared" si="36"/>
        <v>0</v>
      </c>
      <c r="H123" s="697">
        <f t="shared" si="37"/>
        <v>109.20980447338485</v>
      </c>
      <c r="I123" s="697">
        <f t="shared" si="38"/>
        <v>109.20980447338485</v>
      </c>
      <c r="J123" s="697">
        <f t="shared" si="38"/>
        <v>-2.3761783786860233</v>
      </c>
      <c r="K123" s="697">
        <f t="shared" si="38"/>
        <v>0</v>
      </c>
      <c r="L123" s="697">
        <f t="shared" si="38"/>
        <v>0</v>
      </c>
      <c r="M123" s="943">
        <f t="shared" si="39"/>
        <v>106.83362609469883</v>
      </c>
      <c r="N123" s="697">
        <f t="shared" si="40"/>
        <v>106.83362609469883</v>
      </c>
      <c r="O123" s="697">
        <f t="shared" si="40"/>
        <v>-4.6467419542860231</v>
      </c>
      <c r="P123" s="697">
        <f t="shared" si="40"/>
        <v>0</v>
      </c>
      <c r="Q123" s="697">
        <f t="shared" si="40"/>
        <v>0</v>
      </c>
      <c r="R123" s="697">
        <f t="shared" si="41"/>
        <v>102.1868841404128</v>
      </c>
      <c r="S123" s="697">
        <f t="shared" si="42"/>
        <v>102.18688414041281</v>
      </c>
      <c r="T123" s="1125">
        <f t="shared" si="42"/>
        <v>-4.6467419542860231</v>
      </c>
      <c r="U123" s="697">
        <f t="shared" si="42"/>
        <v>0</v>
      </c>
      <c r="V123" s="697">
        <f t="shared" si="42"/>
        <v>0</v>
      </c>
      <c r="W123" s="943">
        <f t="shared" si="43"/>
        <v>97.540142186126786</v>
      </c>
    </row>
    <row r="124" spans="2:23">
      <c r="B124" s="95">
        <f t="shared" si="44"/>
        <v>3</v>
      </c>
      <c r="C124" s="455" t="s">
        <v>843</v>
      </c>
      <c r="D124" s="697">
        <f t="shared" si="36"/>
        <v>0</v>
      </c>
      <c r="E124" s="697">
        <f t="shared" si="36"/>
        <v>0</v>
      </c>
      <c r="F124" s="697">
        <f t="shared" si="36"/>
        <v>0</v>
      </c>
      <c r="G124" s="697">
        <f t="shared" si="36"/>
        <v>0</v>
      </c>
      <c r="H124" s="697">
        <f t="shared" si="37"/>
        <v>0</v>
      </c>
      <c r="I124" s="697">
        <f t="shared" si="38"/>
        <v>0</v>
      </c>
      <c r="J124" s="697">
        <f t="shared" si="38"/>
        <v>0</v>
      </c>
      <c r="K124" s="697">
        <f t="shared" si="38"/>
        <v>0</v>
      </c>
      <c r="L124" s="697">
        <f t="shared" si="38"/>
        <v>0</v>
      </c>
      <c r="M124" s="943">
        <f t="shared" si="39"/>
        <v>0</v>
      </c>
      <c r="N124" s="697">
        <f t="shared" si="40"/>
        <v>0</v>
      </c>
      <c r="O124" s="697">
        <f t="shared" si="40"/>
        <v>0</v>
      </c>
      <c r="P124" s="697">
        <f t="shared" si="40"/>
        <v>0</v>
      </c>
      <c r="Q124" s="697">
        <f t="shared" si="40"/>
        <v>0</v>
      </c>
      <c r="R124" s="697">
        <f t="shared" si="41"/>
        <v>0</v>
      </c>
      <c r="S124" s="697">
        <f t="shared" si="42"/>
        <v>0</v>
      </c>
      <c r="T124" s="697">
        <f t="shared" si="42"/>
        <v>0</v>
      </c>
      <c r="U124" s="697">
        <f t="shared" si="42"/>
        <v>0</v>
      </c>
      <c r="V124" s="697">
        <f t="shared" si="42"/>
        <v>0</v>
      </c>
      <c r="W124" s="943">
        <f t="shared" si="43"/>
        <v>0</v>
      </c>
    </row>
    <row r="125" spans="2:23">
      <c r="B125" s="95">
        <f t="shared" si="44"/>
        <v>4</v>
      </c>
      <c r="C125" s="455" t="s">
        <v>844</v>
      </c>
      <c r="D125" s="697">
        <f t="shared" si="36"/>
        <v>75.553496133637907</v>
      </c>
      <c r="E125" s="697">
        <f t="shared" si="36"/>
        <v>-4.8451577834003343</v>
      </c>
      <c r="F125" s="697">
        <f t="shared" si="36"/>
        <v>0</v>
      </c>
      <c r="G125" s="697">
        <f t="shared" si="36"/>
        <v>0</v>
      </c>
      <c r="H125" s="697">
        <f t="shared" si="37"/>
        <v>70.708338350237568</v>
      </c>
      <c r="I125" s="697">
        <f t="shared" si="38"/>
        <v>70.708338350237568</v>
      </c>
      <c r="J125" s="697">
        <f t="shared" si="38"/>
        <v>-5.5464320369731341</v>
      </c>
      <c r="K125" s="697">
        <f t="shared" si="38"/>
        <v>0</v>
      </c>
      <c r="L125" s="697">
        <f t="shared" si="38"/>
        <v>0</v>
      </c>
      <c r="M125" s="943">
        <f t="shared" si="39"/>
        <v>65.161906313264438</v>
      </c>
      <c r="N125" s="697">
        <f t="shared" si="40"/>
        <v>65.161906313264438</v>
      </c>
      <c r="O125" s="697">
        <f t="shared" si="40"/>
        <v>-5.5464320369731341</v>
      </c>
      <c r="P125" s="697">
        <f t="shared" si="40"/>
        <v>0</v>
      </c>
      <c r="Q125" s="697">
        <f t="shared" si="40"/>
        <v>0</v>
      </c>
      <c r="R125" s="697">
        <f t="shared" si="41"/>
        <v>59.615474276291302</v>
      </c>
      <c r="S125" s="697">
        <f t="shared" si="42"/>
        <v>59.615474276291295</v>
      </c>
      <c r="T125" s="697">
        <f t="shared" si="42"/>
        <v>-5.5464320369731341</v>
      </c>
      <c r="U125" s="697">
        <f t="shared" si="42"/>
        <v>0</v>
      </c>
      <c r="V125" s="697">
        <f t="shared" si="42"/>
        <v>0</v>
      </c>
      <c r="W125" s="943">
        <f t="shared" si="43"/>
        <v>54.069042239318158</v>
      </c>
    </row>
    <row r="126" spans="2:23">
      <c r="B126" s="95">
        <f t="shared" si="44"/>
        <v>5</v>
      </c>
      <c r="C126" s="455" t="s">
        <v>845</v>
      </c>
      <c r="D126" s="697">
        <f t="shared" si="36"/>
        <v>25.90217075612037</v>
      </c>
      <c r="E126" s="697">
        <f t="shared" si="36"/>
        <v>-1.0461582806866132</v>
      </c>
      <c r="F126" s="697">
        <f t="shared" si="36"/>
        <v>0</v>
      </c>
      <c r="G126" s="697">
        <f t="shared" si="36"/>
        <v>0</v>
      </c>
      <c r="H126" s="697">
        <f t="shared" si="37"/>
        <v>24.856012475433758</v>
      </c>
      <c r="I126" s="697">
        <f t="shared" si="38"/>
        <v>24.856012475433758</v>
      </c>
      <c r="J126" s="697">
        <f t="shared" si="38"/>
        <v>45.174660835971785</v>
      </c>
      <c r="K126" s="697">
        <f t="shared" si="38"/>
        <v>0</v>
      </c>
      <c r="L126" s="697">
        <f t="shared" si="38"/>
        <v>0</v>
      </c>
      <c r="M126" s="943">
        <f t="shared" si="39"/>
        <v>70.030673311405536</v>
      </c>
      <c r="N126" s="697">
        <f t="shared" si="40"/>
        <v>70.03067331140555</v>
      </c>
      <c r="O126" s="697">
        <f t="shared" si="40"/>
        <v>-0.62005354336981355</v>
      </c>
      <c r="P126" s="697">
        <f t="shared" si="40"/>
        <v>0</v>
      </c>
      <c r="Q126" s="697">
        <f t="shared" si="40"/>
        <v>0</v>
      </c>
      <c r="R126" s="697">
        <f t="shared" si="41"/>
        <v>69.41061976803573</v>
      </c>
      <c r="S126" s="697">
        <f t="shared" si="42"/>
        <v>69.41061976803573</v>
      </c>
      <c r="T126" s="697">
        <f t="shared" si="42"/>
        <v>-2.6839545433698135</v>
      </c>
      <c r="U126" s="697">
        <f t="shared" si="42"/>
        <v>0</v>
      </c>
      <c r="V126" s="697">
        <f t="shared" si="42"/>
        <v>0</v>
      </c>
      <c r="W126" s="943">
        <f t="shared" si="43"/>
        <v>66.726665224665922</v>
      </c>
    </row>
    <row r="127" spans="2:23">
      <c r="B127" s="95">
        <f t="shared" si="44"/>
        <v>6</v>
      </c>
      <c r="C127" s="455" t="s">
        <v>255</v>
      </c>
      <c r="D127" s="697">
        <f t="shared" si="36"/>
        <v>1118.3832731334885</v>
      </c>
      <c r="E127" s="697">
        <f t="shared" si="36"/>
        <v>-69.947342072742657</v>
      </c>
      <c r="F127" s="697">
        <f t="shared" si="36"/>
        <v>0</v>
      </c>
      <c r="G127" s="697">
        <f t="shared" si="36"/>
        <v>0</v>
      </c>
      <c r="H127" s="697">
        <f t="shared" si="37"/>
        <v>1048.4359310607458</v>
      </c>
      <c r="I127" s="697">
        <f t="shared" si="38"/>
        <v>1048.435931060746</v>
      </c>
      <c r="J127" s="697">
        <f t="shared" si="38"/>
        <v>-53.592680259573861</v>
      </c>
      <c r="K127" s="697">
        <f t="shared" si="38"/>
        <v>0</v>
      </c>
      <c r="L127" s="697">
        <f t="shared" si="38"/>
        <v>0</v>
      </c>
      <c r="M127" s="943">
        <f t="shared" si="39"/>
        <v>994.84325080117219</v>
      </c>
      <c r="N127" s="697">
        <f t="shared" si="40"/>
        <v>994.84325080117196</v>
      </c>
      <c r="O127" s="697">
        <f t="shared" si="40"/>
        <v>-68.705663195331454</v>
      </c>
      <c r="P127" s="697">
        <f t="shared" si="40"/>
        <v>0</v>
      </c>
      <c r="Q127" s="697">
        <f t="shared" si="40"/>
        <v>0</v>
      </c>
      <c r="R127" s="697">
        <f t="shared" si="41"/>
        <v>926.13758760584051</v>
      </c>
      <c r="S127" s="697">
        <f t="shared" si="42"/>
        <v>926.13758760584039</v>
      </c>
      <c r="T127" s="697">
        <f t="shared" si="42"/>
        <v>16.447342471335205</v>
      </c>
      <c r="U127" s="697">
        <f t="shared" si="42"/>
        <v>0</v>
      </c>
      <c r="V127" s="697">
        <f t="shared" si="42"/>
        <v>0</v>
      </c>
      <c r="W127" s="943">
        <f t="shared" si="43"/>
        <v>942.58493007717561</v>
      </c>
    </row>
    <row r="128" spans="2:23">
      <c r="B128" s="95">
        <f t="shared" si="44"/>
        <v>7</v>
      </c>
      <c r="C128" s="455" t="s">
        <v>846</v>
      </c>
      <c r="D128" s="697">
        <f t="shared" si="36"/>
        <v>0</v>
      </c>
      <c r="E128" s="697">
        <f t="shared" si="36"/>
        <v>0</v>
      </c>
      <c r="F128" s="697">
        <f t="shared" si="36"/>
        <v>0</v>
      </c>
      <c r="G128" s="697">
        <f t="shared" si="36"/>
        <v>0</v>
      </c>
      <c r="H128" s="697">
        <f t="shared" si="37"/>
        <v>0</v>
      </c>
      <c r="I128" s="697">
        <f t="shared" si="38"/>
        <v>0</v>
      </c>
      <c r="J128" s="697">
        <f t="shared" si="38"/>
        <v>0</v>
      </c>
      <c r="K128" s="697">
        <f t="shared" si="38"/>
        <v>0</v>
      </c>
      <c r="L128" s="697">
        <f t="shared" si="38"/>
        <v>0</v>
      </c>
      <c r="M128" s="943">
        <f t="shared" si="39"/>
        <v>0</v>
      </c>
      <c r="N128" s="697">
        <f t="shared" si="40"/>
        <v>0</v>
      </c>
      <c r="O128" s="697">
        <f t="shared" si="40"/>
        <v>0</v>
      </c>
      <c r="P128" s="697">
        <f t="shared" si="40"/>
        <v>0</v>
      </c>
      <c r="Q128" s="697">
        <f t="shared" si="40"/>
        <v>0</v>
      </c>
      <c r="R128" s="697">
        <f t="shared" si="41"/>
        <v>0</v>
      </c>
      <c r="S128" s="697">
        <f t="shared" si="42"/>
        <v>0</v>
      </c>
      <c r="T128" s="697">
        <f t="shared" si="42"/>
        <v>0</v>
      </c>
      <c r="U128" s="697">
        <f t="shared" si="42"/>
        <v>0</v>
      </c>
      <c r="V128" s="697">
        <f t="shared" si="42"/>
        <v>0</v>
      </c>
      <c r="W128" s="943">
        <f t="shared" si="43"/>
        <v>0</v>
      </c>
    </row>
    <row r="129" spans="2:33">
      <c r="B129" s="95">
        <f t="shared" si="44"/>
        <v>8</v>
      </c>
      <c r="C129" s="455" t="s">
        <v>847</v>
      </c>
      <c r="D129" s="697">
        <f t="shared" si="36"/>
        <v>0</v>
      </c>
      <c r="E129" s="697">
        <f t="shared" si="36"/>
        <v>0</v>
      </c>
      <c r="F129" s="697">
        <f t="shared" si="36"/>
        <v>0</v>
      </c>
      <c r="G129" s="697">
        <f t="shared" si="36"/>
        <v>0</v>
      </c>
      <c r="H129" s="697">
        <f t="shared" si="37"/>
        <v>0</v>
      </c>
      <c r="I129" s="697">
        <f t="shared" si="38"/>
        <v>0</v>
      </c>
      <c r="J129" s="697">
        <f t="shared" si="38"/>
        <v>0</v>
      </c>
      <c r="K129" s="697">
        <f t="shared" si="38"/>
        <v>0</v>
      </c>
      <c r="L129" s="697">
        <f t="shared" si="38"/>
        <v>0</v>
      </c>
      <c r="M129" s="943">
        <f t="shared" si="39"/>
        <v>0</v>
      </c>
      <c r="N129" s="697">
        <f t="shared" si="40"/>
        <v>0</v>
      </c>
      <c r="O129" s="697">
        <f t="shared" si="40"/>
        <v>0</v>
      </c>
      <c r="P129" s="697">
        <f t="shared" si="40"/>
        <v>0</v>
      </c>
      <c r="Q129" s="697">
        <f t="shared" si="40"/>
        <v>0</v>
      </c>
      <c r="R129" s="697">
        <f t="shared" si="41"/>
        <v>0</v>
      </c>
      <c r="S129" s="697">
        <f t="shared" si="42"/>
        <v>0</v>
      </c>
      <c r="T129" s="697">
        <f t="shared" si="42"/>
        <v>2.2225000000000002E-2</v>
      </c>
      <c r="U129" s="697">
        <f t="shared" si="42"/>
        <v>0</v>
      </c>
      <c r="V129" s="697">
        <f t="shared" si="42"/>
        <v>0</v>
      </c>
      <c r="W129" s="943">
        <f t="shared" si="43"/>
        <v>2.2225000000000002E-2</v>
      </c>
    </row>
    <row r="130" spans="2:33">
      <c r="B130" s="95">
        <f t="shared" si="44"/>
        <v>9</v>
      </c>
      <c r="C130" s="455" t="s">
        <v>848</v>
      </c>
      <c r="D130" s="697">
        <f t="shared" si="36"/>
        <v>27.763624353255857</v>
      </c>
      <c r="E130" s="697">
        <f t="shared" si="36"/>
        <v>-2.0448768475836201</v>
      </c>
      <c r="F130" s="697">
        <f t="shared" si="36"/>
        <v>0</v>
      </c>
      <c r="G130" s="697">
        <f t="shared" si="36"/>
        <v>0</v>
      </c>
      <c r="H130" s="697">
        <f t="shared" si="37"/>
        <v>25.718747505672237</v>
      </c>
      <c r="I130" s="697">
        <f t="shared" si="38"/>
        <v>25.718747505672233</v>
      </c>
      <c r="J130" s="697">
        <f t="shared" si="38"/>
        <v>-2.0448768475836201</v>
      </c>
      <c r="K130" s="697">
        <f t="shared" si="38"/>
        <v>0</v>
      </c>
      <c r="L130" s="697">
        <f t="shared" si="38"/>
        <v>0</v>
      </c>
      <c r="M130" s="943">
        <f t="shared" si="39"/>
        <v>23.673870658088614</v>
      </c>
      <c r="N130" s="697">
        <f t="shared" si="40"/>
        <v>23.673870658088617</v>
      </c>
      <c r="O130" s="697">
        <f t="shared" si="40"/>
        <v>-2.0448768475836201</v>
      </c>
      <c r="P130" s="697">
        <f t="shared" si="40"/>
        <v>0</v>
      </c>
      <c r="Q130" s="697">
        <f t="shared" si="40"/>
        <v>0</v>
      </c>
      <c r="R130" s="697">
        <f t="shared" si="41"/>
        <v>21.628993810504998</v>
      </c>
      <c r="S130" s="697">
        <f t="shared" si="42"/>
        <v>21.628993810504994</v>
      </c>
      <c r="T130" s="697">
        <f t="shared" si="42"/>
        <v>-2.0448768475836201</v>
      </c>
      <c r="U130" s="697">
        <f t="shared" si="42"/>
        <v>0</v>
      </c>
      <c r="V130" s="697">
        <f t="shared" si="42"/>
        <v>0</v>
      </c>
      <c r="W130" s="943">
        <f t="shared" si="43"/>
        <v>19.584116962921374</v>
      </c>
    </row>
    <row r="131" spans="2:33">
      <c r="B131" s="95">
        <f t="shared" si="44"/>
        <v>10</v>
      </c>
      <c r="C131" s="455" t="s">
        <v>258</v>
      </c>
      <c r="D131" s="697">
        <f t="shared" si="36"/>
        <v>0</v>
      </c>
      <c r="E131" s="697">
        <f t="shared" si="36"/>
        <v>0</v>
      </c>
      <c r="F131" s="697">
        <f t="shared" si="36"/>
        <v>0</v>
      </c>
      <c r="G131" s="697">
        <f t="shared" si="36"/>
        <v>0</v>
      </c>
      <c r="H131" s="697">
        <f t="shared" si="37"/>
        <v>0</v>
      </c>
      <c r="I131" s="697">
        <f t="shared" si="38"/>
        <v>0</v>
      </c>
      <c r="J131" s="697">
        <f t="shared" si="38"/>
        <v>0</v>
      </c>
      <c r="K131" s="697">
        <f t="shared" si="38"/>
        <v>0</v>
      </c>
      <c r="L131" s="697">
        <f t="shared" si="38"/>
        <v>0</v>
      </c>
      <c r="M131" s="943">
        <f t="shared" si="39"/>
        <v>0</v>
      </c>
      <c r="N131" s="697">
        <f t="shared" si="40"/>
        <v>0</v>
      </c>
      <c r="O131" s="697">
        <f t="shared" si="40"/>
        <v>0</v>
      </c>
      <c r="P131" s="697">
        <f t="shared" si="40"/>
        <v>0</v>
      </c>
      <c r="Q131" s="697">
        <f t="shared" si="40"/>
        <v>0</v>
      </c>
      <c r="R131" s="697">
        <f t="shared" si="41"/>
        <v>0</v>
      </c>
      <c r="S131" s="697">
        <f t="shared" si="42"/>
        <v>0</v>
      </c>
      <c r="T131" s="697">
        <f t="shared" si="42"/>
        <v>0</v>
      </c>
      <c r="U131" s="697">
        <f t="shared" si="42"/>
        <v>0</v>
      </c>
      <c r="V131" s="697">
        <f t="shared" si="42"/>
        <v>0</v>
      </c>
      <c r="W131" s="943">
        <f t="shared" si="43"/>
        <v>0</v>
      </c>
    </row>
    <row r="132" spans="2:33">
      <c r="B132" s="95">
        <f t="shared" si="44"/>
        <v>11</v>
      </c>
      <c r="C132" s="455" t="s">
        <v>259</v>
      </c>
      <c r="D132" s="697">
        <f t="shared" si="36"/>
        <v>0.44965688467570208</v>
      </c>
      <c r="E132" s="697">
        <f t="shared" si="36"/>
        <v>-3.3871586922912054E-2</v>
      </c>
      <c r="F132" s="697">
        <f t="shared" si="36"/>
        <v>0</v>
      </c>
      <c r="G132" s="697">
        <f t="shared" si="36"/>
        <v>0</v>
      </c>
      <c r="H132" s="697">
        <f t="shared" si="37"/>
        <v>0.41578529775279005</v>
      </c>
      <c r="I132" s="697">
        <f t="shared" si="38"/>
        <v>0.41578529775279</v>
      </c>
      <c r="J132" s="697">
        <f t="shared" si="38"/>
        <v>0.14529029054563797</v>
      </c>
      <c r="K132" s="697">
        <f t="shared" si="38"/>
        <v>0</v>
      </c>
      <c r="L132" s="697">
        <f t="shared" si="38"/>
        <v>0</v>
      </c>
      <c r="M132" s="943">
        <f t="shared" si="39"/>
        <v>0.56107558829842796</v>
      </c>
      <c r="N132" s="697">
        <f t="shared" si="40"/>
        <v>0.56107558829842796</v>
      </c>
      <c r="O132" s="697">
        <f t="shared" si="40"/>
        <v>-4.9859105604262051E-2</v>
      </c>
      <c r="P132" s="697">
        <f t="shared" si="40"/>
        <v>0</v>
      </c>
      <c r="Q132" s="697">
        <f t="shared" si="40"/>
        <v>0</v>
      </c>
      <c r="R132" s="697">
        <f t="shared" si="41"/>
        <v>0.51121648269416586</v>
      </c>
      <c r="S132" s="697">
        <f t="shared" si="42"/>
        <v>0.51121648269416586</v>
      </c>
      <c r="T132" s="697">
        <f t="shared" si="42"/>
        <v>-4.3403438937595386E-2</v>
      </c>
      <c r="U132" s="697">
        <f t="shared" si="42"/>
        <v>0</v>
      </c>
      <c r="V132" s="697">
        <f t="shared" si="42"/>
        <v>0</v>
      </c>
      <c r="W132" s="943">
        <f t="shared" si="43"/>
        <v>0.46781304375657046</v>
      </c>
    </row>
    <row r="133" spans="2:33">
      <c r="B133" s="95">
        <f t="shared" si="44"/>
        <v>12</v>
      </c>
      <c r="C133" s="455" t="s">
        <v>260</v>
      </c>
      <c r="D133" s="697">
        <f t="shared" si="36"/>
        <v>0</v>
      </c>
      <c r="E133" s="697">
        <f t="shared" si="36"/>
        <v>0</v>
      </c>
      <c r="F133" s="697">
        <f t="shared" si="36"/>
        <v>0</v>
      </c>
      <c r="G133" s="697">
        <f t="shared" si="36"/>
        <v>0</v>
      </c>
      <c r="H133" s="697">
        <f t="shared" si="37"/>
        <v>0</v>
      </c>
      <c r="I133" s="697">
        <f t="shared" si="38"/>
        <v>0</v>
      </c>
      <c r="J133" s="697">
        <f t="shared" si="38"/>
        <v>0</v>
      </c>
      <c r="K133" s="697">
        <f t="shared" si="38"/>
        <v>0</v>
      </c>
      <c r="L133" s="697">
        <f t="shared" si="38"/>
        <v>0</v>
      </c>
      <c r="M133" s="943">
        <f t="shared" si="39"/>
        <v>0</v>
      </c>
      <c r="N133" s="697">
        <f t="shared" si="40"/>
        <v>0</v>
      </c>
      <c r="O133" s="697">
        <f t="shared" si="40"/>
        <v>0</v>
      </c>
      <c r="P133" s="697">
        <f t="shared" si="40"/>
        <v>0</v>
      </c>
      <c r="Q133" s="697">
        <f t="shared" si="40"/>
        <v>0</v>
      </c>
      <c r="R133" s="697">
        <f t="shared" si="41"/>
        <v>0</v>
      </c>
      <c r="S133" s="697">
        <f t="shared" si="42"/>
        <v>0</v>
      </c>
      <c r="T133" s="697">
        <f t="shared" si="42"/>
        <v>0</v>
      </c>
      <c r="U133" s="697">
        <f t="shared" si="42"/>
        <v>0</v>
      </c>
      <c r="V133" s="697">
        <f t="shared" si="42"/>
        <v>0</v>
      </c>
      <c r="W133" s="943">
        <f t="shared" si="43"/>
        <v>0</v>
      </c>
    </row>
    <row r="134" spans="2:33">
      <c r="B134" s="95">
        <f t="shared" si="44"/>
        <v>13</v>
      </c>
      <c r="C134" s="476" t="s">
        <v>897</v>
      </c>
      <c r="D134" s="697">
        <f t="shared" si="36"/>
        <v>0</v>
      </c>
      <c r="E134" s="697">
        <f t="shared" si="36"/>
        <v>0</v>
      </c>
      <c r="F134" s="697">
        <f t="shared" si="36"/>
        <v>0</v>
      </c>
      <c r="G134" s="697">
        <f t="shared" si="36"/>
        <v>0</v>
      </c>
      <c r="H134" s="697">
        <f t="shared" si="37"/>
        <v>0</v>
      </c>
      <c r="I134" s="697">
        <f t="shared" si="38"/>
        <v>0</v>
      </c>
      <c r="J134" s="697">
        <f t="shared" si="38"/>
        <v>0</v>
      </c>
      <c r="K134" s="697">
        <f t="shared" si="38"/>
        <v>0</v>
      </c>
      <c r="L134" s="697">
        <f t="shared" si="38"/>
        <v>0</v>
      </c>
      <c r="M134" s="943">
        <f t="shared" si="39"/>
        <v>0</v>
      </c>
      <c r="N134" s="697">
        <f t="shared" si="40"/>
        <v>0</v>
      </c>
      <c r="O134" s="697">
        <f t="shared" si="40"/>
        <v>0</v>
      </c>
      <c r="P134" s="697">
        <f t="shared" si="40"/>
        <v>0</v>
      </c>
      <c r="Q134" s="697">
        <f t="shared" si="40"/>
        <v>0</v>
      </c>
      <c r="R134" s="697">
        <f t="shared" si="41"/>
        <v>0</v>
      </c>
      <c r="S134" s="697">
        <f t="shared" si="42"/>
        <v>0</v>
      </c>
      <c r="T134" s="697">
        <f t="shared" si="42"/>
        <v>0</v>
      </c>
      <c r="U134" s="697">
        <f t="shared" si="42"/>
        <v>0</v>
      </c>
      <c r="V134" s="697">
        <f t="shared" si="42"/>
        <v>0</v>
      </c>
      <c r="W134" s="943">
        <f t="shared" si="43"/>
        <v>0</v>
      </c>
    </row>
    <row r="135" spans="2:33">
      <c r="B135" s="95">
        <f t="shared" si="44"/>
        <v>14</v>
      </c>
      <c r="C135" s="476" t="s">
        <v>898</v>
      </c>
      <c r="D135" s="697">
        <f t="shared" si="36"/>
        <v>0</v>
      </c>
      <c r="E135" s="697">
        <f t="shared" si="36"/>
        <v>0.48007615070000004</v>
      </c>
      <c r="F135" s="697">
        <f t="shared" si="36"/>
        <v>0</v>
      </c>
      <c r="G135" s="697">
        <f t="shared" si="36"/>
        <v>0</v>
      </c>
      <c r="H135" s="697">
        <f t="shared" si="37"/>
        <v>0.48007615070000004</v>
      </c>
      <c r="I135" s="697">
        <f t="shared" si="38"/>
        <v>0.48007615070000004</v>
      </c>
      <c r="J135" s="697">
        <f t="shared" si="38"/>
        <v>0.27086445339999998</v>
      </c>
      <c r="K135" s="697">
        <f t="shared" si="38"/>
        <v>0</v>
      </c>
      <c r="L135" s="697">
        <f t="shared" si="38"/>
        <v>0</v>
      </c>
      <c r="M135" s="943">
        <f t="shared" si="39"/>
        <v>0.75094060409999996</v>
      </c>
      <c r="N135" s="697">
        <f t="shared" si="40"/>
        <v>0.75094060409999996</v>
      </c>
      <c r="O135" s="697">
        <f t="shared" si="40"/>
        <v>-0.1343985066</v>
      </c>
      <c r="P135" s="697">
        <f t="shared" si="40"/>
        <v>0</v>
      </c>
      <c r="Q135" s="697">
        <f t="shared" si="40"/>
        <v>0</v>
      </c>
      <c r="R135" s="697">
        <f t="shared" si="41"/>
        <v>0.6165420975</v>
      </c>
      <c r="S135" s="697">
        <f t="shared" si="42"/>
        <v>0.6165420975</v>
      </c>
      <c r="T135" s="697">
        <f t="shared" si="42"/>
        <v>-7.2731839933333334E-2</v>
      </c>
      <c r="U135" s="697">
        <f t="shared" si="42"/>
        <v>0</v>
      </c>
      <c r="V135" s="697">
        <f t="shared" si="42"/>
        <v>0</v>
      </c>
      <c r="W135" s="943">
        <f t="shared" si="43"/>
        <v>0.54381025756666668</v>
      </c>
    </row>
    <row r="136" spans="2:33">
      <c r="B136" s="95">
        <f t="shared" si="44"/>
        <v>15</v>
      </c>
      <c r="C136" s="476" t="s">
        <v>899</v>
      </c>
      <c r="D136" s="697">
        <f t="shared" si="36"/>
        <v>0</v>
      </c>
      <c r="E136" s="697">
        <f t="shared" si="36"/>
        <v>0</v>
      </c>
      <c r="F136" s="697">
        <f t="shared" si="36"/>
        <v>0</v>
      </c>
      <c r="G136" s="697">
        <f t="shared" si="36"/>
        <v>0</v>
      </c>
      <c r="H136" s="697">
        <f t="shared" si="37"/>
        <v>0</v>
      </c>
      <c r="I136" s="697">
        <f t="shared" si="38"/>
        <v>0</v>
      </c>
      <c r="J136" s="697">
        <f t="shared" si="38"/>
        <v>0</v>
      </c>
      <c r="K136" s="697">
        <f t="shared" si="38"/>
        <v>0</v>
      </c>
      <c r="L136" s="697">
        <f t="shared" si="38"/>
        <v>0</v>
      </c>
      <c r="M136" s="943">
        <f t="shared" si="39"/>
        <v>0</v>
      </c>
      <c r="N136" s="697">
        <f t="shared" si="40"/>
        <v>0</v>
      </c>
      <c r="O136" s="697">
        <f t="shared" si="40"/>
        <v>0</v>
      </c>
      <c r="P136" s="697">
        <f t="shared" si="40"/>
        <v>0</v>
      </c>
      <c r="Q136" s="697">
        <f t="shared" si="40"/>
        <v>0</v>
      </c>
      <c r="R136" s="697">
        <f t="shared" si="41"/>
        <v>0</v>
      </c>
      <c r="S136" s="697">
        <f t="shared" si="42"/>
        <v>0</v>
      </c>
      <c r="T136" s="697">
        <f t="shared" si="42"/>
        <v>0</v>
      </c>
      <c r="U136" s="697">
        <f t="shared" si="42"/>
        <v>0</v>
      </c>
      <c r="V136" s="697">
        <f t="shared" si="42"/>
        <v>0</v>
      </c>
      <c r="W136" s="943">
        <f t="shared" si="43"/>
        <v>0</v>
      </c>
    </row>
    <row r="137" spans="2:33">
      <c r="B137" s="95">
        <f t="shared" si="44"/>
        <v>16</v>
      </c>
      <c r="C137" s="476" t="s">
        <v>849</v>
      </c>
      <c r="D137" s="697">
        <f t="shared" si="36"/>
        <v>0</v>
      </c>
      <c r="E137" s="697">
        <f t="shared" si="36"/>
        <v>0</v>
      </c>
      <c r="F137" s="697">
        <f t="shared" si="36"/>
        <v>0</v>
      </c>
      <c r="G137" s="697">
        <f t="shared" si="36"/>
        <v>0</v>
      </c>
      <c r="H137" s="697">
        <f t="shared" si="37"/>
        <v>0</v>
      </c>
      <c r="I137" s="697">
        <f t="shared" si="38"/>
        <v>0</v>
      </c>
      <c r="J137" s="697">
        <f t="shared" si="38"/>
        <v>0</v>
      </c>
      <c r="K137" s="697">
        <f t="shared" si="38"/>
        <v>0</v>
      </c>
      <c r="L137" s="697">
        <f t="shared" si="38"/>
        <v>0</v>
      </c>
      <c r="M137" s="943">
        <f t="shared" si="39"/>
        <v>0</v>
      </c>
      <c r="N137" s="697">
        <f t="shared" si="40"/>
        <v>0</v>
      </c>
      <c r="O137" s="697">
        <f t="shared" si="40"/>
        <v>0</v>
      </c>
      <c r="P137" s="697">
        <f t="shared" si="40"/>
        <v>0</v>
      </c>
      <c r="Q137" s="697">
        <f t="shared" si="40"/>
        <v>0</v>
      </c>
      <c r="R137" s="697">
        <f t="shared" si="41"/>
        <v>0</v>
      </c>
      <c r="S137" s="697">
        <f t="shared" si="42"/>
        <v>0</v>
      </c>
      <c r="T137" s="697">
        <f t="shared" si="42"/>
        <v>0</v>
      </c>
      <c r="U137" s="697">
        <f t="shared" si="42"/>
        <v>0</v>
      </c>
      <c r="V137" s="697">
        <f t="shared" si="42"/>
        <v>0</v>
      </c>
      <c r="W137" s="943">
        <f t="shared" si="43"/>
        <v>0</v>
      </c>
    </row>
    <row r="138" spans="2:33">
      <c r="B138" s="95">
        <f t="shared" si="44"/>
        <v>17</v>
      </c>
      <c r="C138" s="476" t="s">
        <v>900</v>
      </c>
      <c r="D138" s="697">
        <f t="shared" si="36"/>
        <v>0</v>
      </c>
      <c r="E138" s="697">
        <f t="shared" si="36"/>
        <v>0</v>
      </c>
      <c r="F138" s="697">
        <f t="shared" si="36"/>
        <v>0</v>
      </c>
      <c r="G138" s="697">
        <f t="shared" si="36"/>
        <v>0</v>
      </c>
      <c r="H138" s="697">
        <f t="shared" si="37"/>
        <v>0</v>
      </c>
      <c r="I138" s="697">
        <f t="shared" si="38"/>
        <v>0</v>
      </c>
      <c r="J138" s="697">
        <f t="shared" si="38"/>
        <v>0</v>
      </c>
      <c r="K138" s="697">
        <f t="shared" si="38"/>
        <v>0</v>
      </c>
      <c r="L138" s="697">
        <f t="shared" si="38"/>
        <v>0</v>
      </c>
      <c r="M138" s="943">
        <f t="shared" si="39"/>
        <v>0</v>
      </c>
      <c r="N138" s="697">
        <f t="shared" si="40"/>
        <v>0</v>
      </c>
      <c r="O138" s="697">
        <f t="shared" si="40"/>
        <v>0</v>
      </c>
      <c r="P138" s="697">
        <f t="shared" si="40"/>
        <v>0</v>
      </c>
      <c r="Q138" s="697">
        <f t="shared" si="40"/>
        <v>0</v>
      </c>
      <c r="R138" s="697">
        <f t="shared" si="41"/>
        <v>0</v>
      </c>
      <c r="S138" s="697">
        <f t="shared" si="42"/>
        <v>0</v>
      </c>
      <c r="T138" s="697">
        <f t="shared" si="42"/>
        <v>0</v>
      </c>
      <c r="U138" s="697">
        <f t="shared" si="42"/>
        <v>0</v>
      </c>
      <c r="V138" s="697">
        <f t="shared" si="42"/>
        <v>0</v>
      </c>
      <c r="W138" s="943">
        <f t="shared" si="43"/>
        <v>0</v>
      </c>
    </row>
    <row r="139" spans="2:33" ht="16">
      <c r="B139" s="83"/>
      <c r="C139" s="97" t="s">
        <v>271</v>
      </c>
      <c r="D139" s="945">
        <f t="shared" ref="D139:W139" si="45">SUM(D122:D137)</f>
        <v>1382.3541518724892</v>
      </c>
      <c r="E139" s="945">
        <f t="shared" si="45"/>
        <v>-82.009481223722162</v>
      </c>
      <c r="F139" s="945">
        <f t="shared" si="45"/>
        <v>0</v>
      </c>
      <c r="G139" s="945">
        <f t="shared" si="45"/>
        <v>0</v>
      </c>
      <c r="H139" s="945">
        <f t="shared" si="45"/>
        <v>1300.3446706487669</v>
      </c>
      <c r="I139" s="945">
        <f t="shared" si="45"/>
        <v>1300.3446706487671</v>
      </c>
      <c r="J139" s="945">
        <f t="shared" si="45"/>
        <v>-17.969351942899213</v>
      </c>
      <c r="K139" s="945">
        <f t="shared" si="45"/>
        <v>0</v>
      </c>
      <c r="L139" s="945">
        <f t="shared" si="45"/>
        <v>0</v>
      </c>
      <c r="M139" s="945">
        <f t="shared" si="45"/>
        <v>1282.375318705868</v>
      </c>
      <c r="N139" s="945">
        <f t="shared" si="45"/>
        <v>1282.3753187058678</v>
      </c>
      <c r="O139" s="945">
        <f t="shared" si="45"/>
        <v>-81.74802518974829</v>
      </c>
      <c r="P139" s="945">
        <f t="shared" si="45"/>
        <v>0</v>
      </c>
      <c r="Q139" s="945">
        <f t="shared" si="45"/>
        <v>0</v>
      </c>
      <c r="R139" s="945">
        <f t="shared" si="45"/>
        <v>1200.6272935161198</v>
      </c>
      <c r="S139" s="945">
        <f t="shared" si="45"/>
        <v>1200.6272935161194</v>
      </c>
      <c r="T139" s="945">
        <f t="shared" si="45"/>
        <v>1.4314268102516845</v>
      </c>
      <c r="U139" s="945">
        <f t="shared" si="45"/>
        <v>0</v>
      </c>
      <c r="V139" s="945">
        <f t="shared" si="45"/>
        <v>0</v>
      </c>
      <c r="W139" s="945">
        <f t="shared" si="45"/>
        <v>1202.0587203263713</v>
      </c>
    </row>
    <row r="140" spans="2:33" ht="16">
      <c r="B140" s="267"/>
      <c r="C140" s="269"/>
      <c r="D140" s="269"/>
      <c r="E140" s="269"/>
      <c r="F140" s="269"/>
      <c r="G140" s="269"/>
      <c r="H140" s="269"/>
      <c r="I140" s="267"/>
      <c r="J140" s="267"/>
      <c r="K140" s="267"/>
      <c r="L140" s="267"/>
      <c r="M140" s="267"/>
      <c r="N140" s="267"/>
      <c r="O140" s="267"/>
      <c r="P140" s="267"/>
      <c r="Q140" s="267"/>
      <c r="R140" s="267"/>
      <c r="S140" s="45"/>
      <c r="T140" s="45"/>
      <c r="U140" s="45"/>
      <c r="V140" s="45"/>
      <c r="W140" s="45"/>
      <c r="X140" s="45"/>
      <c r="Y140" s="45"/>
      <c r="Z140" s="45"/>
      <c r="AA140" s="45"/>
      <c r="AB140" s="45"/>
      <c r="AC140" s="45"/>
      <c r="AD140" s="45"/>
      <c r="AE140" s="45"/>
      <c r="AF140" s="45"/>
      <c r="AG140" s="45"/>
    </row>
    <row r="141" spans="2:33" ht="16">
      <c r="B141" s="266" t="s">
        <v>601</v>
      </c>
      <c r="C141" s="271"/>
      <c r="D141" s="271"/>
      <c r="E141" s="271"/>
      <c r="F141" s="271"/>
      <c r="G141" s="269"/>
      <c r="H141" s="269"/>
      <c r="I141" s="267"/>
      <c r="J141" s="267"/>
      <c r="K141" s="267"/>
      <c r="L141" s="267"/>
      <c r="M141" s="267"/>
      <c r="N141" s="267"/>
      <c r="O141" s="267"/>
      <c r="P141" s="267"/>
      <c r="Q141" s="267"/>
      <c r="R141" s="267"/>
      <c r="S141" s="45"/>
      <c r="T141" s="45"/>
      <c r="U141" s="45"/>
      <c r="V141" s="45"/>
      <c r="W141" s="45"/>
      <c r="X141" s="45"/>
      <c r="Y141" s="45"/>
      <c r="Z141" s="45"/>
      <c r="AA141" s="45"/>
      <c r="AB141" s="45"/>
      <c r="AC141" s="45"/>
      <c r="AD141" s="45"/>
      <c r="AE141" s="45"/>
      <c r="AF141" s="45"/>
      <c r="AG141" s="45"/>
    </row>
    <row r="142" spans="2:33" ht="16">
      <c r="B142" s="267"/>
      <c r="C142" s="269"/>
      <c r="D142" s="269"/>
      <c r="E142" s="269"/>
      <c r="F142" s="269"/>
      <c r="G142" s="269"/>
      <c r="H142" s="269"/>
      <c r="I142" s="267"/>
      <c r="J142" s="267"/>
      <c r="K142" s="267"/>
      <c r="L142" s="267"/>
      <c r="M142" s="267"/>
      <c r="N142" s="267"/>
      <c r="O142" s="267"/>
      <c r="P142" s="267"/>
      <c r="Q142" s="267"/>
      <c r="R142" s="267"/>
      <c r="S142" s="45"/>
      <c r="T142" s="45"/>
      <c r="U142" s="45"/>
      <c r="V142" s="45"/>
      <c r="W142" s="45"/>
      <c r="X142" s="45"/>
      <c r="Y142" s="45"/>
      <c r="Z142" s="45"/>
      <c r="AA142" s="45"/>
      <c r="AB142" s="45"/>
      <c r="AC142" s="45"/>
      <c r="AD142" s="45"/>
      <c r="AE142" s="45"/>
      <c r="AF142" s="45"/>
      <c r="AG142" s="45"/>
    </row>
    <row r="143" spans="2:33" ht="15" customHeight="1">
      <c r="B143" s="267"/>
      <c r="C143" s="269"/>
      <c r="D143" s="8"/>
      <c r="E143" s="8"/>
      <c r="F143" s="8"/>
      <c r="G143" s="8"/>
      <c r="H143" s="8"/>
      <c r="I143" s="1"/>
      <c r="J143" s="44"/>
      <c r="K143" s="1"/>
      <c r="L143" s="1"/>
      <c r="M143" s="44"/>
      <c r="N143" s="44"/>
      <c r="O143" s="1"/>
      <c r="P143" s="1"/>
      <c r="Q143" s="1"/>
      <c r="AG143" s="264" t="s">
        <v>10</v>
      </c>
    </row>
    <row r="144" spans="2:33" ht="13.75" customHeight="1">
      <c r="B144" s="1804" t="s">
        <v>340</v>
      </c>
      <c r="C144" s="1804" t="s">
        <v>36</v>
      </c>
      <c r="D144" s="1939" t="s">
        <v>959</v>
      </c>
      <c r="E144" s="1940"/>
      <c r="F144" s="1940"/>
      <c r="G144" s="1940"/>
      <c r="H144" s="1941"/>
      <c r="I144" s="1939" t="s">
        <v>960</v>
      </c>
      <c r="J144" s="1940"/>
      <c r="K144" s="1940"/>
      <c r="L144" s="1940"/>
      <c r="M144" s="1941"/>
      <c r="N144" s="1933" t="s">
        <v>961</v>
      </c>
      <c r="O144" s="1933"/>
      <c r="P144" s="1933"/>
      <c r="Q144" s="1933"/>
      <c r="R144" s="1933"/>
      <c r="S144" s="1933" t="s">
        <v>962</v>
      </c>
      <c r="T144" s="1933"/>
      <c r="U144" s="1933"/>
      <c r="V144" s="1933"/>
      <c r="W144" s="1933"/>
    </row>
    <row r="145" spans="2:23">
      <c r="B145" s="1804"/>
      <c r="C145" s="1804"/>
      <c r="D145" s="1934" t="s">
        <v>21</v>
      </c>
      <c r="E145" s="1935"/>
      <c r="F145" s="1935"/>
      <c r="G145" s="1935"/>
      <c r="H145" s="1936"/>
      <c r="I145" s="1934" t="s">
        <v>21</v>
      </c>
      <c r="J145" s="1935"/>
      <c r="K145" s="1935"/>
      <c r="L145" s="1935"/>
      <c r="M145" s="1936"/>
      <c r="N145" s="1937" t="s">
        <v>21</v>
      </c>
      <c r="O145" s="1938"/>
      <c r="P145" s="1938"/>
      <c r="Q145" s="1938"/>
      <c r="R145" s="1938"/>
      <c r="S145" s="1937" t="s">
        <v>21</v>
      </c>
      <c r="T145" s="1938"/>
      <c r="U145" s="1938"/>
      <c r="V145" s="1938"/>
      <c r="W145" s="1938"/>
    </row>
    <row r="146" spans="2:23" ht="42">
      <c r="B146" s="1804"/>
      <c r="C146" s="1804"/>
      <c r="D146" s="902" t="s">
        <v>267</v>
      </c>
      <c r="E146" s="902" t="s">
        <v>268</v>
      </c>
      <c r="F146" s="268" t="s">
        <v>274</v>
      </c>
      <c r="G146" s="900" t="s">
        <v>589</v>
      </c>
      <c r="H146" s="902" t="s">
        <v>270</v>
      </c>
      <c r="I146" s="902" t="s">
        <v>267</v>
      </c>
      <c r="J146" s="902" t="s">
        <v>268</v>
      </c>
      <c r="K146" s="902" t="s">
        <v>269</v>
      </c>
      <c r="L146" s="900" t="s">
        <v>589</v>
      </c>
      <c r="M146" s="902" t="s">
        <v>270</v>
      </c>
      <c r="N146" s="902" t="s">
        <v>267</v>
      </c>
      <c r="O146" s="902" t="s">
        <v>268</v>
      </c>
      <c r="P146" s="902" t="s">
        <v>269</v>
      </c>
      <c r="Q146" s="900" t="s">
        <v>589</v>
      </c>
      <c r="R146" s="902" t="s">
        <v>270</v>
      </c>
      <c r="S146" s="902" t="s">
        <v>267</v>
      </c>
      <c r="T146" s="902" t="s">
        <v>268</v>
      </c>
      <c r="U146" s="902" t="s">
        <v>269</v>
      </c>
      <c r="V146" s="900" t="s">
        <v>589</v>
      </c>
      <c r="W146" s="902" t="s">
        <v>270</v>
      </c>
    </row>
    <row r="147" spans="2:23" ht="28">
      <c r="B147" s="265"/>
      <c r="C147" s="265"/>
      <c r="D147" s="265" t="s">
        <v>663</v>
      </c>
      <c r="E147" s="265" t="s">
        <v>664</v>
      </c>
      <c r="F147" s="265" t="s">
        <v>665</v>
      </c>
      <c r="G147" s="265" t="s">
        <v>666</v>
      </c>
      <c r="H147" s="265" t="s">
        <v>667</v>
      </c>
      <c r="I147" s="265" t="s">
        <v>663</v>
      </c>
      <c r="J147" s="265" t="s">
        <v>664</v>
      </c>
      <c r="K147" s="265" t="s">
        <v>665</v>
      </c>
      <c r="L147" s="265" t="s">
        <v>666</v>
      </c>
      <c r="M147" s="265" t="s">
        <v>667</v>
      </c>
      <c r="N147" s="265" t="s">
        <v>663</v>
      </c>
      <c r="O147" s="265" t="s">
        <v>664</v>
      </c>
      <c r="P147" s="265" t="s">
        <v>665</v>
      </c>
      <c r="Q147" s="265" t="s">
        <v>666</v>
      </c>
      <c r="R147" s="265" t="s">
        <v>667</v>
      </c>
      <c r="S147" s="265" t="s">
        <v>663</v>
      </c>
      <c r="T147" s="265" t="s">
        <v>664</v>
      </c>
      <c r="U147" s="265" t="s">
        <v>665</v>
      </c>
      <c r="V147" s="265" t="s">
        <v>666</v>
      </c>
      <c r="W147" s="265" t="s">
        <v>667</v>
      </c>
    </row>
    <row r="148" spans="2:23">
      <c r="B148" s="95">
        <v>1</v>
      </c>
      <c r="C148" s="455" t="s">
        <v>841</v>
      </c>
      <c r="D148" s="697">
        <f t="shared" ref="D148:G164" si="46">D40-D95</f>
        <v>20.51997533484003</v>
      </c>
      <c r="E148" s="697">
        <f t="shared" si="46"/>
        <v>0</v>
      </c>
      <c r="F148" s="697">
        <f t="shared" si="46"/>
        <v>0</v>
      </c>
      <c r="G148" s="697">
        <f t="shared" si="46"/>
        <v>0</v>
      </c>
      <c r="H148" s="943">
        <f t="shared" ref="H148:H164" si="47">D148+E148-F148-G148</f>
        <v>20.51997533484003</v>
      </c>
      <c r="I148" s="880">
        <f t="shared" ref="I148:I164" si="48">H148</f>
        <v>20.51997533484003</v>
      </c>
      <c r="J148" s="935"/>
      <c r="K148" s="880"/>
      <c r="L148" s="935"/>
      <c r="M148" s="880">
        <f t="shared" ref="M148:M164" si="49">I148+J148-K148-L148</f>
        <v>20.51997533484003</v>
      </c>
      <c r="N148" s="880">
        <f t="shared" ref="N148:N164" si="50">M148</f>
        <v>20.51997533484003</v>
      </c>
      <c r="O148" s="935"/>
      <c r="P148" s="880"/>
      <c r="Q148" s="935"/>
      <c r="R148" s="880">
        <f t="shared" ref="R148:R164" si="51">N148+O148-P148-Q148</f>
        <v>20.51997533484003</v>
      </c>
      <c r="S148" s="880">
        <f t="shared" ref="S148:S164" si="52">R148</f>
        <v>20.51997533484003</v>
      </c>
      <c r="T148" s="935"/>
      <c r="U148" s="880"/>
      <c r="V148" s="935"/>
      <c r="W148" s="880">
        <f t="shared" ref="W148:W164" si="53">S148+T148-U148-V148</f>
        <v>20.51997533484003</v>
      </c>
    </row>
    <row r="149" spans="2:23">
      <c r="B149" s="95">
        <f t="shared" ref="B149:B164" si="54">B148+1</f>
        <v>2</v>
      </c>
      <c r="C149" s="455" t="s">
        <v>842</v>
      </c>
      <c r="D149" s="697">
        <f t="shared" si="46"/>
        <v>97.540142186126786</v>
      </c>
      <c r="E149" s="697">
        <f t="shared" si="46"/>
        <v>-1.8861272042860229</v>
      </c>
      <c r="F149" s="697">
        <f t="shared" si="46"/>
        <v>0</v>
      </c>
      <c r="G149" s="697">
        <f t="shared" si="46"/>
        <v>0</v>
      </c>
      <c r="H149" s="943">
        <f t="shared" si="47"/>
        <v>95.65401498184076</v>
      </c>
      <c r="I149" s="880">
        <f t="shared" si="48"/>
        <v>95.65401498184076</v>
      </c>
      <c r="J149" s="935"/>
      <c r="K149" s="880"/>
      <c r="L149" s="935"/>
      <c r="M149" s="880">
        <f t="shared" si="49"/>
        <v>95.65401498184076</v>
      </c>
      <c r="N149" s="880">
        <f t="shared" si="50"/>
        <v>95.65401498184076</v>
      </c>
      <c r="O149" s="935"/>
      <c r="P149" s="880"/>
      <c r="Q149" s="935"/>
      <c r="R149" s="880">
        <f t="shared" si="51"/>
        <v>95.65401498184076</v>
      </c>
      <c r="S149" s="880">
        <f t="shared" si="52"/>
        <v>95.65401498184076</v>
      </c>
      <c r="T149" s="935"/>
      <c r="U149" s="880"/>
      <c r="V149" s="935"/>
      <c r="W149" s="880">
        <f t="shared" si="53"/>
        <v>95.65401498184076</v>
      </c>
    </row>
    <row r="150" spans="2:23">
      <c r="B150" s="95">
        <f t="shared" si="54"/>
        <v>3</v>
      </c>
      <c r="C150" s="455" t="s">
        <v>843</v>
      </c>
      <c r="D150" s="697">
        <f t="shared" si="46"/>
        <v>0</v>
      </c>
      <c r="E150" s="697">
        <f t="shared" si="46"/>
        <v>0</v>
      </c>
      <c r="F150" s="697">
        <f t="shared" si="46"/>
        <v>0</v>
      </c>
      <c r="G150" s="697">
        <f t="shared" si="46"/>
        <v>0</v>
      </c>
      <c r="H150" s="943">
        <f t="shared" si="47"/>
        <v>0</v>
      </c>
      <c r="I150" s="880">
        <f t="shared" si="48"/>
        <v>0</v>
      </c>
      <c r="J150" s="935"/>
      <c r="K150" s="880"/>
      <c r="L150" s="935"/>
      <c r="M150" s="880">
        <f t="shared" si="49"/>
        <v>0</v>
      </c>
      <c r="N150" s="880">
        <f t="shared" si="50"/>
        <v>0</v>
      </c>
      <c r="O150" s="935"/>
      <c r="P150" s="880"/>
      <c r="Q150" s="935"/>
      <c r="R150" s="880">
        <f t="shared" si="51"/>
        <v>0</v>
      </c>
      <c r="S150" s="880">
        <f t="shared" si="52"/>
        <v>0</v>
      </c>
      <c r="T150" s="935"/>
      <c r="U150" s="880"/>
      <c r="V150" s="935"/>
      <c r="W150" s="880">
        <f t="shared" si="53"/>
        <v>0</v>
      </c>
    </row>
    <row r="151" spans="2:23">
      <c r="B151" s="95">
        <f t="shared" si="54"/>
        <v>4</v>
      </c>
      <c r="C151" s="455" t="s">
        <v>844</v>
      </c>
      <c r="D151" s="697">
        <f t="shared" si="46"/>
        <v>54.069042239318158</v>
      </c>
      <c r="E151" s="697">
        <f t="shared" si="46"/>
        <v>-5.5464320369731341</v>
      </c>
      <c r="F151" s="697">
        <f t="shared" si="46"/>
        <v>0</v>
      </c>
      <c r="G151" s="697">
        <f t="shared" si="46"/>
        <v>0</v>
      </c>
      <c r="H151" s="943">
        <f t="shared" si="47"/>
        <v>48.522610202345021</v>
      </c>
      <c r="I151" s="880">
        <f t="shared" si="48"/>
        <v>48.522610202345021</v>
      </c>
      <c r="J151" s="935"/>
      <c r="K151" s="880"/>
      <c r="L151" s="935"/>
      <c r="M151" s="880">
        <f t="shared" si="49"/>
        <v>48.522610202345021</v>
      </c>
      <c r="N151" s="880">
        <f t="shared" si="50"/>
        <v>48.522610202345021</v>
      </c>
      <c r="O151" s="935"/>
      <c r="P151" s="880"/>
      <c r="Q151" s="935"/>
      <c r="R151" s="880">
        <f t="shared" si="51"/>
        <v>48.522610202345021</v>
      </c>
      <c r="S151" s="880">
        <f t="shared" si="52"/>
        <v>48.522610202345021</v>
      </c>
      <c r="T151" s="935"/>
      <c r="U151" s="880"/>
      <c r="V151" s="935"/>
      <c r="W151" s="880">
        <f t="shared" si="53"/>
        <v>48.522610202345021</v>
      </c>
    </row>
    <row r="152" spans="2:23">
      <c r="B152" s="95">
        <f t="shared" si="54"/>
        <v>5</v>
      </c>
      <c r="C152" s="455" t="s">
        <v>845</v>
      </c>
      <c r="D152" s="697">
        <f t="shared" si="46"/>
        <v>66.726665224665922</v>
      </c>
      <c r="E152" s="697">
        <f t="shared" si="46"/>
        <v>-2.6839545433698135</v>
      </c>
      <c r="F152" s="697">
        <f t="shared" si="46"/>
        <v>0</v>
      </c>
      <c r="G152" s="697">
        <f t="shared" si="46"/>
        <v>0</v>
      </c>
      <c r="H152" s="943">
        <f t="shared" si="47"/>
        <v>64.042710681296114</v>
      </c>
      <c r="I152" s="880">
        <f t="shared" si="48"/>
        <v>64.042710681296114</v>
      </c>
      <c r="J152" s="935"/>
      <c r="K152" s="880"/>
      <c r="L152" s="935"/>
      <c r="M152" s="880">
        <f t="shared" si="49"/>
        <v>64.042710681296114</v>
      </c>
      <c r="N152" s="880">
        <f t="shared" si="50"/>
        <v>64.042710681296114</v>
      </c>
      <c r="O152" s="935"/>
      <c r="P152" s="880"/>
      <c r="Q152" s="935"/>
      <c r="R152" s="880">
        <f t="shared" si="51"/>
        <v>64.042710681296114</v>
      </c>
      <c r="S152" s="880">
        <f t="shared" si="52"/>
        <v>64.042710681296114</v>
      </c>
      <c r="T152" s="935"/>
      <c r="U152" s="880"/>
      <c r="V152" s="935"/>
      <c r="W152" s="880">
        <f t="shared" si="53"/>
        <v>64.042710681296114</v>
      </c>
    </row>
    <row r="153" spans="2:23">
      <c r="B153" s="95">
        <f t="shared" si="54"/>
        <v>6</v>
      </c>
      <c r="C153" s="455" t="s">
        <v>255</v>
      </c>
      <c r="D153" s="697">
        <f t="shared" si="46"/>
        <v>942.58493007717561</v>
      </c>
      <c r="E153" s="697">
        <f t="shared" si="46"/>
        <v>-41.964381945331446</v>
      </c>
      <c r="F153" s="697">
        <f t="shared" si="46"/>
        <v>0</v>
      </c>
      <c r="G153" s="697">
        <f t="shared" si="46"/>
        <v>0</v>
      </c>
      <c r="H153" s="943">
        <f t="shared" si="47"/>
        <v>900.6205481318442</v>
      </c>
      <c r="I153" s="880">
        <f t="shared" si="48"/>
        <v>900.6205481318442</v>
      </c>
      <c r="J153" s="935"/>
      <c r="K153" s="880"/>
      <c r="L153" s="935"/>
      <c r="M153" s="880">
        <f t="shared" si="49"/>
        <v>900.6205481318442</v>
      </c>
      <c r="N153" s="880">
        <f t="shared" si="50"/>
        <v>900.6205481318442</v>
      </c>
      <c r="O153" s="935"/>
      <c r="P153" s="880"/>
      <c r="Q153" s="935"/>
      <c r="R153" s="880">
        <f t="shared" si="51"/>
        <v>900.6205481318442</v>
      </c>
      <c r="S153" s="880">
        <f t="shared" si="52"/>
        <v>900.6205481318442</v>
      </c>
      <c r="T153" s="935"/>
      <c r="U153" s="880"/>
      <c r="V153" s="935"/>
      <c r="W153" s="880">
        <f t="shared" si="53"/>
        <v>900.6205481318442</v>
      </c>
    </row>
    <row r="154" spans="2:23">
      <c r="B154" s="95">
        <f t="shared" si="54"/>
        <v>7</v>
      </c>
      <c r="C154" s="455" t="s">
        <v>846</v>
      </c>
      <c r="D154" s="697">
        <f t="shared" si="46"/>
        <v>0</v>
      </c>
      <c r="E154" s="697">
        <f t="shared" si="46"/>
        <v>0</v>
      </c>
      <c r="F154" s="697">
        <f t="shared" si="46"/>
        <v>0</v>
      </c>
      <c r="G154" s="697">
        <f t="shared" si="46"/>
        <v>0</v>
      </c>
      <c r="H154" s="943">
        <f t="shared" si="47"/>
        <v>0</v>
      </c>
      <c r="I154" s="880">
        <f t="shared" si="48"/>
        <v>0</v>
      </c>
      <c r="J154" s="935"/>
      <c r="K154" s="880"/>
      <c r="L154" s="935"/>
      <c r="M154" s="880">
        <f t="shared" si="49"/>
        <v>0</v>
      </c>
      <c r="N154" s="880">
        <f t="shared" si="50"/>
        <v>0</v>
      </c>
      <c r="O154" s="935"/>
      <c r="P154" s="880"/>
      <c r="Q154" s="935"/>
      <c r="R154" s="880">
        <f t="shared" si="51"/>
        <v>0</v>
      </c>
      <c r="S154" s="880">
        <f t="shared" si="52"/>
        <v>0</v>
      </c>
      <c r="T154" s="935"/>
      <c r="U154" s="880"/>
      <c r="V154" s="935"/>
      <c r="W154" s="880">
        <f t="shared" si="53"/>
        <v>0</v>
      </c>
    </row>
    <row r="155" spans="2:23">
      <c r="B155" s="95">
        <f t="shared" si="54"/>
        <v>8</v>
      </c>
      <c r="C155" s="455" t="s">
        <v>847</v>
      </c>
      <c r="D155" s="697">
        <f t="shared" si="46"/>
        <v>2.2225000000000002E-2</v>
      </c>
      <c r="E155" s="697">
        <f t="shared" si="46"/>
        <v>1.4452083333333334E-2</v>
      </c>
      <c r="F155" s="697">
        <f t="shared" si="46"/>
        <v>0</v>
      </c>
      <c r="G155" s="697">
        <f t="shared" si="46"/>
        <v>0</v>
      </c>
      <c r="H155" s="943">
        <f t="shared" si="47"/>
        <v>3.6677083333333332E-2</v>
      </c>
      <c r="I155" s="880">
        <f t="shared" si="48"/>
        <v>3.6677083333333332E-2</v>
      </c>
      <c r="J155" s="935"/>
      <c r="K155" s="880"/>
      <c r="L155" s="935"/>
      <c r="M155" s="880">
        <f t="shared" si="49"/>
        <v>3.6677083333333332E-2</v>
      </c>
      <c r="N155" s="880">
        <f t="shared" si="50"/>
        <v>3.6677083333333332E-2</v>
      </c>
      <c r="O155" s="935"/>
      <c r="P155" s="880"/>
      <c r="Q155" s="935"/>
      <c r="R155" s="880">
        <f t="shared" si="51"/>
        <v>3.6677083333333332E-2</v>
      </c>
      <c r="S155" s="880">
        <f t="shared" si="52"/>
        <v>3.6677083333333332E-2</v>
      </c>
      <c r="T155" s="935"/>
      <c r="U155" s="880"/>
      <c r="V155" s="935"/>
      <c r="W155" s="880">
        <f t="shared" si="53"/>
        <v>3.6677083333333332E-2</v>
      </c>
    </row>
    <row r="156" spans="2:23">
      <c r="B156" s="95">
        <f t="shared" si="54"/>
        <v>9</v>
      </c>
      <c r="C156" s="455" t="s">
        <v>848</v>
      </c>
      <c r="D156" s="697">
        <f t="shared" si="46"/>
        <v>19.584116962921374</v>
      </c>
      <c r="E156" s="697">
        <f t="shared" si="46"/>
        <v>-2.0448768475836201</v>
      </c>
      <c r="F156" s="697">
        <f t="shared" si="46"/>
        <v>0</v>
      </c>
      <c r="G156" s="697">
        <f t="shared" si="46"/>
        <v>0</v>
      </c>
      <c r="H156" s="943">
        <f t="shared" si="47"/>
        <v>17.539240115337755</v>
      </c>
      <c r="I156" s="880">
        <f t="shared" si="48"/>
        <v>17.539240115337755</v>
      </c>
      <c r="J156" s="935"/>
      <c r="K156" s="880"/>
      <c r="L156" s="935"/>
      <c r="M156" s="880">
        <f t="shared" si="49"/>
        <v>17.539240115337755</v>
      </c>
      <c r="N156" s="880">
        <f t="shared" si="50"/>
        <v>17.539240115337755</v>
      </c>
      <c r="O156" s="935"/>
      <c r="P156" s="880"/>
      <c r="Q156" s="935"/>
      <c r="R156" s="880">
        <f t="shared" si="51"/>
        <v>17.539240115337755</v>
      </c>
      <c r="S156" s="880">
        <f t="shared" si="52"/>
        <v>17.539240115337755</v>
      </c>
      <c r="T156" s="935"/>
      <c r="U156" s="880"/>
      <c r="V156" s="935"/>
      <c r="W156" s="880">
        <f t="shared" si="53"/>
        <v>17.539240115337755</v>
      </c>
    </row>
    <row r="157" spans="2:23">
      <c r="B157" s="95">
        <f t="shared" si="54"/>
        <v>10</v>
      </c>
      <c r="C157" s="455" t="s">
        <v>258</v>
      </c>
      <c r="D157" s="697">
        <f t="shared" si="46"/>
        <v>0</v>
      </c>
      <c r="E157" s="697">
        <f t="shared" si="46"/>
        <v>0</v>
      </c>
      <c r="F157" s="697">
        <f t="shared" si="46"/>
        <v>0</v>
      </c>
      <c r="G157" s="697">
        <f t="shared" si="46"/>
        <v>0</v>
      </c>
      <c r="H157" s="943">
        <f t="shared" si="47"/>
        <v>0</v>
      </c>
      <c r="I157" s="880">
        <f t="shared" si="48"/>
        <v>0</v>
      </c>
      <c r="J157" s="935"/>
      <c r="K157" s="880"/>
      <c r="L157" s="935"/>
      <c r="M157" s="880">
        <f t="shared" si="49"/>
        <v>0</v>
      </c>
      <c r="N157" s="880">
        <f t="shared" si="50"/>
        <v>0</v>
      </c>
      <c r="O157" s="935"/>
      <c r="P157" s="880"/>
      <c r="Q157" s="935"/>
      <c r="R157" s="880">
        <f t="shared" si="51"/>
        <v>0</v>
      </c>
      <c r="S157" s="880">
        <f t="shared" si="52"/>
        <v>0</v>
      </c>
      <c r="T157" s="935"/>
      <c r="U157" s="880"/>
      <c r="V157" s="935"/>
      <c r="W157" s="880">
        <f t="shared" si="53"/>
        <v>0</v>
      </c>
    </row>
    <row r="158" spans="2:23">
      <c r="B158" s="95">
        <f t="shared" si="54"/>
        <v>11</v>
      </c>
      <c r="C158" s="455" t="s">
        <v>259</v>
      </c>
      <c r="D158" s="697">
        <f t="shared" si="46"/>
        <v>0.46781304375657057</v>
      </c>
      <c r="E158" s="697">
        <f t="shared" si="46"/>
        <v>-4.5439355604262051E-2</v>
      </c>
      <c r="F158" s="697">
        <f t="shared" si="46"/>
        <v>0</v>
      </c>
      <c r="G158" s="697">
        <f t="shared" si="46"/>
        <v>0</v>
      </c>
      <c r="H158" s="943">
        <f t="shared" si="47"/>
        <v>0.42237368815230852</v>
      </c>
      <c r="I158" s="880">
        <f t="shared" si="48"/>
        <v>0.42237368815230852</v>
      </c>
      <c r="J158" s="935"/>
      <c r="K158" s="880"/>
      <c r="L158" s="935"/>
      <c r="M158" s="880">
        <f t="shared" si="49"/>
        <v>0.42237368815230852</v>
      </c>
      <c r="N158" s="880">
        <f t="shared" si="50"/>
        <v>0.42237368815230852</v>
      </c>
      <c r="O158" s="935"/>
      <c r="P158" s="880"/>
      <c r="Q158" s="935"/>
      <c r="R158" s="880">
        <f t="shared" si="51"/>
        <v>0.42237368815230852</v>
      </c>
      <c r="S158" s="880">
        <f t="shared" si="52"/>
        <v>0.42237368815230852</v>
      </c>
      <c r="T158" s="935"/>
      <c r="U158" s="880"/>
      <c r="V158" s="935"/>
      <c r="W158" s="880">
        <f t="shared" si="53"/>
        <v>0.42237368815230852</v>
      </c>
    </row>
    <row r="159" spans="2:23">
      <c r="B159" s="95">
        <f t="shared" si="54"/>
        <v>12</v>
      </c>
      <c r="C159" s="455" t="s">
        <v>260</v>
      </c>
      <c r="D159" s="697">
        <f t="shared" si="46"/>
        <v>0</v>
      </c>
      <c r="E159" s="697">
        <f t="shared" si="46"/>
        <v>0</v>
      </c>
      <c r="F159" s="697">
        <f t="shared" si="46"/>
        <v>0</v>
      </c>
      <c r="G159" s="697">
        <f t="shared" si="46"/>
        <v>0</v>
      </c>
      <c r="H159" s="943">
        <f t="shared" si="47"/>
        <v>0</v>
      </c>
      <c r="I159" s="880">
        <f t="shared" si="48"/>
        <v>0</v>
      </c>
      <c r="J159" s="935"/>
      <c r="K159" s="880"/>
      <c r="L159" s="935"/>
      <c r="M159" s="880">
        <f t="shared" si="49"/>
        <v>0</v>
      </c>
      <c r="N159" s="880">
        <f t="shared" si="50"/>
        <v>0</v>
      </c>
      <c r="O159" s="935"/>
      <c r="P159" s="880"/>
      <c r="Q159" s="935"/>
      <c r="R159" s="880">
        <f t="shared" si="51"/>
        <v>0</v>
      </c>
      <c r="S159" s="880">
        <f t="shared" si="52"/>
        <v>0</v>
      </c>
      <c r="T159" s="935"/>
      <c r="U159" s="880"/>
      <c r="V159" s="935"/>
      <c r="W159" s="880">
        <f t="shared" si="53"/>
        <v>0</v>
      </c>
    </row>
    <row r="160" spans="2:23">
      <c r="B160" s="95">
        <f t="shared" si="54"/>
        <v>13</v>
      </c>
      <c r="C160" s="476" t="s">
        <v>897</v>
      </c>
      <c r="D160" s="697">
        <f t="shared" si="46"/>
        <v>0</v>
      </c>
      <c r="E160" s="697">
        <f t="shared" si="46"/>
        <v>0</v>
      </c>
      <c r="F160" s="697">
        <f t="shared" si="46"/>
        <v>0</v>
      </c>
      <c r="G160" s="697">
        <f t="shared" si="46"/>
        <v>0</v>
      </c>
      <c r="H160" s="943">
        <f t="shared" si="47"/>
        <v>0</v>
      </c>
      <c r="I160" s="880">
        <f t="shared" si="48"/>
        <v>0</v>
      </c>
      <c r="J160" s="935"/>
      <c r="K160" s="880"/>
      <c r="L160" s="935"/>
      <c r="M160" s="880">
        <f t="shared" si="49"/>
        <v>0</v>
      </c>
      <c r="N160" s="880">
        <f t="shared" si="50"/>
        <v>0</v>
      </c>
      <c r="O160" s="935"/>
      <c r="P160" s="880"/>
      <c r="Q160" s="935"/>
      <c r="R160" s="880">
        <f t="shared" si="51"/>
        <v>0</v>
      </c>
      <c r="S160" s="880">
        <f t="shared" si="52"/>
        <v>0</v>
      </c>
      <c r="T160" s="935"/>
      <c r="U160" s="880"/>
      <c r="V160" s="935"/>
      <c r="W160" s="880">
        <f t="shared" si="53"/>
        <v>0</v>
      </c>
    </row>
    <row r="161" spans="2:23">
      <c r="B161" s="95">
        <f t="shared" si="54"/>
        <v>14</v>
      </c>
      <c r="C161" s="476" t="s">
        <v>898</v>
      </c>
      <c r="D161" s="697">
        <f t="shared" si="46"/>
        <v>0.54381025756666657</v>
      </c>
      <c r="E161" s="697">
        <f t="shared" si="46"/>
        <v>-9.8148506600000004E-2</v>
      </c>
      <c r="F161" s="697">
        <f t="shared" si="46"/>
        <v>0</v>
      </c>
      <c r="G161" s="697">
        <f t="shared" si="46"/>
        <v>0</v>
      </c>
      <c r="H161" s="943">
        <f t="shared" si="47"/>
        <v>0.44566175096666655</v>
      </c>
      <c r="I161" s="880">
        <f t="shared" si="48"/>
        <v>0.44566175096666655</v>
      </c>
      <c r="J161" s="935"/>
      <c r="K161" s="880"/>
      <c r="L161" s="935"/>
      <c r="M161" s="880">
        <f t="shared" si="49"/>
        <v>0.44566175096666655</v>
      </c>
      <c r="N161" s="880">
        <f t="shared" si="50"/>
        <v>0.44566175096666655</v>
      </c>
      <c r="O161" s="935"/>
      <c r="P161" s="880"/>
      <c r="Q161" s="935"/>
      <c r="R161" s="880">
        <f t="shared" si="51"/>
        <v>0.44566175096666655</v>
      </c>
      <c r="S161" s="880">
        <f t="shared" si="52"/>
        <v>0.44566175096666655</v>
      </c>
      <c r="T161" s="935"/>
      <c r="U161" s="880"/>
      <c r="V161" s="935"/>
      <c r="W161" s="880">
        <f t="shared" si="53"/>
        <v>0.44566175096666655</v>
      </c>
    </row>
    <row r="162" spans="2:23">
      <c r="B162" s="95">
        <f t="shared" si="54"/>
        <v>15</v>
      </c>
      <c r="C162" s="476" t="s">
        <v>899</v>
      </c>
      <c r="D162" s="697">
        <f t="shared" si="46"/>
        <v>0</v>
      </c>
      <c r="E162" s="697">
        <f t="shared" si="46"/>
        <v>0</v>
      </c>
      <c r="F162" s="697">
        <f t="shared" si="46"/>
        <v>0</v>
      </c>
      <c r="G162" s="697">
        <f t="shared" si="46"/>
        <v>0</v>
      </c>
      <c r="H162" s="943">
        <f t="shared" si="47"/>
        <v>0</v>
      </c>
      <c r="I162" s="880">
        <f t="shared" si="48"/>
        <v>0</v>
      </c>
      <c r="J162" s="935"/>
      <c r="K162" s="880"/>
      <c r="L162" s="935"/>
      <c r="M162" s="880">
        <f t="shared" si="49"/>
        <v>0</v>
      </c>
      <c r="N162" s="880">
        <f t="shared" si="50"/>
        <v>0</v>
      </c>
      <c r="O162" s="935"/>
      <c r="P162" s="880"/>
      <c r="Q162" s="935"/>
      <c r="R162" s="880">
        <f t="shared" si="51"/>
        <v>0</v>
      </c>
      <c r="S162" s="880">
        <f t="shared" si="52"/>
        <v>0</v>
      </c>
      <c r="T162" s="935"/>
      <c r="U162" s="880"/>
      <c r="V162" s="935"/>
      <c r="W162" s="880">
        <f t="shared" si="53"/>
        <v>0</v>
      </c>
    </row>
    <row r="163" spans="2:23">
      <c r="B163" s="95">
        <f t="shared" si="54"/>
        <v>16</v>
      </c>
      <c r="C163" s="476" t="s">
        <v>849</v>
      </c>
      <c r="D163" s="697">
        <f t="shared" si="46"/>
        <v>0</v>
      </c>
      <c r="E163" s="697">
        <f t="shared" si="46"/>
        <v>0</v>
      </c>
      <c r="F163" s="697">
        <f t="shared" si="46"/>
        <v>0</v>
      </c>
      <c r="G163" s="697">
        <f t="shared" si="46"/>
        <v>0</v>
      </c>
      <c r="H163" s="943">
        <f t="shared" si="47"/>
        <v>0</v>
      </c>
      <c r="I163" s="880">
        <f t="shared" si="48"/>
        <v>0</v>
      </c>
      <c r="J163" s="935"/>
      <c r="K163" s="880"/>
      <c r="L163" s="935"/>
      <c r="M163" s="880">
        <f t="shared" si="49"/>
        <v>0</v>
      </c>
      <c r="N163" s="880">
        <f t="shared" si="50"/>
        <v>0</v>
      </c>
      <c r="O163" s="935"/>
      <c r="P163" s="880"/>
      <c r="Q163" s="935"/>
      <c r="R163" s="880">
        <f t="shared" si="51"/>
        <v>0</v>
      </c>
      <c r="S163" s="880">
        <f t="shared" si="52"/>
        <v>0</v>
      </c>
      <c r="T163" s="935"/>
      <c r="U163" s="880"/>
      <c r="V163" s="935"/>
      <c r="W163" s="880">
        <f t="shared" si="53"/>
        <v>0</v>
      </c>
    </row>
    <row r="164" spans="2:23">
      <c r="B164" s="95">
        <f t="shared" si="54"/>
        <v>17</v>
      </c>
      <c r="C164" s="476" t="s">
        <v>900</v>
      </c>
      <c r="D164" s="697">
        <f t="shared" si="46"/>
        <v>0</v>
      </c>
      <c r="E164" s="697">
        <f t="shared" si="46"/>
        <v>0</v>
      </c>
      <c r="F164" s="697">
        <f t="shared" si="46"/>
        <v>0</v>
      </c>
      <c r="G164" s="697">
        <f t="shared" si="46"/>
        <v>0</v>
      </c>
      <c r="H164" s="943">
        <f t="shared" si="47"/>
        <v>0</v>
      </c>
      <c r="I164" s="880">
        <f t="shared" si="48"/>
        <v>0</v>
      </c>
      <c r="J164" s="935"/>
      <c r="K164" s="880"/>
      <c r="L164" s="935"/>
      <c r="M164" s="880">
        <f t="shared" si="49"/>
        <v>0</v>
      </c>
      <c r="N164" s="880">
        <f t="shared" si="50"/>
        <v>0</v>
      </c>
      <c r="O164" s="935"/>
      <c r="P164" s="880"/>
      <c r="Q164" s="935"/>
      <c r="R164" s="880">
        <f t="shared" si="51"/>
        <v>0</v>
      </c>
      <c r="S164" s="880">
        <f t="shared" si="52"/>
        <v>0</v>
      </c>
      <c r="T164" s="935"/>
      <c r="U164" s="880"/>
      <c r="V164" s="935"/>
      <c r="W164" s="880">
        <f t="shared" si="53"/>
        <v>0</v>
      </c>
    </row>
    <row r="165" spans="2:23" ht="16">
      <c r="B165" s="83"/>
      <c r="C165" s="97" t="s">
        <v>271</v>
      </c>
      <c r="D165" s="945">
        <f>SUM(D148:D163)</f>
        <v>1202.0587203263713</v>
      </c>
      <c r="E165" s="945">
        <f>SUM(E148:E163)</f>
        <v>-54.254908356414965</v>
      </c>
      <c r="F165" s="945">
        <f>SUM(F148:F163)</f>
        <v>0</v>
      </c>
      <c r="G165" s="945">
        <f>SUM(G148:G163)</f>
        <v>0</v>
      </c>
      <c r="H165" s="945">
        <f>SUM(H148:H163)</f>
        <v>1147.8038119699563</v>
      </c>
      <c r="I165" s="945">
        <f t="shared" ref="I165:W165" si="55">SUM(I148:I164)</f>
        <v>1147.8038119699563</v>
      </c>
      <c r="J165" s="945">
        <f t="shared" si="55"/>
        <v>0</v>
      </c>
      <c r="K165" s="945">
        <f t="shared" si="55"/>
        <v>0</v>
      </c>
      <c r="L165" s="945">
        <f t="shared" si="55"/>
        <v>0</v>
      </c>
      <c r="M165" s="945">
        <f t="shared" si="55"/>
        <v>1147.8038119699563</v>
      </c>
      <c r="N165" s="945">
        <f t="shared" si="55"/>
        <v>1147.8038119699563</v>
      </c>
      <c r="O165" s="945">
        <f t="shared" si="55"/>
        <v>0</v>
      </c>
      <c r="P165" s="945">
        <f t="shared" si="55"/>
        <v>0</v>
      </c>
      <c r="Q165" s="945">
        <f t="shared" si="55"/>
        <v>0</v>
      </c>
      <c r="R165" s="945">
        <f t="shared" si="55"/>
        <v>1147.8038119699563</v>
      </c>
      <c r="S165" s="945">
        <f t="shared" si="55"/>
        <v>1147.8038119699563</v>
      </c>
      <c r="T165" s="945">
        <f t="shared" si="55"/>
        <v>0</v>
      </c>
      <c r="U165" s="945">
        <f t="shared" si="55"/>
        <v>0</v>
      </c>
      <c r="V165" s="945">
        <f t="shared" si="55"/>
        <v>0</v>
      </c>
      <c r="W165" s="945">
        <f t="shared" si="55"/>
        <v>1147.8038119699563</v>
      </c>
    </row>
    <row r="166" spans="2:23">
      <c r="B166" s="273"/>
      <c r="C166" s="79"/>
      <c r="D166" s="79"/>
      <c r="E166" s="79"/>
      <c r="F166" s="79"/>
    </row>
  </sheetData>
  <mergeCells count="61">
    <mergeCell ref="B64:B66"/>
    <mergeCell ref="C64:C66"/>
    <mergeCell ref="D64:H64"/>
    <mergeCell ref="I64:M64"/>
    <mergeCell ref="S10:W10"/>
    <mergeCell ref="D11:H11"/>
    <mergeCell ref="I11:M11"/>
    <mergeCell ref="N11:R11"/>
    <mergeCell ref="S11:W11"/>
    <mergeCell ref="B10:B12"/>
    <mergeCell ref="C10:C12"/>
    <mergeCell ref="D10:H10"/>
    <mergeCell ref="I10:M10"/>
    <mergeCell ref="N10:R10"/>
    <mergeCell ref="B33:G33"/>
    <mergeCell ref="B36:B38"/>
    <mergeCell ref="C36:C38"/>
    <mergeCell ref="D36:H36"/>
    <mergeCell ref="I36:M36"/>
    <mergeCell ref="S36:W36"/>
    <mergeCell ref="D37:H37"/>
    <mergeCell ref="I37:M37"/>
    <mergeCell ref="N37:R37"/>
    <mergeCell ref="S37:W37"/>
    <mergeCell ref="N36:R36"/>
    <mergeCell ref="S64:W64"/>
    <mergeCell ref="D65:H65"/>
    <mergeCell ref="I65:M65"/>
    <mergeCell ref="N65:R65"/>
    <mergeCell ref="S65:W65"/>
    <mergeCell ref="N64:R64"/>
    <mergeCell ref="B91:B93"/>
    <mergeCell ref="C91:C93"/>
    <mergeCell ref="D91:H91"/>
    <mergeCell ref="I91:M91"/>
    <mergeCell ref="N91:R91"/>
    <mergeCell ref="S91:W91"/>
    <mergeCell ref="D92:H92"/>
    <mergeCell ref="I92:M92"/>
    <mergeCell ref="N92:R92"/>
    <mergeCell ref="S92:W92"/>
    <mergeCell ref="B118:B120"/>
    <mergeCell ref="C118:C120"/>
    <mergeCell ref="D118:H118"/>
    <mergeCell ref="I118:M118"/>
    <mergeCell ref="N118:R118"/>
    <mergeCell ref="S118:W118"/>
    <mergeCell ref="D119:H119"/>
    <mergeCell ref="I119:M119"/>
    <mergeCell ref="N119:R119"/>
    <mergeCell ref="S119:W119"/>
    <mergeCell ref="B144:B146"/>
    <mergeCell ref="C144:C146"/>
    <mergeCell ref="D144:H144"/>
    <mergeCell ref="I144:M144"/>
    <mergeCell ref="N144:R144"/>
    <mergeCell ref="S144:W144"/>
    <mergeCell ref="D145:H145"/>
    <mergeCell ref="I145:M145"/>
    <mergeCell ref="N145:R145"/>
    <mergeCell ref="S145:W14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G166"/>
  <sheetViews>
    <sheetView showGridLines="0" view="pageBreakPreview" topLeftCell="E32" zoomScale="56" zoomScaleNormal="68" zoomScaleSheetLayoutView="70" workbookViewId="0">
      <selection activeCell="H58" sqref="H58"/>
    </sheetView>
  </sheetViews>
  <sheetFormatPr defaultColWidth="9.453125" defaultRowHeight="14"/>
  <cols>
    <col min="1" max="1" width="7.90625" style="5" customWidth="1"/>
    <col min="2" max="2" width="6.453125" style="5" customWidth="1"/>
    <col min="3" max="3" width="43" style="5" customWidth="1"/>
    <col min="4" max="7" width="18.453125" style="5" customWidth="1"/>
    <col min="8" max="8" width="24.54296875" style="5" bestFit="1" customWidth="1"/>
    <col min="9" max="12" width="18.453125" style="5" customWidth="1"/>
    <col min="13" max="13" width="23.453125" style="5" bestFit="1" customWidth="1"/>
    <col min="14" max="17" width="18.453125" style="5" customWidth="1"/>
    <col min="18" max="18" width="23.453125" style="5" bestFit="1" customWidth="1"/>
    <col min="19" max="22" width="18.54296875" style="5" customWidth="1"/>
    <col min="23" max="23" width="14.54296875" style="5" customWidth="1"/>
    <col min="24" max="33" width="16" style="5" customWidth="1"/>
    <col min="34" max="16384" width="9.453125" style="5"/>
  </cols>
  <sheetData>
    <row r="1" spans="1:23">
      <c r="B1" s="53"/>
    </row>
    <row r="2" spans="1:23">
      <c r="B2" s="53"/>
    </row>
    <row r="3" spans="1:23">
      <c r="B3" s="53"/>
    </row>
    <row r="4" spans="1:23">
      <c r="B4" s="19"/>
      <c r="I4" s="18"/>
      <c r="J4" s="18"/>
      <c r="K4" s="375" t="str">
        <f>Index!B2</f>
        <v xml:space="preserve">      Maharashtra State Power Generation Company Ltd.</v>
      </c>
      <c r="L4" s="371"/>
      <c r="M4" s="18"/>
      <c r="N4" s="18"/>
      <c r="O4" s="18"/>
      <c r="P4" s="18"/>
      <c r="Q4" s="18"/>
      <c r="R4" s="18"/>
    </row>
    <row r="5" spans="1:23">
      <c r="B5" s="19"/>
      <c r="I5" s="65"/>
      <c r="J5" s="65"/>
      <c r="K5" s="371" t="str">
        <f>Index!B3</f>
        <v>MYT Petition Formats for Parli 8</v>
      </c>
      <c r="L5" s="371"/>
      <c r="M5" s="65"/>
      <c r="N5" s="65"/>
      <c r="O5" s="65"/>
      <c r="P5" s="65"/>
      <c r="Q5" s="65"/>
      <c r="R5" s="65"/>
    </row>
    <row r="6" spans="1:23">
      <c r="B6" s="18"/>
      <c r="I6" s="66"/>
      <c r="J6" s="67"/>
      <c r="K6" s="72" t="s">
        <v>264</v>
      </c>
      <c r="L6" s="72"/>
      <c r="M6" s="67"/>
      <c r="N6" s="19"/>
      <c r="O6" s="18"/>
      <c r="P6" s="18"/>
      <c r="Q6" s="18"/>
      <c r="R6" s="18"/>
    </row>
    <row r="7" spans="1:23">
      <c r="C7" s="19"/>
      <c r="D7" s="19"/>
      <c r="E7" s="19"/>
      <c r="F7" s="19"/>
      <c r="G7" s="19"/>
      <c r="H7" s="19"/>
      <c r="J7" s="6"/>
      <c r="M7" s="6"/>
      <c r="N7" s="6"/>
    </row>
    <row r="8" spans="1:23">
      <c r="A8" s="5" t="s">
        <v>265</v>
      </c>
      <c r="B8" s="373" t="s">
        <v>266</v>
      </c>
      <c r="C8" s="373"/>
      <c r="D8" s="373"/>
      <c r="E8" s="373"/>
      <c r="F8" s="373"/>
      <c r="G8" s="373"/>
      <c r="H8" s="373"/>
      <c r="I8" s="1"/>
      <c r="J8" s="44"/>
      <c r="K8" s="1"/>
      <c r="L8" s="1"/>
      <c r="M8" s="44"/>
      <c r="N8" s="44"/>
      <c r="O8" s="1"/>
      <c r="P8" s="1"/>
      <c r="Q8" s="1"/>
      <c r="R8" s="256"/>
    </row>
    <row r="9" spans="1:23">
      <c r="B9" s="263"/>
      <c r="C9" s="8"/>
      <c r="D9" s="8"/>
      <c r="E9" s="8"/>
      <c r="F9" s="8"/>
      <c r="G9" s="8"/>
      <c r="H9" s="8"/>
      <c r="I9" s="1"/>
      <c r="J9" s="44"/>
      <c r="K9" s="1"/>
      <c r="L9" s="1"/>
      <c r="M9" s="264" t="s">
        <v>10</v>
      </c>
      <c r="N9" s="44"/>
      <c r="O9" s="1"/>
      <c r="P9" s="1"/>
      <c r="Q9" s="1"/>
    </row>
    <row r="10" spans="1:23" ht="15.75" customHeight="1">
      <c r="B10" s="1804" t="s">
        <v>340</v>
      </c>
      <c r="C10" s="1804" t="s">
        <v>36</v>
      </c>
      <c r="D10" s="1937" t="s">
        <v>508</v>
      </c>
      <c r="E10" s="1937"/>
      <c r="F10" s="1937"/>
      <c r="G10" s="1937"/>
      <c r="H10" s="1937"/>
      <c r="I10" s="1937" t="s">
        <v>509</v>
      </c>
      <c r="J10" s="1937"/>
      <c r="K10" s="1937"/>
      <c r="L10" s="1937"/>
      <c r="M10" s="1937"/>
      <c r="N10" s="1933" t="s">
        <v>510</v>
      </c>
      <c r="O10" s="1933"/>
      <c r="P10" s="1933"/>
      <c r="Q10" s="1933"/>
      <c r="R10" s="1933"/>
      <c r="S10" s="1933" t="s">
        <v>958</v>
      </c>
      <c r="T10" s="1933"/>
      <c r="U10" s="1933"/>
      <c r="V10" s="1933"/>
      <c r="W10" s="1933"/>
    </row>
    <row r="11" spans="1:23" ht="15.75" customHeight="1">
      <c r="B11" s="1804"/>
      <c r="C11" s="1804"/>
      <c r="D11" s="1942" t="s">
        <v>7</v>
      </c>
      <c r="E11" s="1943"/>
      <c r="F11" s="1943"/>
      <c r="G11" s="1943"/>
      <c r="H11" s="1943"/>
      <c r="I11" s="1942" t="s">
        <v>7</v>
      </c>
      <c r="J11" s="1943"/>
      <c r="K11" s="1943"/>
      <c r="L11" s="1943"/>
      <c r="M11" s="1943"/>
      <c r="N11" s="1942" t="s">
        <v>12</v>
      </c>
      <c r="O11" s="1943"/>
      <c r="P11" s="1943"/>
      <c r="Q11" s="1943"/>
      <c r="R11" s="1943"/>
      <c r="S11" s="1937" t="s">
        <v>21</v>
      </c>
      <c r="T11" s="1938"/>
      <c r="U11" s="1938"/>
      <c r="V11" s="1938"/>
      <c r="W11" s="1938"/>
    </row>
    <row r="12" spans="1:23" s="35" customFormat="1" ht="42">
      <c r="B12" s="1804"/>
      <c r="C12" s="1804"/>
      <c r="D12" s="372" t="s">
        <v>267</v>
      </c>
      <c r="E12" s="372" t="s">
        <v>268</v>
      </c>
      <c r="F12" s="372" t="s">
        <v>269</v>
      </c>
      <c r="G12" s="823" t="s">
        <v>589</v>
      </c>
      <c r="H12" s="372" t="s">
        <v>270</v>
      </c>
      <c r="I12" s="703" t="s">
        <v>267</v>
      </c>
      <c r="J12" s="703" t="s">
        <v>268</v>
      </c>
      <c r="K12" s="703" t="s">
        <v>269</v>
      </c>
      <c r="L12" s="703" t="s">
        <v>589</v>
      </c>
      <c r="M12" s="703" t="s">
        <v>270</v>
      </c>
      <c r="N12" s="374" t="s">
        <v>267</v>
      </c>
      <c r="O12" s="374" t="s">
        <v>268</v>
      </c>
      <c r="P12" s="374" t="s">
        <v>269</v>
      </c>
      <c r="Q12" s="372" t="s">
        <v>589</v>
      </c>
      <c r="R12" s="374" t="s">
        <v>270</v>
      </c>
      <c r="S12" s="374" t="s">
        <v>267</v>
      </c>
      <c r="T12" s="374" t="s">
        <v>268</v>
      </c>
      <c r="U12" s="374" t="s">
        <v>269</v>
      </c>
      <c r="V12" s="372" t="s">
        <v>589</v>
      </c>
      <c r="W12" s="374" t="s">
        <v>270</v>
      </c>
    </row>
    <row r="13" spans="1:23" s="36" customFormat="1" ht="28">
      <c r="B13" s="265"/>
      <c r="C13" s="265"/>
      <c r="D13" s="265" t="s">
        <v>80</v>
      </c>
      <c r="E13" s="265" t="s">
        <v>81</v>
      </c>
      <c r="F13" s="265" t="s">
        <v>461</v>
      </c>
      <c r="G13" s="265" t="s">
        <v>391</v>
      </c>
      <c r="H13" s="265" t="s">
        <v>590</v>
      </c>
      <c r="I13" s="265" t="s">
        <v>409</v>
      </c>
      <c r="J13" s="265" t="s">
        <v>511</v>
      </c>
      <c r="K13" s="265" t="s">
        <v>410</v>
      </c>
      <c r="L13" s="265" t="s">
        <v>411</v>
      </c>
      <c r="M13" s="265" t="s">
        <v>654</v>
      </c>
      <c r="N13" s="265" t="s">
        <v>596</v>
      </c>
      <c r="O13" s="265" t="s">
        <v>597</v>
      </c>
      <c r="P13" s="265" t="s">
        <v>598</v>
      </c>
      <c r="Q13" s="265" t="s">
        <v>656</v>
      </c>
      <c r="R13" s="265" t="s">
        <v>657</v>
      </c>
      <c r="S13" s="265" t="s">
        <v>658</v>
      </c>
      <c r="T13" s="265" t="s">
        <v>659</v>
      </c>
      <c r="U13" s="265" t="s">
        <v>660</v>
      </c>
      <c r="V13" s="265" t="s">
        <v>661</v>
      </c>
      <c r="W13" s="265" t="s">
        <v>662</v>
      </c>
    </row>
    <row r="14" spans="1:23" s="427" customFormat="1">
      <c r="B14" s="474">
        <v>1</v>
      </c>
      <c r="C14" s="476" t="s">
        <v>841</v>
      </c>
      <c r="D14" s="477">
        <v>20.51997533484003</v>
      </c>
      <c r="E14" s="477">
        <v>0</v>
      </c>
      <c r="F14" s="477">
        <v>0</v>
      </c>
      <c r="G14" s="477"/>
      <c r="H14" s="477">
        <f>D14+E14-F14-G14</f>
        <v>20.51997533484003</v>
      </c>
      <c r="I14" s="451">
        <f>H14</f>
        <v>20.51997533484003</v>
      </c>
      <c r="J14" s="477">
        <v>0</v>
      </c>
      <c r="K14" s="477">
        <v>0</v>
      </c>
      <c r="L14" s="477"/>
      <c r="M14" s="451">
        <f>I14+J14-K14-L14</f>
        <v>20.51997533484003</v>
      </c>
      <c r="N14" s="477">
        <f>M14</f>
        <v>20.51997533484003</v>
      </c>
      <c r="O14" s="477">
        <v>0</v>
      </c>
      <c r="P14" s="477">
        <v>0</v>
      </c>
      <c r="Q14" s="477"/>
      <c r="R14" s="477">
        <f>N14+O14-P14-Q14</f>
        <v>20.51997533484003</v>
      </c>
      <c r="S14" s="451">
        <f>R14</f>
        <v>20.51997533484003</v>
      </c>
      <c r="T14" s="935">
        <v>0</v>
      </c>
      <c r="U14" s="880">
        <v>0</v>
      </c>
      <c r="V14" s="477"/>
      <c r="W14" s="451">
        <f>S14+T14-U14-V14</f>
        <v>20.51997533484003</v>
      </c>
    </row>
    <row r="15" spans="1:23" s="427" customFormat="1">
      <c r="B15" s="474">
        <f>B14+1</f>
        <v>2</v>
      </c>
      <c r="C15" s="476" t="s">
        <v>842</v>
      </c>
      <c r="D15" s="477">
        <v>136.89074260736595</v>
      </c>
      <c r="E15" s="477">
        <v>0</v>
      </c>
      <c r="F15" s="477">
        <v>0</v>
      </c>
      <c r="G15" s="477"/>
      <c r="H15" s="477">
        <f t="shared" ref="H15:H30" si="0">D15+E15-F15-G15</f>
        <v>136.89074260736595</v>
      </c>
      <c r="I15" s="451">
        <f t="shared" ref="I15:I30" si="1">H15</f>
        <v>136.89074260736595</v>
      </c>
      <c r="J15" s="477">
        <v>2.2332679999999998</v>
      </c>
      <c r="K15" s="477">
        <v>0</v>
      </c>
      <c r="L15" s="477"/>
      <c r="M15" s="451">
        <f t="shared" ref="M15:M30" si="2">I15+J15-K15-L15</f>
        <v>139.12401060736596</v>
      </c>
      <c r="N15" s="477">
        <f t="shared" ref="N15:N30" si="3">M15</f>
        <v>139.12401060736596</v>
      </c>
      <c r="O15" s="477">
        <v>0</v>
      </c>
      <c r="P15" s="477">
        <v>0</v>
      </c>
      <c r="Q15" s="477"/>
      <c r="R15" s="477">
        <f t="shared" ref="R15:R30" si="4">N15+O15-P15-Q15</f>
        <v>139.12401060736596</v>
      </c>
      <c r="S15" s="451">
        <f t="shared" ref="S15:S30" si="5">R15</f>
        <v>139.12401060736596</v>
      </c>
      <c r="T15" s="935">
        <v>0</v>
      </c>
      <c r="U15" s="880">
        <v>0</v>
      </c>
      <c r="V15" s="477"/>
      <c r="W15" s="451">
        <f t="shared" ref="W15:W25" si="6">S15+T15-U15-V15</f>
        <v>139.12401060736596</v>
      </c>
    </row>
    <row r="16" spans="1:23" s="427" customFormat="1">
      <c r="B16" s="474">
        <f t="shared" ref="B16:B30" si="7">B15+1</f>
        <v>3</v>
      </c>
      <c r="C16" s="476" t="s">
        <v>843</v>
      </c>
      <c r="D16" s="477">
        <v>0</v>
      </c>
      <c r="E16" s="477">
        <v>0</v>
      </c>
      <c r="F16" s="478">
        <v>0</v>
      </c>
      <c r="G16" s="478"/>
      <c r="H16" s="477">
        <f t="shared" si="0"/>
        <v>0</v>
      </c>
      <c r="I16" s="451">
        <f t="shared" si="1"/>
        <v>0</v>
      </c>
      <c r="J16" s="477">
        <v>0</v>
      </c>
      <c r="K16" s="478">
        <v>0</v>
      </c>
      <c r="L16" s="478"/>
      <c r="M16" s="451">
        <f t="shared" si="2"/>
        <v>0</v>
      </c>
      <c r="N16" s="477">
        <f t="shared" si="3"/>
        <v>0</v>
      </c>
      <c r="O16" s="477">
        <v>0</v>
      </c>
      <c r="P16" s="478">
        <v>0</v>
      </c>
      <c r="Q16" s="477"/>
      <c r="R16" s="477">
        <f t="shared" si="4"/>
        <v>0</v>
      </c>
      <c r="S16" s="451">
        <f t="shared" si="5"/>
        <v>0</v>
      </c>
      <c r="T16" s="935">
        <v>0</v>
      </c>
      <c r="U16" s="880">
        <v>0</v>
      </c>
      <c r="V16" s="477"/>
      <c r="W16" s="451">
        <f t="shared" si="6"/>
        <v>0</v>
      </c>
    </row>
    <row r="17" spans="2:23" s="427" customFormat="1">
      <c r="B17" s="474">
        <f t="shared" si="7"/>
        <v>4</v>
      </c>
      <c r="C17" s="476" t="s">
        <v>844</v>
      </c>
      <c r="D17" s="477">
        <v>104.36282450430936</v>
      </c>
      <c r="E17" s="477">
        <v>0.68323680199999992</v>
      </c>
      <c r="F17" s="478">
        <v>0</v>
      </c>
      <c r="G17" s="478"/>
      <c r="H17" s="477">
        <f t="shared" si="0"/>
        <v>105.04606130630935</v>
      </c>
      <c r="I17" s="451">
        <f t="shared" si="1"/>
        <v>105.04606130630935</v>
      </c>
      <c r="J17" s="477">
        <v>0</v>
      </c>
      <c r="K17" s="478">
        <v>0</v>
      </c>
      <c r="L17" s="478"/>
      <c r="M17" s="451">
        <f t="shared" si="2"/>
        <v>105.04606130630935</v>
      </c>
      <c r="N17" s="477">
        <f t="shared" si="3"/>
        <v>105.04606130630935</v>
      </c>
      <c r="O17" s="477">
        <v>0</v>
      </c>
      <c r="P17" s="478">
        <v>0</v>
      </c>
      <c r="Q17" s="477"/>
      <c r="R17" s="477">
        <f t="shared" si="4"/>
        <v>105.04606130630935</v>
      </c>
      <c r="S17" s="451">
        <f t="shared" si="5"/>
        <v>105.04606130630935</v>
      </c>
      <c r="T17" s="935">
        <v>0</v>
      </c>
      <c r="U17" s="880">
        <v>0</v>
      </c>
      <c r="V17" s="477"/>
      <c r="W17" s="451">
        <f t="shared" si="6"/>
        <v>105.04606130630935</v>
      </c>
    </row>
    <row r="18" spans="2:23" s="427" customFormat="1">
      <c r="B18" s="474">
        <f t="shared" si="7"/>
        <v>5</v>
      </c>
      <c r="C18" s="476" t="s">
        <v>845</v>
      </c>
      <c r="D18" s="477">
        <v>31.32210421217405</v>
      </c>
      <c r="E18" s="477">
        <v>0</v>
      </c>
      <c r="F18" s="478">
        <v>0</v>
      </c>
      <c r="G18" s="478"/>
      <c r="H18" s="477">
        <f t="shared" si="0"/>
        <v>31.32210421217405</v>
      </c>
      <c r="I18" s="451">
        <f t="shared" si="1"/>
        <v>31.32210421217405</v>
      </c>
      <c r="J18" s="477">
        <v>47.005816248000002</v>
      </c>
      <c r="K18" s="478">
        <v>0</v>
      </c>
      <c r="L18" s="478"/>
      <c r="M18" s="451">
        <f t="shared" si="2"/>
        <v>78.327920460174056</v>
      </c>
      <c r="N18" s="477">
        <f t="shared" si="3"/>
        <v>78.327920460174056</v>
      </c>
      <c r="O18" s="477">
        <v>2.0299999999999998</v>
      </c>
      <c r="P18" s="478">
        <v>0</v>
      </c>
      <c r="Q18" s="477"/>
      <c r="R18" s="477">
        <f t="shared" si="4"/>
        <v>80.357920460174057</v>
      </c>
      <c r="S18" s="451">
        <f t="shared" si="5"/>
        <v>80.357920460174057</v>
      </c>
      <c r="T18" s="935">
        <v>0</v>
      </c>
      <c r="U18" s="880">
        <v>0</v>
      </c>
      <c r="V18" s="477"/>
      <c r="W18" s="451">
        <f t="shared" si="6"/>
        <v>80.357920460174057</v>
      </c>
    </row>
    <row r="19" spans="2:23" s="11" customFormat="1">
      <c r="B19" s="474">
        <f t="shared" si="7"/>
        <v>6</v>
      </c>
      <c r="C19" s="476" t="s">
        <v>255</v>
      </c>
      <c r="D19" s="477">
        <v>1538.6799327967624</v>
      </c>
      <c r="E19" s="477">
        <v>11.601230874000001</v>
      </c>
      <c r="F19" s="477">
        <v>0</v>
      </c>
      <c r="G19" s="477"/>
      <c r="H19" s="477">
        <f t="shared" si="0"/>
        <v>1550.2811636707625</v>
      </c>
      <c r="I19" s="451">
        <f t="shared" si="1"/>
        <v>1550.2811636707625</v>
      </c>
      <c r="J19" s="477">
        <v>29.028518059</v>
      </c>
      <c r="K19" s="477">
        <v>0</v>
      </c>
      <c r="L19" s="477"/>
      <c r="M19" s="451">
        <f t="shared" si="2"/>
        <v>1579.3096817297624</v>
      </c>
      <c r="N19" s="477">
        <f t="shared" si="3"/>
        <v>1579.3096817297624</v>
      </c>
      <c r="O19" s="477">
        <v>15.08</v>
      </c>
      <c r="P19" s="477">
        <v>0</v>
      </c>
      <c r="Q19" s="477"/>
      <c r="R19" s="477">
        <f t="shared" si="4"/>
        <v>1594.3896817297623</v>
      </c>
      <c r="S19" s="451">
        <f t="shared" si="5"/>
        <v>1594.3896817297623</v>
      </c>
      <c r="T19" s="935">
        <v>36.286666666666662</v>
      </c>
      <c r="U19" s="880">
        <v>0</v>
      </c>
      <c r="V19" s="477"/>
      <c r="W19" s="451">
        <f t="shared" si="6"/>
        <v>1630.6763483964289</v>
      </c>
    </row>
    <row r="20" spans="2:23" s="11" customFormat="1">
      <c r="B20" s="474">
        <f t="shared" si="7"/>
        <v>7</v>
      </c>
      <c r="C20" s="476" t="s">
        <v>846</v>
      </c>
      <c r="D20" s="477">
        <v>0</v>
      </c>
      <c r="E20" s="477">
        <v>0</v>
      </c>
      <c r="F20" s="832">
        <v>0</v>
      </c>
      <c r="G20" s="477"/>
      <c r="H20" s="477">
        <f t="shared" si="0"/>
        <v>0</v>
      </c>
      <c r="I20" s="451">
        <f t="shared" si="1"/>
        <v>0</v>
      </c>
      <c r="J20" s="477">
        <v>0</v>
      </c>
      <c r="K20" s="832">
        <v>0</v>
      </c>
      <c r="L20" s="477"/>
      <c r="M20" s="451">
        <f t="shared" si="2"/>
        <v>0</v>
      </c>
      <c r="N20" s="477">
        <f t="shared" si="3"/>
        <v>0</v>
      </c>
      <c r="O20" s="477">
        <v>0</v>
      </c>
      <c r="P20" s="832">
        <v>0</v>
      </c>
      <c r="Q20" s="477"/>
      <c r="R20" s="477">
        <f t="shared" si="4"/>
        <v>0</v>
      </c>
      <c r="S20" s="451">
        <f t="shared" si="5"/>
        <v>0</v>
      </c>
      <c r="T20" s="935">
        <v>0</v>
      </c>
      <c r="U20" s="880">
        <v>0</v>
      </c>
      <c r="V20" s="477"/>
      <c r="W20" s="451">
        <f t="shared" si="6"/>
        <v>0</v>
      </c>
    </row>
    <row r="21" spans="2:23" s="11" customFormat="1">
      <c r="B21" s="474">
        <f t="shared" si="7"/>
        <v>8</v>
      </c>
      <c r="C21" s="476" t="s">
        <v>847</v>
      </c>
      <c r="D21" s="477">
        <v>0</v>
      </c>
      <c r="E21" s="477">
        <v>0</v>
      </c>
      <c r="F21" s="477">
        <v>0</v>
      </c>
      <c r="G21" s="477"/>
      <c r="H21" s="477">
        <f t="shared" si="0"/>
        <v>0</v>
      </c>
      <c r="I21" s="451">
        <f t="shared" si="1"/>
        <v>0</v>
      </c>
      <c r="J21" s="477">
        <v>0</v>
      </c>
      <c r="K21" s="477">
        <v>0</v>
      </c>
      <c r="L21" s="477"/>
      <c r="M21" s="451">
        <f t="shared" si="2"/>
        <v>0</v>
      </c>
      <c r="N21" s="477">
        <f t="shared" si="3"/>
        <v>0</v>
      </c>
      <c r="O21" s="477">
        <v>0</v>
      </c>
      <c r="P21" s="477">
        <v>0</v>
      </c>
      <c r="Q21" s="477"/>
      <c r="R21" s="477">
        <f t="shared" si="4"/>
        <v>0</v>
      </c>
      <c r="S21" s="451">
        <f t="shared" si="5"/>
        <v>0</v>
      </c>
      <c r="T21" s="935">
        <v>0</v>
      </c>
      <c r="U21" s="880">
        <v>0</v>
      </c>
      <c r="V21" s="477"/>
      <c r="W21" s="451">
        <f t="shared" si="6"/>
        <v>0</v>
      </c>
    </row>
    <row r="22" spans="2:23" s="11" customFormat="1">
      <c r="B22" s="474">
        <f t="shared" si="7"/>
        <v>9</v>
      </c>
      <c r="C22" s="476" t="s">
        <v>848</v>
      </c>
      <c r="D22" s="477">
        <v>38.728728173932197</v>
      </c>
      <c r="E22" s="477">
        <v>0</v>
      </c>
      <c r="F22" s="477">
        <v>0</v>
      </c>
      <c r="G22" s="477"/>
      <c r="H22" s="477">
        <f t="shared" si="0"/>
        <v>38.728728173932197</v>
      </c>
      <c r="I22" s="451">
        <f t="shared" si="1"/>
        <v>38.728728173932197</v>
      </c>
      <c r="J22" s="477">
        <v>0</v>
      </c>
      <c r="K22" s="477">
        <v>0</v>
      </c>
      <c r="L22" s="477"/>
      <c r="M22" s="451">
        <f t="shared" si="2"/>
        <v>38.728728173932197</v>
      </c>
      <c r="N22" s="477">
        <f t="shared" si="3"/>
        <v>38.728728173932197</v>
      </c>
      <c r="O22" s="477">
        <v>0</v>
      </c>
      <c r="P22" s="477">
        <v>0</v>
      </c>
      <c r="Q22" s="477"/>
      <c r="R22" s="477">
        <f t="shared" si="4"/>
        <v>38.728728173932197</v>
      </c>
      <c r="S22" s="451">
        <f t="shared" si="5"/>
        <v>38.728728173932197</v>
      </c>
      <c r="T22" s="935">
        <v>0</v>
      </c>
      <c r="U22" s="880">
        <v>0</v>
      </c>
      <c r="V22" s="477"/>
      <c r="W22" s="451">
        <f t="shared" si="6"/>
        <v>38.728728173932197</v>
      </c>
    </row>
    <row r="23" spans="2:23" s="11" customFormat="1">
      <c r="B23" s="474">
        <f t="shared" si="7"/>
        <v>10</v>
      </c>
      <c r="C23" s="476" t="s">
        <v>258</v>
      </c>
      <c r="D23" s="477">
        <v>0</v>
      </c>
      <c r="E23" s="477">
        <v>0</v>
      </c>
      <c r="F23" s="477">
        <v>0</v>
      </c>
      <c r="G23" s="477"/>
      <c r="H23" s="477">
        <f t="shared" si="0"/>
        <v>0</v>
      </c>
      <c r="I23" s="451">
        <f t="shared" si="1"/>
        <v>0</v>
      </c>
      <c r="J23" s="477">
        <v>0</v>
      </c>
      <c r="K23" s="477">
        <v>0</v>
      </c>
      <c r="L23" s="477"/>
      <c r="M23" s="451">
        <f t="shared" si="2"/>
        <v>0</v>
      </c>
      <c r="N23" s="477">
        <f t="shared" si="3"/>
        <v>0</v>
      </c>
      <c r="O23" s="477">
        <v>0</v>
      </c>
      <c r="P23" s="477">
        <v>0</v>
      </c>
      <c r="Q23" s="477"/>
      <c r="R23" s="477">
        <f t="shared" si="4"/>
        <v>0</v>
      </c>
      <c r="S23" s="451">
        <f t="shared" si="5"/>
        <v>0</v>
      </c>
      <c r="T23" s="935">
        <v>0</v>
      </c>
      <c r="U23" s="880">
        <v>0</v>
      </c>
      <c r="V23" s="477"/>
      <c r="W23" s="451">
        <f t="shared" si="6"/>
        <v>0</v>
      </c>
    </row>
    <row r="24" spans="2:23" s="11" customFormat="1">
      <c r="B24" s="474">
        <f t="shared" si="7"/>
        <v>11</v>
      </c>
      <c r="C24" s="476" t="s">
        <v>259</v>
      </c>
      <c r="D24" s="477">
        <v>0.59461078264395029</v>
      </c>
      <c r="E24" s="477">
        <v>3.8904069999999994E-3</v>
      </c>
      <c r="F24" s="477">
        <v>0</v>
      </c>
      <c r="G24" s="477"/>
      <c r="H24" s="477">
        <f t="shared" si="0"/>
        <v>0.59850118964395027</v>
      </c>
      <c r="I24" s="451">
        <f t="shared" si="1"/>
        <v>0.59850118964395027</v>
      </c>
      <c r="J24" s="477">
        <v>0.18916240600000001</v>
      </c>
      <c r="K24" s="477">
        <v>0</v>
      </c>
      <c r="L24" s="477"/>
      <c r="M24" s="451">
        <f t="shared" si="2"/>
        <v>0.78766359564395028</v>
      </c>
      <c r="N24" s="477">
        <f t="shared" si="3"/>
        <v>0.78766359564395028</v>
      </c>
      <c r="O24" s="477">
        <v>0</v>
      </c>
      <c r="P24" s="477">
        <v>0</v>
      </c>
      <c r="Q24" s="477"/>
      <c r="R24" s="477">
        <f t="shared" si="4"/>
        <v>0.78766359564395028</v>
      </c>
      <c r="S24" s="451">
        <f t="shared" si="5"/>
        <v>0.78766359564395028</v>
      </c>
      <c r="T24" s="935">
        <v>0</v>
      </c>
      <c r="U24" s="880">
        <v>0</v>
      </c>
      <c r="V24" s="477"/>
      <c r="W24" s="451">
        <f t="shared" si="6"/>
        <v>0.78766359564395028</v>
      </c>
    </row>
    <row r="25" spans="2:23" s="11" customFormat="1">
      <c r="B25" s="474">
        <f t="shared" si="7"/>
        <v>12</v>
      </c>
      <c r="C25" s="476" t="s">
        <v>260</v>
      </c>
      <c r="D25" s="477">
        <v>0</v>
      </c>
      <c r="E25" s="477">
        <v>0</v>
      </c>
      <c r="F25" s="477">
        <v>0</v>
      </c>
      <c r="G25" s="477"/>
      <c r="H25" s="477">
        <f t="shared" si="0"/>
        <v>0</v>
      </c>
      <c r="I25" s="451">
        <f t="shared" si="1"/>
        <v>0</v>
      </c>
      <c r="J25" s="477">
        <v>0</v>
      </c>
      <c r="K25" s="477">
        <v>0</v>
      </c>
      <c r="L25" s="477"/>
      <c r="M25" s="451">
        <f t="shared" si="2"/>
        <v>0</v>
      </c>
      <c r="N25" s="477">
        <f t="shared" si="3"/>
        <v>0</v>
      </c>
      <c r="O25" s="477">
        <v>0</v>
      </c>
      <c r="P25" s="477">
        <v>0</v>
      </c>
      <c r="Q25" s="477"/>
      <c r="R25" s="477">
        <f t="shared" si="4"/>
        <v>0</v>
      </c>
      <c r="S25" s="451">
        <f t="shared" si="5"/>
        <v>0</v>
      </c>
      <c r="T25" s="935">
        <v>0</v>
      </c>
      <c r="U25" s="880">
        <v>0</v>
      </c>
      <c r="V25" s="477"/>
      <c r="W25" s="451">
        <f t="shared" si="6"/>
        <v>0</v>
      </c>
    </row>
    <row r="26" spans="2:23" s="11" customFormat="1">
      <c r="B26" s="474">
        <f t="shared" si="7"/>
        <v>13</v>
      </c>
      <c r="C26" s="476" t="s">
        <v>897</v>
      </c>
      <c r="D26" s="477">
        <v>0</v>
      </c>
      <c r="E26" s="477">
        <v>0</v>
      </c>
      <c r="F26" s="477">
        <v>0</v>
      </c>
      <c r="G26" s="477"/>
      <c r="H26" s="477">
        <f t="shared" si="0"/>
        <v>0</v>
      </c>
      <c r="I26" s="451">
        <f t="shared" si="1"/>
        <v>0</v>
      </c>
      <c r="J26" s="477">
        <v>0</v>
      </c>
      <c r="K26" s="477">
        <v>0</v>
      </c>
      <c r="L26" s="477"/>
      <c r="M26" s="451">
        <f t="shared" si="2"/>
        <v>0</v>
      </c>
      <c r="N26" s="477">
        <f t="shared" si="3"/>
        <v>0</v>
      </c>
      <c r="O26" s="477">
        <v>0</v>
      </c>
      <c r="P26" s="477">
        <v>0</v>
      </c>
      <c r="Q26" s="477"/>
      <c r="R26" s="477">
        <f t="shared" si="4"/>
        <v>0</v>
      </c>
      <c r="S26" s="451">
        <f t="shared" si="5"/>
        <v>0</v>
      </c>
      <c r="T26" s="935">
        <v>0</v>
      </c>
      <c r="U26" s="880">
        <v>0</v>
      </c>
      <c r="V26" s="477"/>
      <c r="W26" s="451">
        <f t="shared" ref="W26:W30" si="8">S26+T26-U26-V26</f>
        <v>0</v>
      </c>
    </row>
    <row r="27" spans="2:23" s="11" customFormat="1">
      <c r="B27" s="474">
        <f t="shared" si="7"/>
        <v>14</v>
      </c>
      <c r="C27" s="476" t="s">
        <v>898</v>
      </c>
      <c r="D27" s="477">
        <v>0</v>
      </c>
      <c r="E27" s="477">
        <v>0.51900124400000003</v>
      </c>
      <c r="F27" s="477">
        <v>0</v>
      </c>
      <c r="G27" s="477"/>
      <c r="H27" s="477">
        <f t="shared" si="0"/>
        <v>0.51900124400000003</v>
      </c>
      <c r="I27" s="451">
        <f t="shared" si="1"/>
        <v>0.51900124400000003</v>
      </c>
      <c r="J27" s="477">
        <v>0.37698879999999996</v>
      </c>
      <c r="K27" s="477">
        <v>0</v>
      </c>
      <c r="L27" s="477"/>
      <c r="M27" s="451">
        <f t="shared" si="2"/>
        <v>0.89599004399999993</v>
      </c>
      <c r="N27" s="477">
        <f t="shared" si="3"/>
        <v>0.89599004399999993</v>
      </c>
      <c r="O27" s="477">
        <v>0</v>
      </c>
      <c r="P27" s="477">
        <v>0</v>
      </c>
      <c r="Q27" s="477"/>
      <c r="R27" s="477">
        <f t="shared" si="4"/>
        <v>0.89599004399999993</v>
      </c>
      <c r="S27" s="451">
        <f t="shared" si="5"/>
        <v>0.89599004399999993</v>
      </c>
      <c r="T27" s="935">
        <v>0</v>
      </c>
      <c r="U27" s="880">
        <v>0</v>
      </c>
      <c r="V27" s="477"/>
      <c r="W27" s="451">
        <f t="shared" si="8"/>
        <v>0.89599004399999993</v>
      </c>
    </row>
    <row r="28" spans="2:23" s="11" customFormat="1">
      <c r="B28" s="474">
        <f t="shared" si="7"/>
        <v>15</v>
      </c>
      <c r="C28" s="476" t="s">
        <v>899</v>
      </c>
      <c r="D28" s="477">
        <v>0</v>
      </c>
      <c r="E28" s="477">
        <v>0</v>
      </c>
      <c r="F28" s="477">
        <v>0</v>
      </c>
      <c r="G28" s="477"/>
      <c r="H28" s="477">
        <f t="shared" si="0"/>
        <v>0</v>
      </c>
      <c r="I28" s="451">
        <f t="shared" si="1"/>
        <v>0</v>
      </c>
      <c r="J28" s="477">
        <v>0</v>
      </c>
      <c r="K28" s="477">
        <v>0</v>
      </c>
      <c r="L28" s="477"/>
      <c r="M28" s="451">
        <f t="shared" si="2"/>
        <v>0</v>
      </c>
      <c r="N28" s="477">
        <f t="shared" si="3"/>
        <v>0</v>
      </c>
      <c r="O28" s="477">
        <v>0</v>
      </c>
      <c r="P28" s="477">
        <v>0</v>
      </c>
      <c r="Q28" s="477"/>
      <c r="R28" s="477">
        <f t="shared" si="4"/>
        <v>0</v>
      </c>
      <c r="S28" s="451">
        <f t="shared" si="5"/>
        <v>0</v>
      </c>
      <c r="T28" s="935">
        <v>0</v>
      </c>
      <c r="U28" s="880">
        <v>0</v>
      </c>
      <c r="V28" s="477"/>
      <c r="W28" s="451">
        <f t="shared" si="8"/>
        <v>0</v>
      </c>
    </row>
    <row r="29" spans="2:23" s="11" customFormat="1">
      <c r="B29" s="474">
        <f t="shared" si="7"/>
        <v>16</v>
      </c>
      <c r="C29" s="476" t="s">
        <v>849</v>
      </c>
      <c r="D29" s="477">
        <v>0</v>
      </c>
      <c r="E29" s="477">
        <v>0</v>
      </c>
      <c r="F29" s="477">
        <v>0</v>
      </c>
      <c r="G29" s="477"/>
      <c r="H29" s="477">
        <f t="shared" si="0"/>
        <v>0</v>
      </c>
      <c r="I29" s="451">
        <f t="shared" si="1"/>
        <v>0</v>
      </c>
      <c r="J29" s="477">
        <v>0</v>
      </c>
      <c r="K29" s="477">
        <v>0</v>
      </c>
      <c r="L29" s="477"/>
      <c r="M29" s="451">
        <f t="shared" si="2"/>
        <v>0</v>
      </c>
      <c r="N29" s="477">
        <f t="shared" si="3"/>
        <v>0</v>
      </c>
      <c r="O29" s="477">
        <v>0</v>
      </c>
      <c r="P29" s="477">
        <v>0</v>
      </c>
      <c r="Q29" s="477"/>
      <c r="R29" s="477">
        <f t="shared" si="4"/>
        <v>0</v>
      </c>
      <c r="S29" s="451">
        <f t="shared" si="5"/>
        <v>0</v>
      </c>
      <c r="T29" s="935">
        <v>0</v>
      </c>
      <c r="U29" s="880">
        <v>0</v>
      </c>
      <c r="V29" s="477"/>
      <c r="W29" s="451">
        <f t="shared" si="8"/>
        <v>0</v>
      </c>
    </row>
    <row r="30" spans="2:23" s="11" customFormat="1">
      <c r="B30" s="474">
        <f t="shared" si="7"/>
        <v>17</v>
      </c>
      <c r="C30" s="476" t="s">
        <v>900</v>
      </c>
      <c r="D30" s="477">
        <v>0</v>
      </c>
      <c r="E30" s="477">
        <v>0</v>
      </c>
      <c r="F30" s="477">
        <v>0</v>
      </c>
      <c r="G30" s="477"/>
      <c r="H30" s="477">
        <f t="shared" si="0"/>
        <v>0</v>
      </c>
      <c r="I30" s="451">
        <f t="shared" si="1"/>
        <v>0</v>
      </c>
      <c r="J30" s="477">
        <v>0</v>
      </c>
      <c r="K30" s="477">
        <v>0</v>
      </c>
      <c r="L30" s="477"/>
      <c r="M30" s="451">
        <f t="shared" si="2"/>
        <v>0</v>
      </c>
      <c r="N30" s="477">
        <f t="shared" si="3"/>
        <v>0</v>
      </c>
      <c r="O30" s="477">
        <v>0</v>
      </c>
      <c r="P30" s="477">
        <v>0</v>
      </c>
      <c r="Q30" s="477"/>
      <c r="R30" s="477">
        <f t="shared" si="4"/>
        <v>0</v>
      </c>
      <c r="S30" s="451">
        <f t="shared" si="5"/>
        <v>0</v>
      </c>
      <c r="T30" s="935">
        <v>0</v>
      </c>
      <c r="U30" s="880">
        <v>0</v>
      </c>
      <c r="V30" s="477"/>
      <c r="W30" s="451">
        <f t="shared" si="8"/>
        <v>0</v>
      </c>
    </row>
    <row r="31" spans="2:23" s="1" customFormat="1" ht="16">
      <c r="B31" s="83"/>
      <c r="C31" s="97" t="s">
        <v>271</v>
      </c>
      <c r="D31" s="355">
        <f>SUM(D14:D30)</f>
        <v>1871.0989184120281</v>
      </c>
      <c r="E31" s="355">
        <f>SUM(E14:E30)</f>
        <v>12.807359327</v>
      </c>
      <c r="F31" s="355">
        <f t="shared" ref="F31:M31" si="9">SUM(F14:F30)</f>
        <v>0</v>
      </c>
      <c r="G31" s="355">
        <f t="shared" si="9"/>
        <v>0</v>
      </c>
      <c r="H31" s="355">
        <f t="shared" si="9"/>
        <v>1883.9062777390282</v>
      </c>
      <c r="I31" s="355">
        <f t="shared" si="9"/>
        <v>1883.9062777390282</v>
      </c>
      <c r="J31" s="355">
        <f t="shared" si="9"/>
        <v>78.833753513000005</v>
      </c>
      <c r="K31" s="355">
        <f t="shared" si="9"/>
        <v>0</v>
      </c>
      <c r="L31" s="355">
        <f t="shared" si="9"/>
        <v>0</v>
      </c>
      <c r="M31" s="355">
        <f t="shared" si="9"/>
        <v>1962.7400312520281</v>
      </c>
      <c r="N31" s="355">
        <f t="shared" ref="N31:W31" si="10">SUM(N14:N30)</f>
        <v>1962.7400312520281</v>
      </c>
      <c r="O31" s="355">
        <f t="shared" si="10"/>
        <v>17.11</v>
      </c>
      <c r="P31" s="355">
        <f t="shared" si="10"/>
        <v>0</v>
      </c>
      <c r="Q31" s="355">
        <f t="shared" si="10"/>
        <v>0</v>
      </c>
      <c r="R31" s="355">
        <f t="shared" si="10"/>
        <v>1979.850031252028</v>
      </c>
      <c r="S31" s="355">
        <f t="shared" si="10"/>
        <v>1979.850031252028</v>
      </c>
      <c r="T31" s="355">
        <f t="shared" si="10"/>
        <v>36.286666666666662</v>
      </c>
      <c r="U31" s="355">
        <f t="shared" si="10"/>
        <v>0</v>
      </c>
      <c r="V31" s="355">
        <f t="shared" si="10"/>
        <v>0</v>
      </c>
      <c r="W31" s="355">
        <f t="shared" si="10"/>
        <v>2016.1366979186946</v>
      </c>
    </row>
    <row r="32" spans="2:23" s="1" customFormat="1">
      <c r="B32" s="373"/>
      <c r="C32" s="8"/>
      <c r="D32" s="8"/>
      <c r="E32" s="8"/>
      <c r="F32" s="8"/>
      <c r="G32" s="8"/>
      <c r="H32" s="8"/>
      <c r="J32" s="44"/>
      <c r="M32" s="44"/>
      <c r="N32" s="44"/>
    </row>
    <row r="33" spans="1:33">
      <c r="B33" s="1944" t="s">
        <v>599</v>
      </c>
      <c r="C33" s="1944"/>
      <c r="D33" s="1944"/>
      <c r="E33" s="1944"/>
      <c r="F33" s="1944"/>
      <c r="G33" s="1944"/>
      <c r="H33" s="8"/>
      <c r="I33" s="1"/>
      <c r="J33" s="44"/>
      <c r="K33" s="1"/>
      <c r="L33" s="1"/>
      <c r="M33" s="44"/>
      <c r="N33" s="44"/>
      <c r="O33" s="1"/>
      <c r="P33" s="1"/>
      <c r="Q33" s="1"/>
      <c r="R33" s="1"/>
    </row>
    <row r="34" spans="1:33">
      <c r="B34" s="373"/>
      <c r="C34" s="8"/>
      <c r="D34" s="8"/>
      <c r="E34" s="8"/>
      <c r="F34" s="8"/>
      <c r="G34" s="8"/>
      <c r="H34" s="8"/>
      <c r="I34" s="1"/>
      <c r="J34" s="44"/>
      <c r="K34" s="1"/>
      <c r="L34" s="1"/>
      <c r="M34" s="44"/>
      <c r="N34" s="44"/>
      <c r="O34" s="1"/>
      <c r="P34" s="1"/>
      <c r="Q34" s="1"/>
      <c r="R34" s="1"/>
    </row>
    <row r="35" spans="1:33" ht="15.75" customHeight="1">
      <c r="B35" s="373"/>
      <c r="C35" s="8"/>
      <c r="D35" s="8"/>
      <c r="E35" s="8"/>
      <c r="F35" s="8"/>
      <c r="G35" s="8"/>
      <c r="H35" s="8"/>
      <c r="I35" s="1"/>
      <c r="J35" s="44"/>
      <c r="K35" s="1"/>
      <c r="L35" s="1"/>
      <c r="M35" s="44"/>
      <c r="N35" s="44"/>
      <c r="O35" s="1"/>
      <c r="P35" s="1"/>
      <c r="Q35" s="1"/>
      <c r="AG35" s="264" t="s">
        <v>10</v>
      </c>
    </row>
    <row r="36" spans="1:33" ht="15.75" customHeight="1">
      <c r="B36" s="1804" t="s">
        <v>340</v>
      </c>
      <c r="C36" s="1804" t="s">
        <v>36</v>
      </c>
      <c r="D36" s="1939" t="s">
        <v>959</v>
      </c>
      <c r="E36" s="1940"/>
      <c r="F36" s="1940"/>
      <c r="G36" s="1940"/>
      <c r="H36" s="1941"/>
      <c r="I36" s="1939" t="s">
        <v>960</v>
      </c>
      <c r="J36" s="1940"/>
      <c r="K36" s="1940"/>
      <c r="L36" s="1940"/>
      <c r="M36" s="1941"/>
      <c r="N36" s="1933" t="s">
        <v>961</v>
      </c>
      <c r="O36" s="1933"/>
      <c r="P36" s="1933"/>
      <c r="Q36" s="1933"/>
      <c r="R36" s="1933"/>
      <c r="S36" s="1933" t="s">
        <v>962</v>
      </c>
      <c r="T36" s="1933"/>
      <c r="U36" s="1933"/>
      <c r="V36" s="1933"/>
      <c r="W36" s="1933"/>
    </row>
    <row r="37" spans="1:33" s="35" customFormat="1">
      <c r="B37" s="1804"/>
      <c r="C37" s="1804"/>
      <c r="D37" s="1934" t="s">
        <v>21</v>
      </c>
      <c r="E37" s="1935"/>
      <c r="F37" s="1935"/>
      <c r="G37" s="1935"/>
      <c r="H37" s="1936"/>
      <c r="I37" s="1934" t="s">
        <v>21</v>
      </c>
      <c r="J37" s="1935"/>
      <c r="K37" s="1935"/>
      <c r="L37" s="1935"/>
      <c r="M37" s="1936"/>
      <c r="N37" s="1937" t="s">
        <v>21</v>
      </c>
      <c r="O37" s="1938"/>
      <c r="P37" s="1938"/>
      <c r="Q37" s="1938"/>
      <c r="R37" s="1938"/>
      <c r="S37" s="1937" t="s">
        <v>21</v>
      </c>
      <c r="T37" s="1938"/>
      <c r="U37" s="1938"/>
      <c r="V37" s="1938"/>
      <c r="W37" s="1938"/>
    </row>
    <row r="38" spans="1:33" s="36" customFormat="1" ht="42">
      <c r="B38" s="1804"/>
      <c r="C38" s="1804"/>
      <c r="D38" s="896" t="s">
        <v>267</v>
      </c>
      <c r="E38" s="896" t="s">
        <v>268</v>
      </c>
      <c r="F38" s="896" t="s">
        <v>269</v>
      </c>
      <c r="G38" s="894" t="s">
        <v>589</v>
      </c>
      <c r="H38" s="896" t="s">
        <v>270</v>
      </c>
      <c r="I38" s="896" t="s">
        <v>267</v>
      </c>
      <c r="J38" s="896" t="s">
        <v>268</v>
      </c>
      <c r="K38" s="896" t="s">
        <v>269</v>
      </c>
      <c r="L38" s="894" t="s">
        <v>589</v>
      </c>
      <c r="M38" s="896" t="s">
        <v>270</v>
      </c>
      <c r="N38" s="708" t="s">
        <v>267</v>
      </c>
      <c r="O38" s="708" t="s">
        <v>268</v>
      </c>
      <c r="P38" s="708" t="s">
        <v>269</v>
      </c>
      <c r="Q38" s="703" t="s">
        <v>589</v>
      </c>
      <c r="R38" s="708" t="s">
        <v>270</v>
      </c>
      <c r="S38" s="708" t="s">
        <v>267</v>
      </c>
      <c r="T38" s="708" t="s">
        <v>268</v>
      </c>
      <c r="U38" s="708" t="s">
        <v>269</v>
      </c>
      <c r="V38" s="703" t="s">
        <v>589</v>
      </c>
      <c r="W38" s="708" t="s">
        <v>270</v>
      </c>
    </row>
    <row r="39" spans="1:33" s="6" customFormat="1" ht="28">
      <c r="B39" s="265"/>
      <c r="C39" s="265"/>
      <c r="D39" s="265" t="s">
        <v>663</v>
      </c>
      <c r="E39" s="265" t="s">
        <v>664</v>
      </c>
      <c r="F39" s="265" t="s">
        <v>665</v>
      </c>
      <c r="G39" s="265" t="s">
        <v>666</v>
      </c>
      <c r="H39" s="265" t="s">
        <v>667</v>
      </c>
      <c r="I39" s="265" t="s">
        <v>663</v>
      </c>
      <c r="J39" s="265" t="s">
        <v>664</v>
      </c>
      <c r="K39" s="265" t="s">
        <v>665</v>
      </c>
      <c r="L39" s="265" t="s">
        <v>666</v>
      </c>
      <c r="M39" s="265" t="s">
        <v>667</v>
      </c>
      <c r="N39" s="265" t="s">
        <v>663</v>
      </c>
      <c r="O39" s="265" t="s">
        <v>664</v>
      </c>
      <c r="P39" s="265" t="s">
        <v>665</v>
      </c>
      <c r="Q39" s="265" t="s">
        <v>666</v>
      </c>
      <c r="R39" s="265" t="s">
        <v>667</v>
      </c>
      <c r="S39" s="265" t="s">
        <v>663</v>
      </c>
      <c r="T39" s="265" t="s">
        <v>664</v>
      </c>
      <c r="U39" s="265" t="s">
        <v>665</v>
      </c>
      <c r="V39" s="265" t="s">
        <v>666</v>
      </c>
      <c r="W39" s="265" t="s">
        <v>667</v>
      </c>
    </row>
    <row r="40" spans="1:33" s="427" customFormat="1">
      <c r="B40" s="474">
        <v>1</v>
      </c>
      <c r="C40" s="476" t="s">
        <v>841</v>
      </c>
      <c r="D40" s="451">
        <f t="shared" ref="D40:D56" si="11">W14</f>
        <v>20.51997533484003</v>
      </c>
      <c r="E40" s="935">
        <v>0</v>
      </c>
      <c r="F40" s="880">
        <v>0</v>
      </c>
      <c r="G40" s="477"/>
      <c r="H40" s="451">
        <f>D40+E40-F40-G40</f>
        <v>20.51997533484003</v>
      </c>
      <c r="I40" s="451">
        <f>H40</f>
        <v>20.51997533484003</v>
      </c>
      <c r="J40" s="935">
        <v>0</v>
      </c>
      <c r="K40" s="880">
        <v>0</v>
      </c>
      <c r="L40" s="477"/>
      <c r="M40" s="451">
        <f>I40+J40-K40-L40</f>
        <v>20.51997533484003</v>
      </c>
      <c r="N40" s="451">
        <f>M40</f>
        <v>20.51997533484003</v>
      </c>
      <c r="O40" s="935">
        <v>0</v>
      </c>
      <c r="P40" s="880">
        <v>0</v>
      </c>
      <c r="Q40" s="477"/>
      <c r="R40" s="451">
        <f>N40+O40-P40-Q40</f>
        <v>20.51997533484003</v>
      </c>
      <c r="S40" s="451">
        <f>R40</f>
        <v>20.51997533484003</v>
      </c>
      <c r="T40" s="935">
        <v>0</v>
      </c>
      <c r="U40" s="880">
        <v>0</v>
      </c>
      <c r="V40" s="477"/>
      <c r="W40" s="451">
        <f>S40+T40-U40-V40</f>
        <v>20.51997533484003</v>
      </c>
    </row>
    <row r="41" spans="1:33" s="427" customFormat="1">
      <c r="B41" s="474">
        <f>B40+1</f>
        <v>2</v>
      </c>
      <c r="C41" s="476" t="s">
        <v>842</v>
      </c>
      <c r="D41" s="451">
        <f t="shared" si="11"/>
        <v>139.12401060736596</v>
      </c>
      <c r="E41" s="935">
        <v>0</v>
      </c>
      <c r="F41" s="880">
        <v>0</v>
      </c>
      <c r="G41" s="477"/>
      <c r="H41" s="451">
        <f t="shared" ref="H41:H56" si="12">D41+E41-F41-G41</f>
        <v>139.12401060736596</v>
      </c>
      <c r="I41" s="451">
        <f t="shared" ref="I41:I56" si="13">H41</f>
        <v>139.12401060736596</v>
      </c>
      <c r="J41" s="935">
        <v>0</v>
      </c>
      <c r="K41" s="880">
        <v>0</v>
      </c>
      <c r="L41" s="477"/>
      <c r="M41" s="451">
        <f t="shared" ref="M41:M56" si="14">I41+J41-K41-L41</f>
        <v>139.12401060736596</v>
      </c>
      <c r="N41" s="451">
        <f t="shared" ref="N41:N56" si="15">M41</f>
        <v>139.12401060736596</v>
      </c>
      <c r="O41" s="935">
        <v>0</v>
      </c>
      <c r="P41" s="880">
        <v>0</v>
      </c>
      <c r="Q41" s="477"/>
      <c r="R41" s="451">
        <f t="shared" ref="R41:R56" si="16">N41+O41-P41-Q41</f>
        <v>139.12401060736596</v>
      </c>
      <c r="S41" s="451">
        <f t="shared" ref="S41:S56" si="17">R41</f>
        <v>139.12401060736596</v>
      </c>
      <c r="T41" s="935">
        <v>0</v>
      </c>
      <c r="U41" s="880">
        <v>0</v>
      </c>
      <c r="V41" s="477"/>
      <c r="W41" s="451">
        <f t="shared" ref="W41:W56" si="18">S41+T41-U41-V41</f>
        <v>139.12401060736596</v>
      </c>
    </row>
    <row r="42" spans="1:33" s="11" customFormat="1">
      <c r="A42" s="427"/>
      <c r="B42" s="474">
        <f t="shared" ref="B42:B56" si="19">B41+1</f>
        <v>3</v>
      </c>
      <c r="C42" s="476" t="s">
        <v>843</v>
      </c>
      <c r="D42" s="451">
        <f t="shared" si="11"/>
        <v>0</v>
      </c>
      <c r="E42" s="935">
        <v>0</v>
      </c>
      <c r="F42" s="880">
        <v>0</v>
      </c>
      <c r="G42" s="477"/>
      <c r="H42" s="451">
        <f t="shared" si="12"/>
        <v>0</v>
      </c>
      <c r="I42" s="451">
        <f t="shared" si="13"/>
        <v>0</v>
      </c>
      <c r="J42" s="935">
        <v>0</v>
      </c>
      <c r="K42" s="880">
        <v>0</v>
      </c>
      <c r="L42" s="477"/>
      <c r="M42" s="451">
        <f t="shared" si="14"/>
        <v>0</v>
      </c>
      <c r="N42" s="451">
        <f t="shared" si="15"/>
        <v>0</v>
      </c>
      <c r="O42" s="935">
        <v>0</v>
      </c>
      <c r="P42" s="880">
        <v>0</v>
      </c>
      <c r="Q42" s="477"/>
      <c r="R42" s="451">
        <f t="shared" si="16"/>
        <v>0</v>
      </c>
      <c r="S42" s="451">
        <f t="shared" si="17"/>
        <v>0</v>
      </c>
      <c r="T42" s="935">
        <v>0</v>
      </c>
      <c r="U42" s="880">
        <v>0</v>
      </c>
      <c r="V42" s="477"/>
      <c r="W42" s="451">
        <f t="shared" si="18"/>
        <v>0</v>
      </c>
    </row>
    <row r="43" spans="1:33" s="11" customFormat="1">
      <c r="A43" s="427"/>
      <c r="B43" s="474">
        <f t="shared" si="19"/>
        <v>4</v>
      </c>
      <c r="C43" s="476" t="s">
        <v>844</v>
      </c>
      <c r="D43" s="451">
        <f t="shared" si="11"/>
        <v>105.04606130630935</v>
      </c>
      <c r="E43" s="935">
        <v>0</v>
      </c>
      <c r="F43" s="880">
        <v>0</v>
      </c>
      <c r="G43" s="477"/>
      <c r="H43" s="451">
        <f t="shared" si="12"/>
        <v>105.04606130630935</v>
      </c>
      <c r="I43" s="451">
        <f t="shared" si="13"/>
        <v>105.04606130630935</v>
      </c>
      <c r="J43" s="935">
        <v>0</v>
      </c>
      <c r="K43" s="880">
        <v>0</v>
      </c>
      <c r="L43" s="477"/>
      <c r="M43" s="451">
        <f t="shared" si="14"/>
        <v>105.04606130630935</v>
      </c>
      <c r="N43" s="451">
        <f t="shared" si="15"/>
        <v>105.04606130630935</v>
      </c>
      <c r="O43" s="935">
        <v>0</v>
      </c>
      <c r="P43" s="880">
        <v>0</v>
      </c>
      <c r="Q43" s="477"/>
      <c r="R43" s="451">
        <f t="shared" si="16"/>
        <v>105.04606130630935</v>
      </c>
      <c r="S43" s="451">
        <f t="shared" si="17"/>
        <v>105.04606130630935</v>
      </c>
      <c r="T43" s="935">
        <v>0</v>
      </c>
      <c r="U43" s="880">
        <v>0</v>
      </c>
      <c r="V43" s="477"/>
      <c r="W43" s="451">
        <f t="shared" si="18"/>
        <v>105.04606130630935</v>
      </c>
    </row>
    <row r="44" spans="1:33" s="11" customFormat="1">
      <c r="A44" s="427"/>
      <c r="B44" s="474">
        <f t="shared" si="19"/>
        <v>5</v>
      </c>
      <c r="C44" s="476" t="s">
        <v>845</v>
      </c>
      <c r="D44" s="451">
        <f t="shared" si="11"/>
        <v>80.357920460174057</v>
      </c>
      <c r="E44" s="935">
        <v>0</v>
      </c>
      <c r="F44" s="880">
        <v>0</v>
      </c>
      <c r="G44" s="477"/>
      <c r="H44" s="451">
        <f t="shared" si="12"/>
        <v>80.357920460174057</v>
      </c>
      <c r="I44" s="451">
        <f t="shared" si="13"/>
        <v>80.357920460174057</v>
      </c>
      <c r="J44" s="935">
        <v>0</v>
      </c>
      <c r="K44" s="880">
        <v>0</v>
      </c>
      <c r="L44" s="477"/>
      <c r="M44" s="451">
        <f t="shared" si="14"/>
        <v>80.357920460174057</v>
      </c>
      <c r="N44" s="451">
        <f t="shared" si="15"/>
        <v>80.357920460174057</v>
      </c>
      <c r="O44" s="935">
        <v>0</v>
      </c>
      <c r="P44" s="880">
        <v>0</v>
      </c>
      <c r="Q44" s="477"/>
      <c r="R44" s="451">
        <f t="shared" si="16"/>
        <v>80.357920460174057</v>
      </c>
      <c r="S44" s="451">
        <f t="shared" si="17"/>
        <v>80.357920460174057</v>
      </c>
      <c r="T44" s="935">
        <v>0</v>
      </c>
      <c r="U44" s="880">
        <v>0</v>
      </c>
      <c r="V44" s="477"/>
      <c r="W44" s="451">
        <f t="shared" si="18"/>
        <v>80.357920460174057</v>
      </c>
    </row>
    <row r="45" spans="1:33" s="11" customFormat="1">
      <c r="A45" s="427"/>
      <c r="B45" s="474">
        <f t="shared" si="19"/>
        <v>6</v>
      </c>
      <c r="C45" s="476" t="s">
        <v>255</v>
      </c>
      <c r="D45" s="451">
        <f t="shared" si="11"/>
        <v>1630.6763483964289</v>
      </c>
      <c r="E45" s="935">
        <v>0</v>
      </c>
      <c r="F45" s="880">
        <v>0</v>
      </c>
      <c r="G45" s="477"/>
      <c r="H45" s="451">
        <f t="shared" si="12"/>
        <v>1630.6763483964289</v>
      </c>
      <c r="I45" s="451">
        <f t="shared" si="13"/>
        <v>1630.6763483964289</v>
      </c>
      <c r="J45" s="935">
        <v>0</v>
      </c>
      <c r="K45" s="880">
        <v>0</v>
      </c>
      <c r="L45" s="477"/>
      <c r="M45" s="451">
        <f t="shared" si="14"/>
        <v>1630.6763483964289</v>
      </c>
      <c r="N45" s="451">
        <f t="shared" si="15"/>
        <v>1630.6763483964289</v>
      </c>
      <c r="O45" s="935">
        <v>0</v>
      </c>
      <c r="P45" s="880">
        <v>0</v>
      </c>
      <c r="Q45" s="477"/>
      <c r="R45" s="451">
        <f t="shared" si="16"/>
        <v>1630.6763483964289</v>
      </c>
      <c r="S45" s="451">
        <f t="shared" si="17"/>
        <v>1630.6763483964289</v>
      </c>
      <c r="T45" s="935">
        <v>0</v>
      </c>
      <c r="U45" s="880">
        <v>0</v>
      </c>
      <c r="V45" s="477"/>
      <c r="W45" s="451">
        <f t="shared" si="18"/>
        <v>1630.6763483964289</v>
      </c>
    </row>
    <row r="46" spans="1:33" s="11" customFormat="1">
      <c r="A46" s="427"/>
      <c r="B46" s="474">
        <f t="shared" si="19"/>
        <v>7</v>
      </c>
      <c r="C46" s="476" t="s">
        <v>846</v>
      </c>
      <c r="D46" s="451">
        <f t="shared" si="11"/>
        <v>0</v>
      </c>
      <c r="E46" s="935">
        <v>0</v>
      </c>
      <c r="F46" s="880">
        <v>0</v>
      </c>
      <c r="G46" s="477"/>
      <c r="H46" s="451">
        <f t="shared" si="12"/>
        <v>0</v>
      </c>
      <c r="I46" s="451">
        <f t="shared" si="13"/>
        <v>0</v>
      </c>
      <c r="J46" s="935">
        <v>0</v>
      </c>
      <c r="K46" s="880">
        <v>0</v>
      </c>
      <c r="L46" s="477"/>
      <c r="M46" s="451">
        <f t="shared" si="14"/>
        <v>0</v>
      </c>
      <c r="N46" s="451">
        <f t="shared" si="15"/>
        <v>0</v>
      </c>
      <c r="O46" s="935">
        <v>0</v>
      </c>
      <c r="P46" s="880">
        <v>0</v>
      </c>
      <c r="Q46" s="477"/>
      <c r="R46" s="451">
        <f t="shared" si="16"/>
        <v>0</v>
      </c>
      <c r="S46" s="451">
        <f t="shared" si="17"/>
        <v>0</v>
      </c>
      <c r="T46" s="935">
        <v>0</v>
      </c>
      <c r="U46" s="880">
        <v>0</v>
      </c>
      <c r="V46" s="477"/>
      <c r="W46" s="451">
        <f t="shared" si="18"/>
        <v>0</v>
      </c>
    </row>
    <row r="47" spans="1:33" s="11" customFormat="1">
      <c r="A47" s="427"/>
      <c r="B47" s="474">
        <f t="shared" si="19"/>
        <v>8</v>
      </c>
      <c r="C47" s="476" t="s">
        <v>847</v>
      </c>
      <c r="D47" s="451">
        <f t="shared" si="11"/>
        <v>0</v>
      </c>
      <c r="E47" s="935">
        <v>0</v>
      </c>
      <c r="F47" s="880">
        <v>0</v>
      </c>
      <c r="G47" s="477"/>
      <c r="H47" s="451">
        <f t="shared" si="12"/>
        <v>0</v>
      </c>
      <c r="I47" s="451">
        <f t="shared" si="13"/>
        <v>0</v>
      </c>
      <c r="J47" s="935">
        <v>0</v>
      </c>
      <c r="K47" s="880">
        <v>0</v>
      </c>
      <c r="L47" s="477"/>
      <c r="M47" s="451">
        <f t="shared" si="14"/>
        <v>0</v>
      </c>
      <c r="N47" s="451">
        <f t="shared" si="15"/>
        <v>0</v>
      </c>
      <c r="O47" s="935">
        <v>0</v>
      </c>
      <c r="P47" s="880">
        <v>0</v>
      </c>
      <c r="Q47" s="477"/>
      <c r="R47" s="451">
        <f t="shared" si="16"/>
        <v>0</v>
      </c>
      <c r="S47" s="451">
        <f t="shared" si="17"/>
        <v>0</v>
      </c>
      <c r="T47" s="935">
        <v>0</v>
      </c>
      <c r="U47" s="880">
        <v>0</v>
      </c>
      <c r="V47" s="477"/>
      <c r="W47" s="451">
        <f t="shared" si="18"/>
        <v>0</v>
      </c>
    </row>
    <row r="48" spans="1:33" s="11" customFormat="1">
      <c r="A48" s="427"/>
      <c r="B48" s="474">
        <f t="shared" si="19"/>
        <v>9</v>
      </c>
      <c r="C48" s="476" t="s">
        <v>848</v>
      </c>
      <c r="D48" s="451">
        <f t="shared" si="11"/>
        <v>38.728728173932197</v>
      </c>
      <c r="E48" s="935">
        <v>0</v>
      </c>
      <c r="F48" s="880">
        <v>0</v>
      </c>
      <c r="G48" s="477"/>
      <c r="H48" s="451">
        <f t="shared" si="12"/>
        <v>38.728728173932197</v>
      </c>
      <c r="I48" s="451">
        <f t="shared" si="13"/>
        <v>38.728728173932197</v>
      </c>
      <c r="J48" s="935">
        <v>0</v>
      </c>
      <c r="K48" s="880">
        <v>0</v>
      </c>
      <c r="L48" s="477"/>
      <c r="M48" s="451">
        <f t="shared" si="14"/>
        <v>38.728728173932197</v>
      </c>
      <c r="N48" s="451">
        <f t="shared" si="15"/>
        <v>38.728728173932197</v>
      </c>
      <c r="O48" s="935">
        <v>0</v>
      </c>
      <c r="P48" s="880">
        <v>0</v>
      </c>
      <c r="Q48" s="477"/>
      <c r="R48" s="451">
        <f t="shared" si="16"/>
        <v>38.728728173932197</v>
      </c>
      <c r="S48" s="451">
        <f t="shared" si="17"/>
        <v>38.728728173932197</v>
      </c>
      <c r="T48" s="935">
        <v>0</v>
      </c>
      <c r="U48" s="880">
        <v>0</v>
      </c>
      <c r="V48" s="477"/>
      <c r="W48" s="451">
        <f t="shared" si="18"/>
        <v>38.728728173932197</v>
      </c>
    </row>
    <row r="49" spans="1:23" s="11" customFormat="1">
      <c r="A49" s="427"/>
      <c r="B49" s="474">
        <f t="shared" si="19"/>
        <v>10</v>
      </c>
      <c r="C49" s="476" t="s">
        <v>258</v>
      </c>
      <c r="D49" s="451">
        <f t="shared" si="11"/>
        <v>0</v>
      </c>
      <c r="E49" s="935">
        <v>0</v>
      </c>
      <c r="F49" s="880">
        <v>0</v>
      </c>
      <c r="G49" s="477"/>
      <c r="H49" s="451">
        <f t="shared" si="12"/>
        <v>0</v>
      </c>
      <c r="I49" s="451">
        <f t="shared" si="13"/>
        <v>0</v>
      </c>
      <c r="J49" s="935">
        <v>0</v>
      </c>
      <c r="K49" s="880">
        <v>0</v>
      </c>
      <c r="L49" s="477"/>
      <c r="M49" s="451">
        <f t="shared" si="14"/>
        <v>0</v>
      </c>
      <c r="N49" s="451">
        <f t="shared" si="15"/>
        <v>0</v>
      </c>
      <c r="O49" s="935">
        <v>0</v>
      </c>
      <c r="P49" s="880">
        <v>0</v>
      </c>
      <c r="Q49" s="477"/>
      <c r="R49" s="451">
        <f t="shared" si="16"/>
        <v>0</v>
      </c>
      <c r="S49" s="451">
        <f t="shared" si="17"/>
        <v>0</v>
      </c>
      <c r="T49" s="935">
        <v>0</v>
      </c>
      <c r="U49" s="880">
        <v>0</v>
      </c>
      <c r="V49" s="477"/>
      <c r="W49" s="451">
        <f t="shared" si="18"/>
        <v>0</v>
      </c>
    </row>
    <row r="50" spans="1:23" s="11" customFormat="1">
      <c r="A50" s="427"/>
      <c r="B50" s="474">
        <f t="shared" si="19"/>
        <v>11</v>
      </c>
      <c r="C50" s="476" t="s">
        <v>259</v>
      </c>
      <c r="D50" s="451">
        <f t="shared" si="11"/>
        <v>0.78766359564395028</v>
      </c>
      <c r="E50" s="935">
        <v>0</v>
      </c>
      <c r="F50" s="880">
        <v>0</v>
      </c>
      <c r="G50" s="477"/>
      <c r="H50" s="451">
        <f t="shared" si="12"/>
        <v>0.78766359564395028</v>
      </c>
      <c r="I50" s="451">
        <f t="shared" si="13"/>
        <v>0.78766359564395028</v>
      </c>
      <c r="J50" s="935">
        <v>0</v>
      </c>
      <c r="K50" s="880">
        <v>0</v>
      </c>
      <c r="L50" s="477"/>
      <c r="M50" s="451">
        <f t="shared" si="14"/>
        <v>0.78766359564395028</v>
      </c>
      <c r="N50" s="451">
        <f t="shared" si="15"/>
        <v>0.78766359564395028</v>
      </c>
      <c r="O50" s="935">
        <v>0</v>
      </c>
      <c r="P50" s="880">
        <v>0</v>
      </c>
      <c r="Q50" s="477"/>
      <c r="R50" s="451">
        <f t="shared" si="16"/>
        <v>0.78766359564395028</v>
      </c>
      <c r="S50" s="451">
        <f t="shared" si="17"/>
        <v>0.78766359564395028</v>
      </c>
      <c r="T50" s="935">
        <v>0</v>
      </c>
      <c r="U50" s="880">
        <v>0</v>
      </c>
      <c r="V50" s="477"/>
      <c r="W50" s="451">
        <f t="shared" si="18"/>
        <v>0.78766359564395028</v>
      </c>
    </row>
    <row r="51" spans="1:23" s="2" customFormat="1">
      <c r="A51" s="427"/>
      <c r="B51" s="474">
        <f t="shared" si="19"/>
        <v>12</v>
      </c>
      <c r="C51" s="476" t="s">
        <v>260</v>
      </c>
      <c r="D51" s="451">
        <f t="shared" si="11"/>
        <v>0</v>
      </c>
      <c r="E51" s="935">
        <v>0</v>
      </c>
      <c r="F51" s="880">
        <v>0</v>
      </c>
      <c r="G51" s="477"/>
      <c r="H51" s="451">
        <f t="shared" si="12"/>
        <v>0</v>
      </c>
      <c r="I51" s="451">
        <f t="shared" si="13"/>
        <v>0</v>
      </c>
      <c r="J51" s="935">
        <v>0</v>
      </c>
      <c r="K51" s="880">
        <v>0</v>
      </c>
      <c r="L51" s="477"/>
      <c r="M51" s="451">
        <f t="shared" si="14"/>
        <v>0</v>
      </c>
      <c r="N51" s="451">
        <f t="shared" si="15"/>
        <v>0</v>
      </c>
      <c r="O51" s="935">
        <v>0</v>
      </c>
      <c r="P51" s="880">
        <v>0</v>
      </c>
      <c r="Q51" s="477"/>
      <c r="R51" s="451">
        <f t="shared" si="16"/>
        <v>0</v>
      </c>
      <c r="S51" s="451">
        <f t="shared" si="17"/>
        <v>0</v>
      </c>
      <c r="T51" s="935">
        <v>0</v>
      </c>
      <c r="U51" s="880">
        <v>0</v>
      </c>
      <c r="V51" s="477"/>
      <c r="W51" s="451">
        <f t="shared" si="18"/>
        <v>0</v>
      </c>
    </row>
    <row r="52" spans="1:23" s="2" customFormat="1">
      <c r="A52" s="427"/>
      <c r="B52" s="474">
        <f t="shared" si="19"/>
        <v>13</v>
      </c>
      <c r="C52" s="476" t="s">
        <v>897</v>
      </c>
      <c r="D52" s="451">
        <f t="shared" si="11"/>
        <v>0</v>
      </c>
      <c r="E52" s="935">
        <v>0</v>
      </c>
      <c r="F52" s="880">
        <v>0</v>
      </c>
      <c r="G52" s="477"/>
      <c r="H52" s="451">
        <f t="shared" si="12"/>
        <v>0</v>
      </c>
      <c r="I52" s="451">
        <f t="shared" si="13"/>
        <v>0</v>
      </c>
      <c r="J52" s="935">
        <v>0</v>
      </c>
      <c r="K52" s="880">
        <v>0</v>
      </c>
      <c r="L52" s="477"/>
      <c r="M52" s="451">
        <f t="shared" si="14"/>
        <v>0</v>
      </c>
      <c r="N52" s="451">
        <f t="shared" si="15"/>
        <v>0</v>
      </c>
      <c r="O52" s="935">
        <v>0</v>
      </c>
      <c r="P52" s="880">
        <v>0</v>
      </c>
      <c r="Q52" s="477"/>
      <c r="R52" s="451">
        <f t="shared" si="16"/>
        <v>0</v>
      </c>
      <c r="S52" s="451">
        <f t="shared" si="17"/>
        <v>0</v>
      </c>
      <c r="T52" s="935">
        <v>0</v>
      </c>
      <c r="U52" s="880">
        <v>0</v>
      </c>
      <c r="V52" s="477"/>
      <c r="W52" s="451">
        <f t="shared" si="18"/>
        <v>0</v>
      </c>
    </row>
    <row r="53" spans="1:23" s="2" customFormat="1">
      <c r="A53" s="427"/>
      <c r="B53" s="474">
        <f t="shared" si="19"/>
        <v>14</v>
      </c>
      <c r="C53" s="476" t="s">
        <v>898</v>
      </c>
      <c r="D53" s="451">
        <f t="shared" si="11"/>
        <v>0.89599004399999993</v>
      </c>
      <c r="E53" s="935">
        <v>0</v>
      </c>
      <c r="F53" s="880">
        <v>0</v>
      </c>
      <c r="G53" s="477"/>
      <c r="H53" s="451">
        <f t="shared" si="12"/>
        <v>0.89599004399999993</v>
      </c>
      <c r="I53" s="451">
        <f t="shared" si="13"/>
        <v>0.89599004399999993</v>
      </c>
      <c r="J53" s="935">
        <v>0</v>
      </c>
      <c r="K53" s="880">
        <v>0</v>
      </c>
      <c r="L53" s="477"/>
      <c r="M53" s="451">
        <f t="shared" si="14"/>
        <v>0.89599004399999993</v>
      </c>
      <c r="N53" s="451">
        <f t="shared" si="15"/>
        <v>0.89599004399999993</v>
      </c>
      <c r="O53" s="935">
        <v>0</v>
      </c>
      <c r="P53" s="880">
        <v>0</v>
      </c>
      <c r="Q53" s="477"/>
      <c r="R53" s="451">
        <f t="shared" si="16"/>
        <v>0.89599004399999993</v>
      </c>
      <c r="S53" s="451">
        <f t="shared" si="17"/>
        <v>0.89599004399999993</v>
      </c>
      <c r="T53" s="935">
        <v>0</v>
      </c>
      <c r="U53" s="880">
        <v>0</v>
      </c>
      <c r="V53" s="477"/>
      <c r="W53" s="451">
        <f t="shared" si="18"/>
        <v>0.89599004399999993</v>
      </c>
    </row>
    <row r="54" spans="1:23" s="2" customFormat="1">
      <c r="A54" s="427"/>
      <c r="B54" s="474">
        <f t="shared" si="19"/>
        <v>15</v>
      </c>
      <c r="C54" s="476" t="s">
        <v>899</v>
      </c>
      <c r="D54" s="451">
        <f t="shared" si="11"/>
        <v>0</v>
      </c>
      <c r="E54" s="935">
        <v>0</v>
      </c>
      <c r="F54" s="880">
        <v>0</v>
      </c>
      <c r="G54" s="477"/>
      <c r="H54" s="451">
        <f t="shared" si="12"/>
        <v>0</v>
      </c>
      <c r="I54" s="451">
        <f t="shared" si="13"/>
        <v>0</v>
      </c>
      <c r="J54" s="935">
        <v>0</v>
      </c>
      <c r="K54" s="880">
        <v>0</v>
      </c>
      <c r="L54" s="477"/>
      <c r="M54" s="451">
        <f t="shared" si="14"/>
        <v>0</v>
      </c>
      <c r="N54" s="451">
        <f t="shared" si="15"/>
        <v>0</v>
      </c>
      <c r="O54" s="935">
        <v>0</v>
      </c>
      <c r="P54" s="880">
        <v>0</v>
      </c>
      <c r="Q54" s="477"/>
      <c r="R54" s="451">
        <f t="shared" si="16"/>
        <v>0</v>
      </c>
      <c r="S54" s="451">
        <f t="shared" si="17"/>
        <v>0</v>
      </c>
      <c r="T54" s="935">
        <v>0</v>
      </c>
      <c r="U54" s="880">
        <v>0</v>
      </c>
      <c r="V54" s="477"/>
      <c r="W54" s="451">
        <f t="shared" si="18"/>
        <v>0</v>
      </c>
    </row>
    <row r="55" spans="1:23" s="2" customFormat="1">
      <c r="A55" s="427"/>
      <c r="B55" s="474">
        <f t="shared" si="19"/>
        <v>16</v>
      </c>
      <c r="C55" s="476" t="s">
        <v>849</v>
      </c>
      <c r="D55" s="451">
        <f t="shared" si="11"/>
        <v>0</v>
      </c>
      <c r="E55" s="935">
        <v>0</v>
      </c>
      <c r="F55" s="880">
        <v>0</v>
      </c>
      <c r="G55" s="477"/>
      <c r="H55" s="451">
        <f t="shared" si="12"/>
        <v>0</v>
      </c>
      <c r="I55" s="451">
        <f t="shared" si="13"/>
        <v>0</v>
      </c>
      <c r="J55" s="935">
        <v>0</v>
      </c>
      <c r="K55" s="880">
        <v>0</v>
      </c>
      <c r="L55" s="477"/>
      <c r="M55" s="451">
        <f t="shared" si="14"/>
        <v>0</v>
      </c>
      <c r="N55" s="451">
        <f t="shared" si="15"/>
        <v>0</v>
      </c>
      <c r="O55" s="935">
        <v>0</v>
      </c>
      <c r="P55" s="880">
        <v>0</v>
      </c>
      <c r="Q55" s="477"/>
      <c r="R55" s="451">
        <f t="shared" si="16"/>
        <v>0</v>
      </c>
      <c r="S55" s="451">
        <f t="shared" si="17"/>
        <v>0</v>
      </c>
      <c r="T55" s="935">
        <v>0</v>
      </c>
      <c r="U55" s="880">
        <v>0</v>
      </c>
      <c r="V55" s="477"/>
      <c r="W55" s="451">
        <f t="shared" si="18"/>
        <v>0</v>
      </c>
    </row>
    <row r="56" spans="1:23" s="2" customFormat="1">
      <c r="A56" s="427"/>
      <c r="B56" s="474">
        <f t="shared" si="19"/>
        <v>17</v>
      </c>
      <c r="C56" s="476" t="s">
        <v>900</v>
      </c>
      <c r="D56" s="451">
        <f t="shared" si="11"/>
        <v>0</v>
      </c>
      <c r="E56" s="935">
        <v>0</v>
      </c>
      <c r="F56" s="880">
        <v>0</v>
      </c>
      <c r="G56" s="477"/>
      <c r="H56" s="451">
        <f t="shared" si="12"/>
        <v>0</v>
      </c>
      <c r="I56" s="451">
        <f t="shared" si="13"/>
        <v>0</v>
      </c>
      <c r="J56" s="935">
        <v>0</v>
      </c>
      <c r="K56" s="880">
        <v>0</v>
      </c>
      <c r="L56" s="477"/>
      <c r="M56" s="451">
        <f t="shared" si="14"/>
        <v>0</v>
      </c>
      <c r="N56" s="451">
        <f t="shared" si="15"/>
        <v>0</v>
      </c>
      <c r="O56" s="935">
        <v>0</v>
      </c>
      <c r="P56" s="880">
        <v>0</v>
      </c>
      <c r="Q56" s="477"/>
      <c r="R56" s="451">
        <f t="shared" si="16"/>
        <v>0</v>
      </c>
      <c r="S56" s="451">
        <f t="shared" si="17"/>
        <v>0</v>
      </c>
      <c r="T56" s="935">
        <v>0</v>
      </c>
      <c r="U56" s="880">
        <v>0</v>
      </c>
      <c r="V56" s="477"/>
      <c r="W56" s="451">
        <f t="shared" si="18"/>
        <v>0</v>
      </c>
    </row>
    <row r="57" spans="1:23" s="1" customFormat="1" ht="16">
      <c r="B57" s="83"/>
      <c r="C57" s="97" t="s">
        <v>271</v>
      </c>
      <c r="D57" s="355">
        <f>SUM(D40:D56)</f>
        <v>2016.1366979186946</v>
      </c>
      <c r="E57" s="355">
        <f>SUM(E40:E56)</f>
        <v>0</v>
      </c>
      <c r="F57" s="355">
        <f>SUM(F40:F56)</f>
        <v>0</v>
      </c>
      <c r="G57" s="355">
        <f>SUM(G40:G56)</f>
        <v>0</v>
      </c>
      <c r="H57" s="355">
        <f>SUM(H40:H56)</f>
        <v>2016.1366979186946</v>
      </c>
      <c r="I57" s="355">
        <f t="shared" ref="I57:M57" si="20">SUM(I40:I56)</f>
        <v>2016.1366979186946</v>
      </c>
      <c r="J57" s="355">
        <f t="shared" si="20"/>
        <v>0</v>
      </c>
      <c r="K57" s="355">
        <f t="shared" si="20"/>
        <v>0</v>
      </c>
      <c r="L57" s="355">
        <f t="shared" si="20"/>
        <v>0</v>
      </c>
      <c r="M57" s="355">
        <f t="shared" si="20"/>
        <v>2016.1366979186946</v>
      </c>
      <c r="N57" s="355">
        <f t="shared" ref="N57:W57" si="21">SUM(N40:N56)</f>
        <v>2016.1366979186946</v>
      </c>
      <c r="O57" s="355">
        <f t="shared" si="21"/>
        <v>0</v>
      </c>
      <c r="P57" s="355">
        <f t="shared" si="21"/>
        <v>0</v>
      </c>
      <c r="Q57" s="355">
        <f t="shared" si="21"/>
        <v>0</v>
      </c>
      <c r="R57" s="355">
        <f t="shared" si="21"/>
        <v>2016.1366979186946</v>
      </c>
      <c r="S57" s="355">
        <f t="shared" si="21"/>
        <v>2016.1366979186946</v>
      </c>
      <c r="T57" s="355">
        <f t="shared" si="21"/>
        <v>0</v>
      </c>
      <c r="U57" s="355">
        <f t="shared" si="21"/>
        <v>0</v>
      </c>
      <c r="V57" s="355">
        <f t="shared" si="21"/>
        <v>0</v>
      </c>
      <c r="W57" s="355">
        <f t="shared" si="21"/>
        <v>2016.1366979186946</v>
      </c>
    </row>
    <row r="58" spans="1:23" s="1" customFormat="1" ht="16">
      <c r="B58" s="267"/>
      <c r="C58" s="267"/>
      <c r="D58" s="267"/>
      <c r="E58" s="267"/>
      <c r="F58" s="267"/>
      <c r="G58" s="267"/>
      <c r="H58" s="1266">
        <f>H57+'F5.1 (N)'!N33</f>
        <v>2133.7858645853612</v>
      </c>
      <c r="I58" s="267"/>
      <c r="J58" s="267"/>
      <c r="K58" s="267"/>
      <c r="L58" s="267"/>
      <c r="M58" s="267"/>
      <c r="N58" s="267"/>
      <c r="O58" s="267"/>
    </row>
    <row r="59" spans="1:23" ht="16">
      <c r="B59" s="267"/>
      <c r="C59" s="267"/>
      <c r="D59" s="267"/>
      <c r="E59" s="267"/>
      <c r="F59" s="267"/>
      <c r="G59" s="267"/>
      <c r="H59" s="267"/>
      <c r="I59" s="267"/>
      <c r="J59" s="267"/>
      <c r="K59" s="267"/>
      <c r="L59" s="267"/>
      <c r="M59" s="267"/>
      <c r="N59" s="267"/>
      <c r="O59" s="267"/>
      <c r="P59" s="1"/>
      <c r="Q59" s="1"/>
      <c r="R59" s="1"/>
    </row>
    <row r="60" spans="1:23">
      <c r="B60" s="1"/>
      <c r="C60" s="1"/>
      <c r="D60" s="1"/>
      <c r="E60" s="1"/>
      <c r="F60" s="1"/>
      <c r="G60" s="1"/>
      <c r="H60" s="1"/>
      <c r="I60" s="1"/>
      <c r="J60" s="1"/>
      <c r="K60" s="1"/>
      <c r="L60" s="1"/>
      <c r="M60" s="1"/>
      <c r="N60" s="1"/>
      <c r="O60" s="1"/>
      <c r="P60" s="1"/>
      <c r="Q60" s="1"/>
      <c r="R60" s="1"/>
    </row>
    <row r="61" spans="1:23">
      <c r="B61" s="373" t="s">
        <v>272</v>
      </c>
      <c r="C61" s="1"/>
      <c r="D61" s="1"/>
      <c r="E61" s="1"/>
      <c r="F61" s="1"/>
      <c r="G61" s="1"/>
      <c r="H61" s="1"/>
      <c r="I61" s="1"/>
      <c r="J61" s="1"/>
      <c r="K61" s="1"/>
      <c r="L61" s="1"/>
      <c r="M61" s="1"/>
      <c r="N61" s="1"/>
      <c r="O61" s="1"/>
      <c r="P61" s="1"/>
      <c r="Q61" s="1"/>
      <c r="R61" s="1"/>
    </row>
    <row r="62" spans="1:23">
      <c r="B62" s="373"/>
      <c r="C62" s="1"/>
      <c r="D62" s="1"/>
      <c r="E62" s="1"/>
      <c r="F62" s="1"/>
      <c r="G62" s="1"/>
      <c r="H62" s="1"/>
      <c r="I62" s="1"/>
      <c r="J62" s="1"/>
      <c r="K62" s="1"/>
      <c r="L62" s="1"/>
      <c r="M62" s="1"/>
      <c r="N62" s="1"/>
      <c r="O62" s="1"/>
      <c r="P62" s="1"/>
      <c r="Q62" s="1"/>
      <c r="R62" s="1"/>
    </row>
    <row r="63" spans="1:23" ht="15" customHeight="1">
      <c r="B63" s="1"/>
      <c r="C63" s="1"/>
      <c r="D63" s="8"/>
      <c r="E63" s="8"/>
      <c r="F63" s="8"/>
      <c r="G63" s="8"/>
      <c r="H63" s="8"/>
      <c r="I63" s="1"/>
      <c r="J63" s="44"/>
      <c r="K63" s="1"/>
      <c r="L63" s="1"/>
      <c r="M63" s="264" t="s">
        <v>10</v>
      </c>
      <c r="N63" s="44"/>
      <c r="O63" s="1"/>
      <c r="P63" s="1"/>
      <c r="Q63" s="1"/>
    </row>
    <row r="64" spans="1:23" ht="15" customHeight="1">
      <c r="B64" s="1804" t="s">
        <v>340</v>
      </c>
      <c r="C64" s="1804" t="s">
        <v>36</v>
      </c>
      <c r="D64" s="1934" t="s">
        <v>508</v>
      </c>
      <c r="E64" s="1935"/>
      <c r="F64" s="1935"/>
      <c r="G64" s="1935"/>
      <c r="H64" s="1936"/>
      <c r="I64" s="1937" t="s">
        <v>509</v>
      </c>
      <c r="J64" s="1937"/>
      <c r="K64" s="1937"/>
      <c r="L64" s="1937"/>
      <c r="M64" s="1937"/>
      <c r="N64" s="1933" t="s">
        <v>510</v>
      </c>
      <c r="O64" s="1933"/>
      <c r="P64" s="1933"/>
      <c r="Q64" s="1933"/>
      <c r="R64" s="1933"/>
      <c r="S64" s="1933" t="s">
        <v>958</v>
      </c>
      <c r="T64" s="1933"/>
      <c r="U64" s="1933"/>
      <c r="V64" s="1933"/>
      <c r="W64" s="1933"/>
    </row>
    <row r="65" spans="1:25">
      <c r="B65" s="1804"/>
      <c r="C65" s="1804"/>
      <c r="D65" s="1942" t="s">
        <v>7</v>
      </c>
      <c r="E65" s="1943"/>
      <c r="F65" s="1943"/>
      <c r="G65" s="1943"/>
      <c r="H65" s="1943"/>
      <c r="I65" s="1942" t="s">
        <v>7</v>
      </c>
      <c r="J65" s="1943"/>
      <c r="K65" s="1943"/>
      <c r="L65" s="1943"/>
      <c r="M65" s="1943"/>
      <c r="N65" s="1942" t="s">
        <v>12</v>
      </c>
      <c r="O65" s="1943"/>
      <c r="P65" s="1943"/>
      <c r="Q65" s="1943"/>
      <c r="R65" s="1943"/>
      <c r="S65" s="1937" t="s">
        <v>21</v>
      </c>
      <c r="T65" s="1938"/>
      <c r="U65" s="1938"/>
      <c r="V65" s="1938"/>
      <c r="W65" s="1938"/>
    </row>
    <row r="66" spans="1:25" ht="56">
      <c r="A66" s="5" t="s">
        <v>808</v>
      </c>
      <c r="B66" s="1804"/>
      <c r="C66" s="1804"/>
      <c r="D66" s="374" t="s">
        <v>273</v>
      </c>
      <c r="E66" s="374" t="s">
        <v>268</v>
      </c>
      <c r="F66" s="268" t="s">
        <v>274</v>
      </c>
      <c r="G66" s="372" t="s">
        <v>589</v>
      </c>
      <c r="H66" s="374" t="s">
        <v>275</v>
      </c>
      <c r="I66" s="708" t="s">
        <v>273</v>
      </c>
      <c r="J66" s="708" t="s">
        <v>268</v>
      </c>
      <c r="K66" s="268" t="s">
        <v>274</v>
      </c>
      <c r="L66" s="703" t="s">
        <v>589</v>
      </c>
      <c r="M66" s="708" t="s">
        <v>275</v>
      </c>
      <c r="N66" s="374" t="s">
        <v>273</v>
      </c>
      <c r="O66" s="374" t="s">
        <v>268</v>
      </c>
      <c r="P66" s="268" t="s">
        <v>274</v>
      </c>
      <c r="Q66" s="372" t="s">
        <v>589</v>
      </c>
      <c r="R66" s="374" t="s">
        <v>275</v>
      </c>
      <c r="S66" s="374" t="s">
        <v>273</v>
      </c>
      <c r="T66" s="374" t="s">
        <v>268</v>
      </c>
      <c r="U66" s="268" t="s">
        <v>274</v>
      </c>
      <c r="V66" s="372" t="s">
        <v>589</v>
      </c>
      <c r="W66" s="374" t="s">
        <v>275</v>
      </c>
    </row>
    <row r="67" spans="1:25" ht="28">
      <c r="B67" s="265"/>
      <c r="C67" s="265"/>
      <c r="D67" s="265" t="s">
        <v>80</v>
      </c>
      <c r="E67" s="265" t="s">
        <v>81</v>
      </c>
      <c r="F67" s="265" t="s">
        <v>461</v>
      </c>
      <c r="G67" s="265" t="s">
        <v>391</v>
      </c>
      <c r="H67" s="265" t="s">
        <v>590</v>
      </c>
      <c r="I67" s="265" t="s">
        <v>409</v>
      </c>
      <c r="J67" s="265" t="s">
        <v>511</v>
      </c>
      <c r="K67" s="265" t="s">
        <v>410</v>
      </c>
      <c r="L67" s="265" t="s">
        <v>411</v>
      </c>
      <c r="M67" s="265" t="s">
        <v>654</v>
      </c>
      <c r="N67" s="265" t="s">
        <v>596</v>
      </c>
      <c r="O67" s="265" t="s">
        <v>597</v>
      </c>
      <c r="P67" s="265" t="s">
        <v>598</v>
      </c>
      <c r="Q67" s="265" t="s">
        <v>656</v>
      </c>
      <c r="R67" s="265" t="s">
        <v>657</v>
      </c>
      <c r="S67" s="265" t="s">
        <v>658</v>
      </c>
      <c r="T67" s="265" t="s">
        <v>659</v>
      </c>
      <c r="U67" s="265" t="s">
        <v>660</v>
      </c>
      <c r="V67" s="265" t="s">
        <v>661</v>
      </c>
      <c r="W67" s="265" t="s">
        <v>662</v>
      </c>
    </row>
    <row r="68" spans="1:25">
      <c r="A68" s="696">
        <v>0</v>
      </c>
      <c r="B68" s="95">
        <v>1</v>
      </c>
      <c r="C68" s="455" t="s">
        <v>841</v>
      </c>
      <c r="D68" s="356">
        <v>0</v>
      </c>
      <c r="E68" s="697">
        <f t="shared" ref="E68:E84" si="22">IF((IFERROR(D68/((D14+E14)*90%),0))&lt;70%,MIN((MAX((D14+E14)*90%-D68,0)),(D14+E14/2)*$Y68),MAX((E14+D14)*90%-D68,0)/E$86)</f>
        <v>0</v>
      </c>
      <c r="F68" s="356">
        <f>IFERROR(IF(D68=0,0,D68/D14*F14),0)</f>
        <v>0</v>
      </c>
      <c r="G68" s="357"/>
      <c r="H68" s="356">
        <f>D68+E68-F68-G68</f>
        <v>0</v>
      </c>
      <c r="I68" s="353">
        <f>H68</f>
        <v>0</v>
      </c>
      <c r="J68" s="697">
        <f>IF((IFERROR(I68/((I14+J14)*90%),0))&lt;70%,MIN((MAX((I14+J14)*90%-I68,0)),(I14+J14/2)*$A68),MAX((J14+I14)*90%-I68,0)/J$86)</f>
        <v>0</v>
      </c>
      <c r="K68" s="356">
        <f>IFERROR(IF(I68=0,0,I68/I14*K14),0)</f>
        <v>0</v>
      </c>
      <c r="L68" s="357"/>
      <c r="M68" s="353">
        <f t="shared" ref="M68:M79" si="23">I68+J68-K68-L68</f>
        <v>0</v>
      </c>
      <c r="N68" s="356">
        <f>M68</f>
        <v>0</v>
      </c>
      <c r="O68" s="697">
        <f t="shared" ref="O68:O84" si="24">IF((IFERROR(N68/((N14+O14)*90%),0))&lt;70%,MIN((MAX((N14+O14)*90%-N68,0)),(N14+O14/2)*$A95),MAX((O14+N14)*90%-N68,0)/O$86)</f>
        <v>0</v>
      </c>
      <c r="P68" s="356">
        <f t="shared" ref="P68:P84" si="25">IFERROR(IF(N68=0,0,N68/N14*P14),0)</f>
        <v>0</v>
      </c>
      <c r="Q68" s="357"/>
      <c r="R68" s="356">
        <f>N68+O68-P68-Q68</f>
        <v>0</v>
      </c>
      <c r="S68" s="353">
        <f>R68</f>
        <v>0</v>
      </c>
      <c r="T68" s="697">
        <f t="shared" ref="T68:T84" si="26">IF((IFERROR(S68/((S14+T14)*90%),0))&lt;70%,MIN((MAX((S14+T14)*90%-S68,0)),(S14+T14/2)*$A95),MAX((T14+S14)*90%-S68,0)/T$86)</f>
        <v>0</v>
      </c>
      <c r="U68" s="356">
        <f t="shared" ref="U68:U84" si="27">IFERROR(IF(S68=0,0,S68/S14*U14),0)</f>
        <v>0</v>
      </c>
      <c r="V68" s="357"/>
      <c r="W68" s="353">
        <f>S68+T68-U68-V68</f>
        <v>0</v>
      </c>
      <c r="Y68" s="696">
        <v>0</v>
      </c>
    </row>
    <row r="69" spans="1:25">
      <c r="A69" s="696">
        <v>3.3399999999999999E-2</v>
      </c>
      <c r="B69" s="95">
        <f>B68+1</f>
        <v>2</v>
      </c>
      <c r="C69" s="455" t="s">
        <v>842</v>
      </c>
      <c r="D69" s="356">
        <v>23.108787330895083</v>
      </c>
      <c r="E69" s="697">
        <f t="shared" si="22"/>
        <v>4.5721508030860223</v>
      </c>
      <c r="F69" s="356">
        <f t="shared" ref="F69:F84" si="28">IFERROR(IF(D69=0,0,D69/D15*F15),0)</f>
        <v>0</v>
      </c>
      <c r="G69" s="357"/>
      <c r="H69" s="826">
        <f>D69+E69-F69-G69</f>
        <v>27.680938133981105</v>
      </c>
      <c r="I69" s="353">
        <f t="shared" ref="I69:I79" si="29">H69</f>
        <v>27.680938133981105</v>
      </c>
      <c r="J69" s="697">
        <f t="shared" ref="J69:J84" si="30">IF((IFERROR(I69/((I15+J15)*90%),0))&lt;70%,MIN((MAX((I15+J15)*90%-I69,0)),(I15+J15/2)*$A69),MAX((J15+I15)*90%-I69,0)/J$86)</f>
        <v>4.6094463786860231</v>
      </c>
      <c r="K69" s="356">
        <f t="shared" ref="K69:K84" si="31">IFERROR(IF(I69=0,0,I69/I15*K15),0)</f>
        <v>0</v>
      </c>
      <c r="L69" s="357"/>
      <c r="M69" s="353">
        <f t="shared" si="23"/>
        <v>32.290384512667131</v>
      </c>
      <c r="N69" s="356">
        <f t="shared" ref="N69:N84" si="32">M69</f>
        <v>32.290384512667131</v>
      </c>
      <c r="O69" s="697">
        <f t="shared" si="24"/>
        <v>4.6467419542860231</v>
      </c>
      <c r="P69" s="356">
        <f t="shared" si="25"/>
        <v>0</v>
      </c>
      <c r="Q69" s="357"/>
      <c r="R69" s="356">
        <f t="shared" ref="R69:R79" si="33">N69+O69-P69-Q69</f>
        <v>36.937126466953153</v>
      </c>
      <c r="S69" s="353">
        <f t="shared" ref="S69:S79" si="34">R69</f>
        <v>36.937126466953153</v>
      </c>
      <c r="T69" s="697">
        <f t="shared" si="26"/>
        <v>4.6467419542860231</v>
      </c>
      <c r="U69" s="356">
        <f t="shared" si="27"/>
        <v>0</v>
      </c>
      <c r="V69" s="357"/>
      <c r="W69" s="353">
        <f t="shared" ref="W69:W79" si="35">S69+T69-U69-V69</f>
        <v>41.583868421239174</v>
      </c>
      <c r="Y69" s="696">
        <v>3.3399999999999999E-2</v>
      </c>
    </row>
    <row r="70" spans="1:25">
      <c r="A70" s="696">
        <v>5.28E-2</v>
      </c>
      <c r="B70" s="95">
        <f t="shared" ref="B70:B84" si="36">B69+1</f>
        <v>3</v>
      </c>
      <c r="C70" s="455" t="s">
        <v>843</v>
      </c>
      <c r="D70" s="356">
        <v>0</v>
      </c>
      <c r="E70" s="697">
        <f t="shared" si="22"/>
        <v>0</v>
      </c>
      <c r="F70" s="356">
        <f t="shared" si="28"/>
        <v>0</v>
      </c>
      <c r="G70" s="357"/>
      <c r="H70" s="356">
        <f t="shared" ref="H70:H84" si="37">D70+E70-F70-G70</f>
        <v>0</v>
      </c>
      <c r="I70" s="353">
        <f t="shared" si="29"/>
        <v>0</v>
      </c>
      <c r="J70" s="697">
        <f t="shared" si="30"/>
        <v>0</v>
      </c>
      <c r="K70" s="356">
        <f t="shared" si="31"/>
        <v>0</v>
      </c>
      <c r="L70" s="357"/>
      <c r="M70" s="353">
        <f t="shared" si="23"/>
        <v>0</v>
      </c>
      <c r="N70" s="356">
        <f t="shared" si="32"/>
        <v>0</v>
      </c>
      <c r="O70" s="697">
        <f t="shared" si="24"/>
        <v>0</v>
      </c>
      <c r="P70" s="356">
        <f t="shared" si="25"/>
        <v>0</v>
      </c>
      <c r="Q70" s="357"/>
      <c r="R70" s="356">
        <f t="shared" si="33"/>
        <v>0</v>
      </c>
      <c r="S70" s="353">
        <f t="shared" si="34"/>
        <v>0</v>
      </c>
      <c r="T70" s="697">
        <f t="shared" si="26"/>
        <v>0</v>
      </c>
      <c r="U70" s="356">
        <f t="shared" si="27"/>
        <v>0</v>
      </c>
      <c r="V70" s="357"/>
      <c r="W70" s="353">
        <f t="shared" si="35"/>
        <v>0</v>
      </c>
      <c r="Y70" s="696">
        <v>5.28E-2</v>
      </c>
    </row>
    <row r="71" spans="1:25">
      <c r="A71" s="696">
        <v>5.28E-2</v>
      </c>
      <c r="B71" s="95">
        <f t="shared" si="36"/>
        <v>4</v>
      </c>
      <c r="C71" s="455" t="s">
        <v>844</v>
      </c>
      <c r="D71" s="356">
        <v>28.809328370671452</v>
      </c>
      <c r="E71" s="697">
        <f t="shared" si="22"/>
        <v>5.528394585400334</v>
      </c>
      <c r="F71" s="356">
        <f t="shared" si="28"/>
        <v>0</v>
      </c>
      <c r="G71" s="357"/>
      <c r="H71" s="356">
        <f t="shared" si="37"/>
        <v>34.337722956071786</v>
      </c>
      <c r="I71" s="353">
        <f t="shared" si="29"/>
        <v>34.337722956071786</v>
      </c>
      <c r="J71" s="697">
        <f t="shared" si="30"/>
        <v>5.5464320369731341</v>
      </c>
      <c r="K71" s="356">
        <f t="shared" si="31"/>
        <v>0</v>
      </c>
      <c r="L71" s="357"/>
      <c r="M71" s="353">
        <f t="shared" si="23"/>
        <v>39.884154993044923</v>
      </c>
      <c r="N71" s="356">
        <f t="shared" si="32"/>
        <v>39.884154993044923</v>
      </c>
      <c r="O71" s="697">
        <f t="shared" si="24"/>
        <v>5.5464320369731341</v>
      </c>
      <c r="P71" s="356">
        <f t="shared" si="25"/>
        <v>0</v>
      </c>
      <c r="Q71" s="357"/>
      <c r="R71" s="356">
        <f t="shared" si="33"/>
        <v>45.43058703001806</v>
      </c>
      <c r="S71" s="353">
        <f t="shared" si="34"/>
        <v>45.43058703001806</v>
      </c>
      <c r="T71" s="697">
        <f t="shared" si="26"/>
        <v>5.5464320369731341</v>
      </c>
      <c r="U71" s="356">
        <f t="shared" si="27"/>
        <v>0</v>
      </c>
      <c r="V71" s="357"/>
      <c r="W71" s="353">
        <f t="shared" si="35"/>
        <v>50.977019066991197</v>
      </c>
      <c r="Y71" s="696">
        <v>5.28E-2</v>
      </c>
    </row>
    <row r="72" spans="1:25">
      <c r="A72" s="696">
        <v>3.3399999999999999E-2</v>
      </c>
      <c r="B72" s="95">
        <f t="shared" si="36"/>
        <v>5</v>
      </c>
      <c r="C72" s="455" t="s">
        <v>845</v>
      </c>
      <c r="D72" s="356">
        <v>5.4199334560536805</v>
      </c>
      <c r="E72" s="697">
        <f t="shared" si="22"/>
        <v>1.0461582806866132</v>
      </c>
      <c r="F72" s="356">
        <f t="shared" si="28"/>
        <v>0</v>
      </c>
      <c r="G72" s="357"/>
      <c r="H72" s="356">
        <f t="shared" si="37"/>
        <v>6.4660917367402941</v>
      </c>
      <c r="I72" s="353">
        <f t="shared" si="29"/>
        <v>6.4660917367402941</v>
      </c>
      <c r="J72" s="697">
        <f t="shared" si="30"/>
        <v>1.8311554120282134</v>
      </c>
      <c r="K72" s="356">
        <f t="shared" si="31"/>
        <v>0</v>
      </c>
      <c r="L72" s="357"/>
      <c r="M72" s="353">
        <f t="shared" si="23"/>
        <v>8.2972471487685073</v>
      </c>
      <c r="N72" s="356">
        <f t="shared" si="32"/>
        <v>8.2972471487685073</v>
      </c>
      <c r="O72" s="697">
        <f t="shared" si="24"/>
        <v>2.6500535433698134</v>
      </c>
      <c r="P72" s="356">
        <f t="shared" si="25"/>
        <v>0</v>
      </c>
      <c r="Q72" s="357"/>
      <c r="R72" s="356">
        <f t="shared" si="33"/>
        <v>10.94730069213832</v>
      </c>
      <c r="S72" s="353">
        <f t="shared" si="34"/>
        <v>10.94730069213832</v>
      </c>
      <c r="T72" s="697">
        <f t="shared" si="26"/>
        <v>2.6839545433698135</v>
      </c>
      <c r="U72" s="356">
        <f t="shared" si="27"/>
        <v>0</v>
      </c>
      <c r="V72" s="357"/>
      <c r="W72" s="353">
        <f t="shared" si="35"/>
        <v>13.631255235508133</v>
      </c>
      <c r="Y72" s="696">
        <v>3.3399999999999999E-2</v>
      </c>
    </row>
    <row r="73" spans="1:25">
      <c r="A73" s="696">
        <v>5.28E-2</v>
      </c>
      <c r="B73" s="95">
        <f t="shared" si="36"/>
        <v>6</v>
      </c>
      <c r="C73" s="455" t="s">
        <v>255</v>
      </c>
      <c r="D73" s="356">
        <v>420.29665966327389</v>
      </c>
      <c r="E73" s="697">
        <f t="shared" si="22"/>
        <v>81.548572946742652</v>
      </c>
      <c r="F73" s="356">
        <f>IFERROR(IF(D73=0,0,D73/D19*F19),0)</f>
        <v>0</v>
      </c>
      <c r="G73" s="357"/>
      <c r="H73" s="356">
        <f t="shared" si="37"/>
        <v>501.84523261001652</v>
      </c>
      <c r="I73" s="353">
        <f t="shared" si="29"/>
        <v>501.84523261001652</v>
      </c>
      <c r="J73" s="697">
        <f t="shared" si="30"/>
        <v>82.62119831857386</v>
      </c>
      <c r="K73" s="356">
        <f t="shared" si="31"/>
        <v>0</v>
      </c>
      <c r="L73" s="357"/>
      <c r="M73" s="353">
        <f t="shared" si="23"/>
        <v>584.4664309285904</v>
      </c>
      <c r="N73" s="356">
        <f t="shared" si="32"/>
        <v>584.4664309285904</v>
      </c>
      <c r="O73" s="697">
        <f t="shared" si="24"/>
        <v>83.785663195331452</v>
      </c>
      <c r="P73" s="356">
        <f t="shared" si="25"/>
        <v>0</v>
      </c>
      <c r="Q73" s="357"/>
      <c r="R73" s="356">
        <f t="shared" si="33"/>
        <v>668.25209412392189</v>
      </c>
      <c r="S73" s="353">
        <f t="shared" si="34"/>
        <v>668.25209412392189</v>
      </c>
      <c r="T73" s="697">
        <f t="shared" si="26"/>
        <v>85.141743195331458</v>
      </c>
      <c r="U73" s="356">
        <f t="shared" si="27"/>
        <v>0</v>
      </c>
      <c r="V73" s="357"/>
      <c r="W73" s="353">
        <f t="shared" si="35"/>
        <v>753.39383731925341</v>
      </c>
      <c r="Y73" s="696">
        <v>5.28E-2</v>
      </c>
    </row>
    <row r="74" spans="1:25">
      <c r="A74" s="696">
        <v>0.18</v>
      </c>
      <c r="B74" s="95">
        <f t="shared" si="36"/>
        <v>7</v>
      </c>
      <c r="C74" s="455" t="s">
        <v>846</v>
      </c>
      <c r="D74" s="356">
        <v>0</v>
      </c>
      <c r="E74" s="697">
        <f t="shared" si="22"/>
        <v>0</v>
      </c>
      <c r="F74" s="356">
        <f t="shared" si="28"/>
        <v>0</v>
      </c>
      <c r="G74" s="357"/>
      <c r="H74" s="356">
        <f t="shared" si="37"/>
        <v>0</v>
      </c>
      <c r="I74" s="353">
        <f t="shared" si="29"/>
        <v>0</v>
      </c>
      <c r="J74" s="697">
        <f t="shared" si="30"/>
        <v>0</v>
      </c>
      <c r="K74" s="356">
        <f t="shared" si="31"/>
        <v>0</v>
      </c>
      <c r="L74" s="357"/>
      <c r="M74" s="353">
        <f t="shared" si="23"/>
        <v>0</v>
      </c>
      <c r="N74" s="356">
        <f t="shared" si="32"/>
        <v>0</v>
      </c>
      <c r="O74" s="697">
        <f t="shared" si="24"/>
        <v>0</v>
      </c>
      <c r="P74" s="356">
        <f t="shared" si="25"/>
        <v>0</v>
      </c>
      <c r="Q74" s="357"/>
      <c r="R74" s="356">
        <f t="shared" si="33"/>
        <v>0</v>
      </c>
      <c r="S74" s="353">
        <f t="shared" si="34"/>
        <v>0</v>
      </c>
      <c r="T74" s="697">
        <f t="shared" si="26"/>
        <v>0</v>
      </c>
      <c r="U74" s="356">
        <f t="shared" si="27"/>
        <v>0</v>
      </c>
      <c r="V74" s="357"/>
      <c r="W74" s="353">
        <f t="shared" si="35"/>
        <v>0</v>
      </c>
      <c r="Y74" s="696">
        <v>0.18</v>
      </c>
    </row>
    <row r="75" spans="1:25">
      <c r="A75" s="696">
        <v>5.28E-2</v>
      </c>
      <c r="B75" s="95">
        <f t="shared" si="36"/>
        <v>8</v>
      </c>
      <c r="C75" s="455" t="s">
        <v>847</v>
      </c>
      <c r="D75" s="356">
        <v>0</v>
      </c>
      <c r="E75" s="697">
        <f t="shared" si="22"/>
        <v>0</v>
      </c>
      <c r="F75" s="356">
        <f t="shared" si="28"/>
        <v>0</v>
      </c>
      <c r="G75" s="357"/>
      <c r="H75" s="356">
        <f t="shared" si="37"/>
        <v>0</v>
      </c>
      <c r="I75" s="353">
        <f t="shared" si="29"/>
        <v>0</v>
      </c>
      <c r="J75" s="697">
        <f t="shared" si="30"/>
        <v>0</v>
      </c>
      <c r="K75" s="356">
        <f t="shared" si="31"/>
        <v>0</v>
      </c>
      <c r="L75" s="357"/>
      <c r="M75" s="353">
        <f t="shared" si="23"/>
        <v>0</v>
      </c>
      <c r="N75" s="356">
        <f t="shared" si="32"/>
        <v>0</v>
      </c>
      <c r="O75" s="697">
        <f t="shared" si="24"/>
        <v>0</v>
      </c>
      <c r="P75" s="356">
        <f t="shared" si="25"/>
        <v>0</v>
      </c>
      <c r="Q75" s="357"/>
      <c r="R75" s="356">
        <f t="shared" si="33"/>
        <v>0</v>
      </c>
      <c r="S75" s="353">
        <f t="shared" si="34"/>
        <v>0</v>
      </c>
      <c r="T75" s="697">
        <f t="shared" si="26"/>
        <v>0</v>
      </c>
      <c r="U75" s="356">
        <f t="shared" si="27"/>
        <v>0</v>
      </c>
      <c r="V75" s="357"/>
      <c r="W75" s="353">
        <f t="shared" si="35"/>
        <v>0</v>
      </c>
      <c r="Y75" s="696">
        <v>5.28E-2</v>
      </c>
    </row>
    <row r="76" spans="1:25">
      <c r="A76" s="696">
        <v>5.28E-2</v>
      </c>
      <c r="B76" s="95">
        <f t="shared" si="36"/>
        <v>9</v>
      </c>
      <c r="C76" s="455" t="s">
        <v>848</v>
      </c>
      <c r="D76" s="356">
        <v>10.965103820676342</v>
      </c>
      <c r="E76" s="697">
        <f t="shared" si="22"/>
        <v>2.0448768475836201</v>
      </c>
      <c r="F76" s="356">
        <f t="shared" si="28"/>
        <v>0</v>
      </c>
      <c r="G76" s="357"/>
      <c r="H76" s="356">
        <f t="shared" si="37"/>
        <v>13.009980668259962</v>
      </c>
      <c r="I76" s="353">
        <f t="shared" si="29"/>
        <v>13.009980668259962</v>
      </c>
      <c r="J76" s="697">
        <f t="shared" si="30"/>
        <v>2.0448768475836201</v>
      </c>
      <c r="K76" s="356">
        <f t="shared" si="31"/>
        <v>0</v>
      </c>
      <c r="L76" s="357"/>
      <c r="M76" s="353">
        <f t="shared" si="23"/>
        <v>15.054857515843581</v>
      </c>
      <c r="N76" s="356">
        <f t="shared" si="32"/>
        <v>15.054857515843581</v>
      </c>
      <c r="O76" s="697">
        <f t="shared" si="24"/>
        <v>2.0448768475836201</v>
      </c>
      <c r="P76" s="356">
        <f t="shared" si="25"/>
        <v>0</v>
      </c>
      <c r="Q76" s="357"/>
      <c r="R76" s="356">
        <f t="shared" si="33"/>
        <v>17.099734363427203</v>
      </c>
      <c r="S76" s="353">
        <f t="shared" si="34"/>
        <v>17.099734363427203</v>
      </c>
      <c r="T76" s="697">
        <f t="shared" si="26"/>
        <v>2.0448768475836201</v>
      </c>
      <c r="U76" s="356">
        <f t="shared" si="27"/>
        <v>0</v>
      </c>
      <c r="V76" s="357"/>
      <c r="W76" s="353">
        <f t="shared" si="35"/>
        <v>19.144611211010822</v>
      </c>
      <c r="Y76" s="696">
        <v>5.28E-2</v>
      </c>
    </row>
    <row r="77" spans="1:25">
      <c r="A77" s="696">
        <v>9.5000000000000001E-2</v>
      </c>
      <c r="B77" s="95">
        <f t="shared" si="36"/>
        <v>10</v>
      </c>
      <c r="C77" s="455" t="s">
        <v>258</v>
      </c>
      <c r="D77" s="356">
        <v>0</v>
      </c>
      <c r="E77" s="697">
        <f t="shared" si="22"/>
        <v>0</v>
      </c>
      <c r="F77" s="356">
        <f t="shared" si="28"/>
        <v>0</v>
      </c>
      <c r="G77" s="357"/>
      <c r="H77" s="356">
        <f t="shared" si="37"/>
        <v>0</v>
      </c>
      <c r="I77" s="353">
        <f t="shared" si="29"/>
        <v>0</v>
      </c>
      <c r="J77" s="697">
        <f t="shared" si="30"/>
        <v>0</v>
      </c>
      <c r="K77" s="356">
        <f t="shared" si="31"/>
        <v>0</v>
      </c>
      <c r="L77" s="357"/>
      <c r="M77" s="353">
        <f t="shared" si="23"/>
        <v>0</v>
      </c>
      <c r="N77" s="356">
        <f t="shared" si="32"/>
        <v>0</v>
      </c>
      <c r="O77" s="697">
        <f t="shared" si="24"/>
        <v>0</v>
      </c>
      <c r="P77" s="356">
        <f t="shared" si="25"/>
        <v>0</v>
      </c>
      <c r="Q77" s="357"/>
      <c r="R77" s="356">
        <f t="shared" si="33"/>
        <v>0</v>
      </c>
      <c r="S77" s="353">
        <f t="shared" si="34"/>
        <v>0</v>
      </c>
      <c r="T77" s="697">
        <f t="shared" si="26"/>
        <v>0</v>
      </c>
      <c r="U77" s="356">
        <f t="shared" si="27"/>
        <v>0</v>
      </c>
      <c r="V77" s="357"/>
      <c r="W77" s="353">
        <f t="shared" si="35"/>
        <v>0</v>
      </c>
      <c r="Y77" s="696">
        <v>9.5000000000000001E-2</v>
      </c>
    </row>
    <row r="78" spans="1:25">
      <c r="A78" s="696">
        <v>6.3299999999999995E-2</v>
      </c>
      <c r="B78" s="95">
        <f t="shared" si="36"/>
        <v>11</v>
      </c>
      <c r="C78" s="455" t="s">
        <v>259</v>
      </c>
      <c r="D78" s="356">
        <v>0.14495389796824823</v>
      </c>
      <c r="E78" s="697">
        <f t="shared" si="22"/>
        <v>3.7761993922912053E-2</v>
      </c>
      <c r="F78" s="356">
        <f t="shared" si="28"/>
        <v>0</v>
      </c>
      <c r="G78" s="357"/>
      <c r="H78" s="356">
        <f t="shared" si="37"/>
        <v>0.18271589189116028</v>
      </c>
      <c r="I78" s="353">
        <f t="shared" si="29"/>
        <v>0.18271589189116028</v>
      </c>
      <c r="J78" s="697">
        <f t="shared" si="30"/>
        <v>4.3872115454362044E-2</v>
      </c>
      <c r="K78" s="356">
        <f t="shared" si="31"/>
        <v>0</v>
      </c>
      <c r="L78" s="357"/>
      <c r="M78" s="353">
        <f t="shared" si="23"/>
        <v>0.22658800734552231</v>
      </c>
      <c r="N78" s="356">
        <f t="shared" si="32"/>
        <v>0.22658800734552231</v>
      </c>
      <c r="O78" s="697">
        <f t="shared" si="24"/>
        <v>4.9859105604262051E-2</v>
      </c>
      <c r="P78" s="356">
        <f t="shared" si="25"/>
        <v>0</v>
      </c>
      <c r="Q78" s="357"/>
      <c r="R78" s="356">
        <f t="shared" si="33"/>
        <v>0.27644711294978436</v>
      </c>
      <c r="S78" s="353">
        <f t="shared" si="34"/>
        <v>0.27644711294978436</v>
      </c>
      <c r="T78" s="697">
        <f t="shared" si="26"/>
        <v>4.9859105604262051E-2</v>
      </c>
      <c r="U78" s="356">
        <f t="shared" si="27"/>
        <v>0</v>
      </c>
      <c r="V78" s="357"/>
      <c r="W78" s="353">
        <f t="shared" si="35"/>
        <v>0.3263062185540464</v>
      </c>
      <c r="Y78" s="696">
        <v>6.3299999999999995E-2</v>
      </c>
    </row>
    <row r="79" spans="1:25">
      <c r="A79" s="696">
        <v>6.3299999999999995E-2</v>
      </c>
      <c r="B79" s="95">
        <f t="shared" si="36"/>
        <v>12</v>
      </c>
      <c r="C79" s="455" t="s">
        <v>260</v>
      </c>
      <c r="D79" s="356">
        <v>0</v>
      </c>
      <c r="E79" s="697">
        <f t="shared" si="22"/>
        <v>0</v>
      </c>
      <c r="F79" s="356">
        <f t="shared" si="28"/>
        <v>0</v>
      </c>
      <c r="G79" s="358"/>
      <c r="H79" s="356">
        <f t="shared" si="37"/>
        <v>0</v>
      </c>
      <c r="I79" s="353">
        <f t="shared" si="29"/>
        <v>0</v>
      </c>
      <c r="J79" s="697">
        <f t="shared" si="30"/>
        <v>0</v>
      </c>
      <c r="K79" s="356">
        <f t="shared" si="31"/>
        <v>0</v>
      </c>
      <c r="L79" s="357"/>
      <c r="M79" s="353">
        <f t="shared" si="23"/>
        <v>0</v>
      </c>
      <c r="N79" s="356">
        <f t="shared" si="32"/>
        <v>0</v>
      </c>
      <c r="O79" s="697">
        <f t="shared" si="24"/>
        <v>0</v>
      </c>
      <c r="P79" s="356">
        <f t="shared" si="25"/>
        <v>0</v>
      </c>
      <c r="Q79" s="357"/>
      <c r="R79" s="356">
        <f t="shared" si="33"/>
        <v>0</v>
      </c>
      <c r="S79" s="353">
        <f t="shared" si="34"/>
        <v>0</v>
      </c>
      <c r="T79" s="697">
        <f t="shared" si="26"/>
        <v>0</v>
      </c>
      <c r="U79" s="356">
        <f t="shared" si="27"/>
        <v>0</v>
      </c>
      <c r="V79" s="357"/>
      <c r="W79" s="353">
        <f t="shared" si="35"/>
        <v>0</v>
      </c>
      <c r="Y79" s="696">
        <v>6.3299999999999995E-2</v>
      </c>
    </row>
    <row r="80" spans="1:25">
      <c r="A80" s="696">
        <v>6.3299999999999995E-2</v>
      </c>
      <c r="B80" s="95">
        <f t="shared" si="36"/>
        <v>13</v>
      </c>
      <c r="C80" s="476" t="s">
        <v>897</v>
      </c>
      <c r="D80" s="356">
        <v>0</v>
      </c>
      <c r="E80" s="697">
        <f t="shared" si="22"/>
        <v>0</v>
      </c>
      <c r="F80" s="356">
        <f t="shared" si="28"/>
        <v>0</v>
      </c>
      <c r="G80" s="358"/>
      <c r="H80" s="356">
        <f t="shared" si="37"/>
        <v>0</v>
      </c>
      <c r="I80" s="353">
        <f t="shared" ref="I80:I84" si="38">H80</f>
        <v>0</v>
      </c>
      <c r="J80" s="697">
        <f t="shared" si="30"/>
        <v>0</v>
      </c>
      <c r="K80" s="356">
        <f t="shared" si="31"/>
        <v>0</v>
      </c>
      <c r="L80" s="357"/>
      <c r="M80" s="353">
        <f t="shared" ref="M80:M84" si="39">I80+J80-K80-L80</f>
        <v>0</v>
      </c>
      <c r="N80" s="356">
        <f t="shared" si="32"/>
        <v>0</v>
      </c>
      <c r="O80" s="697">
        <f t="shared" si="24"/>
        <v>0</v>
      </c>
      <c r="P80" s="356">
        <f t="shared" si="25"/>
        <v>0</v>
      </c>
      <c r="Q80" s="357"/>
      <c r="R80" s="356">
        <f t="shared" ref="R80:R84" si="40">N80+O80-P80-Q80</f>
        <v>0</v>
      </c>
      <c r="S80" s="353">
        <f t="shared" ref="S80:S84" si="41">R80</f>
        <v>0</v>
      </c>
      <c r="T80" s="697">
        <f t="shared" si="26"/>
        <v>0</v>
      </c>
      <c r="U80" s="356">
        <f t="shared" si="27"/>
        <v>0</v>
      </c>
      <c r="V80" s="357"/>
      <c r="W80" s="353">
        <f t="shared" ref="W80:W84" si="42">S80+T80-U80-V80</f>
        <v>0</v>
      </c>
      <c r="Y80" s="696">
        <v>6.3299999999999995E-2</v>
      </c>
    </row>
    <row r="81" spans="1:33">
      <c r="A81" s="696">
        <v>0.15</v>
      </c>
      <c r="B81" s="95">
        <f t="shared" si="36"/>
        <v>14</v>
      </c>
      <c r="C81" s="476" t="s">
        <v>898</v>
      </c>
      <c r="D81" s="356">
        <v>0</v>
      </c>
      <c r="E81" s="697">
        <f>IF((IFERROR(D81/((D27+E27)*100%),0))&lt;70%,MIN((MAX((D27+E27)*100%-D81,0)),(D27+E27/2)*$Y81),MAX((E27+D27)*100%-D81,0)/E$86)</f>
        <v>3.8925093299999998E-2</v>
      </c>
      <c r="F81" s="356">
        <f t="shared" si="28"/>
        <v>0</v>
      </c>
      <c r="G81" s="358"/>
      <c r="H81" s="356">
        <f t="shared" si="37"/>
        <v>3.8925093299999998E-2</v>
      </c>
      <c r="I81" s="353">
        <f t="shared" si="38"/>
        <v>3.8925093299999998E-2</v>
      </c>
      <c r="J81" s="697">
        <f>IF((IFERROR(I81/((I27+J27)*100%),0))&lt;70%,MIN((MAX((I27+J27)*100%-I81,0)),(I27+J27/2)*$A81),MAX((J27+I27)*100%-I81,0)/J$86)</f>
        <v>0.10612434659999999</v>
      </c>
      <c r="K81" s="356">
        <f t="shared" si="31"/>
        <v>0</v>
      </c>
      <c r="L81" s="357"/>
      <c r="M81" s="353">
        <f t="shared" si="39"/>
        <v>0.14504943989999999</v>
      </c>
      <c r="N81" s="356">
        <f t="shared" si="32"/>
        <v>0.14504943989999999</v>
      </c>
      <c r="O81" s="697">
        <f>IF((IFERROR(N81/((N27+O27)*100%),0))&lt;70%,MIN((MAX((N27+O27)*100%-N81,0)),(N27+O27/2)*$A108),MAX((O27+N27)*100%-N81,0)/O$86)</f>
        <v>0.1343985066</v>
      </c>
      <c r="P81" s="356">
        <f t="shared" si="25"/>
        <v>0</v>
      </c>
      <c r="Q81" s="357"/>
      <c r="R81" s="356">
        <f t="shared" si="40"/>
        <v>0.27944794649999999</v>
      </c>
      <c r="S81" s="353">
        <f t="shared" si="41"/>
        <v>0.27944794649999999</v>
      </c>
      <c r="T81" s="697">
        <f>IF((IFERROR(S81/((S27+T27)*100%),0))&lt;70%,MIN((MAX((S27+T27)*100%-S81,0)),(S27+T27/2)*$A108),MAX((T27+S27)*100%-S81,0)/T$86)</f>
        <v>0.1343985066</v>
      </c>
      <c r="U81" s="356">
        <f t="shared" si="27"/>
        <v>0</v>
      </c>
      <c r="V81" s="357"/>
      <c r="W81" s="353">
        <f t="shared" si="42"/>
        <v>0.41384645310000001</v>
      </c>
      <c r="Y81" s="696">
        <v>0.15</v>
      </c>
    </row>
    <row r="82" spans="1:33">
      <c r="A82" s="696">
        <v>0.3</v>
      </c>
      <c r="B82" s="95">
        <f t="shared" si="36"/>
        <v>15</v>
      </c>
      <c r="C82" s="476" t="s">
        <v>899</v>
      </c>
      <c r="D82" s="356">
        <v>0</v>
      </c>
      <c r="E82" s="697">
        <f>IF((IFERROR(D82/((D28+E28)*100%),0))&lt;70%,MIN((MAX((D28+E28)*100%-D82,0)),(D28+E28/2)*$Y82),MAX((E28+D28)*100%-D82,0)/E$86)</f>
        <v>0</v>
      </c>
      <c r="F82" s="356">
        <f t="shared" si="28"/>
        <v>0</v>
      </c>
      <c r="G82" s="358"/>
      <c r="H82" s="356">
        <f t="shared" si="37"/>
        <v>0</v>
      </c>
      <c r="I82" s="353">
        <f t="shared" si="38"/>
        <v>0</v>
      </c>
      <c r="J82" s="697">
        <f>IF((IFERROR(I82/((I28+J28)*100%),0))&lt;70%,MIN((MAX((I28+J28)*100%-I82,0)),(I28+J28/2)*$A82),MAX((J28+I28)*100%-I82,0)/J$86)</f>
        <v>0</v>
      </c>
      <c r="K82" s="356">
        <f t="shared" si="31"/>
        <v>0</v>
      </c>
      <c r="L82" s="357"/>
      <c r="M82" s="353">
        <f t="shared" si="39"/>
        <v>0</v>
      </c>
      <c r="N82" s="356">
        <f t="shared" si="32"/>
        <v>0</v>
      </c>
      <c r="O82" s="697">
        <f>IF((IFERROR(N82/((N28+O28)*100%),0))&lt;70%,MIN((MAX((N28+O28)*100%-N82,0)),(N28+O28/2)*$A109),MAX((O28+N28)*100%-N82,0)/O$86)</f>
        <v>0</v>
      </c>
      <c r="P82" s="356">
        <f t="shared" si="25"/>
        <v>0</v>
      </c>
      <c r="Q82" s="357"/>
      <c r="R82" s="356">
        <f t="shared" si="40"/>
        <v>0</v>
      </c>
      <c r="S82" s="353">
        <f t="shared" si="41"/>
        <v>0</v>
      </c>
      <c r="T82" s="697">
        <f>IF((IFERROR(S82/((S28+T28)*100%),0))&lt;70%,MIN((MAX((S28+T28)*100%-S82,0)),(S28+T28/2)*$A109),MAX((T28+S28)*100%-S82,0)/T$86)</f>
        <v>0</v>
      </c>
      <c r="U82" s="356">
        <f t="shared" si="27"/>
        <v>0</v>
      </c>
      <c r="V82" s="357"/>
      <c r="W82" s="353">
        <f t="shared" si="42"/>
        <v>0</v>
      </c>
      <c r="Y82" s="696">
        <v>0.3</v>
      </c>
    </row>
    <row r="83" spans="1:33">
      <c r="A83" s="696">
        <v>0.3</v>
      </c>
      <c r="B83" s="95">
        <f t="shared" si="36"/>
        <v>16</v>
      </c>
      <c r="C83" s="476" t="s">
        <v>849</v>
      </c>
      <c r="D83" s="477">
        <v>0</v>
      </c>
      <c r="E83" s="697">
        <f>IF((IFERROR(D83/((D29+E29)*100%),0))&lt;70%,MIN((MAX((D29+E29)*100%-D83,0)),(D29+E29/2)*$Y83),MAX((E29+D29)*100%-D83,0)/E$86)</f>
        <v>0</v>
      </c>
      <c r="F83" s="356">
        <f t="shared" si="28"/>
        <v>0</v>
      </c>
      <c r="G83" s="357"/>
      <c r="H83" s="356">
        <f t="shared" si="37"/>
        <v>0</v>
      </c>
      <c r="I83" s="353">
        <f t="shared" si="38"/>
        <v>0</v>
      </c>
      <c r="J83" s="697">
        <f>IF((IFERROR(I83/((I29+J29)*100%),0))&lt;70%,MIN((MAX((I29+J29)*100%-I83,0)),(I29+J29/2)*$A83),MAX((J29+I29)*100%-I83,0)/J$86)</f>
        <v>0</v>
      </c>
      <c r="K83" s="356">
        <f t="shared" si="31"/>
        <v>0</v>
      </c>
      <c r="L83" s="357"/>
      <c r="M83" s="353">
        <f t="shared" si="39"/>
        <v>0</v>
      </c>
      <c r="N83" s="356">
        <f t="shared" si="32"/>
        <v>0</v>
      </c>
      <c r="O83" s="697">
        <f>IF((IFERROR(N83/((N29+O29)*100%),0))&lt;70%,MIN((MAX((N29+O29)*100%-N83,0)),(N29+O29/2)*$A110),MAX((O29+N29)*100%-N83,0)/O$86)</f>
        <v>0</v>
      </c>
      <c r="P83" s="356">
        <f t="shared" si="25"/>
        <v>0</v>
      </c>
      <c r="Q83" s="357"/>
      <c r="R83" s="356">
        <f t="shared" si="40"/>
        <v>0</v>
      </c>
      <c r="S83" s="353">
        <f t="shared" si="41"/>
        <v>0</v>
      </c>
      <c r="T83" s="697">
        <f>IF((IFERROR(S83/((S29+T29)*100%),0))&lt;70%,MIN((MAX((S29+T29)*100%-S83,0)),(S29+T29/2)*$A110),MAX((T29+S29)*100%-S83,0)/T$86)</f>
        <v>0</v>
      </c>
      <c r="U83" s="356">
        <f t="shared" si="27"/>
        <v>0</v>
      </c>
      <c r="V83" s="357"/>
      <c r="W83" s="353">
        <f t="shared" si="42"/>
        <v>0</v>
      </c>
      <c r="Y83" s="696">
        <v>0.3</v>
      </c>
    </row>
    <row r="84" spans="1:33">
      <c r="A84" s="696">
        <v>3.3399999999999999E-2</v>
      </c>
      <c r="B84" s="95">
        <f t="shared" si="36"/>
        <v>17</v>
      </c>
      <c r="C84" s="476" t="s">
        <v>900</v>
      </c>
      <c r="D84" s="356">
        <v>0</v>
      </c>
      <c r="E84" s="697">
        <f t="shared" si="22"/>
        <v>0</v>
      </c>
      <c r="F84" s="356">
        <f t="shared" si="28"/>
        <v>0</v>
      </c>
      <c r="G84" s="357"/>
      <c r="H84" s="356">
        <f t="shared" si="37"/>
        <v>0</v>
      </c>
      <c r="I84" s="353">
        <f t="shared" si="38"/>
        <v>0</v>
      </c>
      <c r="J84" s="697">
        <f t="shared" si="30"/>
        <v>0</v>
      </c>
      <c r="K84" s="356">
        <f t="shared" si="31"/>
        <v>0</v>
      </c>
      <c r="L84" s="357"/>
      <c r="M84" s="353">
        <f t="shared" si="39"/>
        <v>0</v>
      </c>
      <c r="N84" s="356">
        <f t="shared" si="32"/>
        <v>0</v>
      </c>
      <c r="O84" s="697">
        <f t="shared" si="24"/>
        <v>0</v>
      </c>
      <c r="P84" s="356">
        <f t="shared" si="25"/>
        <v>0</v>
      </c>
      <c r="Q84" s="357"/>
      <c r="R84" s="356">
        <f t="shared" si="40"/>
        <v>0</v>
      </c>
      <c r="S84" s="353">
        <f t="shared" si="41"/>
        <v>0</v>
      </c>
      <c r="T84" s="697">
        <f t="shared" si="26"/>
        <v>0</v>
      </c>
      <c r="U84" s="356">
        <f t="shared" si="27"/>
        <v>0</v>
      </c>
      <c r="V84" s="357"/>
      <c r="W84" s="353">
        <f t="shared" si="42"/>
        <v>0</v>
      </c>
      <c r="Y84" s="696">
        <v>3.3399999999999999E-2</v>
      </c>
    </row>
    <row r="85" spans="1:33" ht="16">
      <c r="A85" s="467"/>
      <c r="B85" s="83"/>
      <c r="C85" s="97" t="s">
        <v>271</v>
      </c>
      <c r="D85" s="355">
        <f>SUM(D68:D84)</f>
        <v>488.74476653953872</v>
      </c>
      <c r="E85" s="355">
        <f>SUM(E68:E84)</f>
        <v>94.816840550722148</v>
      </c>
      <c r="F85" s="355">
        <f t="shared" ref="F85:M85" si="43">SUM(F68:F84)</f>
        <v>0</v>
      </c>
      <c r="G85" s="355">
        <f t="shared" si="43"/>
        <v>0</v>
      </c>
      <c r="H85" s="355">
        <f t="shared" si="43"/>
        <v>583.56160709026074</v>
      </c>
      <c r="I85" s="355">
        <f t="shared" si="43"/>
        <v>583.56160709026074</v>
      </c>
      <c r="J85" s="355">
        <f t="shared" si="43"/>
        <v>96.803105455899214</v>
      </c>
      <c r="K85" s="355">
        <f t="shared" si="43"/>
        <v>0</v>
      </c>
      <c r="L85" s="355">
        <f t="shared" si="43"/>
        <v>0</v>
      </c>
      <c r="M85" s="355">
        <f t="shared" si="43"/>
        <v>680.36471254616004</v>
      </c>
      <c r="N85" s="355">
        <f t="shared" ref="N85:W85" si="44">SUM(N68:N84)</f>
        <v>680.36471254616004</v>
      </c>
      <c r="O85" s="355">
        <f t="shared" si="44"/>
        <v>98.85802518974829</v>
      </c>
      <c r="P85" s="355">
        <f t="shared" si="44"/>
        <v>0</v>
      </c>
      <c r="Q85" s="355">
        <f t="shared" si="44"/>
        <v>0</v>
      </c>
      <c r="R85" s="355">
        <f t="shared" si="44"/>
        <v>779.22273773590837</v>
      </c>
      <c r="S85" s="355">
        <f t="shared" si="44"/>
        <v>779.22273773590837</v>
      </c>
      <c r="T85" s="355">
        <f t="shared" si="44"/>
        <v>100.2480061897483</v>
      </c>
      <c r="U85" s="355">
        <f t="shared" si="44"/>
        <v>0</v>
      </c>
      <c r="V85" s="355">
        <f t="shared" si="44"/>
        <v>0</v>
      </c>
      <c r="W85" s="355">
        <f t="shared" si="44"/>
        <v>879.47074392565662</v>
      </c>
    </row>
    <row r="86" spans="1:33" ht="16">
      <c r="A86" s="467"/>
      <c r="B86" s="267"/>
      <c r="C86" s="269" t="s">
        <v>809</v>
      </c>
      <c r="D86" s="492"/>
      <c r="E86" s="493">
        <v>19.646575342465752</v>
      </c>
      <c r="F86" s="492">
        <f>E85-F85</f>
        <v>94.816840550722148</v>
      </c>
      <c r="G86" s="492"/>
      <c r="H86" s="492"/>
      <c r="I86" s="494"/>
      <c r="J86" s="493">
        <f>E86-1</f>
        <v>18.646575342465752</v>
      </c>
      <c r="K86" s="494"/>
      <c r="L86" s="494"/>
      <c r="M86" s="494"/>
      <c r="N86" s="492"/>
      <c r="O86" s="493">
        <f>J86-1</f>
        <v>17.646575342465752</v>
      </c>
      <c r="P86" s="492"/>
      <c r="Q86" s="492"/>
      <c r="R86" s="492"/>
      <c r="S86" s="494"/>
      <c r="T86" s="493">
        <f>O86-1</f>
        <v>16.646575342465752</v>
      </c>
      <c r="U86" s="494"/>
      <c r="V86" s="494"/>
      <c r="W86" s="494"/>
      <c r="X86" s="45"/>
      <c r="Y86" s="45"/>
      <c r="Z86" s="45"/>
      <c r="AA86" s="45"/>
      <c r="AB86" s="45"/>
      <c r="AC86" s="45"/>
      <c r="AD86" s="45"/>
      <c r="AE86" s="45"/>
      <c r="AF86" s="45"/>
      <c r="AG86" s="45"/>
    </row>
    <row r="87" spans="1:33" ht="16">
      <c r="A87" s="467"/>
      <c r="B87" s="266" t="s">
        <v>600</v>
      </c>
      <c r="C87" s="270"/>
      <c r="D87" s="271"/>
      <c r="E87" s="271"/>
      <c r="F87" s="271"/>
      <c r="G87" s="271"/>
      <c r="H87" s="271"/>
      <c r="I87" s="272"/>
      <c r="J87" s="272"/>
      <c r="K87" s="267"/>
      <c r="L87" s="267"/>
      <c r="M87" s="267"/>
      <c r="N87" s="267"/>
      <c r="O87" s="267"/>
      <c r="P87" s="267"/>
      <c r="Q87" s="267"/>
      <c r="R87" s="267"/>
      <c r="S87" s="45"/>
      <c r="T87" s="45"/>
      <c r="U87" s="45"/>
      <c r="V87" s="45"/>
      <c r="W87" s="45"/>
      <c r="X87" s="45"/>
      <c r="Y87" s="45"/>
      <c r="Z87" s="45"/>
      <c r="AA87" s="45"/>
      <c r="AB87" s="45"/>
      <c r="AC87" s="45"/>
      <c r="AD87" s="45"/>
      <c r="AE87" s="45"/>
      <c r="AF87" s="45"/>
      <c r="AG87" s="45"/>
    </row>
    <row r="88" spans="1:33" ht="16">
      <c r="A88" s="467"/>
      <c r="B88" s="266" t="s">
        <v>715</v>
      </c>
      <c r="C88" s="270"/>
      <c r="D88" s="271"/>
      <c r="E88" s="271"/>
      <c r="F88" s="271"/>
      <c r="G88" s="271"/>
      <c r="H88" s="271"/>
      <c r="I88" s="272"/>
      <c r="J88" s="272"/>
      <c r="K88" s="267"/>
      <c r="L88" s="267"/>
      <c r="M88" s="267"/>
      <c r="N88" s="267"/>
      <c r="O88" s="267"/>
      <c r="P88" s="267"/>
      <c r="Q88" s="267"/>
      <c r="R88" s="267"/>
      <c r="S88" s="45"/>
      <c r="T88" s="45"/>
      <c r="U88" s="45"/>
      <c r="V88" s="45"/>
      <c r="W88" s="45"/>
      <c r="X88" s="45"/>
      <c r="Y88" s="45"/>
      <c r="Z88" s="45"/>
      <c r="AA88" s="45"/>
      <c r="AB88" s="45"/>
      <c r="AC88" s="45"/>
      <c r="AD88" s="45"/>
      <c r="AE88" s="45"/>
      <c r="AF88" s="45"/>
      <c r="AG88" s="45"/>
    </row>
    <row r="89" spans="1:33" ht="15" customHeight="1">
      <c r="A89" s="467"/>
      <c r="B89" s="267"/>
      <c r="C89" s="269"/>
      <c r="D89" s="269"/>
      <c r="E89" s="269"/>
      <c r="F89" s="269"/>
      <c r="G89" s="269"/>
      <c r="H89" s="269"/>
      <c r="I89" s="267"/>
      <c r="J89" s="267"/>
      <c r="K89" s="267"/>
      <c r="L89" s="267"/>
      <c r="M89" s="267"/>
      <c r="N89" s="267"/>
      <c r="O89" s="267"/>
      <c r="P89" s="267"/>
      <c r="Q89" s="267"/>
      <c r="R89" s="267"/>
    </row>
    <row r="90" spans="1:33" ht="16">
      <c r="A90" s="467"/>
      <c r="B90" s="267"/>
      <c r="C90" s="269"/>
      <c r="D90" s="8"/>
      <c r="E90" s="8"/>
      <c r="F90" s="8"/>
      <c r="G90" s="8"/>
      <c r="H90" s="8"/>
      <c r="I90" s="1"/>
      <c r="J90" s="44"/>
      <c r="K90" s="1"/>
      <c r="L90" s="1"/>
      <c r="M90" s="44"/>
      <c r="N90" s="44"/>
      <c r="O90" s="1"/>
      <c r="P90" s="1"/>
      <c r="Q90" s="1"/>
      <c r="AG90" s="264" t="s">
        <v>10</v>
      </c>
    </row>
    <row r="91" spans="1:33" ht="13.75" customHeight="1">
      <c r="A91" s="467"/>
      <c r="B91" s="1804" t="s">
        <v>340</v>
      </c>
      <c r="C91" s="1804" t="s">
        <v>36</v>
      </c>
      <c r="D91" s="1939" t="s">
        <v>959</v>
      </c>
      <c r="E91" s="1940"/>
      <c r="F91" s="1940"/>
      <c r="G91" s="1940"/>
      <c r="H91" s="1941"/>
      <c r="I91" s="1939" t="s">
        <v>960</v>
      </c>
      <c r="J91" s="1940"/>
      <c r="K91" s="1940"/>
      <c r="L91" s="1940"/>
      <c r="M91" s="1941"/>
      <c r="N91" s="1933" t="s">
        <v>961</v>
      </c>
      <c r="O91" s="1933"/>
      <c r="P91" s="1933"/>
      <c r="Q91" s="1933"/>
      <c r="R91" s="1933"/>
      <c r="S91" s="1933" t="s">
        <v>962</v>
      </c>
      <c r="T91" s="1933"/>
      <c r="U91" s="1933"/>
      <c r="V91" s="1933"/>
      <c r="W91" s="1933"/>
    </row>
    <row r="92" spans="1:33">
      <c r="A92" s="467"/>
      <c r="B92" s="1804"/>
      <c r="C92" s="1804"/>
      <c r="D92" s="1934" t="s">
        <v>21</v>
      </c>
      <c r="E92" s="1935"/>
      <c r="F92" s="1935"/>
      <c r="G92" s="1935"/>
      <c r="H92" s="1936"/>
      <c r="I92" s="1934" t="s">
        <v>21</v>
      </c>
      <c r="J92" s="1935"/>
      <c r="K92" s="1935"/>
      <c r="L92" s="1935"/>
      <c r="M92" s="1936"/>
      <c r="N92" s="1937" t="s">
        <v>21</v>
      </c>
      <c r="O92" s="1938"/>
      <c r="P92" s="1938"/>
      <c r="Q92" s="1938"/>
      <c r="R92" s="1938"/>
      <c r="S92" s="1937" t="s">
        <v>21</v>
      </c>
      <c r="T92" s="1938"/>
      <c r="U92" s="1938"/>
      <c r="V92" s="1938"/>
      <c r="W92" s="1938"/>
    </row>
    <row r="93" spans="1:33" ht="56">
      <c r="A93" s="467"/>
      <c r="B93" s="1804"/>
      <c r="C93" s="1804"/>
      <c r="D93" s="896" t="s">
        <v>273</v>
      </c>
      <c r="E93" s="896" t="s">
        <v>268</v>
      </c>
      <c r="F93" s="268" t="s">
        <v>274</v>
      </c>
      <c r="G93" s="894" t="s">
        <v>589</v>
      </c>
      <c r="H93" s="896" t="s">
        <v>275</v>
      </c>
      <c r="I93" s="896" t="s">
        <v>267</v>
      </c>
      <c r="J93" s="896" t="s">
        <v>268</v>
      </c>
      <c r="K93" s="896" t="s">
        <v>269</v>
      </c>
      <c r="L93" s="894" t="s">
        <v>589</v>
      </c>
      <c r="M93" s="896" t="s">
        <v>270</v>
      </c>
      <c r="N93" s="708" t="s">
        <v>267</v>
      </c>
      <c r="O93" s="708" t="s">
        <v>268</v>
      </c>
      <c r="P93" s="708" t="s">
        <v>269</v>
      </c>
      <c r="Q93" s="703" t="s">
        <v>589</v>
      </c>
      <c r="R93" s="708" t="s">
        <v>270</v>
      </c>
      <c r="S93" s="708" t="s">
        <v>267</v>
      </c>
      <c r="T93" s="708" t="s">
        <v>268</v>
      </c>
      <c r="U93" s="708" t="s">
        <v>269</v>
      </c>
      <c r="V93" s="703" t="s">
        <v>589</v>
      </c>
      <c r="W93" s="708" t="s">
        <v>270</v>
      </c>
    </row>
    <row r="94" spans="1:33" ht="28">
      <c r="A94" s="467"/>
      <c r="B94" s="265"/>
      <c r="C94" s="265"/>
      <c r="D94" s="265" t="s">
        <v>663</v>
      </c>
      <c r="E94" s="265" t="s">
        <v>664</v>
      </c>
      <c r="F94" s="265" t="s">
        <v>665</v>
      </c>
      <c r="G94" s="265" t="s">
        <v>666</v>
      </c>
      <c r="H94" s="265" t="s">
        <v>667</v>
      </c>
      <c r="I94" s="265" t="s">
        <v>663</v>
      </c>
      <c r="J94" s="265" t="s">
        <v>664</v>
      </c>
      <c r="K94" s="265" t="s">
        <v>665</v>
      </c>
      <c r="L94" s="265" t="s">
        <v>666</v>
      </c>
      <c r="M94" s="265" t="s">
        <v>667</v>
      </c>
      <c r="N94" s="265" t="s">
        <v>663</v>
      </c>
      <c r="O94" s="265" t="s">
        <v>664</v>
      </c>
      <c r="P94" s="265" t="s">
        <v>665</v>
      </c>
      <c r="Q94" s="265" t="s">
        <v>666</v>
      </c>
      <c r="R94" s="265" t="s">
        <v>667</v>
      </c>
      <c r="S94" s="265" t="s">
        <v>663</v>
      </c>
      <c r="T94" s="265" t="s">
        <v>664</v>
      </c>
      <c r="U94" s="265" t="s">
        <v>665</v>
      </c>
      <c r="V94" s="265" t="s">
        <v>666</v>
      </c>
      <c r="W94" s="265" t="s">
        <v>667</v>
      </c>
    </row>
    <row r="95" spans="1:33">
      <c r="A95" s="466">
        <f>A68</f>
        <v>0</v>
      </c>
      <c r="B95" s="95">
        <v>1</v>
      </c>
      <c r="C95" s="455" t="s">
        <v>841</v>
      </c>
      <c r="D95" s="353">
        <f t="shared" ref="D95:D111" si="45">W68</f>
        <v>0</v>
      </c>
      <c r="E95" s="697">
        <f t="shared" ref="E95:E111" si="46">IF((IFERROR(D95/((D40+E40)*90%),0))&lt;70%,MIN((MAX((D40+E40)*90%-D95,0)),(D40+E40/2)*$A95),MAX((E40+D40)*90%-D95,0)/E$113)</f>
        <v>0</v>
      </c>
      <c r="F95" s="356">
        <f t="shared" ref="F95:F111" si="47">IFERROR(IF(D95=0,0,D95/D40*F40),0)</f>
        <v>0</v>
      </c>
      <c r="G95" s="357"/>
      <c r="H95" s="353">
        <f>D95+E95-F95-G95</f>
        <v>0</v>
      </c>
      <c r="I95" s="451">
        <f>H95</f>
        <v>0</v>
      </c>
      <c r="J95" s="697">
        <f t="shared" ref="J95:J107" si="48">IF((IFERROR(I95/((I40+J40)*90%),0))&lt;70%,MIN((MAX((I40+J40)*90%-I95,0)),(I40+J40/2)*$A95),MAX((J40+I40)*90%-I95,0)/J$113)</f>
        <v>0</v>
      </c>
      <c r="K95" s="356">
        <f t="shared" ref="K95:K111" si="49">IFERROR(IF(I95=0,0,I95/I40*K40),0)</f>
        <v>0</v>
      </c>
      <c r="L95" s="477"/>
      <c r="M95" s="451">
        <f>I95+J95-K95-L95</f>
        <v>0</v>
      </c>
      <c r="N95" s="451">
        <f>M95</f>
        <v>0</v>
      </c>
      <c r="O95" s="697">
        <f t="shared" ref="O95:O107" si="50">IF((IFERROR(N95/((N40+O40)*90%),0))&lt;70%,MIN((MAX((N40+O40)*90%-N95,0)),(N40+O40/2)*$A95),MAX((O40+N40)*90%-N95,0)/O$113)</f>
        <v>0</v>
      </c>
      <c r="P95" s="356">
        <f t="shared" ref="P95:P111" si="51">IFERROR(IF(N95=0,0,N95/N40*P40),0)</f>
        <v>0</v>
      </c>
      <c r="Q95" s="477"/>
      <c r="R95" s="451">
        <f>N95+O95-P95-Q95</f>
        <v>0</v>
      </c>
      <c r="S95" s="451">
        <f>R95</f>
        <v>0</v>
      </c>
      <c r="T95" s="697">
        <f t="shared" ref="T95:T107" si="52">IF((IFERROR(S95/((S40+T40)*90%),0))&lt;70%,MIN((MAX((S40+T40)*90%-S95,0)),(S40+T40/2)*$A95),MAX((T40+S40)*90%-S95,0)/T$113)</f>
        <v>0</v>
      </c>
      <c r="U95" s="356">
        <f t="shared" ref="U95:U111" si="53">IFERROR(IF(S95=0,0,S95/S40*U40),0)</f>
        <v>0</v>
      </c>
      <c r="V95" s="477"/>
      <c r="W95" s="451">
        <f>S95+T95-U95-V95</f>
        <v>0</v>
      </c>
    </row>
    <row r="96" spans="1:33">
      <c r="A96" s="466">
        <f t="shared" ref="A96:A111" si="54">A69</f>
        <v>3.3399999999999999E-2</v>
      </c>
      <c r="B96" s="95">
        <f>B95+1</f>
        <v>2</v>
      </c>
      <c r="C96" s="455" t="s">
        <v>842</v>
      </c>
      <c r="D96" s="353">
        <f t="shared" si="45"/>
        <v>41.583868421239174</v>
      </c>
      <c r="E96" s="697">
        <f t="shared" si="46"/>
        <v>4.6467419542860231</v>
      </c>
      <c r="F96" s="356">
        <f t="shared" si="47"/>
        <v>0</v>
      </c>
      <c r="G96" s="357"/>
      <c r="H96" s="353">
        <f t="shared" ref="H96:H106" si="55">D96+E96-F96-G96</f>
        <v>46.230610375525195</v>
      </c>
      <c r="I96" s="451">
        <f t="shared" ref="I96:I111" si="56">H96</f>
        <v>46.230610375525195</v>
      </c>
      <c r="J96" s="697">
        <f t="shared" si="48"/>
        <v>4.6467419542860231</v>
      </c>
      <c r="K96" s="356">
        <f t="shared" si="49"/>
        <v>0</v>
      </c>
      <c r="L96" s="477"/>
      <c r="M96" s="451">
        <f t="shared" ref="M96:M111" si="57">I96+J96-K96-L96</f>
        <v>50.877352329811217</v>
      </c>
      <c r="N96" s="451">
        <f t="shared" ref="N96:N111" si="58">M96</f>
        <v>50.877352329811217</v>
      </c>
      <c r="O96" s="697">
        <f t="shared" si="50"/>
        <v>4.6467419542860231</v>
      </c>
      <c r="P96" s="356">
        <f t="shared" si="51"/>
        <v>0</v>
      </c>
      <c r="Q96" s="477"/>
      <c r="R96" s="451">
        <f t="shared" ref="R96:R111" si="59">N96+O96-P96-Q96</f>
        <v>55.524094284097238</v>
      </c>
      <c r="S96" s="451">
        <f t="shared" ref="S96:S111" si="60">R96</f>
        <v>55.524094284097238</v>
      </c>
      <c r="T96" s="697">
        <f t="shared" si="52"/>
        <v>4.6467419542860231</v>
      </c>
      <c r="U96" s="356">
        <f t="shared" si="53"/>
        <v>0</v>
      </c>
      <c r="V96" s="477"/>
      <c r="W96" s="451">
        <f t="shared" ref="W96:W111" si="61">S96+T96-U96-V96</f>
        <v>60.170836238383259</v>
      </c>
    </row>
    <row r="97" spans="1:23">
      <c r="A97" s="466">
        <f t="shared" si="54"/>
        <v>5.28E-2</v>
      </c>
      <c r="B97" s="95">
        <f t="shared" ref="B97:B111" si="62">B96+1</f>
        <v>3</v>
      </c>
      <c r="C97" s="455" t="s">
        <v>843</v>
      </c>
      <c r="D97" s="353">
        <f t="shared" si="45"/>
        <v>0</v>
      </c>
      <c r="E97" s="697">
        <f t="shared" si="46"/>
        <v>0</v>
      </c>
      <c r="F97" s="356">
        <f t="shared" si="47"/>
        <v>0</v>
      </c>
      <c r="G97" s="357"/>
      <c r="H97" s="353">
        <f t="shared" si="55"/>
        <v>0</v>
      </c>
      <c r="I97" s="451">
        <f t="shared" si="56"/>
        <v>0</v>
      </c>
      <c r="J97" s="697">
        <f t="shared" si="48"/>
        <v>0</v>
      </c>
      <c r="K97" s="356">
        <f t="shared" si="49"/>
        <v>0</v>
      </c>
      <c r="L97" s="477"/>
      <c r="M97" s="451">
        <f t="shared" si="57"/>
        <v>0</v>
      </c>
      <c r="N97" s="451">
        <f t="shared" si="58"/>
        <v>0</v>
      </c>
      <c r="O97" s="697">
        <f t="shared" si="50"/>
        <v>0</v>
      </c>
      <c r="P97" s="356">
        <f t="shared" si="51"/>
        <v>0</v>
      </c>
      <c r="Q97" s="477"/>
      <c r="R97" s="451">
        <f t="shared" si="59"/>
        <v>0</v>
      </c>
      <c r="S97" s="451">
        <f t="shared" si="60"/>
        <v>0</v>
      </c>
      <c r="T97" s="697">
        <f t="shared" si="52"/>
        <v>0</v>
      </c>
      <c r="U97" s="356">
        <f t="shared" si="53"/>
        <v>0</v>
      </c>
      <c r="V97" s="477"/>
      <c r="W97" s="451">
        <f t="shared" si="61"/>
        <v>0</v>
      </c>
    </row>
    <row r="98" spans="1:23">
      <c r="A98" s="466">
        <f t="shared" si="54"/>
        <v>5.28E-2</v>
      </c>
      <c r="B98" s="95">
        <f t="shared" si="62"/>
        <v>4</v>
      </c>
      <c r="C98" s="455" t="s">
        <v>844</v>
      </c>
      <c r="D98" s="353">
        <f t="shared" si="45"/>
        <v>50.977019066991197</v>
      </c>
      <c r="E98" s="697">
        <f t="shared" si="46"/>
        <v>5.5464320369731341</v>
      </c>
      <c r="F98" s="356">
        <f t="shared" si="47"/>
        <v>0</v>
      </c>
      <c r="G98" s="357"/>
      <c r="H98" s="353">
        <f t="shared" si="55"/>
        <v>56.523451103964334</v>
      </c>
      <c r="I98" s="451">
        <f t="shared" si="56"/>
        <v>56.523451103964334</v>
      </c>
      <c r="J98" s="697">
        <f t="shared" si="48"/>
        <v>5.5464320369731341</v>
      </c>
      <c r="K98" s="356">
        <f t="shared" si="49"/>
        <v>0</v>
      </c>
      <c r="L98" s="477"/>
      <c r="M98" s="451">
        <f t="shared" si="57"/>
        <v>62.069883140937471</v>
      </c>
      <c r="N98" s="451">
        <f t="shared" si="58"/>
        <v>62.069883140937471</v>
      </c>
      <c r="O98" s="697">
        <f t="shared" si="50"/>
        <v>5.5464320369731341</v>
      </c>
      <c r="P98" s="356">
        <f t="shared" si="51"/>
        <v>0</v>
      </c>
      <c r="Q98" s="477"/>
      <c r="R98" s="451">
        <f t="shared" si="59"/>
        <v>67.616315177910607</v>
      </c>
      <c r="S98" s="451">
        <f t="shared" si="60"/>
        <v>67.616315177910607</v>
      </c>
      <c r="T98" s="697">
        <f t="shared" si="52"/>
        <v>2.1290459486969788</v>
      </c>
      <c r="U98" s="356">
        <f t="shared" si="53"/>
        <v>0</v>
      </c>
      <c r="V98" s="477"/>
      <c r="W98" s="451">
        <f t="shared" si="61"/>
        <v>69.745361126607591</v>
      </c>
    </row>
    <row r="99" spans="1:23">
      <c r="A99" s="466">
        <f t="shared" si="54"/>
        <v>3.3399999999999999E-2</v>
      </c>
      <c r="B99" s="95">
        <f t="shared" si="62"/>
        <v>5</v>
      </c>
      <c r="C99" s="455" t="s">
        <v>845</v>
      </c>
      <c r="D99" s="353">
        <f t="shared" si="45"/>
        <v>13.631255235508133</v>
      </c>
      <c r="E99" s="697">
        <f t="shared" si="46"/>
        <v>2.6839545433698135</v>
      </c>
      <c r="F99" s="356">
        <f t="shared" si="47"/>
        <v>0</v>
      </c>
      <c r="G99" s="357"/>
      <c r="H99" s="353">
        <f t="shared" si="55"/>
        <v>16.315209778877946</v>
      </c>
      <c r="I99" s="451">
        <f t="shared" si="56"/>
        <v>16.315209778877946</v>
      </c>
      <c r="J99" s="697">
        <f t="shared" si="48"/>
        <v>2.6839545433698135</v>
      </c>
      <c r="K99" s="356">
        <f t="shared" si="49"/>
        <v>0</v>
      </c>
      <c r="L99" s="477"/>
      <c r="M99" s="451">
        <f t="shared" si="57"/>
        <v>18.999164322247761</v>
      </c>
      <c r="N99" s="451">
        <f t="shared" si="58"/>
        <v>18.999164322247761</v>
      </c>
      <c r="O99" s="697">
        <f t="shared" si="50"/>
        <v>2.6839545433698135</v>
      </c>
      <c r="P99" s="356">
        <f t="shared" si="51"/>
        <v>0</v>
      </c>
      <c r="Q99" s="477"/>
      <c r="R99" s="451">
        <f t="shared" si="59"/>
        <v>21.683118865617576</v>
      </c>
      <c r="S99" s="451">
        <f t="shared" si="60"/>
        <v>21.683118865617576</v>
      </c>
      <c r="T99" s="697">
        <f t="shared" si="52"/>
        <v>2.6839545433698135</v>
      </c>
      <c r="U99" s="356">
        <f t="shared" si="53"/>
        <v>0</v>
      </c>
      <c r="V99" s="477"/>
      <c r="W99" s="451">
        <f t="shared" si="61"/>
        <v>24.367073408987391</v>
      </c>
    </row>
    <row r="100" spans="1:23">
      <c r="A100" s="466">
        <f t="shared" si="54"/>
        <v>5.28E-2</v>
      </c>
      <c r="B100" s="95">
        <f t="shared" si="62"/>
        <v>6</v>
      </c>
      <c r="C100" s="455" t="s">
        <v>255</v>
      </c>
      <c r="D100" s="353">
        <f t="shared" si="45"/>
        <v>753.39383731925341</v>
      </c>
      <c r="E100" s="697">
        <f t="shared" si="46"/>
        <v>86.099711195331452</v>
      </c>
      <c r="F100" s="356">
        <f t="shared" si="47"/>
        <v>0</v>
      </c>
      <c r="G100" s="357"/>
      <c r="H100" s="353">
        <f t="shared" si="55"/>
        <v>839.49354851458486</v>
      </c>
      <c r="I100" s="451">
        <f t="shared" si="56"/>
        <v>839.49354851458486</v>
      </c>
      <c r="J100" s="697">
        <f t="shared" si="48"/>
        <v>86.099711195331452</v>
      </c>
      <c r="K100" s="356">
        <f t="shared" si="49"/>
        <v>0</v>
      </c>
      <c r="L100" s="477"/>
      <c r="M100" s="451">
        <f t="shared" si="57"/>
        <v>925.59325970991631</v>
      </c>
      <c r="N100" s="451">
        <f t="shared" si="58"/>
        <v>925.59325970991631</v>
      </c>
      <c r="O100" s="697">
        <f t="shared" si="50"/>
        <v>86.099711195331452</v>
      </c>
      <c r="P100" s="356">
        <f t="shared" si="51"/>
        <v>0</v>
      </c>
      <c r="Q100" s="477"/>
      <c r="R100" s="451">
        <f t="shared" si="59"/>
        <v>1011.6929709052478</v>
      </c>
      <c r="S100" s="451">
        <f t="shared" si="60"/>
        <v>1011.6929709052478</v>
      </c>
      <c r="T100" s="697">
        <f t="shared" si="52"/>
        <v>86.099711195331452</v>
      </c>
      <c r="U100" s="356">
        <f t="shared" si="53"/>
        <v>0</v>
      </c>
      <c r="V100" s="477"/>
      <c r="W100" s="451">
        <f t="shared" si="61"/>
        <v>1097.7926821005792</v>
      </c>
    </row>
    <row r="101" spans="1:23">
      <c r="A101" s="466">
        <f t="shared" si="54"/>
        <v>0.18</v>
      </c>
      <c r="B101" s="95">
        <f t="shared" si="62"/>
        <v>7</v>
      </c>
      <c r="C101" s="455" t="s">
        <v>846</v>
      </c>
      <c r="D101" s="353">
        <f t="shared" si="45"/>
        <v>0</v>
      </c>
      <c r="E101" s="697">
        <f t="shared" si="46"/>
        <v>0</v>
      </c>
      <c r="F101" s="356">
        <f t="shared" si="47"/>
        <v>0</v>
      </c>
      <c r="G101" s="357"/>
      <c r="H101" s="353">
        <f t="shared" si="55"/>
        <v>0</v>
      </c>
      <c r="I101" s="451">
        <f t="shared" si="56"/>
        <v>0</v>
      </c>
      <c r="J101" s="697">
        <f t="shared" si="48"/>
        <v>0</v>
      </c>
      <c r="K101" s="356">
        <f t="shared" si="49"/>
        <v>0</v>
      </c>
      <c r="L101" s="477"/>
      <c r="M101" s="451">
        <f t="shared" si="57"/>
        <v>0</v>
      </c>
      <c r="N101" s="451">
        <f t="shared" si="58"/>
        <v>0</v>
      </c>
      <c r="O101" s="697">
        <f t="shared" si="50"/>
        <v>0</v>
      </c>
      <c r="P101" s="356">
        <f t="shared" si="51"/>
        <v>0</v>
      </c>
      <c r="Q101" s="477"/>
      <c r="R101" s="451">
        <f t="shared" si="59"/>
        <v>0</v>
      </c>
      <c r="S101" s="451">
        <f t="shared" si="60"/>
        <v>0</v>
      </c>
      <c r="T101" s="697">
        <f t="shared" si="52"/>
        <v>0</v>
      </c>
      <c r="U101" s="356">
        <f t="shared" si="53"/>
        <v>0</v>
      </c>
      <c r="V101" s="477"/>
      <c r="W101" s="451">
        <f t="shared" si="61"/>
        <v>0</v>
      </c>
    </row>
    <row r="102" spans="1:23">
      <c r="A102" s="466">
        <f t="shared" si="54"/>
        <v>5.28E-2</v>
      </c>
      <c r="B102" s="95">
        <f t="shared" si="62"/>
        <v>8</v>
      </c>
      <c r="C102" s="455" t="s">
        <v>847</v>
      </c>
      <c r="D102" s="353">
        <f t="shared" si="45"/>
        <v>0</v>
      </c>
      <c r="E102" s="697">
        <f t="shared" si="46"/>
        <v>0</v>
      </c>
      <c r="F102" s="356">
        <f t="shared" si="47"/>
        <v>0</v>
      </c>
      <c r="G102" s="357"/>
      <c r="H102" s="353">
        <f t="shared" si="55"/>
        <v>0</v>
      </c>
      <c r="I102" s="451">
        <f t="shared" si="56"/>
        <v>0</v>
      </c>
      <c r="J102" s="697">
        <f t="shared" si="48"/>
        <v>0</v>
      </c>
      <c r="K102" s="356">
        <f t="shared" si="49"/>
        <v>0</v>
      </c>
      <c r="L102" s="477"/>
      <c r="M102" s="451">
        <f t="shared" si="57"/>
        <v>0</v>
      </c>
      <c r="N102" s="451">
        <f t="shared" si="58"/>
        <v>0</v>
      </c>
      <c r="O102" s="697">
        <f t="shared" si="50"/>
        <v>0</v>
      </c>
      <c r="P102" s="356">
        <f t="shared" si="51"/>
        <v>0</v>
      </c>
      <c r="Q102" s="477"/>
      <c r="R102" s="451">
        <f t="shared" si="59"/>
        <v>0</v>
      </c>
      <c r="S102" s="451">
        <f t="shared" si="60"/>
        <v>0</v>
      </c>
      <c r="T102" s="697">
        <f t="shared" si="52"/>
        <v>0</v>
      </c>
      <c r="U102" s="356">
        <f t="shared" si="53"/>
        <v>0</v>
      </c>
      <c r="V102" s="477"/>
      <c r="W102" s="451">
        <f t="shared" si="61"/>
        <v>0</v>
      </c>
    </row>
    <row r="103" spans="1:23">
      <c r="A103" s="466">
        <f t="shared" si="54"/>
        <v>5.28E-2</v>
      </c>
      <c r="B103" s="95">
        <f t="shared" si="62"/>
        <v>9</v>
      </c>
      <c r="C103" s="455" t="s">
        <v>848</v>
      </c>
      <c r="D103" s="353">
        <f t="shared" si="45"/>
        <v>19.144611211010822</v>
      </c>
      <c r="E103" s="697">
        <f t="shared" si="46"/>
        <v>2.0448768475836201</v>
      </c>
      <c r="F103" s="356">
        <f t="shared" si="47"/>
        <v>0</v>
      </c>
      <c r="G103" s="357"/>
      <c r="H103" s="353">
        <f t="shared" si="55"/>
        <v>21.189488058594442</v>
      </c>
      <c r="I103" s="451">
        <f t="shared" si="56"/>
        <v>21.189488058594442</v>
      </c>
      <c r="J103" s="697">
        <f t="shared" si="48"/>
        <v>2.0448768475836201</v>
      </c>
      <c r="K103" s="356">
        <f t="shared" si="49"/>
        <v>0</v>
      </c>
      <c r="L103" s="477"/>
      <c r="M103" s="451">
        <f t="shared" si="57"/>
        <v>23.234364906178062</v>
      </c>
      <c r="N103" s="451">
        <f t="shared" si="58"/>
        <v>23.234364906178062</v>
      </c>
      <c r="O103" s="697">
        <f t="shared" si="50"/>
        <v>2.0448768475836201</v>
      </c>
      <c r="P103" s="356">
        <f t="shared" si="51"/>
        <v>0</v>
      </c>
      <c r="Q103" s="477"/>
      <c r="R103" s="451">
        <f t="shared" si="59"/>
        <v>25.279241753761681</v>
      </c>
      <c r="S103" s="451">
        <f t="shared" si="60"/>
        <v>25.279241753761681</v>
      </c>
      <c r="T103" s="697">
        <f t="shared" si="52"/>
        <v>0.75724955914508552</v>
      </c>
      <c r="U103" s="356">
        <f t="shared" si="53"/>
        <v>0</v>
      </c>
      <c r="V103" s="477"/>
      <c r="W103" s="451">
        <f t="shared" si="61"/>
        <v>26.036491312906765</v>
      </c>
    </row>
    <row r="104" spans="1:23">
      <c r="A104" s="466">
        <f t="shared" si="54"/>
        <v>9.5000000000000001E-2</v>
      </c>
      <c r="B104" s="95">
        <f t="shared" si="62"/>
        <v>10</v>
      </c>
      <c r="C104" s="455" t="s">
        <v>258</v>
      </c>
      <c r="D104" s="353">
        <f t="shared" si="45"/>
        <v>0</v>
      </c>
      <c r="E104" s="697">
        <f t="shared" si="46"/>
        <v>0</v>
      </c>
      <c r="F104" s="356">
        <f t="shared" si="47"/>
        <v>0</v>
      </c>
      <c r="G104" s="357"/>
      <c r="H104" s="353">
        <f t="shared" si="55"/>
        <v>0</v>
      </c>
      <c r="I104" s="451">
        <f t="shared" si="56"/>
        <v>0</v>
      </c>
      <c r="J104" s="697">
        <f t="shared" si="48"/>
        <v>0</v>
      </c>
      <c r="K104" s="356">
        <f t="shared" si="49"/>
        <v>0</v>
      </c>
      <c r="L104" s="477"/>
      <c r="M104" s="451">
        <f t="shared" si="57"/>
        <v>0</v>
      </c>
      <c r="N104" s="451">
        <f t="shared" si="58"/>
        <v>0</v>
      </c>
      <c r="O104" s="697">
        <f t="shared" si="50"/>
        <v>0</v>
      </c>
      <c r="P104" s="356">
        <f t="shared" si="51"/>
        <v>0</v>
      </c>
      <c r="Q104" s="477"/>
      <c r="R104" s="451">
        <f t="shared" si="59"/>
        <v>0</v>
      </c>
      <c r="S104" s="451">
        <f t="shared" si="60"/>
        <v>0</v>
      </c>
      <c r="T104" s="697">
        <f t="shared" si="52"/>
        <v>0</v>
      </c>
      <c r="U104" s="356">
        <f t="shared" si="53"/>
        <v>0</v>
      </c>
      <c r="V104" s="477"/>
      <c r="W104" s="451">
        <f t="shared" si="61"/>
        <v>0</v>
      </c>
    </row>
    <row r="105" spans="1:23">
      <c r="A105" s="466">
        <f t="shared" si="54"/>
        <v>6.3299999999999995E-2</v>
      </c>
      <c r="B105" s="95">
        <f t="shared" si="62"/>
        <v>11</v>
      </c>
      <c r="C105" s="455" t="s">
        <v>259</v>
      </c>
      <c r="D105" s="353">
        <f t="shared" si="45"/>
        <v>0.3263062185540464</v>
      </c>
      <c r="E105" s="697">
        <f t="shared" si="46"/>
        <v>4.9859105604262051E-2</v>
      </c>
      <c r="F105" s="356">
        <f t="shared" si="47"/>
        <v>0</v>
      </c>
      <c r="G105" s="357"/>
      <c r="H105" s="353">
        <f t="shared" si="55"/>
        <v>0.37616532415830845</v>
      </c>
      <c r="I105" s="451">
        <f t="shared" si="56"/>
        <v>0.37616532415830845</v>
      </c>
      <c r="J105" s="697">
        <f t="shared" si="48"/>
        <v>4.9859105604262051E-2</v>
      </c>
      <c r="K105" s="356">
        <f t="shared" si="49"/>
        <v>0</v>
      </c>
      <c r="L105" s="477"/>
      <c r="M105" s="451">
        <f t="shared" si="57"/>
        <v>0.42602442976257049</v>
      </c>
      <c r="N105" s="451">
        <f t="shared" si="58"/>
        <v>0.42602442976257049</v>
      </c>
      <c r="O105" s="697">
        <f t="shared" si="50"/>
        <v>4.9859105604262051E-2</v>
      </c>
      <c r="P105" s="356">
        <f t="shared" si="51"/>
        <v>0</v>
      </c>
      <c r="Q105" s="477"/>
      <c r="R105" s="451">
        <f t="shared" si="59"/>
        <v>0.47588353536683253</v>
      </c>
      <c r="S105" s="451">
        <f t="shared" si="60"/>
        <v>0.47588353536683253</v>
      </c>
      <c r="T105" s="697">
        <f t="shared" si="52"/>
        <v>4.9859105604262051E-2</v>
      </c>
      <c r="U105" s="356">
        <f t="shared" si="53"/>
        <v>0</v>
      </c>
      <c r="V105" s="477"/>
      <c r="W105" s="451">
        <f t="shared" si="61"/>
        <v>0.52574264097109458</v>
      </c>
    </row>
    <row r="106" spans="1:23">
      <c r="A106" s="466">
        <f t="shared" si="54"/>
        <v>6.3299999999999995E-2</v>
      </c>
      <c r="B106" s="95">
        <f t="shared" si="62"/>
        <v>12</v>
      </c>
      <c r="C106" s="455" t="s">
        <v>260</v>
      </c>
      <c r="D106" s="353">
        <f t="shared" si="45"/>
        <v>0</v>
      </c>
      <c r="E106" s="697">
        <f t="shared" si="46"/>
        <v>0</v>
      </c>
      <c r="F106" s="356">
        <f t="shared" si="47"/>
        <v>0</v>
      </c>
      <c r="G106" s="357"/>
      <c r="H106" s="353">
        <f t="shared" si="55"/>
        <v>0</v>
      </c>
      <c r="I106" s="451">
        <f t="shared" si="56"/>
        <v>0</v>
      </c>
      <c r="J106" s="697">
        <f t="shared" si="48"/>
        <v>0</v>
      </c>
      <c r="K106" s="356">
        <f t="shared" si="49"/>
        <v>0</v>
      </c>
      <c r="L106" s="477"/>
      <c r="M106" s="451">
        <f t="shared" si="57"/>
        <v>0</v>
      </c>
      <c r="N106" s="451">
        <f t="shared" si="58"/>
        <v>0</v>
      </c>
      <c r="O106" s="697">
        <f t="shared" si="50"/>
        <v>0</v>
      </c>
      <c r="P106" s="356">
        <f t="shared" si="51"/>
        <v>0</v>
      </c>
      <c r="Q106" s="477"/>
      <c r="R106" s="451">
        <f t="shared" si="59"/>
        <v>0</v>
      </c>
      <c r="S106" s="451">
        <f t="shared" si="60"/>
        <v>0</v>
      </c>
      <c r="T106" s="697">
        <f t="shared" si="52"/>
        <v>0</v>
      </c>
      <c r="U106" s="356">
        <f t="shared" si="53"/>
        <v>0</v>
      </c>
      <c r="V106" s="477"/>
      <c r="W106" s="451">
        <f t="shared" si="61"/>
        <v>0</v>
      </c>
    </row>
    <row r="107" spans="1:23">
      <c r="A107" s="466">
        <f t="shared" si="54"/>
        <v>6.3299999999999995E-2</v>
      </c>
      <c r="B107" s="95">
        <f t="shared" si="62"/>
        <v>13</v>
      </c>
      <c r="C107" s="476" t="s">
        <v>897</v>
      </c>
      <c r="D107" s="353">
        <f t="shared" si="45"/>
        <v>0</v>
      </c>
      <c r="E107" s="697">
        <f t="shared" si="46"/>
        <v>0</v>
      </c>
      <c r="F107" s="356">
        <f t="shared" si="47"/>
        <v>0</v>
      </c>
      <c r="G107" s="357"/>
      <c r="H107" s="353">
        <f t="shared" ref="H107:H111" si="63">D107+E107-F107-G107</f>
        <v>0</v>
      </c>
      <c r="I107" s="451">
        <f t="shared" si="56"/>
        <v>0</v>
      </c>
      <c r="J107" s="697">
        <f t="shared" si="48"/>
        <v>0</v>
      </c>
      <c r="K107" s="356">
        <f t="shared" si="49"/>
        <v>0</v>
      </c>
      <c r="L107" s="477"/>
      <c r="M107" s="451">
        <f t="shared" si="57"/>
        <v>0</v>
      </c>
      <c r="N107" s="451">
        <f t="shared" si="58"/>
        <v>0</v>
      </c>
      <c r="O107" s="697">
        <f t="shared" si="50"/>
        <v>0</v>
      </c>
      <c r="P107" s="356">
        <f t="shared" si="51"/>
        <v>0</v>
      </c>
      <c r="Q107" s="477"/>
      <c r="R107" s="451">
        <f t="shared" si="59"/>
        <v>0</v>
      </c>
      <c r="S107" s="451">
        <f t="shared" si="60"/>
        <v>0</v>
      </c>
      <c r="T107" s="697">
        <f t="shared" si="52"/>
        <v>0</v>
      </c>
      <c r="U107" s="356">
        <f t="shared" si="53"/>
        <v>0</v>
      </c>
      <c r="V107" s="477"/>
      <c r="W107" s="451">
        <f t="shared" si="61"/>
        <v>0</v>
      </c>
    </row>
    <row r="108" spans="1:23">
      <c r="A108" s="466">
        <f t="shared" si="54"/>
        <v>0.15</v>
      </c>
      <c r="B108" s="95">
        <f t="shared" si="62"/>
        <v>14</v>
      </c>
      <c r="C108" s="476" t="s">
        <v>898</v>
      </c>
      <c r="D108" s="353">
        <f t="shared" si="45"/>
        <v>0.41384645310000001</v>
      </c>
      <c r="E108" s="697">
        <f>IF((IFERROR(D108/((D53+E53)*100%),0))&lt;70%,MIN((MAX((D53+E53)*100%-D108,0)),(D53+E53/2)*$A108),MAX((E53+D53)*100%-D108,0)/E$113)</f>
        <v>0.1343985066</v>
      </c>
      <c r="F108" s="356">
        <f t="shared" si="47"/>
        <v>0</v>
      </c>
      <c r="G108" s="357"/>
      <c r="H108" s="353">
        <f t="shared" si="63"/>
        <v>0.54824495969999998</v>
      </c>
      <c r="I108" s="451">
        <f t="shared" si="56"/>
        <v>0.54824495969999998</v>
      </c>
      <c r="J108" s="697">
        <f>IF((IFERROR(I108/((I53+J53)*100%),0))&lt;70%,MIN((MAX((I53+J53)*100%-I108,0)),(I53+J53/2)*$A108),MAX((J53+I53)*100%-I108,0)/J$113)</f>
        <v>0.1343985066</v>
      </c>
      <c r="K108" s="356">
        <f t="shared" si="49"/>
        <v>0</v>
      </c>
      <c r="L108" s="477"/>
      <c r="M108" s="451">
        <f t="shared" si="57"/>
        <v>0.68264346629999995</v>
      </c>
      <c r="N108" s="451">
        <f t="shared" si="58"/>
        <v>0.68264346629999995</v>
      </c>
      <c r="O108" s="697">
        <f>IF((IFERROR(N108/((N53+O53)*100%),0))&lt;70%,MIN((MAX((N53+O53)*100%-N108,0)),(N53+O53/2)*$A108),MAX((O53+N53)*100%-N108,0)/O$113)</f>
        <v>1.5633708263501304E-2</v>
      </c>
      <c r="P108" s="356">
        <f t="shared" si="51"/>
        <v>0</v>
      </c>
      <c r="Q108" s="477"/>
      <c r="R108" s="451">
        <f t="shared" si="59"/>
        <v>0.69827717456350125</v>
      </c>
      <c r="S108" s="451">
        <f t="shared" si="60"/>
        <v>0.69827717456350125</v>
      </c>
      <c r="T108" s="697">
        <f>IF((IFERROR(S108/((S53+T53)*100%),0))&lt;70%,MIN((MAX((S53+T53)*100%-S108,0)),(S53+T53/2)*$A108),MAX((T53+S53)*100%-S108,0)/T$113)</f>
        <v>1.5633708263501307E-2</v>
      </c>
      <c r="U108" s="356">
        <f t="shared" si="53"/>
        <v>0</v>
      </c>
      <c r="V108" s="477"/>
      <c r="W108" s="451">
        <f t="shared" si="61"/>
        <v>0.71391088282700255</v>
      </c>
    </row>
    <row r="109" spans="1:23">
      <c r="A109" s="466">
        <f t="shared" si="54"/>
        <v>0.3</v>
      </c>
      <c r="B109" s="95">
        <f t="shared" si="62"/>
        <v>15</v>
      </c>
      <c r="C109" s="476" t="s">
        <v>899</v>
      </c>
      <c r="D109" s="353">
        <f t="shared" si="45"/>
        <v>0</v>
      </c>
      <c r="E109" s="697">
        <f>IF((IFERROR(D109/((D54+E54)*100%),0))&lt;70%,MIN((MAX((D54+E54)*100%-D109,0)),(D54+E54/2)*$A109),MAX((E54+D54)*100%-D109,0)/E$113)</f>
        <v>0</v>
      </c>
      <c r="F109" s="356">
        <f t="shared" si="47"/>
        <v>0</v>
      </c>
      <c r="G109" s="357"/>
      <c r="H109" s="353">
        <f t="shared" si="63"/>
        <v>0</v>
      </c>
      <c r="I109" s="451">
        <f t="shared" si="56"/>
        <v>0</v>
      </c>
      <c r="J109" s="697">
        <f>IF((IFERROR(I109/((I54+J54)*100%),0))&lt;70%,MIN((MAX((I54+J54)*100%-I109,0)),(I54+J54/2)*$A109),MAX((J54+I54)*100%-I109,0)/J$113)</f>
        <v>0</v>
      </c>
      <c r="K109" s="356">
        <f t="shared" si="49"/>
        <v>0</v>
      </c>
      <c r="L109" s="477"/>
      <c r="M109" s="451">
        <f t="shared" si="57"/>
        <v>0</v>
      </c>
      <c r="N109" s="451">
        <f t="shared" si="58"/>
        <v>0</v>
      </c>
      <c r="O109" s="697">
        <f>IF((IFERROR(N109/((N54+O54)*100%),0))&lt;70%,MIN((MAX((N54+O54)*100%-N109,0)),(N54+O54/2)*$A109),MAX((O54+N54)*100%-N109,0)/O$113)</f>
        <v>0</v>
      </c>
      <c r="P109" s="356">
        <f t="shared" si="51"/>
        <v>0</v>
      </c>
      <c r="Q109" s="477"/>
      <c r="R109" s="451">
        <f t="shared" si="59"/>
        <v>0</v>
      </c>
      <c r="S109" s="451">
        <f t="shared" si="60"/>
        <v>0</v>
      </c>
      <c r="T109" s="697">
        <f>IF((IFERROR(S109/((S54+T54)*100%),0))&lt;70%,MIN((MAX((S54+T54)*100%-S109,0)),(S54+T54/2)*$A109),MAX((T54+S54)*100%-S109,0)/T$113)</f>
        <v>0</v>
      </c>
      <c r="U109" s="356">
        <f t="shared" si="53"/>
        <v>0</v>
      </c>
      <c r="V109" s="477"/>
      <c r="W109" s="451">
        <f t="shared" si="61"/>
        <v>0</v>
      </c>
    </row>
    <row r="110" spans="1:23">
      <c r="A110" s="466">
        <f t="shared" si="54"/>
        <v>0.3</v>
      </c>
      <c r="B110" s="95">
        <f t="shared" si="62"/>
        <v>16</v>
      </c>
      <c r="C110" s="476" t="s">
        <v>849</v>
      </c>
      <c r="D110" s="353">
        <f t="shared" si="45"/>
        <v>0</v>
      </c>
      <c r="E110" s="697">
        <f>IF((IFERROR(D110/((D55+E55)*100%),0))&lt;70%,MIN((MAX((D55+E55)*100%-D110,0)),(D55+E55/2)*$A110),MAX((E55+D55)*100%-D110,0)/E$113)</f>
        <v>0</v>
      </c>
      <c r="F110" s="356">
        <f t="shared" si="47"/>
        <v>0</v>
      </c>
      <c r="G110" s="357"/>
      <c r="H110" s="353">
        <f t="shared" si="63"/>
        <v>0</v>
      </c>
      <c r="I110" s="451">
        <f t="shared" si="56"/>
        <v>0</v>
      </c>
      <c r="J110" s="697">
        <f>IF((IFERROR(I110/((I55+J55)*100%),0))&lt;70%,MIN((MAX((I55+J55)*100%-I110,0)),(I55+J55/2)*$A110),MAX((J55+I55)*100%-I110,0)/J$113)</f>
        <v>0</v>
      </c>
      <c r="K110" s="356">
        <f t="shared" si="49"/>
        <v>0</v>
      </c>
      <c r="L110" s="477"/>
      <c r="M110" s="451">
        <f t="shared" si="57"/>
        <v>0</v>
      </c>
      <c r="N110" s="451">
        <f t="shared" si="58"/>
        <v>0</v>
      </c>
      <c r="O110" s="697">
        <f>IF((IFERROR(N110/((N55+O55)*100%),0))&lt;70%,MIN((MAX((N55+O55)*100%-N110,0)),(N55+O55/2)*$A110),MAX((O55+N55)*100%-N110,0)/O$113)</f>
        <v>0</v>
      </c>
      <c r="P110" s="356">
        <f t="shared" si="51"/>
        <v>0</v>
      </c>
      <c r="Q110" s="477"/>
      <c r="R110" s="451">
        <f t="shared" si="59"/>
        <v>0</v>
      </c>
      <c r="S110" s="451">
        <f t="shared" si="60"/>
        <v>0</v>
      </c>
      <c r="T110" s="697">
        <f>IF((IFERROR(S110/((S55+T55)*100%),0))&lt;70%,MIN((MAX((S55+T55)*100%-S110,0)),(S55+T55/2)*$A110),MAX((T55+S55)*100%-S110,0)/T$113)</f>
        <v>0</v>
      </c>
      <c r="U110" s="356">
        <f t="shared" si="53"/>
        <v>0</v>
      </c>
      <c r="V110" s="477"/>
      <c r="W110" s="451">
        <f t="shared" si="61"/>
        <v>0</v>
      </c>
    </row>
    <row r="111" spans="1:23">
      <c r="A111" s="466">
        <f t="shared" si="54"/>
        <v>3.3399999999999999E-2</v>
      </c>
      <c r="B111" s="95">
        <f t="shared" si="62"/>
        <v>17</v>
      </c>
      <c r="C111" s="476" t="s">
        <v>900</v>
      </c>
      <c r="D111" s="353">
        <f t="shared" si="45"/>
        <v>0</v>
      </c>
      <c r="E111" s="697">
        <f t="shared" si="46"/>
        <v>0</v>
      </c>
      <c r="F111" s="356">
        <f t="shared" si="47"/>
        <v>0</v>
      </c>
      <c r="G111" s="357"/>
      <c r="H111" s="353">
        <f t="shared" si="63"/>
        <v>0</v>
      </c>
      <c r="I111" s="451">
        <f t="shared" si="56"/>
        <v>0</v>
      </c>
      <c r="J111" s="697">
        <f t="shared" ref="J111" si="64">IF((IFERROR(I111/((I56+J56)*90%),0))&lt;70%,MIN((MAX((I56+J56)*90%-I111,0)),(I56+J56/2)*$A111),MAX((J56+I56)*90%-I111,0)/J$113)</f>
        <v>0</v>
      </c>
      <c r="K111" s="356">
        <f t="shared" si="49"/>
        <v>0</v>
      </c>
      <c r="L111" s="477"/>
      <c r="M111" s="451">
        <f t="shared" si="57"/>
        <v>0</v>
      </c>
      <c r="N111" s="451">
        <f t="shared" si="58"/>
        <v>0</v>
      </c>
      <c r="O111" s="697">
        <f t="shared" ref="O111" si="65">IF((IFERROR(N111/((N56+O56)*90%),0))&lt;70%,MIN((MAX((N56+O56)*90%-N111,0)),(N56+O56/2)*$A111),MAX((O56+N56)*90%-N111,0)/O$113)</f>
        <v>0</v>
      </c>
      <c r="P111" s="356">
        <f t="shared" si="51"/>
        <v>0</v>
      </c>
      <c r="Q111" s="477"/>
      <c r="R111" s="451">
        <f t="shared" si="59"/>
        <v>0</v>
      </c>
      <c r="S111" s="451">
        <f t="shared" si="60"/>
        <v>0</v>
      </c>
      <c r="T111" s="697">
        <f t="shared" ref="T111" si="66">IF((IFERROR(S111/((S56+T56)*90%),0))&lt;70%,MIN((MAX((S56+T56)*90%-S111,0)),(S56+T56/2)*$A111),MAX((T56+S56)*90%-S111,0)/T$113)</f>
        <v>0</v>
      </c>
      <c r="U111" s="356">
        <f t="shared" si="53"/>
        <v>0</v>
      </c>
      <c r="V111" s="477"/>
      <c r="W111" s="451">
        <f t="shared" si="61"/>
        <v>0</v>
      </c>
    </row>
    <row r="112" spans="1:23" ht="16">
      <c r="B112" s="83"/>
      <c r="C112" s="97" t="s">
        <v>271</v>
      </c>
      <c r="D112" s="355">
        <f t="shared" ref="D112:W112" si="67">SUM(D95:D111)</f>
        <v>879.47074392565662</v>
      </c>
      <c r="E112" s="355">
        <f t="shared" si="67"/>
        <v>101.20597418974829</v>
      </c>
      <c r="F112" s="355">
        <f t="shared" si="67"/>
        <v>0</v>
      </c>
      <c r="G112" s="355">
        <f t="shared" si="67"/>
        <v>0</v>
      </c>
      <c r="H112" s="355">
        <f t="shared" si="67"/>
        <v>980.67671811540515</v>
      </c>
      <c r="I112" s="355">
        <f t="shared" si="67"/>
        <v>980.67671811540515</v>
      </c>
      <c r="J112" s="355">
        <f t="shared" si="67"/>
        <v>101.20597418974829</v>
      </c>
      <c r="K112" s="355">
        <f t="shared" si="67"/>
        <v>0</v>
      </c>
      <c r="L112" s="355">
        <f t="shared" si="67"/>
        <v>0</v>
      </c>
      <c r="M112" s="355">
        <f t="shared" si="67"/>
        <v>1081.8826923051536</v>
      </c>
      <c r="N112" s="355">
        <f t="shared" si="67"/>
        <v>1081.8826923051536</v>
      </c>
      <c r="O112" s="355">
        <f t="shared" si="67"/>
        <v>101.0872093914118</v>
      </c>
      <c r="P112" s="355">
        <f t="shared" si="67"/>
        <v>0</v>
      </c>
      <c r="Q112" s="355">
        <f t="shared" si="67"/>
        <v>0</v>
      </c>
      <c r="R112" s="355">
        <f t="shared" si="67"/>
        <v>1182.9699016965653</v>
      </c>
      <c r="S112" s="355">
        <f t="shared" si="67"/>
        <v>1182.9699016965653</v>
      </c>
      <c r="T112" s="355">
        <f t="shared" si="67"/>
        <v>96.382196014697115</v>
      </c>
      <c r="U112" s="355">
        <f t="shared" si="67"/>
        <v>0</v>
      </c>
      <c r="V112" s="355">
        <f t="shared" si="67"/>
        <v>0</v>
      </c>
      <c r="W112" s="355">
        <f t="shared" si="67"/>
        <v>1279.3520977112623</v>
      </c>
    </row>
    <row r="113" spans="2:23" ht="16">
      <c r="B113" s="267"/>
      <c r="C113" s="269"/>
      <c r="D113" s="494"/>
      <c r="E113" s="493">
        <f>T86-1</f>
        <v>15.646575342465752</v>
      </c>
      <c r="F113" s="494"/>
      <c r="G113" s="494"/>
      <c r="H113" s="494"/>
      <c r="J113" s="493">
        <f>E113-1</f>
        <v>14.646575342465752</v>
      </c>
      <c r="O113" s="493">
        <f>J113-1</f>
        <v>13.646575342465752</v>
      </c>
      <c r="T113" s="493">
        <f>O113-1</f>
        <v>12.646575342465752</v>
      </c>
    </row>
    <row r="114" spans="2:23">
      <c r="B114" s="1"/>
      <c r="C114" s="1"/>
      <c r="D114" s="1"/>
      <c r="E114" s="1"/>
      <c r="F114" s="1"/>
      <c r="G114" s="1"/>
      <c r="H114" s="1"/>
      <c r="I114" s="1"/>
      <c r="J114" s="1"/>
      <c r="K114" s="1"/>
      <c r="L114" s="1"/>
      <c r="M114" s="1"/>
      <c r="N114" s="1"/>
      <c r="O114" s="1"/>
      <c r="P114" s="1"/>
      <c r="Q114" s="1"/>
      <c r="R114" s="1"/>
    </row>
    <row r="115" spans="2:23">
      <c r="B115" s="373" t="s">
        <v>341</v>
      </c>
      <c r="C115" s="1"/>
      <c r="D115" s="1"/>
      <c r="E115" s="1"/>
      <c r="F115" s="1"/>
      <c r="G115" s="1"/>
      <c r="H115" s="1"/>
      <c r="I115" s="1"/>
      <c r="J115" s="1"/>
      <c r="K115" s="1"/>
      <c r="L115" s="1"/>
      <c r="M115" s="1"/>
      <c r="N115" s="1"/>
      <c r="O115" s="1"/>
      <c r="P115" s="1"/>
      <c r="Q115" s="1"/>
      <c r="R115" s="1"/>
    </row>
    <row r="116" spans="2:23">
      <c r="B116" s="373"/>
      <c r="C116" s="1"/>
      <c r="D116" s="1"/>
      <c r="E116" s="1"/>
      <c r="F116" s="1"/>
      <c r="G116" s="1"/>
      <c r="H116" s="1"/>
      <c r="I116" s="1"/>
      <c r="J116" s="1"/>
      <c r="K116" s="1"/>
      <c r="L116" s="1"/>
      <c r="M116" s="1"/>
      <c r="N116" s="1"/>
      <c r="O116" s="1"/>
      <c r="P116" s="1"/>
      <c r="Q116" s="1"/>
      <c r="R116" s="1"/>
    </row>
    <row r="117" spans="2:23">
      <c r="B117" s="1"/>
      <c r="C117" s="1"/>
      <c r="D117" s="8"/>
      <c r="E117" s="8"/>
      <c r="F117" s="8"/>
      <c r="G117" s="8"/>
      <c r="H117" s="8"/>
      <c r="I117" s="1"/>
      <c r="J117" s="44"/>
      <c r="K117" s="1"/>
      <c r="L117" s="1"/>
      <c r="M117" s="264" t="s">
        <v>10</v>
      </c>
      <c r="O117" s="1"/>
      <c r="P117" s="1"/>
      <c r="Q117" s="1"/>
    </row>
    <row r="118" spans="2:23" ht="15" customHeight="1">
      <c r="B118" s="1804" t="s">
        <v>340</v>
      </c>
      <c r="C118" s="1804" t="s">
        <v>36</v>
      </c>
      <c r="D118" s="1934" t="s">
        <v>508</v>
      </c>
      <c r="E118" s="1935"/>
      <c r="F118" s="1935"/>
      <c r="G118" s="1935"/>
      <c r="H118" s="1936"/>
      <c r="I118" s="1937" t="s">
        <v>509</v>
      </c>
      <c r="J118" s="1937"/>
      <c r="K118" s="1937"/>
      <c r="L118" s="1937"/>
      <c r="M118" s="1937"/>
      <c r="N118" s="1933" t="s">
        <v>510</v>
      </c>
      <c r="O118" s="1933"/>
      <c r="P118" s="1933"/>
      <c r="Q118" s="1933"/>
      <c r="R118" s="1933"/>
      <c r="S118" s="1933" t="s">
        <v>958</v>
      </c>
      <c r="T118" s="1933"/>
      <c r="U118" s="1933"/>
      <c r="V118" s="1933"/>
      <c r="W118" s="1933"/>
    </row>
    <row r="119" spans="2:23">
      <c r="B119" s="1804"/>
      <c r="C119" s="1804"/>
      <c r="D119" s="1942" t="s">
        <v>7</v>
      </c>
      <c r="E119" s="1943"/>
      <c r="F119" s="1943"/>
      <c r="G119" s="1943"/>
      <c r="H119" s="1943"/>
      <c r="I119" s="1942" t="s">
        <v>7</v>
      </c>
      <c r="J119" s="1943"/>
      <c r="K119" s="1943"/>
      <c r="L119" s="1943"/>
      <c r="M119" s="1943"/>
      <c r="N119" s="1937" t="s">
        <v>12</v>
      </c>
      <c r="O119" s="1938"/>
      <c r="P119" s="1938"/>
      <c r="Q119" s="1938"/>
      <c r="R119" s="1938"/>
      <c r="S119" s="1937" t="s">
        <v>21</v>
      </c>
      <c r="T119" s="1938"/>
      <c r="U119" s="1938"/>
      <c r="V119" s="1938"/>
      <c r="W119" s="1938"/>
    </row>
    <row r="120" spans="2:23" ht="42">
      <c r="B120" s="1804"/>
      <c r="C120" s="1804"/>
      <c r="D120" s="374" t="s">
        <v>267</v>
      </c>
      <c r="E120" s="374" t="s">
        <v>268</v>
      </c>
      <c r="F120" s="268" t="s">
        <v>274</v>
      </c>
      <c r="G120" s="372" t="s">
        <v>589</v>
      </c>
      <c r="H120" s="374" t="s">
        <v>270</v>
      </c>
      <c r="I120" s="708" t="s">
        <v>267</v>
      </c>
      <c r="J120" s="708" t="s">
        <v>268</v>
      </c>
      <c r="K120" s="268" t="s">
        <v>274</v>
      </c>
      <c r="L120" s="703" t="s">
        <v>589</v>
      </c>
      <c r="M120" s="708" t="s">
        <v>270</v>
      </c>
      <c r="N120" s="374" t="s">
        <v>267</v>
      </c>
      <c r="O120" s="374" t="s">
        <v>268</v>
      </c>
      <c r="P120" s="268" t="s">
        <v>274</v>
      </c>
      <c r="Q120" s="372" t="s">
        <v>589</v>
      </c>
      <c r="R120" s="374" t="s">
        <v>270</v>
      </c>
      <c r="S120" s="374" t="s">
        <v>267</v>
      </c>
      <c r="T120" s="374" t="s">
        <v>268</v>
      </c>
      <c r="U120" s="268" t="s">
        <v>274</v>
      </c>
      <c r="V120" s="372" t="s">
        <v>589</v>
      </c>
      <c r="W120" s="374" t="s">
        <v>270</v>
      </c>
    </row>
    <row r="121" spans="2:23" ht="28">
      <c r="B121" s="265"/>
      <c r="C121" s="265"/>
      <c r="D121" s="265" t="s">
        <v>80</v>
      </c>
      <c r="E121" s="265" t="s">
        <v>81</v>
      </c>
      <c r="F121" s="265" t="s">
        <v>461</v>
      </c>
      <c r="G121" s="265" t="s">
        <v>391</v>
      </c>
      <c r="H121" s="265" t="s">
        <v>590</v>
      </c>
      <c r="I121" s="265" t="s">
        <v>409</v>
      </c>
      <c r="J121" s="265" t="s">
        <v>511</v>
      </c>
      <c r="K121" s="265" t="s">
        <v>410</v>
      </c>
      <c r="L121" s="265" t="s">
        <v>411</v>
      </c>
      <c r="M121" s="265" t="s">
        <v>654</v>
      </c>
      <c r="N121" s="265" t="s">
        <v>596</v>
      </c>
      <c r="O121" s="265" t="s">
        <v>597</v>
      </c>
      <c r="P121" s="265" t="s">
        <v>598</v>
      </c>
      <c r="Q121" s="265" t="s">
        <v>656</v>
      </c>
      <c r="R121" s="265" t="s">
        <v>657</v>
      </c>
      <c r="S121" s="265" t="s">
        <v>658</v>
      </c>
      <c r="T121" s="265" t="s">
        <v>659</v>
      </c>
      <c r="U121" s="265" t="s">
        <v>660</v>
      </c>
      <c r="V121" s="265" t="s">
        <v>661</v>
      </c>
      <c r="W121" s="265" t="s">
        <v>662</v>
      </c>
    </row>
    <row r="122" spans="2:23">
      <c r="B122" s="95">
        <v>1</v>
      </c>
      <c r="C122" s="455" t="s">
        <v>841</v>
      </c>
      <c r="D122" s="356">
        <f t="shared" ref="D122:G133" si="68">D14-D68</f>
        <v>20.51997533484003</v>
      </c>
      <c r="E122" s="356">
        <f t="shared" si="68"/>
        <v>0</v>
      </c>
      <c r="F122" s="356">
        <f t="shared" si="68"/>
        <v>0</v>
      </c>
      <c r="G122" s="356">
        <f t="shared" si="68"/>
        <v>0</v>
      </c>
      <c r="H122" s="356">
        <f>D122+E122-F122-G122</f>
        <v>20.51997533484003</v>
      </c>
      <c r="I122" s="356">
        <f t="shared" ref="I122:L133" si="69">I14-I68</f>
        <v>20.51997533484003</v>
      </c>
      <c r="J122" s="356">
        <f t="shared" si="69"/>
        <v>0</v>
      </c>
      <c r="K122" s="356">
        <f t="shared" si="69"/>
        <v>0</v>
      </c>
      <c r="L122" s="356">
        <f t="shared" si="69"/>
        <v>0</v>
      </c>
      <c r="M122" s="353">
        <f>I122+J122-K122-L122</f>
        <v>20.51997533484003</v>
      </c>
      <c r="N122" s="356">
        <f t="shared" ref="N122:Q138" si="70">N14-N68</f>
        <v>20.51997533484003</v>
      </c>
      <c r="O122" s="356">
        <f t="shared" si="70"/>
        <v>0</v>
      </c>
      <c r="P122" s="356">
        <f t="shared" si="70"/>
        <v>0</v>
      </c>
      <c r="Q122" s="356">
        <f t="shared" si="70"/>
        <v>0</v>
      </c>
      <c r="R122" s="356">
        <f>N122+O122-P122-Q122</f>
        <v>20.51997533484003</v>
      </c>
      <c r="S122" s="356">
        <f t="shared" ref="S122:V138" si="71">S14-S68</f>
        <v>20.51997533484003</v>
      </c>
      <c r="T122" s="356">
        <f t="shared" si="71"/>
        <v>0</v>
      </c>
      <c r="U122" s="356">
        <f t="shared" si="71"/>
        <v>0</v>
      </c>
      <c r="V122" s="356">
        <f t="shared" si="71"/>
        <v>0</v>
      </c>
      <c r="W122" s="353">
        <f>S122+T122-U122-V122</f>
        <v>20.51997533484003</v>
      </c>
    </row>
    <row r="123" spans="2:23">
      <c r="B123" s="95">
        <f>B122+1</f>
        <v>2</v>
      </c>
      <c r="C123" s="455" t="s">
        <v>842</v>
      </c>
      <c r="D123" s="356">
        <f t="shared" si="68"/>
        <v>113.78195527647087</v>
      </c>
      <c r="E123" s="356">
        <f t="shared" si="68"/>
        <v>-4.5721508030860223</v>
      </c>
      <c r="F123" s="356">
        <f t="shared" si="68"/>
        <v>0</v>
      </c>
      <c r="G123" s="356">
        <f t="shared" si="68"/>
        <v>0</v>
      </c>
      <c r="H123" s="356">
        <f t="shared" ref="H123:H133" si="72">D123+E123-F123-G123</f>
        <v>109.20980447338485</v>
      </c>
      <c r="I123" s="356">
        <f t="shared" si="69"/>
        <v>109.20980447338485</v>
      </c>
      <c r="J123" s="356">
        <f t="shared" si="69"/>
        <v>-2.3761783786860233</v>
      </c>
      <c r="K123" s="356">
        <f t="shared" si="69"/>
        <v>0</v>
      </c>
      <c r="L123" s="356">
        <f t="shared" si="69"/>
        <v>0</v>
      </c>
      <c r="M123" s="353">
        <f t="shared" ref="M123:M133" si="73">I123+J123-K123-L123</f>
        <v>106.83362609469883</v>
      </c>
      <c r="N123" s="356">
        <f t="shared" si="70"/>
        <v>106.83362609469883</v>
      </c>
      <c r="O123" s="356">
        <f t="shared" si="70"/>
        <v>-4.6467419542860231</v>
      </c>
      <c r="P123" s="356">
        <f t="shared" si="70"/>
        <v>0</v>
      </c>
      <c r="Q123" s="356">
        <f t="shared" si="70"/>
        <v>0</v>
      </c>
      <c r="R123" s="356">
        <f t="shared" ref="R123:R133" si="74">N123+O123-P123-Q123</f>
        <v>102.1868841404128</v>
      </c>
      <c r="S123" s="356">
        <f t="shared" si="71"/>
        <v>102.18688414041281</v>
      </c>
      <c r="T123" s="356">
        <f t="shared" si="71"/>
        <v>-4.6467419542860231</v>
      </c>
      <c r="U123" s="356">
        <f t="shared" si="71"/>
        <v>0</v>
      </c>
      <c r="V123" s="356">
        <f t="shared" si="71"/>
        <v>0</v>
      </c>
      <c r="W123" s="353">
        <f t="shared" ref="W123:W133" si="75">S123+T123-U123-V123</f>
        <v>97.540142186126786</v>
      </c>
    </row>
    <row r="124" spans="2:23">
      <c r="B124" s="95">
        <f t="shared" ref="B124:B138" si="76">B123+1</f>
        <v>3</v>
      </c>
      <c r="C124" s="455" t="s">
        <v>843</v>
      </c>
      <c r="D124" s="356">
        <f t="shared" si="68"/>
        <v>0</v>
      </c>
      <c r="E124" s="356">
        <f t="shared" si="68"/>
        <v>0</v>
      </c>
      <c r="F124" s="356">
        <f t="shared" si="68"/>
        <v>0</v>
      </c>
      <c r="G124" s="356">
        <f t="shared" si="68"/>
        <v>0</v>
      </c>
      <c r="H124" s="356">
        <f t="shared" si="72"/>
        <v>0</v>
      </c>
      <c r="I124" s="356">
        <f t="shared" si="69"/>
        <v>0</v>
      </c>
      <c r="J124" s="356">
        <f t="shared" si="69"/>
        <v>0</v>
      </c>
      <c r="K124" s="356">
        <f t="shared" si="69"/>
        <v>0</v>
      </c>
      <c r="L124" s="356">
        <f t="shared" si="69"/>
        <v>0</v>
      </c>
      <c r="M124" s="353">
        <f t="shared" si="73"/>
        <v>0</v>
      </c>
      <c r="N124" s="356">
        <f t="shared" si="70"/>
        <v>0</v>
      </c>
      <c r="O124" s="356">
        <f t="shared" si="70"/>
        <v>0</v>
      </c>
      <c r="P124" s="356">
        <f t="shared" si="70"/>
        <v>0</v>
      </c>
      <c r="Q124" s="356">
        <f t="shared" si="70"/>
        <v>0</v>
      </c>
      <c r="R124" s="356">
        <f t="shared" si="74"/>
        <v>0</v>
      </c>
      <c r="S124" s="356">
        <f t="shared" si="71"/>
        <v>0</v>
      </c>
      <c r="T124" s="356">
        <f t="shared" si="71"/>
        <v>0</v>
      </c>
      <c r="U124" s="356">
        <f t="shared" si="71"/>
        <v>0</v>
      </c>
      <c r="V124" s="356">
        <f t="shared" si="71"/>
        <v>0</v>
      </c>
      <c r="W124" s="353">
        <f t="shared" si="75"/>
        <v>0</v>
      </c>
    </row>
    <row r="125" spans="2:23">
      <c r="B125" s="95">
        <f t="shared" si="76"/>
        <v>4</v>
      </c>
      <c r="C125" s="455" t="s">
        <v>844</v>
      </c>
      <c r="D125" s="356">
        <f t="shared" si="68"/>
        <v>75.553496133637907</v>
      </c>
      <c r="E125" s="356">
        <f t="shared" si="68"/>
        <v>-4.8451577834003343</v>
      </c>
      <c r="F125" s="356">
        <f t="shared" si="68"/>
        <v>0</v>
      </c>
      <c r="G125" s="356">
        <f t="shared" si="68"/>
        <v>0</v>
      </c>
      <c r="H125" s="356">
        <f t="shared" si="72"/>
        <v>70.708338350237568</v>
      </c>
      <c r="I125" s="356">
        <f t="shared" si="69"/>
        <v>70.708338350237568</v>
      </c>
      <c r="J125" s="356">
        <f t="shared" si="69"/>
        <v>-5.5464320369731341</v>
      </c>
      <c r="K125" s="356">
        <f t="shared" si="69"/>
        <v>0</v>
      </c>
      <c r="L125" s="356">
        <f t="shared" si="69"/>
        <v>0</v>
      </c>
      <c r="M125" s="353">
        <f t="shared" si="73"/>
        <v>65.161906313264438</v>
      </c>
      <c r="N125" s="356">
        <f t="shared" si="70"/>
        <v>65.161906313264438</v>
      </c>
      <c r="O125" s="356">
        <f t="shared" si="70"/>
        <v>-5.5464320369731341</v>
      </c>
      <c r="P125" s="356">
        <f t="shared" si="70"/>
        <v>0</v>
      </c>
      <c r="Q125" s="356">
        <f t="shared" si="70"/>
        <v>0</v>
      </c>
      <c r="R125" s="356">
        <f t="shared" si="74"/>
        <v>59.615474276291302</v>
      </c>
      <c r="S125" s="356">
        <f t="shared" si="71"/>
        <v>59.615474276291295</v>
      </c>
      <c r="T125" s="356">
        <f t="shared" si="71"/>
        <v>-5.5464320369731341</v>
      </c>
      <c r="U125" s="356">
        <f t="shared" si="71"/>
        <v>0</v>
      </c>
      <c r="V125" s="356">
        <f t="shared" si="71"/>
        <v>0</v>
      </c>
      <c r="W125" s="353">
        <f t="shared" si="75"/>
        <v>54.069042239318158</v>
      </c>
    </row>
    <row r="126" spans="2:23">
      <c r="B126" s="95">
        <f t="shared" si="76"/>
        <v>5</v>
      </c>
      <c r="C126" s="455" t="s">
        <v>845</v>
      </c>
      <c r="D126" s="356">
        <f t="shared" si="68"/>
        <v>25.90217075612037</v>
      </c>
      <c r="E126" s="356">
        <f t="shared" si="68"/>
        <v>-1.0461582806866132</v>
      </c>
      <c r="F126" s="356">
        <f t="shared" si="68"/>
        <v>0</v>
      </c>
      <c r="G126" s="356">
        <f t="shared" si="68"/>
        <v>0</v>
      </c>
      <c r="H126" s="356">
        <f t="shared" si="72"/>
        <v>24.856012475433758</v>
      </c>
      <c r="I126" s="356">
        <f t="shared" si="69"/>
        <v>24.856012475433758</v>
      </c>
      <c r="J126" s="356">
        <f t="shared" si="69"/>
        <v>45.174660835971785</v>
      </c>
      <c r="K126" s="356">
        <f t="shared" si="69"/>
        <v>0</v>
      </c>
      <c r="L126" s="356">
        <f t="shared" si="69"/>
        <v>0</v>
      </c>
      <c r="M126" s="353">
        <f t="shared" si="73"/>
        <v>70.030673311405536</v>
      </c>
      <c r="N126" s="356">
        <f t="shared" si="70"/>
        <v>70.03067331140555</v>
      </c>
      <c r="O126" s="356">
        <f t="shared" si="70"/>
        <v>-0.62005354336981355</v>
      </c>
      <c r="P126" s="356">
        <f t="shared" si="70"/>
        <v>0</v>
      </c>
      <c r="Q126" s="356">
        <f t="shared" si="70"/>
        <v>0</v>
      </c>
      <c r="R126" s="356">
        <f t="shared" si="74"/>
        <v>69.41061976803573</v>
      </c>
      <c r="S126" s="356">
        <f t="shared" si="71"/>
        <v>69.41061976803573</v>
      </c>
      <c r="T126" s="356">
        <f t="shared" si="71"/>
        <v>-2.6839545433698135</v>
      </c>
      <c r="U126" s="356">
        <f t="shared" si="71"/>
        <v>0</v>
      </c>
      <c r="V126" s="356">
        <f t="shared" si="71"/>
        <v>0</v>
      </c>
      <c r="W126" s="353">
        <f t="shared" si="75"/>
        <v>66.726665224665922</v>
      </c>
    </row>
    <row r="127" spans="2:23">
      <c r="B127" s="95">
        <f t="shared" si="76"/>
        <v>6</v>
      </c>
      <c r="C127" s="455" t="s">
        <v>255</v>
      </c>
      <c r="D127" s="356">
        <f t="shared" si="68"/>
        <v>1118.3832731334885</v>
      </c>
      <c r="E127" s="356">
        <f t="shared" si="68"/>
        <v>-69.947342072742657</v>
      </c>
      <c r="F127" s="356">
        <f t="shared" si="68"/>
        <v>0</v>
      </c>
      <c r="G127" s="356">
        <f t="shared" si="68"/>
        <v>0</v>
      </c>
      <c r="H127" s="356">
        <f t="shared" si="72"/>
        <v>1048.4359310607458</v>
      </c>
      <c r="I127" s="356">
        <f t="shared" si="69"/>
        <v>1048.435931060746</v>
      </c>
      <c r="J127" s="356">
        <f t="shared" si="69"/>
        <v>-53.592680259573861</v>
      </c>
      <c r="K127" s="356">
        <f t="shared" si="69"/>
        <v>0</v>
      </c>
      <c r="L127" s="356">
        <f t="shared" si="69"/>
        <v>0</v>
      </c>
      <c r="M127" s="353">
        <f t="shared" si="73"/>
        <v>994.84325080117219</v>
      </c>
      <c r="N127" s="356">
        <f t="shared" si="70"/>
        <v>994.84325080117196</v>
      </c>
      <c r="O127" s="356">
        <f t="shared" si="70"/>
        <v>-68.705663195331454</v>
      </c>
      <c r="P127" s="356">
        <f t="shared" si="70"/>
        <v>0</v>
      </c>
      <c r="Q127" s="356">
        <f t="shared" si="70"/>
        <v>0</v>
      </c>
      <c r="R127" s="356">
        <f t="shared" si="74"/>
        <v>926.13758760584051</v>
      </c>
      <c r="S127" s="356">
        <f t="shared" si="71"/>
        <v>926.13758760584039</v>
      </c>
      <c r="T127" s="356">
        <f t="shared" si="71"/>
        <v>-48.855076528664796</v>
      </c>
      <c r="U127" s="356">
        <f t="shared" si="71"/>
        <v>0</v>
      </c>
      <c r="V127" s="356">
        <f t="shared" si="71"/>
        <v>0</v>
      </c>
      <c r="W127" s="353">
        <f t="shared" si="75"/>
        <v>877.28251107717563</v>
      </c>
    </row>
    <row r="128" spans="2:23">
      <c r="B128" s="95">
        <f t="shared" si="76"/>
        <v>7</v>
      </c>
      <c r="C128" s="455" t="s">
        <v>846</v>
      </c>
      <c r="D128" s="356">
        <f t="shared" si="68"/>
        <v>0</v>
      </c>
      <c r="E128" s="356">
        <f t="shared" si="68"/>
        <v>0</v>
      </c>
      <c r="F128" s="356">
        <f t="shared" si="68"/>
        <v>0</v>
      </c>
      <c r="G128" s="356">
        <f t="shared" si="68"/>
        <v>0</v>
      </c>
      <c r="H128" s="356">
        <f t="shared" si="72"/>
        <v>0</v>
      </c>
      <c r="I128" s="356">
        <f t="shared" si="69"/>
        <v>0</v>
      </c>
      <c r="J128" s="356">
        <f t="shared" si="69"/>
        <v>0</v>
      </c>
      <c r="K128" s="356">
        <f t="shared" si="69"/>
        <v>0</v>
      </c>
      <c r="L128" s="356">
        <f t="shared" si="69"/>
        <v>0</v>
      </c>
      <c r="M128" s="353">
        <f t="shared" si="73"/>
        <v>0</v>
      </c>
      <c r="N128" s="356">
        <f t="shared" si="70"/>
        <v>0</v>
      </c>
      <c r="O128" s="356">
        <f t="shared" si="70"/>
        <v>0</v>
      </c>
      <c r="P128" s="356">
        <f t="shared" si="70"/>
        <v>0</v>
      </c>
      <c r="Q128" s="356">
        <f t="shared" si="70"/>
        <v>0</v>
      </c>
      <c r="R128" s="356">
        <f t="shared" si="74"/>
        <v>0</v>
      </c>
      <c r="S128" s="356">
        <f t="shared" si="71"/>
        <v>0</v>
      </c>
      <c r="T128" s="356">
        <f t="shared" si="71"/>
        <v>0</v>
      </c>
      <c r="U128" s="356">
        <f t="shared" si="71"/>
        <v>0</v>
      </c>
      <c r="V128" s="356">
        <f t="shared" si="71"/>
        <v>0</v>
      </c>
      <c r="W128" s="353">
        <f t="shared" si="75"/>
        <v>0</v>
      </c>
    </row>
    <row r="129" spans="2:33">
      <c r="B129" s="95">
        <f t="shared" si="76"/>
        <v>8</v>
      </c>
      <c r="C129" s="455" t="s">
        <v>847</v>
      </c>
      <c r="D129" s="356">
        <f t="shared" si="68"/>
        <v>0</v>
      </c>
      <c r="E129" s="356">
        <f t="shared" si="68"/>
        <v>0</v>
      </c>
      <c r="F129" s="356">
        <f t="shared" si="68"/>
        <v>0</v>
      </c>
      <c r="G129" s="356">
        <f t="shared" si="68"/>
        <v>0</v>
      </c>
      <c r="H129" s="356">
        <f t="shared" si="72"/>
        <v>0</v>
      </c>
      <c r="I129" s="356">
        <f t="shared" si="69"/>
        <v>0</v>
      </c>
      <c r="J129" s="356">
        <f t="shared" si="69"/>
        <v>0</v>
      </c>
      <c r="K129" s="356">
        <f t="shared" si="69"/>
        <v>0</v>
      </c>
      <c r="L129" s="356">
        <f t="shared" si="69"/>
        <v>0</v>
      </c>
      <c r="M129" s="353">
        <f t="shared" si="73"/>
        <v>0</v>
      </c>
      <c r="N129" s="356">
        <f t="shared" si="70"/>
        <v>0</v>
      </c>
      <c r="O129" s="356">
        <f t="shared" si="70"/>
        <v>0</v>
      </c>
      <c r="P129" s="356">
        <f t="shared" si="70"/>
        <v>0</v>
      </c>
      <c r="Q129" s="356">
        <f t="shared" si="70"/>
        <v>0</v>
      </c>
      <c r="R129" s="356">
        <f t="shared" si="74"/>
        <v>0</v>
      </c>
      <c r="S129" s="356">
        <f t="shared" si="71"/>
        <v>0</v>
      </c>
      <c r="T129" s="356">
        <f t="shared" si="71"/>
        <v>0</v>
      </c>
      <c r="U129" s="356">
        <f t="shared" si="71"/>
        <v>0</v>
      </c>
      <c r="V129" s="356">
        <f t="shared" si="71"/>
        <v>0</v>
      </c>
      <c r="W129" s="353">
        <f t="shared" si="75"/>
        <v>0</v>
      </c>
    </row>
    <row r="130" spans="2:33">
      <c r="B130" s="95">
        <f t="shared" si="76"/>
        <v>9</v>
      </c>
      <c r="C130" s="455" t="s">
        <v>848</v>
      </c>
      <c r="D130" s="356">
        <f t="shared" si="68"/>
        <v>27.763624353255857</v>
      </c>
      <c r="E130" s="356">
        <f t="shared" si="68"/>
        <v>-2.0448768475836201</v>
      </c>
      <c r="F130" s="356">
        <f t="shared" si="68"/>
        <v>0</v>
      </c>
      <c r="G130" s="356">
        <f t="shared" si="68"/>
        <v>0</v>
      </c>
      <c r="H130" s="356">
        <f t="shared" si="72"/>
        <v>25.718747505672237</v>
      </c>
      <c r="I130" s="356">
        <f t="shared" si="69"/>
        <v>25.718747505672233</v>
      </c>
      <c r="J130" s="356">
        <f t="shared" si="69"/>
        <v>-2.0448768475836201</v>
      </c>
      <c r="K130" s="356">
        <f t="shared" si="69"/>
        <v>0</v>
      </c>
      <c r="L130" s="356">
        <f t="shared" si="69"/>
        <v>0</v>
      </c>
      <c r="M130" s="353">
        <f t="shared" si="73"/>
        <v>23.673870658088614</v>
      </c>
      <c r="N130" s="356">
        <f t="shared" si="70"/>
        <v>23.673870658088617</v>
      </c>
      <c r="O130" s="356">
        <f t="shared" si="70"/>
        <v>-2.0448768475836201</v>
      </c>
      <c r="P130" s="356">
        <f t="shared" si="70"/>
        <v>0</v>
      </c>
      <c r="Q130" s="356">
        <f t="shared" si="70"/>
        <v>0</v>
      </c>
      <c r="R130" s="356">
        <f t="shared" si="74"/>
        <v>21.628993810504998</v>
      </c>
      <c r="S130" s="356">
        <f t="shared" si="71"/>
        <v>21.628993810504994</v>
      </c>
      <c r="T130" s="356">
        <f t="shared" si="71"/>
        <v>-2.0448768475836201</v>
      </c>
      <c r="U130" s="356">
        <f t="shared" si="71"/>
        <v>0</v>
      </c>
      <c r="V130" s="356">
        <f t="shared" si="71"/>
        <v>0</v>
      </c>
      <c r="W130" s="353">
        <f t="shared" si="75"/>
        <v>19.584116962921374</v>
      </c>
    </row>
    <row r="131" spans="2:33">
      <c r="B131" s="95">
        <f t="shared" si="76"/>
        <v>10</v>
      </c>
      <c r="C131" s="455" t="s">
        <v>258</v>
      </c>
      <c r="D131" s="356">
        <f t="shared" si="68"/>
        <v>0</v>
      </c>
      <c r="E131" s="356">
        <f t="shared" si="68"/>
        <v>0</v>
      </c>
      <c r="F131" s="356">
        <f t="shared" si="68"/>
        <v>0</v>
      </c>
      <c r="G131" s="356">
        <f t="shared" si="68"/>
        <v>0</v>
      </c>
      <c r="H131" s="356">
        <f t="shared" si="72"/>
        <v>0</v>
      </c>
      <c r="I131" s="356">
        <f t="shared" si="69"/>
        <v>0</v>
      </c>
      <c r="J131" s="356">
        <f t="shared" si="69"/>
        <v>0</v>
      </c>
      <c r="K131" s="356">
        <f t="shared" si="69"/>
        <v>0</v>
      </c>
      <c r="L131" s="356">
        <f t="shared" si="69"/>
        <v>0</v>
      </c>
      <c r="M131" s="353">
        <f t="shared" si="73"/>
        <v>0</v>
      </c>
      <c r="N131" s="356">
        <f t="shared" si="70"/>
        <v>0</v>
      </c>
      <c r="O131" s="356">
        <f t="shared" si="70"/>
        <v>0</v>
      </c>
      <c r="P131" s="356">
        <f t="shared" si="70"/>
        <v>0</v>
      </c>
      <c r="Q131" s="356">
        <f t="shared" si="70"/>
        <v>0</v>
      </c>
      <c r="R131" s="356">
        <f t="shared" si="74"/>
        <v>0</v>
      </c>
      <c r="S131" s="356">
        <f t="shared" si="71"/>
        <v>0</v>
      </c>
      <c r="T131" s="356">
        <f t="shared" si="71"/>
        <v>0</v>
      </c>
      <c r="U131" s="356">
        <f t="shared" si="71"/>
        <v>0</v>
      </c>
      <c r="V131" s="356">
        <f t="shared" si="71"/>
        <v>0</v>
      </c>
      <c r="W131" s="353">
        <f t="shared" si="75"/>
        <v>0</v>
      </c>
    </row>
    <row r="132" spans="2:33">
      <c r="B132" s="95">
        <f t="shared" si="76"/>
        <v>11</v>
      </c>
      <c r="C132" s="455" t="s">
        <v>259</v>
      </c>
      <c r="D132" s="356">
        <f t="shared" si="68"/>
        <v>0.44965688467570208</v>
      </c>
      <c r="E132" s="356">
        <f t="shared" si="68"/>
        <v>-3.3871586922912054E-2</v>
      </c>
      <c r="F132" s="356">
        <f t="shared" si="68"/>
        <v>0</v>
      </c>
      <c r="G132" s="356">
        <f t="shared" si="68"/>
        <v>0</v>
      </c>
      <c r="H132" s="356">
        <f t="shared" si="72"/>
        <v>0.41578529775279005</v>
      </c>
      <c r="I132" s="356">
        <f t="shared" si="69"/>
        <v>0.41578529775279</v>
      </c>
      <c r="J132" s="356">
        <f t="shared" si="69"/>
        <v>0.14529029054563797</v>
      </c>
      <c r="K132" s="356">
        <f t="shared" si="69"/>
        <v>0</v>
      </c>
      <c r="L132" s="356">
        <f t="shared" si="69"/>
        <v>0</v>
      </c>
      <c r="M132" s="353">
        <f t="shared" si="73"/>
        <v>0.56107558829842796</v>
      </c>
      <c r="N132" s="356">
        <f t="shared" si="70"/>
        <v>0.56107558829842796</v>
      </c>
      <c r="O132" s="356">
        <f t="shared" si="70"/>
        <v>-4.9859105604262051E-2</v>
      </c>
      <c r="P132" s="356">
        <f t="shared" si="70"/>
        <v>0</v>
      </c>
      <c r="Q132" s="356">
        <f t="shared" si="70"/>
        <v>0</v>
      </c>
      <c r="R132" s="356">
        <f t="shared" si="74"/>
        <v>0.51121648269416586</v>
      </c>
      <c r="S132" s="356">
        <f t="shared" si="71"/>
        <v>0.51121648269416586</v>
      </c>
      <c r="T132" s="356">
        <f t="shared" si="71"/>
        <v>-4.9859105604262051E-2</v>
      </c>
      <c r="U132" s="356">
        <f t="shared" si="71"/>
        <v>0</v>
      </c>
      <c r="V132" s="356">
        <f t="shared" si="71"/>
        <v>0</v>
      </c>
      <c r="W132" s="353">
        <f t="shared" si="75"/>
        <v>0.46135737708990382</v>
      </c>
    </row>
    <row r="133" spans="2:33">
      <c r="B133" s="95">
        <f t="shared" si="76"/>
        <v>12</v>
      </c>
      <c r="C133" s="455" t="s">
        <v>260</v>
      </c>
      <c r="D133" s="356">
        <f t="shared" si="68"/>
        <v>0</v>
      </c>
      <c r="E133" s="356">
        <f t="shared" si="68"/>
        <v>0</v>
      </c>
      <c r="F133" s="356">
        <f t="shared" si="68"/>
        <v>0</v>
      </c>
      <c r="G133" s="356">
        <f t="shared" si="68"/>
        <v>0</v>
      </c>
      <c r="H133" s="356">
        <f t="shared" si="72"/>
        <v>0</v>
      </c>
      <c r="I133" s="356">
        <f t="shared" si="69"/>
        <v>0</v>
      </c>
      <c r="J133" s="356">
        <f t="shared" si="69"/>
        <v>0</v>
      </c>
      <c r="K133" s="356">
        <f t="shared" si="69"/>
        <v>0</v>
      </c>
      <c r="L133" s="356">
        <f t="shared" si="69"/>
        <v>0</v>
      </c>
      <c r="M133" s="353">
        <f t="shared" si="73"/>
        <v>0</v>
      </c>
      <c r="N133" s="356">
        <f t="shared" si="70"/>
        <v>0</v>
      </c>
      <c r="O133" s="356">
        <f t="shared" si="70"/>
        <v>0</v>
      </c>
      <c r="P133" s="356">
        <f t="shared" si="70"/>
        <v>0</v>
      </c>
      <c r="Q133" s="356">
        <f t="shared" si="70"/>
        <v>0</v>
      </c>
      <c r="R133" s="356">
        <f t="shared" si="74"/>
        <v>0</v>
      </c>
      <c r="S133" s="356">
        <f t="shared" si="71"/>
        <v>0</v>
      </c>
      <c r="T133" s="356">
        <f t="shared" si="71"/>
        <v>0</v>
      </c>
      <c r="U133" s="356">
        <f t="shared" si="71"/>
        <v>0</v>
      </c>
      <c r="V133" s="356">
        <f t="shared" si="71"/>
        <v>0</v>
      </c>
      <c r="W133" s="353">
        <f t="shared" si="75"/>
        <v>0</v>
      </c>
    </row>
    <row r="134" spans="2:33">
      <c r="B134" s="95">
        <f t="shared" si="76"/>
        <v>13</v>
      </c>
      <c r="C134" s="476" t="s">
        <v>897</v>
      </c>
      <c r="D134" s="356">
        <f t="shared" ref="D134:G134" si="77">D26-D80</f>
        <v>0</v>
      </c>
      <c r="E134" s="356">
        <f t="shared" si="77"/>
        <v>0</v>
      </c>
      <c r="F134" s="356">
        <f t="shared" si="77"/>
        <v>0</v>
      </c>
      <c r="G134" s="356">
        <f t="shared" si="77"/>
        <v>0</v>
      </c>
      <c r="H134" s="356">
        <f t="shared" ref="H134:H138" si="78">D134+E134-F134-G134</f>
        <v>0</v>
      </c>
      <c r="I134" s="356">
        <f t="shared" ref="I134:L134" si="79">I26-I80</f>
        <v>0</v>
      </c>
      <c r="J134" s="356">
        <f t="shared" si="79"/>
        <v>0</v>
      </c>
      <c r="K134" s="356">
        <f t="shared" si="79"/>
        <v>0</v>
      </c>
      <c r="L134" s="356">
        <f t="shared" si="79"/>
        <v>0</v>
      </c>
      <c r="M134" s="353">
        <f t="shared" ref="M134:M138" si="80">I134+J134-K134-L134</f>
        <v>0</v>
      </c>
      <c r="N134" s="356">
        <f t="shared" si="70"/>
        <v>0</v>
      </c>
      <c r="O134" s="356">
        <f t="shared" si="70"/>
        <v>0</v>
      </c>
      <c r="P134" s="356">
        <f t="shared" si="70"/>
        <v>0</v>
      </c>
      <c r="Q134" s="356">
        <f t="shared" si="70"/>
        <v>0</v>
      </c>
      <c r="R134" s="356">
        <f t="shared" ref="R134:R138" si="81">N134+O134-P134-Q134</f>
        <v>0</v>
      </c>
      <c r="S134" s="356">
        <f t="shared" si="71"/>
        <v>0</v>
      </c>
      <c r="T134" s="356">
        <f t="shared" si="71"/>
        <v>0</v>
      </c>
      <c r="U134" s="356">
        <f t="shared" si="71"/>
        <v>0</v>
      </c>
      <c r="V134" s="356">
        <f t="shared" si="71"/>
        <v>0</v>
      </c>
      <c r="W134" s="353">
        <f t="shared" ref="W134:W138" si="82">S134+T134-U134-V134</f>
        <v>0</v>
      </c>
    </row>
    <row r="135" spans="2:33">
      <c r="B135" s="95">
        <f t="shared" si="76"/>
        <v>14</v>
      </c>
      <c r="C135" s="476" t="s">
        <v>898</v>
      </c>
      <c r="D135" s="356">
        <f t="shared" ref="D135:G135" si="83">D27-D81</f>
        <v>0</v>
      </c>
      <c r="E135" s="356">
        <f t="shared" si="83"/>
        <v>0.48007615070000004</v>
      </c>
      <c r="F135" s="356">
        <f t="shared" si="83"/>
        <v>0</v>
      </c>
      <c r="G135" s="356">
        <f t="shared" si="83"/>
        <v>0</v>
      </c>
      <c r="H135" s="356">
        <f t="shared" si="78"/>
        <v>0.48007615070000004</v>
      </c>
      <c r="I135" s="356">
        <f t="shared" ref="I135:L135" si="84">I27-I81</f>
        <v>0.48007615070000004</v>
      </c>
      <c r="J135" s="356">
        <f t="shared" si="84"/>
        <v>0.27086445339999998</v>
      </c>
      <c r="K135" s="356">
        <f t="shared" si="84"/>
        <v>0</v>
      </c>
      <c r="L135" s="356">
        <f t="shared" si="84"/>
        <v>0</v>
      </c>
      <c r="M135" s="353">
        <f t="shared" si="80"/>
        <v>0.75094060409999996</v>
      </c>
      <c r="N135" s="356">
        <f t="shared" si="70"/>
        <v>0.75094060409999996</v>
      </c>
      <c r="O135" s="356">
        <f t="shared" si="70"/>
        <v>-0.1343985066</v>
      </c>
      <c r="P135" s="356">
        <f t="shared" si="70"/>
        <v>0</v>
      </c>
      <c r="Q135" s="356">
        <f t="shared" si="70"/>
        <v>0</v>
      </c>
      <c r="R135" s="356">
        <f t="shared" si="81"/>
        <v>0.6165420975</v>
      </c>
      <c r="S135" s="356">
        <f t="shared" si="71"/>
        <v>0.6165420975</v>
      </c>
      <c r="T135" s="356">
        <f t="shared" si="71"/>
        <v>-0.1343985066</v>
      </c>
      <c r="U135" s="356">
        <f t="shared" si="71"/>
        <v>0</v>
      </c>
      <c r="V135" s="356">
        <f t="shared" si="71"/>
        <v>0</v>
      </c>
      <c r="W135" s="353">
        <f t="shared" si="82"/>
        <v>0.48214359090000003</v>
      </c>
    </row>
    <row r="136" spans="2:33">
      <c r="B136" s="95">
        <f t="shared" si="76"/>
        <v>15</v>
      </c>
      <c r="C136" s="476" t="s">
        <v>899</v>
      </c>
      <c r="D136" s="356">
        <f t="shared" ref="D136:G136" si="85">D28-D82</f>
        <v>0</v>
      </c>
      <c r="E136" s="356">
        <f t="shared" si="85"/>
        <v>0</v>
      </c>
      <c r="F136" s="356">
        <f t="shared" si="85"/>
        <v>0</v>
      </c>
      <c r="G136" s="356">
        <f t="shared" si="85"/>
        <v>0</v>
      </c>
      <c r="H136" s="356">
        <f t="shared" si="78"/>
        <v>0</v>
      </c>
      <c r="I136" s="356">
        <f t="shared" ref="I136:L136" si="86">I28-I82</f>
        <v>0</v>
      </c>
      <c r="J136" s="356">
        <f t="shared" si="86"/>
        <v>0</v>
      </c>
      <c r="K136" s="356">
        <f t="shared" si="86"/>
        <v>0</v>
      </c>
      <c r="L136" s="356">
        <f t="shared" si="86"/>
        <v>0</v>
      </c>
      <c r="M136" s="353">
        <f t="shared" si="80"/>
        <v>0</v>
      </c>
      <c r="N136" s="356">
        <f t="shared" si="70"/>
        <v>0</v>
      </c>
      <c r="O136" s="356">
        <f t="shared" si="70"/>
        <v>0</v>
      </c>
      <c r="P136" s="356">
        <f t="shared" si="70"/>
        <v>0</v>
      </c>
      <c r="Q136" s="356">
        <f t="shared" si="70"/>
        <v>0</v>
      </c>
      <c r="R136" s="356">
        <f t="shared" si="81"/>
        <v>0</v>
      </c>
      <c r="S136" s="356">
        <f t="shared" si="71"/>
        <v>0</v>
      </c>
      <c r="T136" s="356">
        <f t="shared" si="71"/>
        <v>0</v>
      </c>
      <c r="U136" s="356">
        <f t="shared" si="71"/>
        <v>0</v>
      </c>
      <c r="V136" s="356">
        <f t="shared" si="71"/>
        <v>0</v>
      </c>
      <c r="W136" s="353">
        <f t="shared" si="82"/>
        <v>0</v>
      </c>
    </row>
    <row r="137" spans="2:33">
      <c r="B137" s="95">
        <f t="shared" si="76"/>
        <v>16</v>
      </c>
      <c r="C137" s="476" t="s">
        <v>849</v>
      </c>
      <c r="D137" s="356">
        <f t="shared" ref="D137:G137" si="87">D29-D83</f>
        <v>0</v>
      </c>
      <c r="E137" s="356">
        <f t="shared" si="87"/>
        <v>0</v>
      </c>
      <c r="F137" s="356">
        <f t="shared" si="87"/>
        <v>0</v>
      </c>
      <c r="G137" s="356">
        <f t="shared" si="87"/>
        <v>0</v>
      </c>
      <c r="H137" s="356">
        <f t="shared" si="78"/>
        <v>0</v>
      </c>
      <c r="I137" s="356">
        <f t="shared" ref="I137:L137" si="88">I29-I83</f>
        <v>0</v>
      </c>
      <c r="J137" s="356">
        <f t="shared" si="88"/>
        <v>0</v>
      </c>
      <c r="K137" s="356">
        <f t="shared" si="88"/>
        <v>0</v>
      </c>
      <c r="L137" s="356">
        <f t="shared" si="88"/>
        <v>0</v>
      </c>
      <c r="M137" s="353">
        <f t="shared" si="80"/>
        <v>0</v>
      </c>
      <c r="N137" s="356">
        <f t="shared" si="70"/>
        <v>0</v>
      </c>
      <c r="O137" s="356">
        <f t="shared" si="70"/>
        <v>0</v>
      </c>
      <c r="P137" s="356">
        <f t="shared" si="70"/>
        <v>0</v>
      </c>
      <c r="Q137" s="356">
        <f t="shared" si="70"/>
        <v>0</v>
      </c>
      <c r="R137" s="356">
        <f t="shared" si="81"/>
        <v>0</v>
      </c>
      <c r="S137" s="356">
        <f t="shared" si="71"/>
        <v>0</v>
      </c>
      <c r="T137" s="356">
        <f t="shared" si="71"/>
        <v>0</v>
      </c>
      <c r="U137" s="356">
        <f t="shared" si="71"/>
        <v>0</v>
      </c>
      <c r="V137" s="356">
        <f t="shared" si="71"/>
        <v>0</v>
      </c>
      <c r="W137" s="353">
        <f t="shared" si="82"/>
        <v>0</v>
      </c>
    </row>
    <row r="138" spans="2:33">
      <c r="B138" s="95">
        <f t="shared" si="76"/>
        <v>17</v>
      </c>
      <c r="C138" s="476" t="s">
        <v>900</v>
      </c>
      <c r="D138" s="356">
        <f t="shared" ref="D138:G138" si="89">D30-D84</f>
        <v>0</v>
      </c>
      <c r="E138" s="356">
        <f t="shared" si="89"/>
        <v>0</v>
      </c>
      <c r="F138" s="356">
        <f t="shared" si="89"/>
        <v>0</v>
      </c>
      <c r="G138" s="356">
        <f t="shared" si="89"/>
        <v>0</v>
      </c>
      <c r="H138" s="356">
        <f t="shared" si="78"/>
        <v>0</v>
      </c>
      <c r="I138" s="356">
        <f t="shared" ref="I138:L138" si="90">I30-I84</f>
        <v>0</v>
      </c>
      <c r="J138" s="356">
        <f t="shared" si="90"/>
        <v>0</v>
      </c>
      <c r="K138" s="356">
        <f t="shared" si="90"/>
        <v>0</v>
      </c>
      <c r="L138" s="356">
        <f t="shared" si="90"/>
        <v>0</v>
      </c>
      <c r="M138" s="353">
        <f t="shared" si="80"/>
        <v>0</v>
      </c>
      <c r="N138" s="356">
        <f t="shared" si="70"/>
        <v>0</v>
      </c>
      <c r="O138" s="356">
        <f t="shared" si="70"/>
        <v>0</v>
      </c>
      <c r="P138" s="356">
        <f t="shared" si="70"/>
        <v>0</v>
      </c>
      <c r="Q138" s="356">
        <f t="shared" si="70"/>
        <v>0</v>
      </c>
      <c r="R138" s="356">
        <f t="shared" si="81"/>
        <v>0</v>
      </c>
      <c r="S138" s="356">
        <f t="shared" si="71"/>
        <v>0</v>
      </c>
      <c r="T138" s="356">
        <f t="shared" si="71"/>
        <v>0</v>
      </c>
      <c r="U138" s="356">
        <f t="shared" si="71"/>
        <v>0</v>
      </c>
      <c r="V138" s="356">
        <f t="shared" si="71"/>
        <v>0</v>
      </c>
      <c r="W138" s="353">
        <f t="shared" si="82"/>
        <v>0</v>
      </c>
    </row>
    <row r="139" spans="2:33" ht="16">
      <c r="B139" s="83"/>
      <c r="C139" s="97" t="s">
        <v>271</v>
      </c>
      <c r="D139" s="355">
        <f>SUM(D122:D137)</f>
        <v>1382.3541518724892</v>
      </c>
      <c r="E139" s="355">
        <f t="shared" ref="E139:M139" si="91">SUM(E122:E137)</f>
        <v>-82.009481223722162</v>
      </c>
      <c r="F139" s="355">
        <f t="shared" si="91"/>
        <v>0</v>
      </c>
      <c r="G139" s="355">
        <f t="shared" si="91"/>
        <v>0</v>
      </c>
      <c r="H139" s="355">
        <f t="shared" si="91"/>
        <v>1300.3446706487669</v>
      </c>
      <c r="I139" s="355">
        <f t="shared" si="91"/>
        <v>1300.3446706487671</v>
      </c>
      <c r="J139" s="355">
        <f t="shared" si="91"/>
        <v>-17.969351942899213</v>
      </c>
      <c r="K139" s="355">
        <f t="shared" si="91"/>
        <v>0</v>
      </c>
      <c r="L139" s="355">
        <f t="shared" si="91"/>
        <v>0</v>
      </c>
      <c r="M139" s="355">
        <f t="shared" si="91"/>
        <v>1282.375318705868</v>
      </c>
      <c r="N139" s="355">
        <f t="shared" ref="N139:W139" si="92">SUM(N122:N137)</f>
        <v>1282.3753187058678</v>
      </c>
      <c r="O139" s="355">
        <f t="shared" si="92"/>
        <v>-81.74802518974829</v>
      </c>
      <c r="P139" s="355">
        <f t="shared" si="92"/>
        <v>0</v>
      </c>
      <c r="Q139" s="355">
        <f t="shared" si="92"/>
        <v>0</v>
      </c>
      <c r="R139" s="355">
        <f t="shared" si="92"/>
        <v>1200.6272935161198</v>
      </c>
      <c r="S139" s="355">
        <f t="shared" si="92"/>
        <v>1200.6272935161194</v>
      </c>
      <c r="T139" s="355">
        <f t="shared" si="92"/>
        <v>-63.961339523081655</v>
      </c>
      <c r="U139" s="355">
        <f t="shared" si="92"/>
        <v>0</v>
      </c>
      <c r="V139" s="355">
        <f t="shared" si="92"/>
        <v>0</v>
      </c>
      <c r="W139" s="355">
        <f t="shared" si="92"/>
        <v>1136.6659539930379</v>
      </c>
    </row>
    <row r="140" spans="2:33" ht="16">
      <c r="B140" s="267"/>
      <c r="C140" s="269"/>
      <c r="D140" s="269"/>
      <c r="E140" s="269"/>
      <c r="F140" s="269"/>
      <c r="G140" s="269"/>
      <c r="H140" s="269"/>
      <c r="I140" s="267"/>
      <c r="J140" s="267"/>
      <c r="K140" s="267"/>
      <c r="L140" s="267"/>
      <c r="M140" s="267"/>
      <c r="N140" s="267"/>
      <c r="O140" s="267"/>
      <c r="P140" s="267"/>
      <c r="Q140" s="267"/>
      <c r="R140" s="267"/>
      <c r="S140" s="45"/>
      <c r="T140" s="45"/>
      <c r="U140" s="45"/>
      <c r="V140" s="45"/>
      <c r="W140" s="45"/>
      <c r="X140" s="45"/>
      <c r="Y140" s="45"/>
      <c r="Z140" s="45"/>
      <c r="AA140" s="45"/>
      <c r="AB140" s="45"/>
      <c r="AC140" s="45"/>
      <c r="AD140" s="45"/>
      <c r="AE140" s="45"/>
      <c r="AF140" s="45"/>
      <c r="AG140" s="45"/>
    </row>
    <row r="141" spans="2:33" ht="16">
      <c r="B141" s="266" t="s">
        <v>601</v>
      </c>
      <c r="C141" s="271"/>
      <c r="D141" s="271"/>
      <c r="E141" s="271"/>
      <c r="F141" s="271"/>
      <c r="G141" s="269"/>
      <c r="H141" s="269"/>
      <c r="I141" s="267"/>
      <c r="J141" s="267"/>
      <c r="K141" s="267"/>
      <c r="L141" s="267"/>
      <c r="M141" s="267"/>
      <c r="N141" s="267"/>
      <c r="O141" s="267"/>
      <c r="P141" s="267"/>
      <c r="Q141" s="267"/>
      <c r="R141" s="267"/>
      <c r="S141" s="45"/>
      <c r="T141" s="45"/>
      <c r="U141" s="45"/>
      <c r="V141" s="45"/>
      <c r="W141" s="45"/>
      <c r="X141" s="45"/>
      <c r="Y141" s="45"/>
      <c r="Z141" s="45"/>
      <c r="AA141" s="45"/>
      <c r="AB141" s="45"/>
      <c r="AC141" s="45"/>
      <c r="AD141" s="45"/>
      <c r="AE141" s="45"/>
      <c r="AF141" s="45"/>
      <c r="AG141" s="45"/>
    </row>
    <row r="142" spans="2:33" ht="16">
      <c r="B142" s="267"/>
      <c r="C142" s="269"/>
      <c r="D142" s="269"/>
      <c r="E142" s="269"/>
      <c r="F142" s="269"/>
      <c r="G142" s="269"/>
      <c r="H142" s="269"/>
      <c r="I142" s="267"/>
      <c r="J142" s="267"/>
      <c r="K142" s="267"/>
      <c r="L142" s="267"/>
      <c r="M142" s="267"/>
      <c r="N142" s="267"/>
      <c r="O142" s="267"/>
      <c r="P142" s="267"/>
      <c r="Q142" s="267"/>
      <c r="R142" s="267"/>
      <c r="S142" s="45"/>
      <c r="T142" s="45"/>
      <c r="U142" s="45"/>
      <c r="V142" s="45"/>
      <c r="W142" s="45"/>
      <c r="X142" s="45"/>
      <c r="Y142" s="45"/>
      <c r="Z142" s="45"/>
      <c r="AA142" s="45"/>
      <c r="AB142" s="45"/>
      <c r="AC142" s="45"/>
      <c r="AD142" s="45"/>
      <c r="AE142" s="45"/>
      <c r="AF142" s="45"/>
      <c r="AG142" s="45"/>
    </row>
    <row r="143" spans="2:33" ht="15" customHeight="1">
      <c r="B143" s="267"/>
      <c r="C143" s="269"/>
      <c r="D143" s="8"/>
      <c r="E143" s="8"/>
      <c r="F143" s="8"/>
      <c r="G143" s="8"/>
      <c r="H143" s="8"/>
      <c r="I143" s="1"/>
      <c r="J143" s="44"/>
      <c r="K143" s="1"/>
      <c r="L143" s="1"/>
      <c r="M143" s="44"/>
      <c r="N143" s="44"/>
      <c r="O143" s="1"/>
      <c r="P143" s="1"/>
      <c r="Q143" s="1"/>
      <c r="AG143" s="264" t="s">
        <v>10</v>
      </c>
    </row>
    <row r="144" spans="2:33" ht="13.75" customHeight="1">
      <c r="B144" s="1804" t="s">
        <v>340</v>
      </c>
      <c r="C144" s="1804" t="s">
        <v>36</v>
      </c>
      <c r="D144" s="1939" t="s">
        <v>959</v>
      </c>
      <c r="E144" s="1940"/>
      <c r="F144" s="1940"/>
      <c r="G144" s="1940"/>
      <c r="H144" s="1941"/>
      <c r="I144" s="1939" t="s">
        <v>960</v>
      </c>
      <c r="J144" s="1940"/>
      <c r="K144" s="1940"/>
      <c r="L144" s="1940"/>
      <c r="M144" s="1941"/>
      <c r="N144" s="1933" t="s">
        <v>961</v>
      </c>
      <c r="O144" s="1933"/>
      <c r="P144" s="1933"/>
      <c r="Q144" s="1933"/>
      <c r="R144" s="1933"/>
      <c r="S144" s="1933" t="s">
        <v>962</v>
      </c>
      <c r="T144" s="1933"/>
      <c r="U144" s="1933"/>
      <c r="V144" s="1933"/>
      <c r="W144" s="1933"/>
    </row>
    <row r="145" spans="2:23">
      <c r="B145" s="1804"/>
      <c r="C145" s="1804"/>
      <c r="D145" s="1934" t="s">
        <v>21</v>
      </c>
      <c r="E145" s="1935"/>
      <c r="F145" s="1935"/>
      <c r="G145" s="1935"/>
      <c r="H145" s="1936"/>
      <c r="I145" s="1934" t="s">
        <v>21</v>
      </c>
      <c r="J145" s="1935"/>
      <c r="K145" s="1935"/>
      <c r="L145" s="1935"/>
      <c r="M145" s="1936"/>
      <c r="N145" s="1937" t="s">
        <v>21</v>
      </c>
      <c r="O145" s="1938"/>
      <c r="P145" s="1938"/>
      <c r="Q145" s="1938"/>
      <c r="R145" s="1938"/>
      <c r="S145" s="1937" t="s">
        <v>21</v>
      </c>
      <c r="T145" s="1938"/>
      <c r="U145" s="1938"/>
      <c r="V145" s="1938"/>
      <c r="W145" s="1938"/>
    </row>
    <row r="146" spans="2:23" ht="42">
      <c r="B146" s="1804"/>
      <c r="C146" s="1804"/>
      <c r="D146" s="896" t="s">
        <v>267</v>
      </c>
      <c r="E146" s="896" t="s">
        <v>268</v>
      </c>
      <c r="F146" s="268" t="s">
        <v>274</v>
      </c>
      <c r="G146" s="894" t="s">
        <v>589</v>
      </c>
      <c r="H146" s="896" t="s">
        <v>270</v>
      </c>
      <c r="I146" s="896" t="s">
        <v>267</v>
      </c>
      <c r="J146" s="896" t="s">
        <v>268</v>
      </c>
      <c r="K146" s="896" t="s">
        <v>269</v>
      </c>
      <c r="L146" s="894" t="s">
        <v>589</v>
      </c>
      <c r="M146" s="896" t="s">
        <v>270</v>
      </c>
      <c r="N146" s="708" t="s">
        <v>267</v>
      </c>
      <c r="O146" s="708" t="s">
        <v>268</v>
      </c>
      <c r="P146" s="708" t="s">
        <v>269</v>
      </c>
      <c r="Q146" s="703" t="s">
        <v>589</v>
      </c>
      <c r="R146" s="708" t="s">
        <v>270</v>
      </c>
      <c r="S146" s="708" t="s">
        <v>267</v>
      </c>
      <c r="T146" s="708" t="s">
        <v>268</v>
      </c>
      <c r="U146" s="708" t="s">
        <v>269</v>
      </c>
      <c r="V146" s="703" t="s">
        <v>589</v>
      </c>
      <c r="W146" s="708" t="s">
        <v>270</v>
      </c>
    </row>
    <row r="147" spans="2:23" ht="28">
      <c r="B147" s="265"/>
      <c r="C147" s="265"/>
      <c r="D147" s="265" t="s">
        <v>663</v>
      </c>
      <c r="E147" s="265" t="s">
        <v>664</v>
      </c>
      <c r="F147" s="265" t="s">
        <v>665</v>
      </c>
      <c r="G147" s="265" t="s">
        <v>666</v>
      </c>
      <c r="H147" s="265" t="s">
        <v>667</v>
      </c>
      <c r="I147" s="265" t="s">
        <v>663</v>
      </c>
      <c r="J147" s="265" t="s">
        <v>664</v>
      </c>
      <c r="K147" s="265" t="s">
        <v>665</v>
      </c>
      <c r="L147" s="265" t="s">
        <v>666</v>
      </c>
      <c r="M147" s="265" t="s">
        <v>667</v>
      </c>
      <c r="N147" s="265" t="s">
        <v>663</v>
      </c>
      <c r="O147" s="265" t="s">
        <v>664</v>
      </c>
      <c r="P147" s="265" t="s">
        <v>665</v>
      </c>
      <c r="Q147" s="265" t="s">
        <v>666</v>
      </c>
      <c r="R147" s="265" t="s">
        <v>667</v>
      </c>
      <c r="S147" s="265" t="s">
        <v>663</v>
      </c>
      <c r="T147" s="265" t="s">
        <v>664</v>
      </c>
      <c r="U147" s="265" t="s">
        <v>665</v>
      </c>
      <c r="V147" s="265" t="s">
        <v>666</v>
      </c>
      <c r="W147" s="265" t="s">
        <v>667</v>
      </c>
    </row>
    <row r="148" spans="2:23">
      <c r="B148" s="95">
        <v>1</v>
      </c>
      <c r="C148" s="455" t="s">
        <v>841</v>
      </c>
      <c r="D148" s="356">
        <f t="shared" ref="D148:G164" si="93">D40-D95</f>
        <v>20.51997533484003</v>
      </c>
      <c r="E148" s="356">
        <f t="shared" si="93"/>
        <v>0</v>
      </c>
      <c r="F148" s="356">
        <f t="shared" si="93"/>
        <v>0</v>
      </c>
      <c r="G148" s="356">
        <f t="shared" si="93"/>
        <v>0</v>
      </c>
      <c r="H148" s="353">
        <f>D148+E148-F148-G148</f>
        <v>20.51997533484003</v>
      </c>
      <c r="I148" s="451">
        <f>H148</f>
        <v>20.51997533484003</v>
      </c>
      <c r="J148" s="477"/>
      <c r="K148" s="451"/>
      <c r="L148" s="477"/>
      <c r="M148" s="451">
        <f>I148+J148-K148-L148</f>
        <v>20.51997533484003</v>
      </c>
      <c r="N148" s="451">
        <f>M148</f>
        <v>20.51997533484003</v>
      </c>
      <c r="O148" s="477"/>
      <c r="P148" s="451"/>
      <c r="Q148" s="477"/>
      <c r="R148" s="451">
        <f>N148+O148-P148-Q148</f>
        <v>20.51997533484003</v>
      </c>
      <c r="S148" s="451">
        <f>R148</f>
        <v>20.51997533484003</v>
      </c>
      <c r="T148" s="477"/>
      <c r="U148" s="451"/>
      <c r="V148" s="477"/>
      <c r="W148" s="451">
        <f>S148+T148-U148-V148</f>
        <v>20.51997533484003</v>
      </c>
    </row>
    <row r="149" spans="2:23">
      <c r="B149" s="95">
        <f>B148+1</f>
        <v>2</v>
      </c>
      <c r="C149" s="455" t="s">
        <v>842</v>
      </c>
      <c r="D149" s="356">
        <f t="shared" si="93"/>
        <v>97.540142186126786</v>
      </c>
      <c r="E149" s="356">
        <f t="shared" si="93"/>
        <v>-4.6467419542860231</v>
      </c>
      <c r="F149" s="356">
        <f t="shared" si="93"/>
        <v>0</v>
      </c>
      <c r="G149" s="356">
        <f t="shared" si="93"/>
        <v>0</v>
      </c>
      <c r="H149" s="353">
        <f t="shared" ref="H149:H159" si="94">D149+E149-F149-G149</f>
        <v>92.893400231840758</v>
      </c>
      <c r="I149" s="451">
        <f t="shared" ref="I149:I164" si="95">H149</f>
        <v>92.893400231840758</v>
      </c>
      <c r="J149" s="477"/>
      <c r="K149" s="451"/>
      <c r="L149" s="477"/>
      <c r="M149" s="451">
        <f t="shared" ref="M149:M164" si="96">I149+J149-K149-L149</f>
        <v>92.893400231840758</v>
      </c>
      <c r="N149" s="451">
        <f t="shared" ref="N149:N164" si="97">M149</f>
        <v>92.893400231840758</v>
      </c>
      <c r="O149" s="477"/>
      <c r="P149" s="451"/>
      <c r="Q149" s="477"/>
      <c r="R149" s="451">
        <f t="shared" ref="R149:R164" si="98">N149+O149-P149-Q149</f>
        <v>92.893400231840758</v>
      </c>
      <c r="S149" s="451">
        <f t="shared" ref="S149:S164" si="99">R149</f>
        <v>92.893400231840758</v>
      </c>
      <c r="T149" s="477"/>
      <c r="U149" s="451"/>
      <c r="V149" s="477"/>
      <c r="W149" s="451">
        <f t="shared" ref="W149:W164" si="100">S149+T149-U149-V149</f>
        <v>92.893400231840758</v>
      </c>
    </row>
    <row r="150" spans="2:23">
      <c r="B150" s="95">
        <f t="shared" ref="B150:B164" si="101">B149+1</f>
        <v>3</v>
      </c>
      <c r="C150" s="455" t="s">
        <v>843</v>
      </c>
      <c r="D150" s="356">
        <f t="shared" si="93"/>
        <v>0</v>
      </c>
      <c r="E150" s="356">
        <f t="shared" si="93"/>
        <v>0</v>
      </c>
      <c r="F150" s="356">
        <f t="shared" si="93"/>
        <v>0</v>
      </c>
      <c r="G150" s="356">
        <f t="shared" si="93"/>
        <v>0</v>
      </c>
      <c r="H150" s="353">
        <f t="shared" si="94"/>
        <v>0</v>
      </c>
      <c r="I150" s="451">
        <f t="shared" si="95"/>
        <v>0</v>
      </c>
      <c r="J150" s="477"/>
      <c r="K150" s="451"/>
      <c r="L150" s="477"/>
      <c r="M150" s="451">
        <f t="shared" si="96"/>
        <v>0</v>
      </c>
      <c r="N150" s="451">
        <f t="shared" si="97"/>
        <v>0</v>
      </c>
      <c r="O150" s="477"/>
      <c r="P150" s="451"/>
      <c r="Q150" s="477"/>
      <c r="R150" s="451">
        <f t="shared" si="98"/>
        <v>0</v>
      </c>
      <c r="S150" s="451">
        <f t="shared" si="99"/>
        <v>0</v>
      </c>
      <c r="T150" s="477"/>
      <c r="U150" s="451"/>
      <c r="V150" s="477"/>
      <c r="W150" s="451">
        <f t="shared" si="100"/>
        <v>0</v>
      </c>
    </row>
    <row r="151" spans="2:23">
      <c r="B151" s="95">
        <f t="shared" si="101"/>
        <v>4</v>
      </c>
      <c r="C151" s="455" t="s">
        <v>844</v>
      </c>
      <c r="D151" s="356">
        <f t="shared" si="93"/>
        <v>54.069042239318158</v>
      </c>
      <c r="E151" s="356">
        <f t="shared" si="93"/>
        <v>-5.5464320369731341</v>
      </c>
      <c r="F151" s="356">
        <f t="shared" si="93"/>
        <v>0</v>
      </c>
      <c r="G151" s="356">
        <f t="shared" si="93"/>
        <v>0</v>
      </c>
      <c r="H151" s="353">
        <f t="shared" si="94"/>
        <v>48.522610202345021</v>
      </c>
      <c r="I151" s="451">
        <f t="shared" si="95"/>
        <v>48.522610202345021</v>
      </c>
      <c r="J151" s="477"/>
      <c r="K151" s="451"/>
      <c r="L151" s="477"/>
      <c r="M151" s="451">
        <f t="shared" si="96"/>
        <v>48.522610202345021</v>
      </c>
      <c r="N151" s="451">
        <f t="shared" si="97"/>
        <v>48.522610202345021</v>
      </c>
      <c r="O151" s="477"/>
      <c r="P151" s="451"/>
      <c r="Q151" s="477"/>
      <c r="R151" s="451">
        <f t="shared" si="98"/>
        <v>48.522610202345021</v>
      </c>
      <c r="S151" s="451">
        <f t="shared" si="99"/>
        <v>48.522610202345021</v>
      </c>
      <c r="T151" s="477"/>
      <c r="U151" s="451"/>
      <c r="V151" s="477"/>
      <c r="W151" s="451">
        <f t="shared" si="100"/>
        <v>48.522610202345021</v>
      </c>
    </row>
    <row r="152" spans="2:23">
      <c r="B152" s="95">
        <f t="shared" si="101"/>
        <v>5</v>
      </c>
      <c r="C152" s="455" t="s">
        <v>845</v>
      </c>
      <c r="D152" s="356">
        <f t="shared" si="93"/>
        <v>66.726665224665922</v>
      </c>
      <c r="E152" s="356">
        <f t="shared" si="93"/>
        <v>-2.6839545433698135</v>
      </c>
      <c r="F152" s="356">
        <f t="shared" si="93"/>
        <v>0</v>
      </c>
      <c r="G152" s="356">
        <f t="shared" si="93"/>
        <v>0</v>
      </c>
      <c r="H152" s="353">
        <f t="shared" si="94"/>
        <v>64.042710681296114</v>
      </c>
      <c r="I152" s="451">
        <f t="shared" si="95"/>
        <v>64.042710681296114</v>
      </c>
      <c r="J152" s="477"/>
      <c r="K152" s="451"/>
      <c r="L152" s="477"/>
      <c r="M152" s="451">
        <f t="shared" si="96"/>
        <v>64.042710681296114</v>
      </c>
      <c r="N152" s="451">
        <f t="shared" si="97"/>
        <v>64.042710681296114</v>
      </c>
      <c r="O152" s="477"/>
      <c r="P152" s="451"/>
      <c r="Q152" s="477"/>
      <c r="R152" s="451">
        <f t="shared" si="98"/>
        <v>64.042710681296114</v>
      </c>
      <c r="S152" s="451">
        <f t="shared" si="99"/>
        <v>64.042710681296114</v>
      </c>
      <c r="T152" s="477"/>
      <c r="U152" s="451"/>
      <c r="V152" s="477"/>
      <c r="W152" s="451">
        <f t="shared" si="100"/>
        <v>64.042710681296114</v>
      </c>
    </row>
    <row r="153" spans="2:23">
      <c r="B153" s="95">
        <f t="shared" si="101"/>
        <v>6</v>
      </c>
      <c r="C153" s="455" t="s">
        <v>255</v>
      </c>
      <c r="D153" s="356">
        <f t="shared" si="93"/>
        <v>877.28251107717551</v>
      </c>
      <c r="E153" s="356">
        <f t="shared" si="93"/>
        <v>-86.099711195331452</v>
      </c>
      <c r="F153" s="356">
        <f t="shared" si="93"/>
        <v>0</v>
      </c>
      <c r="G153" s="356">
        <f t="shared" si="93"/>
        <v>0</v>
      </c>
      <c r="H153" s="353">
        <f t="shared" si="94"/>
        <v>791.18279988184406</v>
      </c>
      <c r="I153" s="451">
        <f t="shared" si="95"/>
        <v>791.18279988184406</v>
      </c>
      <c r="J153" s="477"/>
      <c r="K153" s="451"/>
      <c r="L153" s="477"/>
      <c r="M153" s="451">
        <f t="shared" si="96"/>
        <v>791.18279988184406</v>
      </c>
      <c r="N153" s="451">
        <f t="shared" si="97"/>
        <v>791.18279988184406</v>
      </c>
      <c r="O153" s="477"/>
      <c r="P153" s="451"/>
      <c r="Q153" s="477"/>
      <c r="R153" s="451">
        <f t="shared" si="98"/>
        <v>791.18279988184406</v>
      </c>
      <c r="S153" s="451">
        <f t="shared" si="99"/>
        <v>791.18279988184406</v>
      </c>
      <c r="T153" s="477"/>
      <c r="U153" s="451"/>
      <c r="V153" s="477"/>
      <c r="W153" s="451">
        <f t="shared" si="100"/>
        <v>791.18279988184406</v>
      </c>
    </row>
    <row r="154" spans="2:23">
      <c r="B154" s="95">
        <f t="shared" si="101"/>
        <v>7</v>
      </c>
      <c r="C154" s="455" t="s">
        <v>846</v>
      </c>
      <c r="D154" s="356">
        <f t="shared" si="93"/>
        <v>0</v>
      </c>
      <c r="E154" s="356">
        <f t="shared" si="93"/>
        <v>0</v>
      </c>
      <c r="F154" s="356">
        <f t="shared" si="93"/>
        <v>0</v>
      </c>
      <c r="G154" s="356">
        <f t="shared" si="93"/>
        <v>0</v>
      </c>
      <c r="H154" s="353">
        <f t="shared" si="94"/>
        <v>0</v>
      </c>
      <c r="I154" s="451">
        <f t="shared" si="95"/>
        <v>0</v>
      </c>
      <c r="J154" s="477"/>
      <c r="K154" s="451"/>
      <c r="L154" s="477"/>
      <c r="M154" s="451">
        <f t="shared" si="96"/>
        <v>0</v>
      </c>
      <c r="N154" s="451">
        <f t="shared" si="97"/>
        <v>0</v>
      </c>
      <c r="O154" s="477"/>
      <c r="P154" s="451"/>
      <c r="Q154" s="477"/>
      <c r="R154" s="451">
        <f t="shared" si="98"/>
        <v>0</v>
      </c>
      <c r="S154" s="451">
        <f t="shared" si="99"/>
        <v>0</v>
      </c>
      <c r="T154" s="477"/>
      <c r="U154" s="451"/>
      <c r="V154" s="477"/>
      <c r="W154" s="451">
        <f t="shared" si="100"/>
        <v>0</v>
      </c>
    </row>
    <row r="155" spans="2:23">
      <c r="B155" s="95">
        <f t="shared" si="101"/>
        <v>8</v>
      </c>
      <c r="C155" s="455" t="s">
        <v>847</v>
      </c>
      <c r="D155" s="356">
        <f t="shared" si="93"/>
        <v>0</v>
      </c>
      <c r="E155" s="356">
        <f t="shared" si="93"/>
        <v>0</v>
      </c>
      <c r="F155" s="356">
        <f t="shared" si="93"/>
        <v>0</v>
      </c>
      <c r="G155" s="356">
        <f t="shared" si="93"/>
        <v>0</v>
      </c>
      <c r="H155" s="353">
        <f t="shared" si="94"/>
        <v>0</v>
      </c>
      <c r="I155" s="451">
        <f t="shared" si="95"/>
        <v>0</v>
      </c>
      <c r="J155" s="477"/>
      <c r="K155" s="451"/>
      <c r="L155" s="477"/>
      <c r="M155" s="451">
        <f t="shared" si="96"/>
        <v>0</v>
      </c>
      <c r="N155" s="451">
        <f t="shared" si="97"/>
        <v>0</v>
      </c>
      <c r="O155" s="477"/>
      <c r="P155" s="451"/>
      <c r="Q155" s="477"/>
      <c r="R155" s="451">
        <f t="shared" si="98"/>
        <v>0</v>
      </c>
      <c r="S155" s="451">
        <f t="shared" si="99"/>
        <v>0</v>
      </c>
      <c r="T155" s="477"/>
      <c r="U155" s="451"/>
      <c r="V155" s="477"/>
      <c r="W155" s="451">
        <f t="shared" si="100"/>
        <v>0</v>
      </c>
    </row>
    <row r="156" spans="2:23">
      <c r="B156" s="95">
        <f t="shared" si="101"/>
        <v>9</v>
      </c>
      <c r="C156" s="455" t="s">
        <v>848</v>
      </c>
      <c r="D156" s="356">
        <f t="shared" si="93"/>
        <v>19.584116962921374</v>
      </c>
      <c r="E156" s="356">
        <f t="shared" si="93"/>
        <v>-2.0448768475836201</v>
      </c>
      <c r="F156" s="356">
        <f t="shared" si="93"/>
        <v>0</v>
      </c>
      <c r="G156" s="356">
        <f t="shared" si="93"/>
        <v>0</v>
      </c>
      <c r="H156" s="353">
        <f t="shared" si="94"/>
        <v>17.539240115337755</v>
      </c>
      <c r="I156" s="451">
        <f t="shared" si="95"/>
        <v>17.539240115337755</v>
      </c>
      <c r="J156" s="477"/>
      <c r="K156" s="451"/>
      <c r="L156" s="477"/>
      <c r="M156" s="451">
        <f t="shared" si="96"/>
        <v>17.539240115337755</v>
      </c>
      <c r="N156" s="451">
        <f t="shared" si="97"/>
        <v>17.539240115337755</v>
      </c>
      <c r="O156" s="477"/>
      <c r="P156" s="451"/>
      <c r="Q156" s="477"/>
      <c r="R156" s="451">
        <f t="shared" si="98"/>
        <v>17.539240115337755</v>
      </c>
      <c r="S156" s="451">
        <f t="shared" si="99"/>
        <v>17.539240115337755</v>
      </c>
      <c r="T156" s="477"/>
      <c r="U156" s="451"/>
      <c r="V156" s="477"/>
      <c r="W156" s="451">
        <f t="shared" si="100"/>
        <v>17.539240115337755</v>
      </c>
    </row>
    <row r="157" spans="2:23">
      <c r="B157" s="95">
        <f t="shared" si="101"/>
        <v>10</v>
      </c>
      <c r="C157" s="455" t="s">
        <v>258</v>
      </c>
      <c r="D157" s="356">
        <f t="shared" si="93"/>
        <v>0</v>
      </c>
      <c r="E157" s="356">
        <f t="shared" si="93"/>
        <v>0</v>
      </c>
      <c r="F157" s="356">
        <f t="shared" si="93"/>
        <v>0</v>
      </c>
      <c r="G157" s="356">
        <f t="shared" si="93"/>
        <v>0</v>
      </c>
      <c r="H157" s="353">
        <f t="shared" si="94"/>
        <v>0</v>
      </c>
      <c r="I157" s="451">
        <f t="shared" si="95"/>
        <v>0</v>
      </c>
      <c r="J157" s="477"/>
      <c r="K157" s="451"/>
      <c r="L157" s="477"/>
      <c r="M157" s="451">
        <f t="shared" si="96"/>
        <v>0</v>
      </c>
      <c r="N157" s="451">
        <f t="shared" si="97"/>
        <v>0</v>
      </c>
      <c r="O157" s="477"/>
      <c r="P157" s="451"/>
      <c r="Q157" s="477"/>
      <c r="R157" s="451">
        <f t="shared" si="98"/>
        <v>0</v>
      </c>
      <c r="S157" s="451">
        <f t="shared" si="99"/>
        <v>0</v>
      </c>
      <c r="T157" s="477"/>
      <c r="U157" s="451"/>
      <c r="V157" s="477"/>
      <c r="W157" s="451">
        <f t="shared" si="100"/>
        <v>0</v>
      </c>
    </row>
    <row r="158" spans="2:23">
      <c r="B158" s="95">
        <f t="shared" si="101"/>
        <v>11</v>
      </c>
      <c r="C158" s="455" t="s">
        <v>259</v>
      </c>
      <c r="D158" s="356">
        <f t="shared" si="93"/>
        <v>0.46135737708990388</v>
      </c>
      <c r="E158" s="356">
        <f t="shared" si="93"/>
        <v>-4.9859105604262051E-2</v>
      </c>
      <c r="F158" s="356">
        <f t="shared" si="93"/>
        <v>0</v>
      </c>
      <c r="G158" s="356">
        <f t="shared" si="93"/>
        <v>0</v>
      </c>
      <c r="H158" s="353">
        <f t="shared" si="94"/>
        <v>0.41149827148564183</v>
      </c>
      <c r="I158" s="451">
        <f t="shared" si="95"/>
        <v>0.41149827148564183</v>
      </c>
      <c r="J158" s="477"/>
      <c r="K158" s="451"/>
      <c r="L158" s="477"/>
      <c r="M158" s="451">
        <f t="shared" si="96"/>
        <v>0.41149827148564183</v>
      </c>
      <c r="N158" s="451">
        <f t="shared" si="97"/>
        <v>0.41149827148564183</v>
      </c>
      <c r="O158" s="477"/>
      <c r="P158" s="451"/>
      <c r="Q158" s="477"/>
      <c r="R158" s="451">
        <f t="shared" si="98"/>
        <v>0.41149827148564183</v>
      </c>
      <c r="S158" s="451">
        <f t="shared" si="99"/>
        <v>0.41149827148564183</v>
      </c>
      <c r="T158" s="477"/>
      <c r="U158" s="451"/>
      <c r="V158" s="477"/>
      <c r="W158" s="451">
        <f t="shared" si="100"/>
        <v>0.41149827148564183</v>
      </c>
    </row>
    <row r="159" spans="2:23">
      <c r="B159" s="95">
        <f t="shared" si="101"/>
        <v>12</v>
      </c>
      <c r="C159" s="455" t="s">
        <v>260</v>
      </c>
      <c r="D159" s="356">
        <f t="shared" si="93"/>
        <v>0</v>
      </c>
      <c r="E159" s="356">
        <f t="shared" si="93"/>
        <v>0</v>
      </c>
      <c r="F159" s="356">
        <f t="shared" si="93"/>
        <v>0</v>
      </c>
      <c r="G159" s="356">
        <f t="shared" si="93"/>
        <v>0</v>
      </c>
      <c r="H159" s="353">
        <f t="shared" si="94"/>
        <v>0</v>
      </c>
      <c r="I159" s="451">
        <f t="shared" si="95"/>
        <v>0</v>
      </c>
      <c r="J159" s="477"/>
      <c r="K159" s="451"/>
      <c r="L159" s="477"/>
      <c r="M159" s="451">
        <f t="shared" si="96"/>
        <v>0</v>
      </c>
      <c r="N159" s="451">
        <f t="shared" si="97"/>
        <v>0</v>
      </c>
      <c r="O159" s="477"/>
      <c r="P159" s="451"/>
      <c r="Q159" s="477"/>
      <c r="R159" s="451">
        <f t="shared" si="98"/>
        <v>0</v>
      </c>
      <c r="S159" s="451">
        <f t="shared" si="99"/>
        <v>0</v>
      </c>
      <c r="T159" s="477"/>
      <c r="U159" s="451"/>
      <c r="V159" s="477"/>
      <c r="W159" s="451">
        <f t="shared" si="100"/>
        <v>0</v>
      </c>
    </row>
    <row r="160" spans="2:23">
      <c r="B160" s="95">
        <f t="shared" si="101"/>
        <v>13</v>
      </c>
      <c r="C160" s="476" t="s">
        <v>897</v>
      </c>
      <c r="D160" s="356">
        <f t="shared" si="93"/>
        <v>0</v>
      </c>
      <c r="E160" s="356">
        <f t="shared" si="93"/>
        <v>0</v>
      </c>
      <c r="F160" s="356">
        <f t="shared" si="93"/>
        <v>0</v>
      </c>
      <c r="G160" s="356">
        <f t="shared" si="93"/>
        <v>0</v>
      </c>
      <c r="H160" s="353">
        <f t="shared" ref="H160:H164" si="102">D160+E160-F160-G160</f>
        <v>0</v>
      </c>
      <c r="I160" s="451">
        <f t="shared" si="95"/>
        <v>0</v>
      </c>
      <c r="J160" s="477"/>
      <c r="K160" s="451"/>
      <c r="L160" s="477"/>
      <c r="M160" s="451">
        <f t="shared" si="96"/>
        <v>0</v>
      </c>
      <c r="N160" s="451">
        <f t="shared" si="97"/>
        <v>0</v>
      </c>
      <c r="O160" s="477"/>
      <c r="P160" s="451"/>
      <c r="Q160" s="477"/>
      <c r="R160" s="451">
        <f t="shared" si="98"/>
        <v>0</v>
      </c>
      <c r="S160" s="451">
        <f t="shared" si="99"/>
        <v>0</v>
      </c>
      <c r="T160" s="477"/>
      <c r="U160" s="451"/>
      <c r="V160" s="477"/>
      <c r="W160" s="451">
        <f t="shared" si="100"/>
        <v>0</v>
      </c>
    </row>
    <row r="161" spans="2:23">
      <c r="B161" s="95">
        <f t="shared" si="101"/>
        <v>14</v>
      </c>
      <c r="C161" s="476" t="s">
        <v>898</v>
      </c>
      <c r="D161" s="356">
        <f t="shared" si="93"/>
        <v>0.48214359089999992</v>
      </c>
      <c r="E161" s="356">
        <f t="shared" si="93"/>
        <v>-0.1343985066</v>
      </c>
      <c r="F161" s="356">
        <f t="shared" si="93"/>
        <v>0</v>
      </c>
      <c r="G161" s="356">
        <f t="shared" si="93"/>
        <v>0</v>
      </c>
      <c r="H161" s="353">
        <f t="shared" si="102"/>
        <v>0.34774508429999995</v>
      </c>
      <c r="I161" s="451">
        <f t="shared" si="95"/>
        <v>0.34774508429999995</v>
      </c>
      <c r="J161" s="477"/>
      <c r="K161" s="451"/>
      <c r="L161" s="477"/>
      <c r="M161" s="451">
        <f t="shared" si="96"/>
        <v>0.34774508429999995</v>
      </c>
      <c r="N161" s="451">
        <f t="shared" si="97"/>
        <v>0.34774508429999995</v>
      </c>
      <c r="O161" s="477"/>
      <c r="P161" s="451"/>
      <c r="Q161" s="477"/>
      <c r="R161" s="451">
        <f t="shared" si="98"/>
        <v>0.34774508429999995</v>
      </c>
      <c r="S161" s="451">
        <f t="shared" si="99"/>
        <v>0.34774508429999995</v>
      </c>
      <c r="T161" s="477"/>
      <c r="U161" s="451"/>
      <c r="V161" s="477"/>
      <c r="W161" s="451">
        <f t="shared" si="100"/>
        <v>0.34774508429999995</v>
      </c>
    </row>
    <row r="162" spans="2:23">
      <c r="B162" s="95">
        <f t="shared" si="101"/>
        <v>15</v>
      </c>
      <c r="C162" s="476" t="s">
        <v>899</v>
      </c>
      <c r="D162" s="356">
        <f t="shared" si="93"/>
        <v>0</v>
      </c>
      <c r="E162" s="356">
        <f t="shared" si="93"/>
        <v>0</v>
      </c>
      <c r="F162" s="356">
        <f t="shared" si="93"/>
        <v>0</v>
      </c>
      <c r="G162" s="356">
        <f t="shared" si="93"/>
        <v>0</v>
      </c>
      <c r="H162" s="353">
        <f t="shared" si="102"/>
        <v>0</v>
      </c>
      <c r="I162" s="451">
        <f t="shared" si="95"/>
        <v>0</v>
      </c>
      <c r="J162" s="477"/>
      <c r="K162" s="451"/>
      <c r="L162" s="477"/>
      <c r="M162" s="451">
        <f t="shared" si="96"/>
        <v>0</v>
      </c>
      <c r="N162" s="451">
        <f t="shared" si="97"/>
        <v>0</v>
      </c>
      <c r="O162" s="477"/>
      <c r="P162" s="451"/>
      <c r="Q162" s="477"/>
      <c r="R162" s="451">
        <f t="shared" si="98"/>
        <v>0</v>
      </c>
      <c r="S162" s="451">
        <f t="shared" si="99"/>
        <v>0</v>
      </c>
      <c r="T162" s="477"/>
      <c r="U162" s="451"/>
      <c r="V162" s="477"/>
      <c r="W162" s="451">
        <f t="shared" si="100"/>
        <v>0</v>
      </c>
    </row>
    <row r="163" spans="2:23">
      <c r="B163" s="95">
        <f t="shared" si="101"/>
        <v>16</v>
      </c>
      <c r="C163" s="476" t="s">
        <v>849</v>
      </c>
      <c r="D163" s="356">
        <f t="shared" si="93"/>
        <v>0</v>
      </c>
      <c r="E163" s="356">
        <f t="shared" si="93"/>
        <v>0</v>
      </c>
      <c r="F163" s="356">
        <f t="shared" si="93"/>
        <v>0</v>
      </c>
      <c r="G163" s="356">
        <f t="shared" si="93"/>
        <v>0</v>
      </c>
      <c r="H163" s="353">
        <f t="shared" si="102"/>
        <v>0</v>
      </c>
      <c r="I163" s="451">
        <f t="shared" si="95"/>
        <v>0</v>
      </c>
      <c r="J163" s="477"/>
      <c r="K163" s="451"/>
      <c r="L163" s="477"/>
      <c r="M163" s="451">
        <f t="shared" si="96"/>
        <v>0</v>
      </c>
      <c r="N163" s="451">
        <f t="shared" si="97"/>
        <v>0</v>
      </c>
      <c r="O163" s="477"/>
      <c r="P163" s="451"/>
      <c r="Q163" s="477"/>
      <c r="R163" s="451">
        <f t="shared" si="98"/>
        <v>0</v>
      </c>
      <c r="S163" s="451">
        <f t="shared" si="99"/>
        <v>0</v>
      </c>
      <c r="T163" s="477"/>
      <c r="U163" s="451"/>
      <c r="V163" s="477"/>
      <c r="W163" s="451">
        <f t="shared" si="100"/>
        <v>0</v>
      </c>
    </row>
    <row r="164" spans="2:23">
      <c r="B164" s="95">
        <f t="shared" si="101"/>
        <v>17</v>
      </c>
      <c r="C164" s="476" t="s">
        <v>900</v>
      </c>
      <c r="D164" s="356">
        <f t="shared" si="93"/>
        <v>0</v>
      </c>
      <c r="E164" s="356">
        <f t="shared" si="93"/>
        <v>0</v>
      </c>
      <c r="F164" s="356">
        <f t="shared" si="93"/>
        <v>0</v>
      </c>
      <c r="G164" s="356">
        <f t="shared" si="93"/>
        <v>0</v>
      </c>
      <c r="H164" s="353">
        <f t="shared" si="102"/>
        <v>0</v>
      </c>
      <c r="I164" s="451">
        <f t="shared" si="95"/>
        <v>0</v>
      </c>
      <c r="J164" s="477"/>
      <c r="K164" s="451"/>
      <c r="L164" s="477"/>
      <c r="M164" s="451">
        <f t="shared" si="96"/>
        <v>0</v>
      </c>
      <c r="N164" s="451">
        <f t="shared" si="97"/>
        <v>0</v>
      </c>
      <c r="O164" s="477"/>
      <c r="P164" s="451"/>
      <c r="Q164" s="477"/>
      <c r="R164" s="451">
        <f t="shared" si="98"/>
        <v>0</v>
      </c>
      <c r="S164" s="451">
        <f t="shared" si="99"/>
        <v>0</v>
      </c>
      <c r="T164" s="477"/>
      <c r="U164" s="451"/>
      <c r="V164" s="477"/>
      <c r="W164" s="451">
        <f t="shared" si="100"/>
        <v>0</v>
      </c>
    </row>
    <row r="165" spans="2:23" ht="16">
      <c r="B165" s="83"/>
      <c r="C165" s="97" t="s">
        <v>271</v>
      </c>
      <c r="D165" s="355">
        <f>SUM(D148:D163)</f>
        <v>1136.6659539930376</v>
      </c>
      <c r="E165" s="355">
        <f>SUM(E148:E163)</f>
        <v>-101.20597418974829</v>
      </c>
      <c r="F165" s="355">
        <f>SUM(F148:F163)</f>
        <v>0</v>
      </c>
      <c r="G165" s="355">
        <f>SUM(G148:G163)</f>
        <v>0</v>
      </c>
      <c r="H165" s="355">
        <f>SUM(H148:H163)</f>
        <v>1035.4599798032896</v>
      </c>
      <c r="I165" s="355">
        <f t="shared" ref="I165:W165" si="103">SUM(I148:I164)</f>
        <v>1035.4599798032896</v>
      </c>
      <c r="J165" s="355">
        <f t="shared" si="103"/>
        <v>0</v>
      </c>
      <c r="K165" s="355">
        <f t="shared" si="103"/>
        <v>0</v>
      </c>
      <c r="L165" s="355">
        <f t="shared" si="103"/>
        <v>0</v>
      </c>
      <c r="M165" s="355">
        <f t="shared" si="103"/>
        <v>1035.4599798032896</v>
      </c>
      <c r="N165" s="355">
        <f t="shared" si="103"/>
        <v>1035.4599798032896</v>
      </c>
      <c r="O165" s="355">
        <f t="shared" si="103"/>
        <v>0</v>
      </c>
      <c r="P165" s="355">
        <f t="shared" si="103"/>
        <v>0</v>
      </c>
      <c r="Q165" s="355">
        <f t="shared" si="103"/>
        <v>0</v>
      </c>
      <c r="R165" s="355">
        <f t="shared" si="103"/>
        <v>1035.4599798032896</v>
      </c>
      <c r="S165" s="355">
        <f t="shared" si="103"/>
        <v>1035.4599798032896</v>
      </c>
      <c r="T165" s="355">
        <f t="shared" si="103"/>
        <v>0</v>
      </c>
      <c r="U165" s="355">
        <f t="shared" si="103"/>
        <v>0</v>
      </c>
      <c r="V165" s="355">
        <f t="shared" si="103"/>
        <v>0</v>
      </c>
      <c r="W165" s="355">
        <f t="shared" si="103"/>
        <v>1035.4599798032896</v>
      </c>
    </row>
    <row r="166" spans="2:23">
      <c r="B166" s="273"/>
      <c r="C166" s="79"/>
      <c r="D166" s="79"/>
      <c r="E166" s="79"/>
      <c r="F166" s="79"/>
    </row>
  </sheetData>
  <mergeCells count="61">
    <mergeCell ref="B144:B146"/>
    <mergeCell ref="C144:C146"/>
    <mergeCell ref="N119:R119"/>
    <mergeCell ref="S119:W119"/>
    <mergeCell ref="N65:R65"/>
    <mergeCell ref="S65:W65"/>
    <mergeCell ref="N118:R118"/>
    <mergeCell ref="D92:H92"/>
    <mergeCell ref="I92:M92"/>
    <mergeCell ref="D144:H144"/>
    <mergeCell ref="D145:H145"/>
    <mergeCell ref="I144:M144"/>
    <mergeCell ref="I145:M145"/>
    <mergeCell ref="S118:W118"/>
    <mergeCell ref="I119:M119"/>
    <mergeCell ref="D119:H119"/>
    <mergeCell ref="D118:H118"/>
    <mergeCell ref="I64:M64"/>
    <mergeCell ref="B36:B38"/>
    <mergeCell ref="C36:C38"/>
    <mergeCell ref="B64:B66"/>
    <mergeCell ref="I118:M118"/>
    <mergeCell ref="B118:B120"/>
    <mergeCell ref="C118:C120"/>
    <mergeCell ref="B91:B93"/>
    <mergeCell ref="C91:C93"/>
    <mergeCell ref="D36:H36"/>
    <mergeCell ref="D37:H37"/>
    <mergeCell ref="I36:M36"/>
    <mergeCell ref="I37:M37"/>
    <mergeCell ref="D91:H91"/>
    <mergeCell ref="I91:M91"/>
    <mergeCell ref="N11:R11"/>
    <mergeCell ref="S11:W11"/>
    <mergeCell ref="S10:W10"/>
    <mergeCell ref="N10:R10"/>
    <mergeCell ref="C64:C66"/>
    <mergeCell ref="D65:H65"/>
    <mergeCell ref="D64:H64"/>
    <mergeCell ref="I65:M65"/>
    <mergeCell ref="N64:R64"/>
    <mergeCell ref="S64:W64"/>
    <mergeCell ref="S36:W36"/>
    <mergeCell ref="S37:W37"/>
    <mergeCell ref="N36:R36"/>
    <mergeCell ref="N37:R37"/>
    <mergeCell ref="B33:G33"/>
    <mergeCell ref="B10:B12"/>
    <mergeCell ref="C10:C12"/>
    <mergeCell ref="I10:M10"/>
    <mergeCell ref="I11:M11"/>
    <mergeCell ref="D10:H10"/>
    <mergeCell ref="D11:H11"/>
    <mergeCell ref="N145:R145"/>
    <mergeCell ref="S145:W145"/>
    <mergeCell ref="N91:R91"/>
    <mergeCell ref="S91:W91"/>
    <mergeCell ref="N92:R92"/>
    <mergeCell ref="S92:W92"/>
    <mergeCell ref="N144:R144"/>
    <mergeCell ref="S144:W144"/>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58" max="32" man="1"/>
    <brk id="114" max="3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F88"/>
  <sheetViews>
    <sheetView showGridLines="0" view="pageBreakPreview" topLeftCell="H10" zoomScale="70" zoomScaleNormal="68" zoomScaleSheetLayoutView="70" workbookViewId="0">
      <selection activeCell="E33" sqref="E33"/>
    </sheetView>
  </sheetViews>
  <sheetFormatPr defaultColWidth="9.08984375" defaultRowHeight="14"/>
  <cols>
    <col min="1" max="1" width="4.08984375" style="1" customWidth="1"/>
    <col min="2" max="2" width="6.36328125" style="1" customWidth="1"/>
    <col min="3" max="3" width="36.08984375" style="1" customWidth="1"/>
    <col min="4" max="8" width="19.08984375" style="1" customWidth="1"/>
    <col min="9" max="28" width="18.36328125" style="1" customWidth="1"/>
    <col min="29" max="33" width="18.6328125" style="1" customWidth="1"/>
    <col min="34" max="16383" width="9.08984375" style="1"/>
    <col min="16384" max="16384" width="9.08984375" style="1" bestFit="1" customWidth="1"/>
  </cols>
  <sheetData>
    <row r="1" spans="1:29">
      <c r="B1" s="895"/>
    </row>
    <row r="2" spans="1:29">
      <c r="B2" s="895"/>
    </row>
    <row r="3" spans="1:29">
      <c r="B3" s="895"/>
    </row>
    <row r="4" spans="1:29">
      <c r="B4" s="8"/>
      <c r="N4" s="929"/>
      <c r="O4" s="929"/>
      <c r="P4" s="892" t="str">
        <f>Index!B2</f>
        <v xml:space="preserve">      Maharashtra State Power Generation Company Ltd.</v>
      </c>
      <c r="Q4" s="930"/>
      <c r="R4" s="929"/>
      <c r="S4" s="929"/>
      <c r="T4" s="929"/>
      <c r="U4" s="929"/>
      <c r="V4" s="929"/>
      <c r="W4" s="929"/>
      <c r="X4" s="929"/>
      <c r="Y4" s="929"/>
      <c r="Z4" s="929"/>
      <c r="AA4" s="929"/>
      <c r="AB4" s="929"/>
      <c r="AC4" s="929"/>
    </row>
    <row r="5" spans="1:29">
      <c r="B5" s="8"/>
      <c r="N5" s="931"/>
      <c r="O5" s="931"/>
      <c r="P5" s="892" t="str">
        <f>Index!B3</f>
        <v>MYT Petition Formats for Parli 8</v>
      </c>
      <c r="Q5" s="930"/>
      <c r="R5" s="931"/>
      <c r="S5" s="931"/>
      <c r="T5" s="931"/>
      <c r="U5" s="931"/>
      <c r="V5" s="931"/>
      <c r="W5" s="931"/>
      <c r="X5" s="931"/>
      <c r="Y5" s="931"/>
      <c r="Z5" s="931"/>
      <c r="AA5" s="931"/>
      <c r="AB5" s="931"/>
      <c r="AC5" s="929"/>
    </row>
    <row r="6" spans="1:29">
      <c r="B6" s="929"/>
      <c r="N6" s="929"/>
      <c r="O6" s="8"/>
      <c r="P6" s="130" t="s">
        <v>1043</v>
      </c>
      <c r="Q6" s="130"/>
      <c r="R6" s="8"/>
      <c r="S6" s="8"/>
      <c r="T6" s="929"/>
      <c r="U6" s="929"/>
      <c r="V6" s="929"/>
      <c r="W6" s="929"/>
      <c r="X6" s="929"/>
      <c r="Y6" s="929"/>
      <c r="Z6" s="929"/>
      <c r="AA6" s="929"/>
      <c r="AB6" s="929"/>
      <c r="AC6" s="929"/>
    </row>
    <row r="7" spans="1:29">
      <c r="C7" s="8"/>
      <c r="D7" s="8"/>
      <c r="E7" s="8"/>
      <c r="F7" s="8"/>
      <c r="G7" s="8"/>
      <c r="H7" s="8"/>
      <c r="I7" s="8"/>
      <c r="J7" s="8"/>
      <c r="K7" s="8"/>
      <c r="L7" s="8"/>
      <c r="M7" s="8"/>
      <c r="O7" s="44"/>
      <c r="R7" s="44"/>
      <c r="S7" s="44"/>
    </row>
    <row r="8" spans="1:29">
      <c r="A8" s="1" t="s">
        <v>265</v>
      </c>
      <c r="B8" s="895" t="s">
        <v>266</v>
      </c>
      <c r="C8" s="895"/>
      <c r="D8" s="895"/>
      <c r="E8" s="895"/>
      <c r="F8" s="895"/>
      <c r="G8" s="895"/>
      <c r="H8" s="895"/>
      <c r="I8" s="895"/>
      <c r="J8" s="895"/>
      <c r="K8" s="895"/>
      <c r="L8" s="895"/>
      <c r="M8" s="895"/>
      <c r="O8" s="44"/>
      <c r="R8" s="44"/>
      <c r="S8" s="44"/>
      <c r="W8" s="932"/>
    </row>
    <row r="9" spans="1:29">
      <c r="B9" s="263"/>
      <c r="C9" s="8"/>
      <c r="D9" s="8"/>
      <c r="E9" s="8"/>
      <c r="F9" s="8"/>
      <c r="G9" s="8"/>
      <c r="H9" s="8"/>
      <c r="I9" s="8"/>
      <c r="J9" s="8"/>
      <c r="K9" s="8"/>
      <c r="L9" s="8"/>
      <c r="M9" s="8"/>
      <c r="O9" s="44"/>
      <c r="R9" s="44"/>
      <c r="S9" s="44"/>
      <c r="W9" s="932"/>
      <c r="AB9" s="264" t="s">
        <v>10</v>
      </c>
    </row>
    <row r="10" spans="1:29">
      <c r="B10" s="895"/>
      <c r="C10" s="8"/>
      <c r="D10" s="8"/>
      <c r="E10" s="8"/>
      <c r="F10" s="8"/>
      <c r="G10" s="8"/>
      <c r="H10" s="8"/>
      <c r="I10" s="8"/>
      <c r="J10" s="8"/>
      <c r="K10" s="8"/>
      <c r="L10" s="8"/>
      <c r="M10" s="8"/>
      <c r="O10" s="44"/>
      <c r="R10" s="44"/>
      <c r="S10" s="44"/>
    </row>
    <row r="11" spans="1:29" ht="15.75" customHeight="1">
      <c r="B11" s="895"/>
      <c r="C11" s="8"/>
      <c r="D11" s="8"/>
      <c r="E11" s="8"/>
      <c r="F11" s="8"/>
      <c r="G11" s="8"/>
      <c r="H11" s="8"/>
      <c r="I11" s="8"/>
      <c r="J11" s="8"/>
      <c r="K11" s="8"/>
      <c r="L11" s="8"/>
      <c r="M11" s="8"/>
      <c r="O11" s="44"/>
      <c r="R11" s="44"/>
      <c r="S11" s="44"/>
      <c r="AB11" s="264" t="s">
        <v>10</v>
      </c>
    </row>
    <row r="12" spans="1:29" ht="15.75" customHeight="1">
      <c r="B12" s="1804" t="s">
        <v>340</v>
      </c>
      <c r="C12" s="1804" t="s">
        <v>36</v>
      </c>
      <c r="D12" s="1804" t="s">
        <v>958</v>
      </c>
      <c r="E12" s="1804"/>
      <c r="F12" s="1804"/>
      <c r="G12" s="1804"/>
      <c r="H12" s="1804"/>
      <c r="I12" s="1933" t="s">
        <v>959</v>
      </c>
      <c r="J12" s="1933"/>
      <c r="K12" s="1933"/>
      <c r="L12" s="1933"/>
      <c r="M12" s="1933"/>
      <c r="N12" s="1933" t="s">
        <v>960</v>
      </c>
      <c r="O12" s="1933"/>
      <c r="P12" s="1933"/>
      <c r="Q12" s="1933"/>
      <c r="R12" s="1933"/>
      <c r="S12" s="1933" t="s">
        <v>961</v>
      </c>
      <c r="T12" s="1933"/>
      <c r="U12" s="1933"/>
      <c r="V12" s="1933"/>
      <c r="W12" s="1933"/>
      <c r="X12" s="1933" t="s">
        <v>962</v>
      </c>
      <c r="Y12" s="1933"/>
      <c r="Z12" s="1933"/>
      <c r="AA12" s="1933"/>
      <c r="AB12" s="1933"/>
    </row>
    <row r="13" spans="1:29">
      <c r="B13" s="1804"/>
      <c r="C13" s="1804"/>
      <c r="D13" s="1942" t="s">
        <v>21</v>
      </c>
      <c r="E13" s="1943"/>
      <c r="F13" s="1943"/>
      <c r="G13" s="1943"/>
      <c r="H13" s="1943"/>
      <c r="I13" s="1937" t="s">
        <v>21</v>
      </c>
      <c r="J13" s="1938"/>
      <c r="K13" s="1938"/>
      <c r="L13" s="1938"/>
      <c r="M13" s="1938"/>
      <c r="N13" s="1937" t="s">
        <v>21</v>
      </c>
      <c r="O13" s="1938"/>
      <c r="P13" s="1938"/>
      <c r="Q13" s="1938"/>
      <c r="R13" s="1938"/>
      <c r="S13" s="1937" t="s">
        <v>21</v>
      </c>
      <c r="T13" s="1938"/>
      <c r="U13" s="1938"/>
      <c r="V13" s="1938"/>
      <c r="W13" s="1938"/>
      <c r="X13" s="1937" t="s">
        <v>21</v>
      </c>
      <c r="Y13" s="1938"/>
      <c r="Z13" s="1938"/>
      <c r="AA13" s="1938"/>
      <c r="AB13" s="1938"/>
    </row>
    <row r="14" spans="1:29" s="129" customFormat="1" ht="42">
      <c r="B14" s="1804"/>
      <c r="C14" s="1804"/>
      <c r="D14" s="894" t="s">
        <v>267</v>
      </c>
      <c r="E14" s="894" t="s">
        <v>268</v>
      </c>
      <c r="F14" s="894" t="s">
        <v>269</v>
      </c>
      <c r="G14" s="894" t="s">
        <v>589</v>
      </c>
      <c r="H14" s="894" t="s">
        <v>270</v>
      </c>
      <c r="I14" s="896" t="s">
        <v>267</v>
      </c>
      <c r="J14" s="896" t="s">
        <v>268</v>
      </c>
      <c r="K14" s="896" t="s">
        <v>269</v>
      </c>
      <c r="L14" s="894" t="s">
        <v>589</v>
      </c>
      <c r="M14" s="896" t="s">
        <v>270</v>
      </c>
      <c r="N14" s="896" t="s">
        <v>267</v>
      </c>
      <c r="O14" s="896" t="s">
        <v>268</v>
      </c>
      <c r="P14" s="896" t="s">
        <v>269</v>
      </c>
      <c r="Q14" s="894" t="s">
        <v>589</v>
      </c>
      <c r="R14" s="896" t="s">
        <v>270</v>
      </c>
      <c r="S14" s="896" t="s">
        <v>267</v>
      </c>
      <c r="T14" s="896" t="s">
        <v>268</v>
      </c>
      <c r="U14" s="896" t="s">
        <v>269</v>
      </c>
      <c r="V14" s="894" t="s">
        <v>589</v>
      </c>
      <c r="W14" s="896" t="s">
        <v>270</v>
      </c>
      <c r="X14" s="896" t="s">
        <v>267</v>
      </c>
      <c r="Y14" s="896" t="s">
        <v>268</v>
      </c>
      <c r="Z14" s="896" t="s">
        <v>269</v>
      </c>
      <c r="AA14" s="894" t="s">
        <v>589</v>
      </c>
      <c r="AB14" s="896" t="s">
        <v>270</v>
      </c>
    </row>
    <row r="15" spans="1:29" s="44" customFormat="1">
      <c r="B15" s="265"/>
      <c r="C15" s="265"/>
      <c r="D15" s="265" t="s">
        <v>80</v>
      </c>
      <c r="E15" s="265" t="s">
        <v>81</v>
      </c>
      <c r="F15" s="265" t="s">
        <v>461</v>
      </c>
      <c r="G15" s="265" t="s">
        <v>391</v>
      </c>
      <c r="H15" s="265" t="s">
        <v>590</v>
      </c>
      <c r="I15" s="265" t="s">
        <v>409</v>
      </c>
      <c r="J15" s="265" t="s">
        <v>511</v>
      </c>
      <c r="K15" s="265" t="s">
        <v>410</v>
      </c>
      <c r="L15" s="265" t="s">
        <v>411</v>
      </c>
      <c r="M15" s="265" t="s">
        <v>654</v>
      </c>
      <c r="N15" s="265" t="s">
        <v>591</v>
      </c>
      <c r="O15" s="265" t="s">
        <v>655</v>
      </c>
      <c r="P15" s="265" t="s">
        <v>592</v>
      </c>
      <c r="Q15" s="265" t="s">
        <v>593</v>
      </c>
      <c r="R15" s="265" t="s">
        <v>1044</v>
      </c>
      <c r="S15" s="265" t="s">
        <v>594</v>
      </c>
      <c r="T15" s="265" t="s">
        <v>595</v>
      </c>
      <c r="U15" s="265" t="s">
        <v>1045</v>
      </c>
      <c r="V15" s="265" t="s">
        <v>1046</v>
      </c>
      <c r="W15" s="265" t="s">
        <v>1047</v>
      </c>
      <c r="X15" s="265" t="s">
        <v>596</v>
      </c>
      <c r="Y15" s="265" t="s">
        <v>597</v>
      </c>
      <c r="Z15" s="265" t="s">
        <v>598</v>
      </c>
      <c r="AA15" s="265" t="s">
        <v>656</v>
      </c>
      <c r="AB15" s="265" t="s">
        <v>657</v>
      </c>
    </row>
    <row r="16" spans="1:29" s="44" customFormat="1">
      <c r="B16" s="474">
        <v>1</v>
      </c>
      <c r="C16" s="476" t="s">
        <v>841</v>
      </c>
      <c r="D16" s="1129">
        <v>0</v>
      </c>
      <c r="E16" s="1129">
        <v>0</v>
      </c>
      <c r="F16" s="1129">
        <v>0</v>
      </c>
      <c r="G16" s="934"/>
      <c r="H16" s="935">
        <f>D16+E16-F16-G16</f>
        <v>0</v>
      </c>
      <c r="I16" s="880">
        <f>H16</f>
        <v>0</v>
      </c>
      <c r="J16" s="1129">
        <v>0</v>
      </c>
      <c r="K16" s="1129">
        <v>0</v>
      </c>
      <c r="L16" s="934"/>
      <c r="M16" s="880">
        <f>I16+J16-K16-L16</f>
        <v>0</v>
      </c>
      <c r="N16" s="936">
        <f>M16</f>
        <v>0</v>
      </c>
      <c r="O16" s="1129">
        <v>0</v>
      </c>
      <c r="P16" s="1129">
        <v>0</v>
      </c>
      <c r="Q16" s="934"/>
      <c r="R16" s="937">
        <f>N16+O16-P16-Q16</f>
        <v>0</v>
      </c>
      <c r="S16" s="937">
        <f>R16</f>
        <v>0</v>
      </c>
      <c r="T16" s="1129">
        <v>0</v>
      </c>
      <c r="U16" s="1129">
        <v>0</v>
      </c>
      <c r="V16" s="934"/>
      <c r="W16" s="937">
        <f>S16+T16-U16-V16</f>
        <v>0</v>
      </c>
      <c r="X16" s="937">
        <f>W16</f>
        <v>0</v>
      </c>
      <c r="Y16" s="1130">
        <v>0</v>
      </c>
      <c r="Z16" s="1130">
        <v>0</v>
      </c>
      <c r="AA16" s="934"/>
      <c r="AB16" s="937">
        <f>X16+Y16-Z16-AA16</f>
        <v>0</v>
      </c>
    </row>
    <row r="17" spans="2:28" s="44" customFormat="1">
      <c r="B17" s="474">
        <f>B16+1</f>
        <v>2</v>
      </c>
      <c r="C17" s="476" t="s">
        <v>842</v>
      </c>
      <c r="D17" s="1129">
        <v>0</v>
      </c>
      <c r="E17" s="1129">
        <v>0</v>
      </c>
      <c r="F17" s="1129">
        <v>0</v>
      </c>
      <c r="G17" s="934"/>
      <c r="H17" s="935">
        <f t="shared" ref="H17:H32" si="0">D17+E17-F17-G17</f>
        <v>0</v>
      </c>
      <c r="I17" s="880">
        <f t="shared" ref="I17:I32" si="1">H17</f>
        <v>0</v>
      </c>
      <c r="J17" s="1129">
        <v>2.8075000000000001</v>
      </c>
      <c r="K17" s="1129">
        <v>0</v>
      </c>
      <c r="L17" s="934"/>
      <c r="M17" s="880">
        <f t="shared" ref="M17:M32" si="2">I17+J17-K17-L17</f>
        <v>2.8075000000000001</v>
      </c>
      <c r="N17" s="936">
        <f t="shared" ref="N17:N32" si="3">M17</f>
        <v>2.8075000000000001</v>
      </c>
      <c r="O17" s="1129">
        <v>0</v>
      </c>
      <c r="P17" s="1129">
        <v>0</v>
      </c>
      <c r="Q17" s="934"/>
      <c r="R17" s="937">
        <f t="shared" ref="R17:R32" si="4">N17+O17-P17-Q17</f>
        <v>2.8075000000000001</v>
      </c>
      <c r="S17" s="937">
        <f t="shared" ref="S17:S32" si="5">R17</f>
        <v>2.8075000000000001</v>
      </c>
      <c r="T17" s="1129">
        <v>0</v>
      </c>
      <c r="U17" s="1129">
        <v>0</v>
      </c>
      <c r="V17" s="934"/>
      <c r="W17" s="937">
        <f t="shared" ref="W17:W32" si="6">S17+T17-U17-V17</f>
        <v>2.8075000000000001</v>
      </c>
      <c r="X17" s="937">
        <f t="shared" ref="X17:X32" si="7">W17</f>
        <v>2.8075000000000001</v>
      </c>
      <c r="Y17" s="1130">
        <v>0</v>
      </c>
      <c r="Z17" s="1130">
        <v>0</v>
      </c>
      <c r="AA17" s="934"/>
      <c r="AB17" s="937">
        <f t="shared" ref="AB17:AB32" si="8">X17+Y17-Z17-AA17</f>
        <v>2.8075000000000001</v>
      </c>
    </row>
    <row r="18" spans="2:28">
      <c r="B18" s="474">
        <f t="shared" ref="B18:B32" si="9">B17+1</f>
        <v>3</v>
      </c>
      <c r="C18" s="476" t="s">
        <v>843</v>
      </c>
      <c r="D18" s="1131">
        <v>0</v>
      </c>
      <c r="E18" s="1131">
        <v>0</v>
      </c>
      <c r="F18" s="1131">
        <v>0</v>
      </c>
      <c r="G18" s="938"/>
      <c r="H18" s="935">
        <f t="shared" si="0"/>
        <v>0</v>
      </c>
      <c r="I18" s="880">
        <f t="shared" si="1"/>
        <v>0</v>
      </c>
      <c r="J18" s="1131">
        <v>0</v>
      </c>
      <c r="K18" s="1131">
        <v>0</v>
      </c>
      <c r="L18" s="938"/>
      <c r="M18" s="880">
        <f t="shared" si="2"/>
        <v>0</v>
      </c>
      <c r="N18" s="936">
        <f t="shared" si="3"/>
        <v>0</v>
      </c>
      <c r="O18" s="1131">
        <v>0</v>
      </c>
      <c r="P18" s="1131">
        <v>0</v>
      </c>
      <c r="Q18" s="938"/>
      <c r="R18" s="937">
        <f t="shared" si="4"/>
        <v>0</v>
      </c>
      <c r="S18" s="937">
        <f t="shared" si="5"/>
        <v>0</v>
      </c>
      <c r="T18" s="1131">
        <v>0</v>
      </c>
      <c r="U18" s="1131">
        <v>0</v>
      </c>
      <c r="V18" s="938"/>
      <c r="W18" s="937">
        <f t="shared" si="6"/>
        <v>0</v>
      </c>
      <c r="X18" s="937">
        <f t="shared" si="7"/>
        <v>0</v>
      </c>
      <c r="Y18" s="1132">
        <v>0</v>
      </c>
      <c r="Z18" s="1132">
        <v>0</v>
      </c>
      <c r="AA18" s="938"/>
      <c r="AB18" s="937">
        <f t="shared" si="8"/>
        <v>0</v>
      </c>
    </row>
    <row r="19" spans="2:28">
      <c r="B19" s="474">
        <f t="shared" si="9"/>
        <v>4</v>
      </c>
      <c r="C19" s="476" t="s">
        <v>844</v>
      </c>
      <c r="D19" s="1129">
        <v>0</v>
      </c>
      <c r="E19" s="1129">
        <v>0</v>
      </c>
      <c r="F19" s="1129">
        <v>0</v>
      </c>
      <c r="G19" s="934"/>
      <c r="H19" s="935">
        <f t="shared" si="0"/>
        <v>0</v>
      </c>
      <c r="I19" s="880">
        <f t="shared" si="1"/>
        <v>0</v>
      </c>
      <c r="J19" s="1129">
        <v>0</v>
      </c>
      <c r="K19" s="1129">
        <v>0</v>
      </c>
      <c r="L19" s="934"/>
      <c r="M19" s="880">
        <f t="shared" si="2"/>
        <v>0</v>
      </c>
      <c r="N19" s="936">
        <f t="shared" si="3"/>
        <v>0</v>
      </c>
      <c r="O19" s="1129">
        <v>0</v>
      </c>
      <c r="P19" s="1129">
        <v>0</v>
      </c>
      <c r="Q19" s="934"/>
      <c r="R19" s="937">
        <f t="shared" si="4"/>
        <v>0</v>
      </c>
      <c r="S19" s="937">
        <f t="shared" si="5"/>
        <v>0</v>
      </c>
      <c r="T19" s="1129">
        <v>0</v>
      </c>
      <c r="U19" s="1129">
        <v>0</v>
      </c>
      <c r="V19" s="934"/>
      <c r="W19" s="937">
        <f t="shared" si="6"/>
        <v>0</v>
      </c>
      <c r="X19" s="937">
        <f t="shared" si="7"/>
        <v>0</v>
      </c>
      <c r="Y19" s="1130">
        <v>0</v>
      </c>
      <c r="Z19" s="1130">
        <v>0</v>
      </c>
      <c r="AA19" s="934"/>
      <c r="AB19" s="937">
        <f t="shared" si="8"/>
        <v>0</v>
      </c>
    </row>
    <row r="20" spans="2:28">
      <c r="B20" s="474">
        <f t="shared" si="9"/>
        <v>5</v>
      </c>
      <c r="C20" s="476" t="s">
        <v>845</v>
      </c>
      <c r="D20" s="1129">
        <v>0</v>
      </c>
      <c r="E20" s="1129">
        <v>0</v>
      </c>
      <c r="F20" s="1129">
        <v>0</v>
      </c>
      <c r="G20" s="934"/>
      <c r="H20" s="935">
        <f t="shared" si="0"/>
        <v>0</v>
      </c>
      <c r="I20" s="880">
        <f t="shared" si="1"/>
        <v>0</v>
      </c>
      <c r="J20" s="1129">
        <v>0</v>
      </c>
      <c r="K20" s="1129">
        <v>0</v>
      </c>
      <c r="L20" s="934"/>
      <c r="M20" s="880">
        <f t="shared" si="2"/>
        <v>0</v>
      </c>
      <c r="N20" s="936">
        <f t="shared" si="3"/>
        <v>0</v>
      </c>
      <c r="O20" s="1129">
        <v>0</v>
      </c>
      <c r="P20" s="1129">
        <v>0</v>
      </c>
      <c r="Q20" s="934"/>
      <c r="R20" s="937">
        <f t="shared" si="4"/>
        <v>0</v>
      </c>
      <c r="S20" s="937">
        <f t="shared" si="5"/>
        <v>0</v>
      </c>
      <c r="T20" s="1129">
        <v>0</v>
      </c>
      <c r="U20" s="1129">
        <v>0</v>
      </c>
      <c r="V20" s="934"/>
      <c r="W20" s="937">
        <f t="shared" si="6"/>
        <v>0</v>
      </c>
      <c r="X20" s="937">
        <f t="shared" si="7"/>
        <v>0</v>
      </c>
      <c r="Y20" s="1130">
        <v>0</v>
      </c>
      <c r="Z20" s="1130">
        <v>0</v>
      </c>
      <c r="AA20" s="934"/>
      <c r="AB20" s="937">
        <f t="shared" si="8"/>
        <v>0</v>
      </c>
    </row>
    <row r="21" spans="2:28">
      <c r="B21" s="474">
        <f t="shared" si="9"/>
        <v>6</v>
      </c>
      <c r="C21" s="476" t="s">
        <v>255</v>
      </c>
      <c r="D21" s="1129">
        <v>0</v>
      </c>
      <c r="E21" s="1129">
        <v>66.709999999999994</v>
      </c>
      <c r="F21" s="1129">
        <v>0</v>
      </c>
      <c r="G21" s="934"/>
      <c r="H21" s="935">
        <f t="shared" si="0"/>
        <v>66.709999999999994</v>
      </c>
      <c r="I21" s="880">
        <f t="shared" si="1"/>
        <v>66.709999999999994</v>
      </c>
      <c r="J21" s="1129">
        <v>47.962499999999999</v>
      </c>
      <c r="K21" s="1129">
        <v>0</v>
      </c>
      <c r="L21" s="934"/>
      <c r="M21" s="880">
        <f t="shared" si="2"/>
        <v>114.67249999999999</v>
      </c>
      <c r="N21" s="936">
        <f t="shared" si="3"/>
        <v>114.67249999999999</v>
      </c>
      <c r="O21" s="1129">
        <v>80.625</v>
      </c>
      <c r="P21" s="1129">
        <v>0</v>
      </c>
      <c r="Q21" s="934"/>
      <c r="R21" s="937">
        <f t="shared" si="4"/>
        <v>195.29749999999999</v>
      </c>
      <c r="S21" s="937">
        <f t="shared" si="5"/>
        <v>195.29749999999999</v>
      </c>
      <c r="T21" s="1129">
        <v>7.6666666666666661</v>
      </c>
      <c r="U21" s="1129">
        <v>0</v>
      </c>
      <c r="V21" s="934"/>
      <c r="W21" s="937">
        <f t="shared" si="6"/>
        <v>202.96416666666664</v>
      </c>
      <c r="X21" s="937">
        <f t="shared" si="7"/>
        <v>202.96416666666664</v>
      </c>
      <c r="Y21" s="1130">
        <v>65</v>
      </c>
      <c r="Z21" s="1130">
        <v>0</v>
      </c>
      <c r="AA21" s="934"/>
      <c r="AB21" s="937">
        <f t="shared" si="8"/>
        <v>267.96416666666664</v>
      </c>
    </row>
    <row r="22" spans="2:28">
      <c r="B22" s="474">
        <f t="shared" si="9"/>
        <v>7</v>
      </c>
      <c r="C22" s="476" t="s">
        <v>846</v>
      </c>
      <c r="D22" s="1129">
        <v>0</v>
      </c>
      <c r="E22" s="1129">
        <v>0</v>
      </c>
      <c r="F22" s="1129">
        <v>0</v>
      </c>
      <c r="G22" s="939"/>
      <c r="H22" s="935">
        <f t="shared" si="0"/>
        <v>0</v>
      </c>
      <c r="I22" s="880">
        <f t="shared" si="1"/>
        <v>0</v>
      </c>
      <c r="J22" s="1129">
        <v>0</v>
      </c>
      <c r="K22" s="1129">
        <v>0</v>
      </c>
      <c r="L22" s="939"/>
      <c r="M22" s="880">
        <f t="shared" si="2"/>
        <v>0</v>
      </c>
      <c r="N22" s="936">
        <f t="shared" si="3"/>
        <v>0</v>
      </c>
      <c r="O22" s="1129">
        <v>0</v>
      </c>
      <c r="P22" s="1129">
        <v>0</v>
      </c>
      <c r="Q22" s="939"/>
      <c r="R22" s="937">
        <f t="shared" si="4"/>
        <v>0</v>
      </c>
      <c r="S22" s="937">
        <f t="shared" si="5"/>
        <v>0</v>
      </c>
      <c r="T22" s="1129">
        <v>0</v>
      </c>
      <c r="U22" s="1129">
        <v>0</v>
      </c>
      <c r="V22" s="939"/>
      <c r="W22" s="937">
        <f t="shared" si="6"/>
        <v>0</v>
      </c>
      <c r="X22" s="937">
        <f t="shared" si="7"/>
        <v>0</v>
      </c>
      <c r="Y22" s="1130">
        <v>0</v>
      </c>
      <c r="Z22" s="1130">
        <v>0</v>
      </c>
      <c r="AA22" s="939"/>
      <c r="AB22" s="937">
        <f t="shared" si="8"/>
        <v>0</v>
      </c>
    </row>
    <row r="23" spans="2:28">
      <c r="B23" s="474">
        <f t="shared" si="9"/>
        <v>8</v>
      </c>
      <c r="C23" s="476" t="s">
        <v>847</v>
      </c>
      <c r="D23" s="1129">
        <v>0</v>
      </c>
      <c r="E23" s="1129">
        <v>2.3333333333333334E-2</v>
      </c>
      <c r="F23" s="1129">
        <v>0</v>
      </c>
      <c r="G23" s="939"/>
      <c r="H23" s="935">
        <f t="shared" si="0"/>
        <v>2.3333333333333334E-2</v>
      </c>
      <c r="I23" s="880">
        <f t="shared" si="1"/>
        <v>2.3333333333333334E-2</v>
      </c>
      <c r="J23" s="1129">
        <v>1.7500000000000002E-2</v>
      </c>
      <c r="K23" s="1129">
        <v>0</v>
      </c>
      <c r="L23" s="939"/>
      <c r="M23" s="880">
        <f t="shared" si="2"/>
        <v>4.0833333333333333E-2</v>
      </c>
      <c r="N23" s="936">
        <f t="shared" si="3"/>
        <v>4.0833333333333333E-2</v>
      </c>
      <c r="O23" s="1129">
        <v>3.5000000000000003E-2</v>
      </c>
      <c r="P23" s="1129">
        <v>0</v>
      </c>
      <c r="Q23" s="939"/>
      <c r="R23" s="937">
        <f t="shared" si="4"/>
        <v>7.5833333333333336E-2</v>
      </c>
      <c r="S23" s="937">
        <f t="shared" si="5"/>
        <v>7.5833333333333336E-2</v>
      </c>
      <c r="T23" s="1129">
        <v>4.6666666666666669E-2</v>
      </c>
      <c r="U23" s="1129">
        <v>0</v>
      </c>
      <c r="V23" s="939"/>
      <c r="W23" s="937">
        <f t="shared" si="6"/>
        <v>0.1225</v>
      </c>
      <c r="X23" s="937">
        <f t="shared" si="7"/>
        <v>0.1225</v>
      </c>
      <c r="Y23" s="1130">
        <v>7.0000000000000007E-2</v>
      </c>
      <c r="Z23" s="1130">
        <v>0</v>
      </c>
      <c r="AA23" s="939"/>
      <c r="AB23" s="937">
        <f t="shared" si="8"/>
        <v>0.1925</v>
      </c>
    </row>
    <row r="24" spans="2:28">
      <c r="B24" s="474">
        <f t="shared" si="9"/>
        <v>9</v>
      </c>
      <c r="C24" s="476" t="s">
        <v>848</v>
      </c>
      <c r="D24" s="1129">
        <v>0</v>
      </c>
      <c r="E24" s="1129">
        <v>0</v>
      </c>
      <c r="F24" s="1129">
        <v>0</v>
      </c>
      <c r="G24" s="939"/>
      <c r="H24" s="935">
        <f t="shared" si="0"/>
        <v>0</v>
      </c>
      <c r="I24" s="880">
        <f t="shared" si="1"/>
        <v>0</v>
      </c>
      <c r="J24" s="1129">
        <v>0</v>
      </c>
      <c r="K24" s="1129">
        <v>0</v>
      </c>
      <c r="L24" s="939"/>
      <c r="M24" s="880">
        <f t="shared" si="2"/>
        <v>0</v>
      </c>
      <c r="N24" s="936">
        <f t="shared" si="3"/>
        <v>0</v>
      </c>
      <c r="O24" s="1129">
        <v>0</v>
      </c>
      <c r="P24" s="1129">
        <v>0</v>
      </c>
      <c r="Q24" s="939"/>
      <c r="R24" s="937">
        <f t="shared" si="4"/>
        <v>0</v>
      </c>
      <c r="S24" s="937">
        <f t="shared" si="5"/>
        <v>0</v>
      </c>
      <c r="T24" s="1129">
        <v>0</v>
      </c>
      <c r="U24" s="1129">
        <v>0</v>
      </c>
      <c r="V24" s="939"/>
      <c r="W24" s="937">
        <f t="shared" si="6"/>
        <v>0</v>
      </c>
      <c r="X24" s="937">
        <f t="shared" si="7"/>
        <v>0</v>
      </c>
      <c r="Y24" s="1130">
        <v>0</v>
      </c>
      <c r="Z24" s="1130">
        <v>0</v>
      </c>
      <c r="AA24" s="939"/>
      <c r="AB24" s="937">
        <f t="shared" si="8"/>
        <v>0</v>
      </c>
    </row>
    <row r="25" spans="2:28">
      <c r="B25" s="474">
        <f t="shared" si="9"/>
        <v>10</v>
      </c>
      <c r="C25" s="476" t="s">
        <v>258</v>
      </c>
      <c r="D25" s="1129">
        <v>0</v>
      </c>
      <c r="E25" s="1129">
        <v>0</v>
      </c>
      <c r="F25" s="1129">
        <v>0</v>
      </c>
      <c r="G25" s="939"/>
      <c r="H25" s="935">
        <f t="shared" si="0"/>
        <v>0</v>
      </c>
      <c r="I25" s="880">
        <f t="shared" si="1"/>
        <v>0</v>
      </c>
      <c r="J25" s="1129">
        <v>0</v>
      </c>
      <c r="K25" s="1129">
        <v>0</v>
      </c>
      <c r="L25" s="939"/>
      <c r="M25" s="880">
        <f t="shared" si="2"/>
        <v>0</v>
      </c>
      <c r="N25" s="936">
        <f t="shared" si="3"/>
        <v>0</v>
      </c>
      <c r="O25" s="1129">
        <v>0</v>
      </c>
      <c r="P25" s="1129">
        <v>0</v>
      </c>
      <c r="Q25" s="939"/>
      <c r="R25" s="937">
        <f t="shared" si="4"/>
        <v>0</v>
      </c>
      <c r="S25" s="937">
        <f t="shared" si="5"/>
        <v>0</v>
      </c>
      <c r="T25" s="1129">
        <v>0</v>
      </c>
      <c r="U25" s="1129">
        <v>0</v>
      </c>
      <c r="V25" s="939"/>
      <c r="W25" s="937">
        <f t="shared" si="6"/>
        <v>0</v>
      </c>
      <c r="X25" s="937">
        <f t="shared" si="7"/>
        <v>0</v>
      </c>
      <c r="Y25" s="1130">
        <v>0</v>
      </c>
      <c r="Z25" s="1130">
        <v>0</v>
      </c>
      <c r="AA25" s="939"/>
      <c r="AB25" s="937">
        <f t="shared" si="8"/>
        <v>0</v>
      </c>
    </row>
    <row r="26" spans="2:28">
      <c r="B26" s="474">
        <f t="shared" si="9"/>
        <v>11</v>
      </c>
      <c r="C26" s="476" t="s">
        <v>259</v>
      </c>
      <c r="D26" s="1129">
        <v>0</v>
      </c>
      <c r="E26" s="1129">
        <v>6.6666666666666662E-3</v>
      </c>
      <c r="F26" s="1129">
        <v>0</v>
      </c>
      <c r="G26" s="939"/>
      <c r="H26" s="935">
        <f t="shared" si="0"/>
        <v>6.6666666666666662E-3</v>
      </c>
      <c r="I26" s="880">
        <f t="shared" si="1"/>
        <v>6.6666666666666662E-3</v>
      </c>
      <c r="J26" s="1129">
        <v>5.0000000000000001E-3</v>
      </c>
      <c r="K26" s="1129">
        <v>0</v>
      </c>
      <c r="L26" s="939"/>
      <c r="M26" s="880">
        <f t="shared" si="2"/>
        <v>1.1666666666666665E-2</v>
      </c>
      <c r="N26" s="936">
        <f t="shared" si="3"/>
        <v>1.1666666666666665E-2</v>
      </c>
      <c r="O26" s="1129">
        <v>0.01</v>
      </c>
      <c r="P26" s="1129">
        <v>0</v>
      </c>
      <c r="Q26" s="939"/>
      <c r="R26" s="937">
        <f t="shared" si="4"/>
        <v>2.1666666666666667E-2</v>
      </c>
      <c r="S26" s="937">
        <f t="shared" si="5"/>
        <v>2.1666666666666667E-2</v>
      </c>
      <c r="T26" s="1129">
        <v>1.3333333333333332E-2</v>
      </c>
      <c r="U26" s="1129">
        <v>0</v>
      </c>
      <c r="V26" s="939"/>
      <c r="W26" s="937">
        <f t="shared" si="6"/>
        <v>3.5000000000000003E-2</v>
      </c>
      <c r="X26" s="937">
        <f t="shared" si="7"/>
        <v>3.5000000000000003E-2</v>
      </c>
      <c r="Y26" s="1130">
        <v>0.02</v>
      </c>
      <c r="Z26" s="1130">
        <v>0</v>
      </c>
      <c r="AA26" s="939"/>
      <c r="AB26" s="937">
        <f t="shared" si="8"/>
        <v>5.5000000000000007E-2</v>
      </c>
    </row>
    <row r="27" spans="2:28">
      <c r="B27" s="474">
        <f t="shared" si="9"/>
        <v>12</v>
      </c>
      <c r="C27" s="476" t="s">
        <v>260</v>
      </c>
      <c r="D27" s="1129">
        <v>0</v>
      </c>
      <c r="E27" s="1129">
        <v>0</v>
      </c>
      <c r="F27" s="1129">
        <v>0</v>
      </c>
      <c r="G27" s="939"/>
      <c r="H27" s="935">
        <f t="shared" si="0"/>
        <v>0</v>
      </c>
      <c r="I27" s="880">
        <f t="shared" si="1"/>
        <v>0</v>
      </c>
      <c r="J27" s="1129">
        <v>0</v>
      </c>
      <c r="K27" s="1129">
        <v>0</v>
      </c>
      <c r="L27" s="939"/>
      <c r="M27" s="880">
        <f t="shared" si="2"/>
        <v>0</v>
      </c>
      <c r="N27" s="936">
        <f t="shared" si="3"/>
        <v>0</v>
      </c>
      <c r="O27" s="1129">
        <v>0</v>
      </c>
      <c r="P27" s="1129">
        <v>0</v>
      </c>
      <c r="Q27" s="939"/>
      <c r="R27" s="937">
        <f t="shared" si="4"/>
        <v>0</v>
      </c>
      <c r="S27" s="937">
        <f t="shared" si="5"/>
        <v>0</v>
      </c>
      <c r="T27" s="1129">
        <v>0</v>
      </c>
      <c r="U27" s="1129">
        <v>0</v>
      </c>
      <c r="V27" s="939"/>
      <c r="W27" s="937">
        <f t="shared" si="6"/>
        <v>0</v>
      </c>
      <c r="X27" s="937">
        <f t="shared" si="7"/>
        <v>0</v>
      </c>
      <c r="Y27" s="1130">
        <v>0</v>
      </c>
      <c r="Z27" s="1130">
        <v>0</v>
      </c>
      <c r="AA27" s="939"/>
      <c r="AB27" s="937">
        <f t="shared" si="8"/>
        <v>0</v>
      </c>
    </row>
    <row r="28" spans="2:28">
      <c r="B28" s="474">
        <f t="shared" si="9"/>
        <v>13</v>
      </c>
      <c r="C28" s="476" t="s">
        <v>897</v>
      </c>
      <c r="D28" s="1129">
        <v>0</v>
      </c>
      <c r="E28" s="1129">
        <v>0</v>
      </c>
      <c r="F28" s="1129">
        <v>0</v>
      </c>
      <c r="G28" s="939"/>
      <c r="H28" s="935">
        <f t="shared" si="0"/>
        <v>0</v>
      </c>
      <c r="I28" s="880">
        <f t="shared" si="1"/>
        <v>0</v>
      </c>
      <c r="J28" s="1129">
        <v>0</v>
      </c>
      <c r="K28" s="1129">
        <v>0</v>
      </c>
      <c r="L28" s="939"/>
      <c r="M28" s="880">
        <f t="shared" si="2"/>
        <v>0</v>
      </c>
      <c r="N28" s="936">
        <f t="shared" si="3"/>
        <v>0</v>
      </c>
      <c r="O28" s="1129">
        <v>0</v>
      </c>
      <c r="P28" s="1129">
        <v>0</v>
      </c>
      <c r="Q28" s="939"/>
      <c r="R28" s="937">
        <f t="shared" si="4"/>
        <v>0</v>
      </c>
      <c r="S28" s="937">
        <f t="shared" si="5"/>
        <v>0</v>
      </c>
      <c r="T28" s="1129">
        <v>0</v>
      </c>
      <c r="U28" s="1129">
        <v>0</v>
      </c>
      <c r="V28" s="939"/>
      <c r="W28" s="937">
        <f t="shared" si="6"/>
        <v>0</v>
      </c>
      <c r="X28" s="937">
        <f t="shared" si="7"/>
        <v>0</v>
      </c>
      <c r="Y28" s="1130">
        <v>0</v>
      </c>
      <c r="Z28" s="1130">
        <v>0</v>
      </c>
      <c r="AA28" s="939"/>
      <c r="AB28" s="937">
        <f t="shared" si="8"/>
        <v>0</v>
      </c>
    </row>
    <row r="29" spans="2:28">
      <c r="B29" s="474">
        <f t="shared" si="9"/>
        <v>14</v>
      </c>
      <c r="C29" s="476" t="s">
        <v>898</v>
      </c>
      <c r="D29" s="1129">
        <v>0</v>
      </c>
      <c r="E29" s="1129">
        <v>6.6666666666666666E-2</v>
      </c>
      <c r="F29" s="1129">
        <v>0</v>
      </c>
      <c r="G29" s="939"/>
      <c r="H29" s="935">
        <f t="shared" si="0"/>
        <v>6.6666666666666666E-2</v>
      </c>
      <c r="I29" s="880">
        <f t="shared" si="1"/>
        <v>6.6666666666666666E-2</v>
      </c>
      <c r="J29" s="1129">
        <v>0.05</v>
      </c>
      <c r="K29" s="1129">
        <v>0</v>
      </c>
      <c r="L29" s="939"/>
      <c r="M29" s="880">
        <f t="shared" si="2"/>
        <v>0.11666666666666667</v>
      </c>
      <c r="N29" s="936">
        <f t="shared" si="3"/>
        <v>0.11666666666666667</v>
      </c>
      <c r="O29" s="1129">
        <v>0.1</v>
      </c>
      <c r="P29" s="1129">
        <v>0</v>
      </c>
      <c r="Q29" s="939"/>
      <c r="R29" s="937">
        <f t="shared" si="4"/>
        <v>0.21666666666666667</v>
      </c>
      <c r="S29" s="937">
        <f t="shared" si="5"/>
        <v>0.21666666666666667</v>
      </c>
      <c r="T29" s="1129">
        <v>0.13333333333333333</v>
      </c>
      <c r="U29" s="1129">
        <v>0</v>
      </c>
      <c r="V29" s="939"/>
      <c r="W29" s="937">
        <f t="shared" si="6"/>
        <v>0.35</v>
      </c>
      <c r="X29" s="937">
        <f t="shared" si="7"/>
        <v>0.35</v>
      </c>
      <c r="Y29" s="1130">
        <v>0.2</v>
      </c>
      <c r="Z29" s="1130">
        <v>0</v>
      </c>
      <c r="AA29" s="939"/>
      <c r="AB29" s="937">
        <f t="shared" si="8"/>
        <v>0.55000000000000004</v>
      </c>
    </row>
    <row r="30" spans="2:28">
      <c r="B30" s="474">
        <f t="shared" si="9"/>
        <v>15</v>
      </c>
      <c r="C30" s="476" t="s">
        <v>899</v>
      </c>
      <c r="D30" s="1129">
        <v>0</v>
      </c>
      <c r="E30" s="1129">
        <v>0</v>
      </c>
      <c r="F30" s="1129">
        <v>0</v>
      </c>
      <c r="G30" s="939"/>
      <c r="H30" s="935">
        <f t="shared" si="0"/>
        <v>0</v>
      </c>
      <c r="I30" s="880">
        <f t="shared" si="1"/>
        <v>0</v>
      </c>
      <c r="J30" s="1129">
        <v>0</v>
      </c>
      <c r="K30" s="1129">
        <v>0</v>
      </c>
      <c r="L30" s="939"/>
      <c r="M30" s="880">
        <f t="shared" si="2"/>
        <v>0</v>
      </c>
      <c r="N30" s="936">
        <f t="shared" si="3"/>
        <v>0</v>
      </c>
      <c r="O30" s="1129">
        <v>0</v>
      </c>
      <c r="P30" s="1129">
        <v>0</v>
      </c>
      <c r="Q30" s="939"/>
      <c r="R30" s="937">
        <f t="shared" si="4"/>
        <v>0</v>
      </c>
      <c r="S30" s="937">
        <f t="shared" si="5"/>
        <v>0</v>
      </c>
      <c r="T30" s="1129">
        <v>0</v>
      </c>
      <c r="U30" s="1129">
        <v>0</v>
      </c>
      <c r="V30" s="939"/>
      <c r="W30" s="937">
        <f t="shared" si="6"/>
        <v>0</v>
      </c>
      <c r="X30" s="937">
        <f t="shared" si="7"/>
        <v>0</v>
      </c>
      <c r="Y30" s="1130">
        <v>0</v>
      </c>
      <c r="Z30" s="1130">
        <v>0</v>
      </c>
      <c r="AA30" s="939"/>
      <c r="AB30" s="937">
        <f t="shared" si="8"/>
        <v>0</v>
      </c>
    </row>
    <row r="31" spans="2:28">
      <c r="B31" s="474">
        <f t="shared" si="9"/>
        <v>16</v>
      </c>
      <c r="C31" s="476" t="s">
        <v>849</v>
      </c>
      <c r="D31" s="1129">
        <v>0</v>
      </c>
      <c r="E31" s="1129">
        <v>0</v>
      </c>
      <c r="F31" s="1129">
        <v>0</v>
      </c>
      <c r="G31" s="939"/>
      <c r="H31" s="935">
        <f t="shared" si="0"/>
        <v>0</v>
      </c>
      <c r="I31" s="880">
        <f t="shared" si="1"/>
        <v>0</v>
      </c>
      <c r="J31" s="1129">
        <v>0</v>
      </c>
      <c r="K31" s="1129">
        <v>0</v>
      </c>
      <c r="L31" s="939"/>
      <c r="M31" s="880">
        <f t="shared" si="2"/>
        <v>0</v>
      </c>
      <c r="N31" s="936">
        <f t="shared" si="3"/>
        <v>0</v>
      </c>
      <c r="O31" s="1129">
        <v>0</v>
      </c>
      <c r="P31" s="1129">
        <v>0</v>
      </c>
      <c r="Q31" s="939"/>
      <c r="R31" s="937">
        <f t="shared" si="4"/>
        <v>0</v>
      </c>
      <c r="S31" s="937">
        <f t="shared" si="5"/>
        <v>0</v>
      </c>
      <c r="T31" s="1129">
        <v>0</v>
      </c>
      <c r="U31" s="1129">
        <v>0</v>
      </c>
      <c r="V31" s="939"/>
      <c r="W31" s="937">
        <f t="shared" si="6"/>
        <v>0</v>
      </c>
      <c r="X31" s="937">
        <f t="shared" si="7"/>
        <v>0</v>
      </c>
      <c r="Y31" s="1130">
        <v>0</v>
      </c>
      <c r="Z31" s="1130">
        <v>0</v>
      </c>
      <c r="AA31" s="939"/>
      <c r="AB31" s="937">
        <f t="shared" si="8"/>
        <v>0</v>
      </c>
    </row>
    <row r="32" spans="2:28">
      <c r="B32" s="474">
        <f t="shared" si="9"/>
        <v>17</v>
      </c>
      <c r="C32" s="476" t="s">
        <v>900</v>
      </c>
      <c r="D32" s="1129">
        <v>0</v>
      </c>
      <c r="E32" s="1129">
        <v>0</v>
      </c>
      <c r="F32" s="1129">
        <v>0</v>
      </c>
      <c r="G32" s="939"/>
      <c r="H32" s="935">
        <f t="shared" si="0"/>
        <v>0</v>
      </c>
      <c r="I32" s="880">
        <f t="shared" si="1"/>
        <v>0</v>
      </c>
      <c r="J32" s="1129">
        <v>0</v>
      </c>
      <c r="K32" s="1129">
        <v>0</v>
      </c>
      <c r="L32" s="939"/>
      <c r="M32" s="880">
        <f t="shared" si="2"/>
        <v>0</v>
      </c>
      <c r="N32" s="936">
        <f t="shared" si="3"/>
        <v>0</v>
      </c>
      <c r="O32" s="1129">
        <v>0</v>
      </c>
      <c r="P32" s="1129">
        <v>0</v>
      </c>
      <c r="Q32" s="939"/>
      <c r="R32" s="937">
        <f t="shared" si="4"/>
        <v>0</v>
      </c>
      <c r="S32" s="937">
        <f t="shared" si="5"/>
        <v>0</v>
      </c>
      <c r="T32" s="1129">
        <v>0</v>
      </c>
      <c r="U32" s="1129">
        <v>0</v>
      </c>
      <c r="V32" s="939"/>
      <c r="W32" s="937">
        <f t="shared" si="6"/>
        <v>0</v>
      </c>
      <c r="X32" s="937">
        <f t="shared" si="7"/>
        <v>0</v>
      </c>
      <c r="Y32" s="1130">
        <v>0</v>
      </c>
      <c r="Z32" s="1130">
        <v>0</v>
      </c>
      <c r="AA32" s="939"/>
      <c r="AB32" s="937">
        <f t="shared" si="8"/>
        <v>0</v>
      </c>
    </row>
    <row r="33" spans="2:32" ht="16">
      <c r="B33" s="83"/>
      <c r="C33" s="97" t="s">
        <v>271</v>
      </c>
      <c r="D33" s="940">
        <f t="shared" ref="D33:G33" si="10">SUM(D16:D32)</f>
        <v>0</v>
      </c>
      <c r="E33" s="940">
        <f t="shared" si="10"/>
        <v>66.806666666666644</v>
      </c>
      <c r="F33" s="940">
        <f t="shared" si="10"/>
        <v>0</v>
      </c>
      <c r="G33" s="940">
        <f t="shared" si="10"/>
        <v>0</v>
      </c>
      <c r="H33" s="940">
        <f>SUM(H16:H32)</f>
        <v>66.806666666666644</v>
      </c>
      <c r="I33" s="940">
        <f t="shared" ref="I33:AB33" si="11">SUM(I16:I32)</f>
        <v>66.806666666666644</v>
      </c>
      <c r="J33" s="940">
        <f t="shared" si="11"/>
        <v>50.842499999999994</v>
      </c>
      <c r="K33" s="940">
        <f t="shared" si="11"/>
        <v>0</v>
      </c>
      <c r="L33" s="940">
        <f t="shared" si="11"/>
        <v>0</v>
      </c>
      <c r="M33" s="940">
        <f t="shared" si="11"/>
        <v>117.64916666666666</v>
      </c>
      <c r="N33" s="940">
        <f t="shared" si="11"/>
        <v>117.64916666666666</v>
      </c>
      <c r="O33" s="940">
        <f t="shared" si="11"/>
        <v>80.77</v>
      </c>
      <c r="P33" s="940">
        <f t="shared" si="11"/>
        <v>0</v>
      </c>
      <c r="Q33" s="940">
        <f t="shared" si="11"/>
        <v>0</v>
      </c>
      <c r="R33" s="940">
        <f t="shared" si="11"/>
        <v>198.41916666666665</v>
      </c>
      <c r="S33" s="940">
        <f t="shared" si="11"/>
        <v>198.41916666666665</v>
      </c>
      <c r="T33" s="940">
        <f t="shared" si="11"/>
        <v>7.86</v>
      </c>
      <c r="U33" s="940">
        <f t="shared" si="11"/>
        <v>0</v>
      </c>
      <c r="V33" s="940">
        <f t="shared" si="11"/>
        <v>0</v>
      </c>
      <c r="W33" s="940">
        <f t="shared" si="11"/>
        <v>206.27916666666664</v>
      </c>
      <c r="X33" s="940">
        <f t="shared" si="11"/>
        <v>206.27916666666664</v>
      </c>
      <c r="Y33" s="940">
        <f t="shared" si="11"/>
        <v>65.289999999999992</v>
      </c>
      <c r="Z33" s="940">
        <f t="shared" si="11"/>
        <v>0</v>
      </c>
      <c r="AA33" s="940">
        <f t="shared" si="11"/>
        <v>0</v>
      </c>
      <c r="AB33" s="940">
        <f t="shared" si="11"/>
        <v>271.56916666666666</v>
      </c>
      <c r="AC33" s="267"/>
      <c r="AD33" s="267"/>
      <c r="AE33" s="267"/>
      <c r="AF33" s="267"/>
    </row>
    <row r="34" spans="2:32" ht="16">
      <c r="B34" s="267"/>
      <c r="C34" s="267"/>
      <c r="D34" s="267"/>
      <c r="E34" s="267"/>
      <c r="F34" s="267"/>
      <c r="G34" s="267"/>
      <c r="H34" s="267"/>
      <c r="I34" s="267"/>
      <c r="J34" s="267"/>
      <c r="K34" s="267"/>
      <c r="L34" s="267"/>
      <c r="M34" s="267"/>
      <c r="N34" s="267"/>
      <c r="O34" s="267"/>
      <c r="P34" s="267"/>
      <c r="Q34" s="267"/>
      <c r="R34" s="267"/>
      <c r="S34" s="267"/>
      <c r="T34" s="267"/>
    </row>
    <row r="35" spans="2:32" ht="16">
      <c r="B35" s="267"/>
      <c r="C35" s="267"/>
      <c r="D35" s="267"/>
      <c r="E35" s="267"/>
      <c r="F35" s="267"/>
      <c r="G35" s="267"/>
      <c r="H35" s="267"/>
      <c r="I35" s="267"/>
      <c r="J35" s="267"/>
      <c r="K35" s="267"/>
      <c r="L35" s="267"/>
      <c r="M35" s="267"/>
      <c r="N35" s="267"/>
      <c r="O35" s="267"/>
      <c r="P35" s="267"/>
      <c r="Q35" s="267"/>
      <c r="R35" s="267"/>
      <c r="S35" s="267"/>
      <c r="T35" s="267"/>
    </row>
    <row r="37" spans="2:32">
      <c r="B37" s="895" t="s">
        <v>272</v>
      </c>
    </row>
    <row r="38" spans="2:32" ht="15" customHeight="1">
      <c r="B38" s="267"/>
      <c r="C38" s="269"/>
      <c r="D38" s="269"/>
      <c r="E38" s="269"/>
      <c r="F38" s="269"/>
      <c r="G38" s="269"/>
      <c r="H38" s="269"/>
      <c r="I38" s="269"/>
      <c r="J38" s="269"/>
      <c r="K38" s="269"/>
      <c r="L38" s="269"/>
      <c r="M38" s="269"/>
      <c r="N38" s="267"/>
      <c r="O38" s="267"/>
      <c r="P38" s="267"/>
      <c r="Q38" s="267"/>
      <c r="R38" s="267"/>
      <c r="S38" s="267"/>
      <c r="T38" s="267"/>
      <c r="U38" s="267"/>
      <c r="V38" s="267"/>
      <c r="W38" s="267"/>
      <c r="X38" s="267"/>
      <c r="Y38" s="267"/>
      <c r="Z38" s="267"/>
      <c r="AA38" s="267"/>
      <c r="AB38" s="267"/>
    </row>
    <row r="39" spans="2:32" ht="29.4" customHeight="1">
      <c r="B39" s="267"/>
      <c r="C39" s="941"/>
      <c r="D39" s="269"/>
      <c r="E39" s="269"/>
      <c r="F39" s="269"/>
      <c r="G39" s="269"/>
      <c r="H39" s="269"/>
      <c r="I39" s="269"/>
      <c r="J39" s="269"/>
      <c r="K39" s="269"/>
      <c r="L39" s="269"/>
      <c r="M39" s="269"/>
      <c r="N39" s="267"/>
      <c r="O39" s="267"/>
      <c r="P39" s="267"/>
      <c r="Q39" s="267"/>
      <c r="R39" s="267"/>
      <c r="S39" s="267"/>
      <c r="T39" s="267"/>
      <c r="U39" s="267"/>
      <c r="V39" s="267"/>
      <c r="W39" s="264" t="s">
        <v>10</v>
      </c>
      <c r="X39" s="267"/>
      <c r="Y39" s="267"/>
      <c r="Z39" s="267"/>
      <c r="AA39" s="267"/>
      <c r="AB39" s="267"/>
    </row>
    <row r="40" spans="2:32">
      <c r="B40" s="1804" t="s">
        <v>340</v>
      </c>
      <c r="C40" s="1804" t="s">
        <v>36</v>
      </c>
      <c r="D40" s="1945" t="s">
        <v>958</v>
      </c>
      <c r="E40" s="1946"/>
      <c r="F40" s="1946"/>
      <c r="G40" s="1946"/>
      <c r="H40" s="1947"/>
      <c r="I40" s="1933" t="s">
        <v>959</v>
      </c>
      <c r="J40" s="1933"/>
      <c r="K40" s="1933"/>
      <c r="L40" s="1933"/>
      <c r="M40" s="1933"/>
      <c r="N40" s="1933" t="s">
        <v>960</v>
      </c>
      <c r="O40" s="1933"/>
      <c r="P40" s="1933"/>
      <c r="Q40" s="1933"/>
      <c r="R40" s="1933"/>
      <c r="S40" s="1933" t="s">
        <v>961</v>
      </c>
      <c r="T40" s="1933"/>
      <c r="U40" s="1933"/>
      <c r="V40" s="1933"/>
      <c r="W40" s="1933"/>
      <c r="X40" s="1933" t="s">
        <v>962</v>
      </c>
      <c r="Y40" s="1933"/>
      <c r="Z40" s="1933"/>
      <c r="AA40" s="1933"/>
      <c r="AB40" s="1933"/>
    </row>
    <row r="41" spans="2:32">
      <c r="B41" s="1804"/>
      <c r="C41" s="1804"/>
      <c r="D41" s="1937" t="s">
        <v>21</v>
      </c>
      <c r="E41" s="1938"/>
      <c r="F41" s="1938"/>
      <c r="G41" s="1938"/>
      <c r="H41" s="1938"/>
      <c r="I41" s="1937" t="s">
        <v>21</v>
      </c>
      <c r="J41" s="1938"/>
      <c r="K41" s="1938"/>
      <c r="L41" s="1938"/>
      <c r="M41" s="1938"/>
      <c r="N41" s="1937" t="s">
        <v>21</v>
      </c>
      <c r="O41" s="1938"/>
      <c r="P41" s="1938"/>
      <c r="Q41" s="1938"/>
      <c r="R41" s="1938"/>
      <c r="S41" s="1937" t="s">
        <v>21</v>
      </c>
      <c r="T41" s="1938"/>
      <c r="U41" s="1938"/>
      <c r="V41" s="1938"/>
      <c r="W41" s="1938"/>
      <c r="X41" s="1937" t="s">
        <v>21</v>
      </c>
      <c r="Y41" s="1938"/>
      <c r="Z41" s="1938"/>
      <c r="AA41" s="1938"/>
      <c r="AB41" s="1938"/>
    </row>
    <row r="42" spans="2:32" ht="56">
      <c r="B42" s="1804"/>
      <c r="C42" s="1804"/>
      <c r="D42" s="896" t="s">
        <v>273</v>
      </c>
      <c r="E42" s="896" t="s">
        <v>268</v>
      </c>
      <c r="F42" s="268" t="s">
        <v>274</v>
      </c>
      <c r="G42" s="894" t="s">
        <v>589</v>
      </c>
      <c r="H42" s="896" t="s">
        <v>275</v>
      </c>
      <c r="I42" s="896" t="s">
        <v>273</v>
      </c>
      <c r="J42" s="896" t="s">
        <v>268</v>
      </c>
      <c r="K42" s="268" t="s">
        <v>274</v>
      </c>
      <c r="L42" s="894" t="s">
        <v>589</v>
      </c>
      <c r="M42" s="896" t="s">
        <v>275</v>
      </c>
      <c r="N42" s="896" t="s">
        <v>273</v>
      </c>
      <c r="O42" s="896" t="s">
        <v>268</v>
      </c>
      <c r="P42" s="268" t="s">
        <v>274</v>
      </c>
      <c r="Q42" s="894" t="s">
        <v>589</v>
      </c>
      <c r="R42" s="896" t="s">
        <v>275</v>
      </c>
      <c r="S42" s="896" t="s">
        <v>273</v>
      </c>
      <c r="T42" s="896" t="s">
        <v>268</v>
      </c>
      <c r="U42" s="268" t="s">
        <v>274</v>
      </c>
      <c r="V42" s="894" t="s">
        <v>589</v>
      </c>
      <c r="W42" s="896" t="s">
        <v>275</v>
      </c>
      <c r="X42" s="896" t="s">
        <v>273</v>
      </c>
      <c r="Y42" s="896" t="s">
        <v>268</v>
      </c>
      <c r="Z42" s="268" t="s">
        <v>274</v>
      </c>
      <c r="AA42" s="894" t="s">
        <v>589</v>
      </c>
      <c r="AB42" s="896" t="s">
        <v>275</v>
      </c>
    </row>
    <row r="43" spans="2:32">
      <c r="B43" s="265"/>
      <c r="C43" s="265"/>
      <c r="D43" s="265" t="s">
        <v>80</v>
      </c>
      <c r="E43" s="265" t="s">
        <v>81</v>
      </c>
      <c r="F43" s="265" t="s">
        <v>461</v>
      </c>
      <c r="G43" s="265" t="s">
        <v>391</v>
      </c>
      <c r="H43" s="265" t="s">
        <v>590</v>
      </c>
      <c r="I43" s="265" t="s">
        <v>409</v>
      </c>
      <c r="J43" s="265" t="s">
        <v>511</v>
      </c>
      <c r="K43" s="265" t="s">
        <v>410</v>
      </c>
      <c r="L43" s="265" t="s">
        <v>411</v>
      </c>
      <c r="M43" s="265" t="s">
        <v>654</v>
      </c>
      <c r="N43" s="265" t="s">
        <v>591</v>
      </c>
      <c r="O43" s="265" t="s">
        <v>655</v>
      </c>
      <c r="P43" s="265" t="s">
        <v>592</v>
      </c>
      <c r="Q43" s="265" t="s">
        <v>593</v>
      </c>
      <c r="R43" s="265" t="s">
        <v>1044</v>
      </c>
      <c r="S43" s="265" t="s">
        <v>594</v>
      </c>
      <c r="T43" s="265" t="s">
        <v>595</v>
      </c>
      <c r="U43" s="265" t="s">
        <v>1045</v>
      </c>
      <c r="V43" s="265" t="s">
        <v>1046</v>
      </c>
      <c r="W43" s="265" t="s">
        <v>1047</v>
      </c>
      <c r="X43" s="265" t="s">
        <v>596</v>
      </c>
      <c r="Y43" s="265" t="s">
        <v>597</v>
      </c>
      <c r="Z43" s="265" t="s">
        <v>598</v>
      </c>
      <c r="AA43" s="265" t="s">
        <v>656</v>
      </c>
      <c r="AB43" s="265" t="s">
        <v>1048</v>
      </c>
    </row>
    <row r="44" spans="2:32">
      <c r="B44" s="474">
        <v>1</v>
      </c>
      <c r="C44" s="476" t="s">
        <v>841</v>
      </c>
      <c r="D44" s="1129">
        <v>0</v>
      </c>
      <c r="E44" s="697">
        <f>IF((IFERROR(D44/((D16+E16)*90%),0))&lt;70%,MIN((MAX((D16+E16)*90%-D44,0)),(D16+E16/2)*$AC44),MAX((D16+E16)*90%-D44,0)/E$62)</f>
        <v>0</v>
      </c>
      <c r="F44" s="697">
        <f>IFERROR(IF(D44=0,0,D44/D16*F16),0)</f>
        <v>0</v>
      </c>
      <c r="G44" s="942"/>
      <c r="H44" s="697">
        <f>D44+E44-F44-G44</f>
        <v>0</v>
      </c>
      <c r="I44" s="943">
        <f>H44</f>
        <v>0</v>
      </c>
      <c r="J44" s="697">
        <f>IF((IFERROR(I44/((I16+J16)*90%),0))&lt;70%,MIN((MAX((I16+J16)*90%-I44,0)),(I16+J16/2)*$AC44),MAX((I16+J16)*90%-I44,0)/J$62)</f>
        <v>0</v>
      </c>
      <c r="K44" s="697">
        <f>IFERROR(IF(I44=0,0,I44/I16*K16),0)</f>
        <v>0</v>
      </c>
      <c r="L44" s="942"/>
      <c r="M44" s="943">
        <f t="shared" ref="M44:M60" si="12">I44+J44-K44-L44</f>
        <v>0</v>
      </c>
      <c r="N44" s="936">
        <f>M44</f>
        <v>0</v>
      </c>
      <c r="O44" s="697">
        <f>IF((IFERROR(N44/((N16+O16)*90%),0))&lt;70%,MIN((MAX((N16+O16)*90%-N44,0)),(N16+O16/2)*$AC44),MAX((N16+O16)*90%-N44,0)/O$62)</f>
        <v>0</v>
      </c>
      <c r="P44" s="697">
        <f>IFERROR(IF(N44=0,0,N44/N16*P16),0)</f>
        <v>0</v>
      </c>
      <c r="Q44" s="942"/>
      <c r="R44" s="697">
        <f>N44+O44-P44-Q44</f>
        <v>0</v>
      </c>
      <c r="S44" s="943">
        <f>R44</f>
        <v>0</v>
      </c>
      <c r="T44" s="697">
        <f>IF((IFERROR(S44/((S16+T16)*90%),0))&lt;70%,MIN((MAX((S16+T16)*90%-S44,0)),(S16+T16/2)*$AC44),MAX((S16+T16)*90%-S44,0)/T$62)</f>
        <v>0</v>
      </c>
      <c r="U44" s="697">
        <f>IFERROR(IF(S44=0,0,S44/S16*U16),0)</f>
        <v>0</v>
      </c>
      <c r="V44" s="942"/>
      <c r="W44" s="943">
        <f>S44+T44-U44-V44</f>
        <v>0</v>
      </c>
      <c r="X44" s="936">
        <f>W44</f>
        <v>0</v>
      </c>
      <c r="Y44" s="697">
        <f>IF((IFERROR(X44/((X16+Y16)*90%),0))&lt;70%,MIN((MAX((X16+Y16)*90%-X44,0)),(X16+Y16/2)*$AC44),MAX((X16+Y16)*90%-X44,0)/Y$62)</f>
        <v>0</v>
      </c>
      <c r="Z44" s="697">
        <f>IFERROR(IF(X44=0,0,X44/X16*Z16),0)</f>
        <v>0</v>
      </c>
      <c r="AA44" s="934"/>
      <c r="AB44" s="9"/>
      <c r="AC44" s="1265">
        <v>0</v>
      </c>
    </row>
    <row r="45" spans="2:32">
      <c r="B45" s="474">
        <f>B44+1</f>
        <v>2</v>
      </c>
      <c r="C45" s="476" t="s">
        <v>842</v>
      </c>
      <c r="D45" s="1129">
        <v>0</v>
      </c>
      <c r="E45" s="697">
        <f t="shared" ref="E45:E60" si="13">IF((IFERROR(D45/((D17+E17)*90%),0))&lt;70%,MIN((MAX((D17+E17)*90%-D45,0)),(D17+E17/2)*$AC45),MAX((D17+E17)*90%-D45,0)/E$62)</f>
        <v>0</v>
      </c>
      <c r="F45" s="697">
        <f t="shared" ref="F45:F60" si="14">IFERROR(IF(D45=0,0,D45/D17*F17),0)</f>
        <v>0</v>
      </c>
      <c r="G45" s="942"/>
      <c r="H45" s="697">
        <f>D45+E45-F45-G45</f>
        <v>0</v>
      </c>
      <c r="I45" s="943">
        <f t="shared" ref="I45:I60" si="15">H45</f>
        <v>0</v>
      </c>
      <c r="J45" s="697">
        <f t="shared" ref="J45:J60" si="16">IF((IFERROR(I45/((I17+J17)*90%),0))&lt;70%,MIN((MAX((I17+J17)*90%-I45,0)),(I17+J17/2)*$AC45),MAX((I17+J17)*90%-I45,0)/J$62)</f>
        <v>4.6885250000000003E-2</v>
      </c>
      <c r="K45" s="697">
        <f t="shared" ref="K45:K60" si="17">IFERROR(IF(I45=0,0,I45/I17*K17),0)</f>
        <v>0</v>
      </c>
      <c r="L45" s="942"/>
      <c r="M45" s="943">
        <f t="shared" si="12"/>
        <v>4.6885250000000003E-2</v>
      </c>
      <c r="N45" s="936">
        <f t="shared" ref="N45:N60" si="18">M45</f>
        <v>4.6885250000000003E-2</v>
      </c>
      <c r="O45" s="697">
        <f t="shared" ref="O45:O60" si="19">IF((IFERROR(N45/((N17+O17)*90%),0))&lt;70%,MIN((MAX((N17+O17)*90%-N45,0)),(N17+O17/2)*$AC45),MAX((N17+O17)*90%-N45,0)/O$62)</f>
        <v>9.3770500000000007E-2</v>
      </c>
      <c r="P45" s="697">
        <f t="shared" ref="P45:P60" si="20">IFERROR(IF(N45=0,0,N45/N17*P17),0)</f>
        <v>0</v>
      </c>
      <c r="Q45" s="942"/>
      <c r="R45" s="697">
        <f t="shared" ref="R45:R60" si="21">N45+O45-P45-Q45</f>
        <v>0.14065575000000002</v>
      </c>
      <c r="S45" s="943">
        <f t="shared" ref="S45:S60" si="22">R45</f>
        <v>0.14065575000000002</v>
      </c>
      <c r="T45" s="697">
        <f t="shared" ref="T45:T60" si="23">IF((IFERROR(S45/((S17+T17)*90%),0))&lt;70%,MIN((MAX((S17+T17)*90%-S45,0)),(S17+T17/2)*$AC45),MAX((S17+T17)*90%-S45,0)/T$62)</f>
        <v>9.3770500000000007E-2</v>
      </c>
      <c r="U45" s="697">
        <f t="shared" ref="U45:U60" si="24">IFERROR(IF(S45=0,0,S45/S17*U17),0)</f>
        <v>0</v>
      </c>
      <c r="V45" s="942"/>
      <c r="W45" s="943">
        <f t="shared" ref="W45:W60" si="25">S45+T45-U45-V45</f>
        <v>0.23442625000000003</v>
      </c>
      <c r="X45" s="936">
        <f t="shared" ref="X45:X60" si="26">W45</f>
        <v>0.23442625000000003</v>
      </c>
      <c r="Y45" s="697">
        <f t="shared" ref="Y45:Y60" si="27">IF((IFERROR(X45/((X17+Y17)*90%),0))&lt;70%,MIN((MAX((X17+Y17)*90%-X45,0)),(X17+Y17/2)*$AC45),MAX((X17+Y17)*90%-X45,0)/Y$62)</f>
        <v>9.3770500000000007E-2</v>
      </c>
      <c r="Z45" s="697">
        <f t="shared" ref="Z45:Z60" si="28">IFERROR(IF(X45=0,0,X45/X17*Z17),0)</f>
        <v>0</v>
      </c>
      <c r="AA45" s="934"/>
      <c r="AB45" s="9"/>
      <c r="AC45" s="1265">
        <v>3.3399999999999999E-2</v>
      </c>
    </row>
    <row r="46" spans="2:32">
      <c r="B46" s="474">
        <f t="shared" ref="B46:B60" si="29">B45+1</f>
        <v>3</v>
      </c>
      <c r="C46" s="476" t="s">
        <v>843</v>
      </c>
      <c r="D46" s="1129">
        <v>0</v>
      </c>
      <c r="E46" s="697">
        <f t="shared" si="13"/>
        <v>0</v>
      </c>
      <c r="F46" s="697">
        <f t="shared" si="14"/>
        <v>0</v>
      </c>
      <c r="G46" s="942"/>
      <c r="H46" s="697">
        <f t="shared" ref="H46:H60" si="30">D46+E46-F46-G46</f>
        <v>0</v>
      </c>
      <c r="I46" s="943">
        <f t="shared" si="15"/>
        <v>0</v>
      </c>
      <c r="J46" s="697">
        <f t="shared" si="16"/>
        <v>0</v>
      </c>
      <c r="K46" s="697">
        <f t="shared" si="17"/>
        <v>0</v>
      </c>
      <c r="L46" s="942"/>
      <c r="M46" s="943">
        <f t="shared" si="12"/>
        <v>0</v>
      </c>
      <c r="N46" s="936">
        <f t="shared" si="18"/>
        <v>0</v>
      </c>
      <c r="O46" s="697">
        <f t="shared" si="19"/>
        <v>0</v>
      </c>
      <c r="P46" s="697">
        <f t="shared" si="20"/>
        <v>0</v>
      </c>
      <c r="Q46" s="942"/>
      <c r="R46" s="697">
        <f t="shared" si="21"/>
        <v>0</v>
      </c>
      <c r="S46" s="943">
        <f t="shared" si="22"/>
        <v>0</v>
      </c>
      <c r="T46" s="697">
        <f t="shared" si="23"/>
        <v>0</v>
      </c>
      <c r="U46" s="697">
        <f t="shared" si="24"/>
        <v>0</v>
      </c>
      <c r="V46" s="942"/>
      <c r="W46" s="943">
        <f t="shared" si="25"/>
        <v>0</v>
      </c>
      <c r="X46" s="936">
        <f t="shared" si="26"/>
        <v>0</v>
      </c>
      <c r="Y46" s="697">
        <f t="shared" si="27"/>
        <v>0</v>
      </c>
      <c r="Z46" s="697">
        <f t="shared" si="28"/>
        <v>0</v>
      </c>
      <c r="AA46" s="938"/>
      <c r="AB46" s="9"/>
      <c r="AC46" s="1265">
        <v>4.2200000000000001E-2</v>
      </c>
    </row>
    <row r="47" spans="2:32">
      <c r="B47" s="474">
        <f t="shared" si="29"/>
        <v>4</v>
      </c>
      <c r="C47" s="476" t="s">
        <v>844</v>
      </c>
      <c r="D47" s="1129">
        <v>0</v>
      </c>
      <c r="E47" s="697">
        <f t="shared" si="13"/>
        <v>0</v>
      </c>
      <c r="F47" s="697">
        <f t="shared" si="14"/>
        <v>0</v>
      </c>
      <c r="G47" s="942"/>
      <c r="H47" s="697">
        <f t="shared" si="30"/>
        <v>0</v>
      </c>
      <c r="I47" s="943">
        <f t="shared" si="15"/>
        <v>0</v>
      </c>
      <c r="J47" s="697">
        <f t="shared" si="16"/>
        <v>0</v>
      </c>
      <c r="K47" s="697">
        <f t="shared" si="17"/>
        <v>0</v>
      </c>
      <c r="L47" s="942"/>
      <c r="M47" s="943">
        <f t="shared" si="12"/>
        <v>0</v>
      </c>
      <c r="N47" s="936">
        <f t="shared" si="18"/>
        <v>0</v>
      </c>
      <c r="O47" s="697">
        <f t="shared" si="19"/>
        <v>0</v>
      </c>
      <c r="P47" s="697">
        <f t="shared" si="20"/>
        <v>0</v>
      </c>
      <c r="Q47" s="942"/>
      <c r="R47" s="697">
        <f t="shared" si="21"/>
        <v>0</v>
      </c>
      <c r="S47" s="943">
        <f t="shared" si="22"/>
        <v>0</v>
      </c>
      <c r="T47" s="697">
        <f t="shared" si="23"/>
        <v>0</v>
      </c>
      <c r="U47" s="697">
        <f t="shared" si="24"/>
        <v>0</v>
      </c>
      <c r="V47" s="942"/>
      <c r="W47" s="943">
        <f t="shared" si="25"/>
        <v>0</v>
      </c>
      <c r="X47" s="936">
        <f t="shared" si="26"/>
        <v>0</v>
      </c>
      <c r="Y47" s="697">
        <f t="shared" si="27"/>
        <v>0</v>
      </c>
      <c r="Z47" s="697">
        <f t="shared" si="28"/>
        <v>0</v>
      </c>
      <c r="AA47" s="934"/>
      <c r="AB47" s="9"/>
      <c r="AC47" s="1265">
        <v>4.2200000000000001E-2</v>
      </c>
    </row>
    <row r="48" spans="2:32">
      <c r="B48" s="474">
        <f t="shared" si="29"/>
        <v>5</v>
      </c>
      <c r="C48" s="476" t="s">
        <v>845</v>
      </c>
      <c r="D48" s="1129">
        <v>0</v>
      </c>
      <c r="E48" s="697">
        <f t="shared" si="13"/>
        <v>0</v>
      </c>
      <c r="F48" s="697">
        <f t="shared" si="14"/>
        <v>0</v>
      </c>
      <c r="G48" s="942"/>
      <c r="H48" s="697">
        <f t="shared" si="30"/>
        <v>0</v>
      </c>
      <c r="I48" s="943">
        <f t="shared" si="15"/>
        <v>0</v>
      </c>
      <c r="J48" s="697">
        <f t="shared" si="16"/>
        <v>0</v>
      </c>
      <c r="K48" s="697">
        <f t="shared" si="17"/>
        <v>0</v>
      </c>
      <c r="L48" s="942"/>
      <c r="M48" s="943">
        <f t="shared" si="12"/>
        <v>0</v>
      </c>
      <c r="N48" s="936">
        <f t="shared" si="18"/>
        <v>0</v>
      </c>
      <c r="O48" s="697">
        <f t="shared" si="19"/>
        <v>0</v>
      </c>
      <c r="P48" s="697">
        <f t="shared" si="20"/>
        <v>0</v>
      </c>
      <c r="Q48" s="942"/>
      <c r="R48" s="697">
        <f t="shared" si="21"/>
        <v>0</v>
      </c>
      <c r="S48" s="943">
        <f t="shared" si="22"/>
        <v>0</v>
      </c>
      <c r="T48" s="697">
        <f t="shared" si="23"/>
        <v>0</v>
      </c>
      <c r="U48" s="697">
        <f t="shared" si="24"/>
        <v>0</v>
      </c>
      <c r="V48" s="942"/>
      <c r="W48" s="943">
        <f t="shared" si="25"/>
        <v>0</v>
      </c>
      <c r="X48" s="936">
        <f t="shared" si="26"/>
        <v>0</v>
      </c>
      <c r="Y48" s="697">
        <f t="shared" si="27"/>
        <v>0</v>
      </c>
      <c r="Z48" s="697">
        <f t="shared" si="28"/>
        <v>0</v>
      </c>
      <c r="AA48" s="934"/>
      <c r="AB48" s="9"/>
      <c r="AC48" s="1265">
        <v>3.3399999999999999E-2</v>
      </c>
    </row>
    <row r="49" spans="2:29">
      <c r="B49" s="474">
        <f t="shared" si="29"/>
        <v>6</v>
      </c>
      <c r="C49" s="476" t="s">
        <v>255</v>
      </c>
      <c r="D49" s="1129">
        <v>0</v>
      </c>
      <c r="E49" s="697">
        <f t="shared" si="13"/>
        <v>1.407581</v>
      </c>
      <c r="F49" s="697">
        <f t="shared" si="14"/>
        <v>0</v>
      </c>
      <c r="G49" s="942"/>
      <c r="H49" s="697">
        <f t="shared" si="30"/>
        <v>1.407581</v>
      </c>
      <c r="I49" s="943">
        <f t="shared" si="15"/>
        <v>1.407581</v>
      </c>
      <c r="J49" s="697">
        <f t="shared" si="16"/>
        <v>3.8271707500000001</v>
      </c>
      <c r="K49" s="697">
        <f t="shared" si="17"/>
        <v>0</v>
      </c>
      <c r="L49" s="942"/>
      <c r="M49" s="943">
        <f t="shared" si="12"/>
        <v>5.23475175</v>
      </c>
      <c r="N49" s="936">
        <f t="shared" si="18"/>
        <v>5.23475175</v>
      </c>
      <c r="O49" s="697">
        <f t="shared" si="19"/>
        <v>6.5403669999999998</v>
      </c>
      <c r="P49" s="697">
        <f t="shared" si="20"/>
        <v>0</v>
      </c>
      <c r="Q49" s="942"/>
      <c r="R49" s="697">
        <f t="shared" si="21"/>
        <v>11.775118750000001</v>
      </c>
      <c r="S49" s="943">
        <f t="shared" si="22"/>
        <v>11.775118750000001</v>
      </c>
      <c r="T49" s="697">
        <f t="shared" si="23"/>
        <v>8.4033211666666663</v>
      </c>
      <c r="U49" s="697">
        <f t="shared" si="24"/>
        <v>0</v>
      </c>
      <c r="V49" s="942"/>
      <c r="W49" s="943">
        <f t="shared" si="25"/>
        <v>20.178439916666669</v>
      </c>
      <c r="X49" s="936">
        <f t="shared" si="26"/>
        <v>20.178439916666669</v>
      </c>
      <c r="Y49" s="697">
        <f t="shared" si="27"/>
        <v>9.9365878333333324</v>
      </c>
      <c r="Z49" s="697">
        <f t="shared" si="28"/>
        <v>0</v>
      </c>
      <c r="AA49" s="934"/>
      <c r="AB49" s="9"/>
      <c r="AC49" s="1265">
        <v>4.2200000000000001E-2</v>
      </c>
    </row>
    <row r="50" spans="2:29">
      <c r="B50" s="474">
        <f t="shared" si="29"/>
        <v>7</v>
      </c>
      <c r="C50" s="476" t="s">
        <v>846</v>
      </c>
      <c r="D50" s="1129">
        <v>0</v>
      </c>
      <c r="E50" s="697">
        <f t="shared" si="13"/>
        <v>0</v>
      </c>
      <c r="F50" s="697">
        <f t="shared" si="14"/>
        <v>0</v>
      </c>
      <c r="G50" s="942"/>
      <c r="H50" s="697">
        <f t="shared" si="30"/>
        <v>0</v>
      </c>
      <c r="I50" s="943">
        <f t="shared" si="15"/>
        <v>0</v>
      </c>
      <c r="J50" s="697">
        <f t="shared" si="16"/>
        <v>0</v>
      </c>
      <c r="K50" s="697">
        <f t="shared" si="17"/>
        <v>0</v>
      </c>
      <c r="L50" s="942"/>
      <c r="M50" s="943">
        <f t="shared" si="12"/>
        <v>0</v>
      </c>
      <c r="N50" s="936">
        <f t="shared" si="18"/>
        <v>0</v>
      </c>
      <c r="O50" s="697">
        <f t="shared" si="19"/>
        <v>0</v>
      </c>
      <c r="P50" s="697">
        <f t="shared" si="20"/>
        <v>0</v>
      </c>
      <c r="Q50" s="942"/>
      <c r="R50" s="697">
        <f t="shared" si="21"/>
        <v>0</v>
      </c>
      <c r="S50" s="943">
        <f t="shared" si="22"/>
        <v>0</v>
      </c>
      <c r="T50" s="697">
        <f t="shared" si="23"/>
        <v>0</v>
      </c>
      <c r="U50" s="697">
        <f t="shared" si="24"/>
        <v>0</v>
      </c>
      <c r="V50" s="942"/>
      <c r="W50" s="943">
        <f t="shared" si="25"/>
        <v>0</v>
      </c>
      <c r="X50" s="936">
        <f t="shared" si="26"/>
        <v>0</v>
      </c>
      <c r="Y50" s="697">
        <f t="shared" si="27"/>
        <v>0</v>
      </c>
      <c r="Z50" s="697">
        <f t="shared" si="28"/>
        <v>0</v>
      </c>
      <c r="AA50" s="934"/>
      <c r="AB50" s="9"/>
      <c r="AC50" s="1265">
        <v>9.5000000000000001E-2</v>
      </c>
    </row>
    <row r="51" spans="2:29">
      <c r="B51" s="474">
        <f t="shared" si="29"/>
        <v>8</v>
      </c>
      <c r="C51" s="476" t="s">
        <v>847</v>
      </c>
      <c r="D51" s="1129">
        <v>0</v>
      </c>
      <c r="E51" s="697">
        <f t="shared" si="13"/>
        <v>1.1083333333333333E-3</v>
      </c>
      <c r="F51" s="697">
        <f t="shared" si="14"/>
        <v>0</v>
      </c>
      <c r="G51" s="942"/>
      <c r="H51" s="697">
        <f t="shared" si="30"/>
        <v>1.1083333333333333E-3</v>
      </c>
      <c r="I51" s="943">
        <f t="shared" si="15"/>
        <v>1.1083333333333333E-3</v>
      </c>
      <c r="J51" s="697">
        <f t="shared" si="16"/>
        <v>3.0479166666666671E-3</v>
      </c>
      <c r="K51" s="697">
        <f t="shared" si="17"/>
        <v>0</v>
      </c>
      <c r="L51" s="942"/>
      <c r="M51" s="943">
        <f t="shared" si="12"/>
        <v>4.1562500000000002E-3</v>
      </c>
      <c r="N51" s="936">
        <f t="shared" si="18"/>
        <v>4.1562500000000002E-3</v>
      </c>
      <c r="O51" s="697">
        <f t="shared" si="19"/>
        <v>5.541666666666667E-3</v>
      </c>
      <c r="P51" s="697">
        <f t="shared" si="20"/>
        <v>0</v>
      </c>
      <c r="Q51" s="942"/>
      <c r="R51" s="697">
        <f t="shared" si="21"/>
        <v>9.6979166666666672E-3</v>
      </c>
      <c r="S51" s="943">
        <f t="shared" si="22"/>
        <v>9.6979166666666672E-3</v>
      </c>
      <c r="T51" s="697">
        <f t="shared" si="23"/>
        <v>9.4208333333333331E-3</v>
      </c>
      <c r="U51" s="697">
        <f t="shared" si="24"/>
        <v>0</v>
      </c>
      <c r="V51" s="942"/>
      <c r="W51" s="943">
        <f t="shared" si="25"/>
        <v>1.911875E-2</v>
      </c>
      <c r="X51" s="936">
        <f t="shared" si="26"/>
        <v>1.911875E-2</v>
      </c>
      <c r="Y51" s="697">
        <f t="shared" si="27"/>
        <v>1.49625E-2</v>
      </c>
      <c r="Z51" s="697">
        <f t="shared" si="28"/>
        <v>0</v>
      </c>
      <c r="AA51" s="934"/>
      <c r="AB51" s="9"/>
      <c r="AC51" s="1265">
        <v>9.5000000000000001E-2</v>
      </c>
    </row>
    <row r="52" spans="2:29">
      <c r="B52" s="474">
        <f t="shared" si="29"/>
        <v>9</v>
      </c>
      <c r="C52" s="476" t="s">
        <v>848</v>
      </c>
      <c r="D52" s="1129">
        <v>0</v>
      </c>
      <c r="E52" s="697">
        <f t="shared" si="13"/>
        <v>0</v>
      </c>
      <c r="F52" s="697">
        <f t="shared" si="14"/>
        <v>0</v>
      </c>
      <c r="G52" s="942"/>
      <c r="H52" s="697">
        <f t="shared" si="30"/>
        <v>0</v>
      </c>
      <c r="I52" s="943">
        <f t="shared" si="15"/>
        <v>0</v>
      </c>
      <c r="J52" s="697">
        <f t="shared" si="16"/>
        <v>0</v>
      </c>
      <c r="K52" s="697">
        <f t="shared" si="17"/>
        <v>0</v>
      </c>
      <c r="L52" s="942"/>
      <c r="M52" s="943">
        <f t="shared" si="12"/>
        <v>0</v>
      </c>
      <c r="N52" s="936">
        <f t="shared" si="18"/>
        <v>0</v>
      </c>
      <c r="O52" s="697">
        <f t="shared" si="19"/>
        <v>0</v>
      </c>
      <c r="P52" s="697">
        <f t="shared" si="20"/>
        <v>0</v>
      </c>
      <c r="Q52" s="942"/>
      <c r="R52" s="697">
        <f t="shared" si="21"/>
        <v>0</v>
      </c>
      <c r="S52" s="943">
        <f t="shared" si="22"/>
        <v>0</v>
      </c>
      <c r="T52" s="697">
        <f t="shared" si="23"/>
        <v>0</v>
      </c>
      <c r="U52" s="697">
        <f t="shared" si="24"/>
        <v>0</v>
      </c>
      <c r="V52" s="942"/>
      <c r="W52" s="943">
        <f t="shared" si="25"/>
        <v>0</v>
      </c>
      <c r="X52" s="936">
        <f t="shared" si="26"/>
        <v>0</v>
      </c>
      <c r="Y52" s="697">
        <f t="shared" si="27"/>
        <v>0</v>
      </c>
      <c r="Z52" s="697">
        <f t="shared" si="28"/>
        <v>0</v>
      </c>
      <c r="AA52" s="934"/>
      <c r="AB52" s="9"/>
      <c r="AC52" s="1265">
        <v>4.2200000000000001E-2</v>
      </c>
    </row>
    <row r="53" spans="2:29">
      <c r="B53" s="474">
        <f t="shared" si="29"/>
        <v>10</v>
      </c>
      <c r="C53" s="476" t="s">
        <v>258</v>
      </c>
      <c r="D53" s="1129">
        <v>0</v>
      </c>
      <c r="E53" s="697">
        <f t="shared" si="13"/>
        <v>0</v>
      </c>
      <c r="F53" s="697">
        <f t="shared" si="14"/>
        <v>0</v>
      </c>
      <c r="G53" s="942"/>
      <c r="H53" s="697">
        <f t="shared" si="30"/>
        <v>0</v>
      </c>
      <c r="I53" s="943">
        <f t="shared" si="15"/>
        <v>0</v>
      </c>
      <c r="J53" s="697">
        <f t="shared" si="16"/>
        <v>0</v>
      </c>
      <c r="K53" s="697">
        <f t="shared" si="17"/>
        <v>0</v>
      </c>
      <c r="L53" s="942"/>
      <c r="M53" s="943">
        <f t="shared" si="12"/>
        <v>0</v>
      </c>
      <c r="N53" s="936">
        <f t="shared" si="18"/>
        <v>0</v>
      </c>
      <c r="O53" s="697">
        <f t="shared" si="19"/>
        <v>0</v>
      </c>
      <c r="P53" s="697">
        <f t="shared" si="20"/>
        <v>0</v>
      </c>
      <c r="Q53" s="942"/>
      <c r="R53" s="697">
        <f t="shared" si="21"/>
        <v>0</v>
      </c>
      <c r="S53" s="943">
        <f t="shared" si="22"/>
        <v>0</v>
      </c>
      <c r="T53" s="697">
        <f t="shared" si="23"/>
        <v>0</v>
      </c>
      <c r="U53" s="697">
        <f t="shared" si="24"/>
        <v>0</v>
      </c>
      <c r="V53" s="942"/>
      <c r="W53" s="943">
        <f t="shared" si="25"/>
        <v>0</v>
      </c>
      <c r="X53" s="936">
        <f t="shared" si="26"/>
        <v>0</v>
      </c>
      <c r="Y53" s="697">
        <f t="shared" si="27"/>
        <v>0</v>
      </c>
      <c r="Z53" s="697">
        <f t="shared" si="28"/>
        <v>0</v>
      </c>
      <c r="AA53" s="934"/>
      <c r="AB53" s="9"/>
      <c r="AC53" s="1265">
        <v>9.5000000000000001E-2</v>
      </c>
    </row>
    <row r="54" spans="2:29">
      <c r="B54" s="474">
        <f t="shared" si="29"/>
        <v>11</v>
      </c>
      <c r="C54" s="476" t="s">
        <v>259</v>
      </c>
      <c r="D54" s="1129">
        <v>0</v>
      </c>
      <c r="E54" s="697">
        <f t="shared" si="13"/>
        <v>2.1099999999999998E-4</v>
      </c>
      <c r="F54" s="697">
        <f t="shared" si="14"/>
        <v>0</v>
      </c>
      <c r="G54" s="942"/>
      <c r="H54" s="697">
        <f t="shared" si="30"/>
        <v>2.1099999999999998E-4</v>
      </c>
      <c r="I54" s="943">
        <f t="shared" si="15"/>
        <v>2.1099999999999998E-4</v>
      </c>
      <c r="J54" s="697">
        <f t="shared" si="16"/>
        <v>5.8024999999999993E-4</v>
      </c>
      <c r="K54" s="697">
        <f t="shared" si="17"/>
        <v>0</v>
      </c>
      <c r="L54" s="942"/>
      <c r="M54" s="943">
        <f t="shared" si="12"/>
        <v>7.9124999999999985E-4</v>
      </c>
      <c r="N54" s="936">
        <f t="shared" si="18"/>
        <v>7.9124999999999985E-4</v>
      </c>
      <c r="O54" s="697">
        <f t="shared" si="19"/>
        <v>1.0549999999999999E-3</v>
      </c>
      <c r="P54" s="697">
        <f t="shared" si="20"/>
        <v>0</v>
      </c>
      <c r="Q54" s="942"/>
      <c r="R54" s="697">
        <f t="shared" si="21"/>
        <v>1.8462499999999998E-3</v>
      </c>
      <c r="S54" s="943">
        <f t="shared" si="22"/>
        <v>1.8462499999999998E-3</v>
      </c>
      <c r="T54" s="697">
        <f t="shared" si="23"/>
        <v>1.7935E-3</v>
      </c>
      <c r="U54" s="697">
        <f t="shared" si="24"/>
        <v>0</v>
      </c>
      <c r="V54" s="942"/>
      <c r="W54" s="943">
        <f t="shared" si="25"/>
        <v>3.6397499999999998E-3</v>
      </c>
      <c r="X54" s="936">
        <f t="shared" si="26"/>
        <v>3.6397499999999998E-3</v>
      </c>
      <c r="Y54" s="697">
        <f t="shared" si="27"/>
        <v>2.8484999999999999E-3</v>
      </c>
      <c r="Z54" s="697">
        <f t="shared" si="28"/>
        <v>0</v>
      </c>
      <c r="AA54" s="934"/>
      <c r="AB54" s="9"/>
      <c r="AC54" s="1265">
        <v>6.3299999999999995E-2</v>
      </c>
    </row>
    <row r="55" spans="2:29">
      <c r="B55" s="474">
        <f t="shared" si="29"/>
        <v>12</v>
      </c>
      <c r="C55" s="476" t="s">
        <v>260</v>
      </c>
      <c r="D55" s="1129">
        <v>0</v>
      </c>
      <c r="E55" s="697">
        <f t="shared" si="13"/>
        <v>0</v>
      </c>
      <c r="F55" s="697">
        <f t="shared" si="14"/>
        <v>0</v>
      </c>
      <c r="G55" s="944"/>
      <c r="H55" s="697">
        <f t="shared" si="30"/>
        <v>0</v>
      </c>
      <c r="I55" s="943">
        <f t="shared" si="15"/>
        <v>0</v>
      </c>
      <c r="J55" s="697">
        <f t="shared" si="16"/>
        <v>0</v>
      </c>
      <c r="K55" s="697">
        <f t="shared" si="17"/>
        <v>0</v>
      </c>
      <c r="L55" s="942"/>
      <c r="M55" s="943">
        <f t="shared" si="12"/>
        <v>0</v>
      </c>
      <c r="N55" s="936">
        <f t="shared" si="18"/>
        <v>0</v>
      </c>
      <c r="O55" s="697">
        <f t="shared" si="19"/>
        <v>0</v>
      </c>
      <c r="P55" s="697">
        <f t="shared" si="20"/>
        <v>0</v>
      </c>
      <c r="Q55" s="942"/>
      <c r="R55" s="697">
        <f t="shared" si="21"/>
        <v>0</v>
      </c>
      <c r="S55" s="943">
        <f t="shared" si="22"/>
        <v>0</v>
      </c>
      <c r="T55" s="697">
        <f t="shared" si="23"/>
        <v>0</v>
      </c>
      <c r="U55" s="697">
        <f t="shared" si="24"/>
        <v>0</v>
      </c>
      <c r="V55" s="942"/>
      <c r="W55" s="943">
        <f t="shared" si="25"/>
        <v>0</v>
      </c>
      <c r="X55" s="936">
        <f t="shared" si="26"/>
        <v>0</v>
      </c>
      <c r="Y55" s="697">
        <f t="shared" si="27"/>
        <v>0</v>
      </c>
      <c r="Z55" s="697">
        <f t="shared" si="28"/>
        <v>0</v>
      </c>
      <c r="AA55" s="934"/>
      <c r="AB55" s="9"/>
      <c r="AC55" s="1265">
        <v>6.3299999999999995E-2</v>
      </c>
    </row>
    <row r="56" spans="2:29">
      <c r="B56" s="474">
        <f t="shared" si="29"/>
        <v>13</v>
      </c>
      <c r="C56" s="476" t="s">
        <v>897</v>
      </c>
      <c r="D56" s="1129">
        <v>0</v>
      </c>
      <c r="E56" s="697">
        <f t="shared" si="13"/>
        <v>0</v>
      </c>
      <c r="F56" s="697">
        <f t="shared" si="14"/>
        <v>0</v>
      </c>
      <c r="G56" s="944"/>
      <c r="H56" s="697">
        <f t="shared" si="30"/>
        <v>0</v>
      </c>
      <c r="I56" s="943">
        <f t="shared" si="15"/>
        <v>0</v>
      </c>
      <c r="J56" s="697">
        <f t="shared" si="16"/>
        <v>0</v>
      </c>
      <c r="K56" s="697">
        <f t="shared" si="17"/>
        <v>0</v>
      </c>
      <c r="L56" s="942"/>
      <c r="M56" s="943">
        <f t="shared" si="12"/>
        <v>0</v>
      </c>
      <c r="N56" s="936">
        <f t="shared" si="18"/>
        <v>0</v>
      </c>
      <c r="O56" s="697">
        <f t="shared" si="19"/>
        <v>0</v>
      </c>
      <c r="P56" s="697">
        <f t="shared" si="20"/>
        <v>0</v>
      </c>
      <c r="Q56" s="942"/>
      <c r="R56" s="697">
        <f t="shared" si="21"/>
        <v>0</v>
      </c>
      <c r="S56" s="943">
        <f t="shared" si="22"/>
        <v>0</v>
      </c>
      <c r="T56" s="697">
        <f t="shared" si="23"/>
        <v>0</v>
      </c>
      <c r="U56" s="697">
        <f t="shared" si="24"/>
        <v>0</v>
      </c>
      <c r="V56" s="942"/>
      <c r="W56" s="943">
        <f t="shared" si="25"/>
        <v>0</v>
      </c>
      <c r="X56" s="936">
        <f t="shared" si="26"/>
        <v>0</v>
      </c>
      <c r="Y56" s="697">
        <f t="shared" si="27"/>
        <v>0</v>
      </c>
      <c r="Z56" s="697">
        <f t="shared" si="28"/>
        <v>0</v>
      </c>
      <c r="AA56" s="934"/>
      <c r="AB56" s="9"/>
      <c r="AC56" s="1265">
        <v>6.3299999999999995E-2</v>
      </c>
    </row>
    <row r="57" spans="2:29">
      <c r="B57" s="474">
        <f t="shared" si="29"/>
        <v>14</v>
      </c>
      <c r="C57" s="476" t="s">
        <v>898</v>
      </c>
      <c r="D57" s="1129">
        <v>0</v>
      </c>
      <c r="E57" s="697">
        <f>IF((IFERROR(D57/((D29+E29)*100%),0))&lt;70%,MIN((MAX((D29+E29)*100%-D57,0)),(D29+E29/2)*$AC57),MAX((D29+E29)*100%-D57,0)/E$62)</f>
        <v>5.0000000000000001E-3</v>
      </c>
      <c r="F57" s="697">
        <f t="shared" si="14"/>
        <v>0</v>
      </c>
      <c r="G57" s="944"/>
      <c r="H57" s="697">
        <f t="shared" si="30"/>
        <v>5.0000000000000001E-3</v>
      </c>
      <c r="I57" s="943">
        <f t="shared" si="15"/>
        <v>5.0000000000000001E-3</v>
      </c>
      <c r="J57" s="697">
        <f>IF((IFERROR(I57/((I29+J29)*100%),0))&lt;70%,MIN((MAX((I29+J29)*100%-I57,0)),(I29+J29/2)*$AC57),MAX((I29+J29)*100%-I57,0)/J$62)</f>
        <v>1.375E-2</v>
      </c>
      <c r="K57" s="697">
        <f t="shared" si="17"/>
        <v>0</v>
      </c>
      <c r="L57" s="942"/>
      <c r="M57" s="943">
        <f t="shared" si="12"/>
        <v>1.8749999999999999E-2</v>
      </c>
      <c r="N57" s="936">
        <f t="shared" si="18"/>
        <v>1.8749999999999999E-2</v>
      </c>
      <c r="O57" s="697">
        <f>IF((IFERROR(N57/((N29+O29)*100%),0))&lt;70%,MIN((MAX((N29+O29)*100%-N57,0)),(N29+O29/2)*$AC57),MAX((N29+O29)*100%-N57,0)/O$62)</f>
        <v>2.5000000000000001E-2</v>
      </c>
      <c r="P57" s="697">
        <f t="shared" si="20"/>
        <v>0</v>
      </c>
      <c r="Q57" s="942"/>
      <c r="R57" s="697">
        <f t="shared" si="21"/>
        <v>4.3749999999999997E-2</v>
      </c>
      <c r="S57" s="943">
        <f t="shared" si="22"/>
        <v>4.3749999999999997E-2</v>
      </c>
      <c r="T57" s="697">
        <f>IF((IFERROR(S57/((S29+T29)*100%),0))&lt;70%,MIN((MAX((S29+T29)*100%-S57,0)),(S29+T29/2)*$AC57),MAX((S29+T29)*100%-S57,0)/T$62)</f>
        <v>4.2499999999999996E-2</v>
      </c>
      <c r="U57" s="697">
        <f t="shared" si="24"/>
        <v>0</v>
      </c>
      <c r="V57" s="942"/>
      <c r="W57" s="943">
        <f t="shared" si="25"/>
        <v>8.6249999999999993E-2</v>
      </c>
      <c r="X57" s="936">
        <f t="shared" si="26"/>
        <v>8.6249999999999993E-2</v>
      </c>
      <c r="Y57" s="697">
        <f>IF((IFERROR(X57/((X29+Y29)*100%),0))&lt;70%,MIN((MAX((X29+Y29)*100%-X57,0)),(X29+Y29/2)*$AC57),MAX((X29+Y29)*100%-X57,0)/Y$62)</f>
        <v>6.7499999999999991E-2</v>
      </c>
      <c r="Z57" s="697">
        <f t="shared" si="28"/>
        <v>0</v>
      </c>
      <c r="AA57" s="934"/>
      <c r="AB57" s="9"/>
      <c r="AC57" s="1265">
        <v>0.15</v>
      </c>
    </row>
    <row r="58" spans="2:29">
      <c r="B58" s="474">
        <f t="shared" si="29"/>
        <v>15</v>
      </c>
      <c r="C58" s="476" t="s">
        <v>899</v>
      </c>
      <c r="D58" s="1129">
        <v>0</v>
      </c>
      <c r="E58" s="697">
        <f>IF((IFERROR(D58/((D30+E30)*100%),0))&lt;70%,MIN((MAX((D30+E30)*100%-D58,0)),(D30+E30/2)*$AC58),MAX((D30+E30)*100%-D58,0)/E$62)</f>
        <v>0</v>
      </c>
      <c r="F58" s="697">
        <f t="shared" si="14"/>
        <v>0</v>
      </c>
      <c r="G58" s="944"/>
      <c r="H58" s="697">
        <f t="shared" si="30"/>
        <v>0</v>
      </c>
      <c r="I58" s="943">
        <f t="shared" si="15"/>
        <v>0</v>
      </c>
      <c r="J58" s="697">
        <f>IF((IFERROR(I58/((I30+J30)*100%),0))&lt;70%,MIN((MAX((I30+J30)*100%-I58,0)),(I30+J30/2)*$AC58),MAX((I30+J30)*100%-I58,0)/J$62)</f>
        <v>0</v>
      </c>
      <c r="K58" s="697">
        <f t="shared" si="17"/>
        <v>0</v>
      </c>
      <c r="L58" s="942"/>
      <c r="M58" s="943">
        <f t="shared" si="12"/>
        <v>0</v>
      </c>
      <c r="N58" s="936">
        <f t="shared" si="18"/>
        <v>0</v>
      </c>
      <c r="O58" s="697">
        <f>IF((IFERROR(N58/((N30+O30)*100%),0))&lt;70%,MIN((MAX((N30+O30)*100%-N58,0)),(N30+O30/2)*$AC58),MAX((N30+O30)*100%-N58,0)/O$62)</f>
        <v>0</v>
      </c>
      <c r="P58" s="697">
        <f t="shared" si="20"/>
        <v>0</v>
      </c>
      <c r="Q58" s="942"/>
      <c r="R58" s="697">
        <f t="shared" si="21"/>
        <v>0</v>
      </c>
      <c r="S58" s="943">
        <f t="shared" si="22"/>
        <v>0</v>
      </c>
      <c r="T58" s="697">
        <f>IF((IFERROR(S58/((S30+T30)*100%),0))&lt;70%,MIN((MAX((S30+T30)*100%-S58,0)),(S30+T30/2)*$AC58),MAX((S30+T30)*100%-S58,0)/T$62)</f>
        <v>0</v>
      </c>
      <c r="U58" s="697">
        <f t="shared" si="24"/>
        <v>0</v>
      </c>
      <c r="V58" s="942"/>
      <c r="W58" s="943">
        <f t="shared" si="25"/>
        <v>0</v>
      </c>
      <c r="X58" s="936">
        <f t="shared" si="26"/>
        <v>0</v>
      </c>
      <c r="Y58" s="697">
        <f>IF((IFERROR(X58/((X30+Y30)*100%),0))&lt;70%,MIN((MAX((X30+Y30)*100%-X58,0)),(X30+Y30/2)*$AC58),MAX((X30+Y30)*100%-X58,0)/Y$62)</f>
        <v>0</v>
      </c>
      <c r="Z58" s="697">
        <f t="shared" si="28"/>
        <v>0</v>
      </c>
      <c r="AA58" s="934"/>
      <c r="AB58" s="9"/>
      <c r="AC58" s="1265">
        <v>0.15</v>
      </c>
    </row>
    <row r="59" spans="2:29">
      <c r="B59" s="474">
        <f t="shared" si="29"/>
        <v>16</v>
      </c>
      <c r="C59" s="476" t="s">
        <v>849</v>
      </c>
      <c r="D59" s="1129">
        <v>0</v>
      </c>
      <c r="E59" s="697">
        <f>IF((IFERROR(D59/((D31+E31)*100%),0))&lt;70%,MIN((MAX((D31+E31)*100%-D59,0)),(D31+E31/2)*$AC59),MAX((D31+E31)*100%-D59,0)/E$62)</f>
        <v>0</v>
      </c>
      <c r="F59" s="697">
        <f t="shared" si="14"/>
        <v>0</v>
      </c>
      <c r="G59" s="942"/>
      <c r="H59" s="697">
        <f t="shared" si="30"/>
        <v>0</v>
      </c>
      <c r="I59" s="943">
        <f t="shared" si="15"/>
        <v>0</v>
      </c>
      <c r="J59" s="697">
        <f>IF((IFERROR(I59/((I31+J31)*100%),0))&lt;70%,MIN((MAX((I31+J31)*100%-I59,0)),(I31+J31/2)*$AC59),MAX((I31+J31)*100%-I59,0)/J$62)</f>
        <v>0</v>
      </c>
      <c r="K59" s="697">
        <f t="shared" si="17"/>
        <v>0</v>
      </c>
      <c r="L59" s="942"/>
      <c r="M59" s="943">
        <f t="shared" si="12"/>
        <v>0</v>
      </c>
      <c r="N59" s="936">
        <f t="shared" si="18"/>
        <v>0</v>
      </c>
      <c r="O59" s="697">
        <f>IF((IFERROR(N59/((N31+O31)*100%),0))&lt;70%,MIN((MAX((N31+O31)*100%-N59,0)),(N31+O31/2)*$AC59),MAX((N31+O31)*100%-N59,0)/O$62)</f>
        <v>0</v>
      </c>
      <c r="P59" s="697">
        <f t="shared" si="20"/>
        <v>0</v>
      </c>
      <c r="Q59" s="942"/>
      <c r="R59" s="697">
        <f t="shared" si="21"/>
        <v>0</v>
      </c>
      <c r="S59" s="943">
        <f t="shared" si="22"/>
        <v>0</v>
      </c>
      <c r="T59" s="697">
        <f>IF((IFERROR(S59/((S31+T31)*100%),0))&lt;70%,MIN((MAX((S31+T31)*100%-S59,0)),(S31+T31/2)*$AC59),MAX((S31+T31)*100%-S59,0)/T$62)</f>
        <v>0</v>
      </c>
      <c r="U59" s="697">
        <f t="shared" si="24"/>
        <v>0</v>
      </c>
      <c r="V59" s="942"/>
      <c r="W59" s="943">
        <f t="shared" si="25"/>
        <v>0</v>
      </c>
      <c r="X59" s="936">
        <f t="shared" si="26"/>
        <v>0</v>
      </c>
      <c r="Y59" s="697">
        <f>IF((IFERROR(X59/((X31+Y31)*100%),0))&lt;70%,MIN((MAX((X31+Y31)*100%-X59,0)),(X31+Y31/2)*$AC59),MAX((X31+Y31)*100%-X59,0)/Y$62)</f>
        <v>0</v>
      </c>
      <c r="Z59" s="697">
        <f t="shared" si="28"/>
        <v>0</v>
      </c>
      <c r="AA59" s="934"/>
      <c r="AB59" s="9"/>
      <c r="AC59" s="1265">
        <v>0.15</v>
      </c>
    </row>
    <row r="60" spans="2:29">
      <c r="B60" s="474">
        <f t="shared" si="29"/>
        <v>17</v>
      </c>
      <c r="C60" s="476" t="s">
        <v>900</v>
      </c>
      <c r="D60" s="1133">
        <v>0</v>
      </c>
      <c r="E60" s="697">
        <f t="shared" si="13"/>
        <v>0</v>
      </c>
      <c r="F60" s="697">
        <f t="shared" si="14"/>
        <v>0</v>
      </c>
      <c r="G60" s="942"/>
      <c r="H60" s="697">
        <f t="shared" si="30"/>
        <v>0</v>
      </c>
      <c r="I60" s="943">
        <f t="shared" si="15"/>
        <v>0</v>
      </c>
      <c r="J60" s="697">
        <f t="shared" si="16"/>
        <v>0</v>
      </c>
      <c r="K60" s="697">
        <f t="shared" si="17"/>
        <v>0</v>
      </c>
      <c r="L60" s="942"/>
      <c r="M60" s="943">
        <f t="shared" si="12"/>
        <v>0</v>
      </c>
      <c r="N60" s="936">
        <f t="shared" si="18"/>
        <v>0</v>
      </c>
      <c r="O60" s="697">
        <f t="shared" si="19"/>
        <v>0</v>
      </c>
      <c r="P60" s="697">
        <f t="shared" si="20"/>
        <v>0</v>
      </c>
      <c r="Q60" s="942"/>
      <c r="R60" s="697">
        <f t="shared" si="21"/>
        <v>0</v>
      </c>
      <c r="S60" s="943">
        <f t="shared" si="22"/>
        <v>0</v>
      </c>
      <c r="T60" s="697">
        <f t="shared" si="23"/>
        <v>0</v>
      </c>
      <c r="U60" s="697">
        <f t="shared" si="24"/>
        <v>0</v>
      </c>
      <c r="V60" s="942"/>
      <c r="W60" s="943">
        <f t="shared" si="25"/>
        <v>0</v>
      </c>
      <c r="X60" s="936">
        <f t="shared" si="26"/>
        <v>0</v>
      </c>
      <c r="Y60" s="697">
        <f t="shared" si="27"/>
        <v>0</v>
      </c>
      <c r="Z60" s="697">
        <f t="shared" si="28"/>
        <v>0</v>
      </c>
      <c r="AA60" s="934"/>
      <c r="AB60" s="9"/>
      <c r="AC60" s="1265">
        <v>3.3399999999999999E-2</v>
      </c>
    </row>
    <row r="61" spans="2:29" ht="16">
      <c r="B61" s="83"/>
      <c r="C61" s="97" t="s">
        <v>271</v>
      </c>
      <c r="D61" s="97"/>
      <c r="E61" s="945">
        <f>SUM(E44:E60)</f>
        <v>1.4139003333333331</v>
      </c>
      <c r="F61" s="945">
        <f t="shared" ref="F61:Y61" si="31">SUM(F44:F60)</f>
        <v>0</v>
      </c>
      <c r="G61" s="945">
        <f t="shared" si="31"/>
        <v>0</v>
      </c>
      <c r="H61" s="945">
        <f t="shared" si="31"/>
        <v>1.4139003333333331</v>
      </c>
      <c r="I61" s="945">
        <f t="shared" si="31"/>
        <v>1.4139003333333331</v>
      </c>
      <c r="J61" s="945">
        <f>SUM(J44:J60)</f>
        <v>3.8914341666666665</v>
      </c>
      <c r="K61" s="945">
        <f t="shared" si="31"/>
        <v>0</v>
      </c>
      <c r="L61" s="945">
        <f t="shared" si="31"/>
        <v>0</v>
      </c>
      <c r="M61" s="945">
        <f t="shared" si="31"/>
        <v>5.3053344999999998</v>
      </c>
      <c r="N61" s="945">
        <f t="shared" si="31"/>
        <v>5.3053344999999998</v>
      </c>
      <c r="O61" s="945">
        <f>SUM(O44:O60)</f>
        <v>6.6657341666666667</v>
      </c>
      <c r="P61" s="945">
        <f t="shared" ref="P61" si="32">SUM(P44:P60)</f>
        <v>0</v>
      </c>
      <c r="Q61" s="945">
        <f t="shared" si="31"/>
        <v>0</v>
      </c>
      <c r="R61" s="945">
        <f t="shared" si="31"/>
        <v>11.971068666666667</v>
      </c>
      <c r="S61" s="945">
        <f t="shared" si="31"/>
        <v>11.971068666666667</v>
      </c>
      <c r="T61" s="945">
        <f>SUM(T44:T60)</f>
        <v>8.5508059999999997</v>
      </c>
      <c r="U61" s="945">
        <f t="shared" ref="U61" si="33">SUM(U44:U60)</f>
        <v>0</v>
      </c>
      <c r="V61" s="945">
        <f t="shared" si="31"/>
        <v>0</v>
      </c>
      <c r="W61" s="945">
        <f t="shared" si="31"/>
        <v>20.521874666666669</v>
      </c>
      <c r="X61" s="945">
        <f t="shared" si="31"/>
        <v>20.521874666666669</v>
      </c>
      <c r="Y61" s="945">
        <f t="shared" si="31"/>
        <v>10.115669333333333</v>
      </c>
      <c r="Z61" s="83"/>
      <c r="AA61" s="939"/>
      <c r="AB61" s="83"/>
    </row>
    <row r="62" spans="2:29" ht="16">
      <c r="B62" s="267"/>
      <c r="C62" s="269"/>
      <c r="D62" s="269"/>
      <c r="E62" s="1264">
        <f>'F5'!T86</f>
        <v>16.646575342465752</v>
      </c>
      <c r="F62" s="269"/>
      <c r="G62" s="269"/>
      <c r="H62" s="269"/>
      <c r="J62" s="1264">
        <f>E62-1</f>
        <v>15.646575342465752</v>
      </c>
      <c r="K62" s="267"/>
      <c r="L62" s="267"/>
      <c r="M62" s="267"/>
      <c r="O62" s="1264">
        <f>J62-1</f>
        <v>14.646575342465752</v>
      </c>
      <c r="P62" s="267"/>
      <c r="Q62" s="267"/>
      <c r="R62" s="267"/>
      <c r="T62" s="1264">
        <f>O62-1</f>
        <v>13.646575342465752</v>
      </c>
      <c r="U62" s="946"/>
      <c r="V62" s="946"/>
      <c r="X62" s="267"/>
      <c r="Y62" s="1264">
        <f>T62-1</f>
        <v>12.646575342465752</v>
      </c>
      <c r="Z62" s="267"/>
      <c r="AA62" s="267"/>
      <c r="AB62" s="267"/>
    </row>
    <row r="64" spans="2:29">
      <c r="B64" s="895" t="s">
        <v>341</v>
      </c>
    </row>
    <row r="65" spans="2:28" ht="15" customHeight="1">
      <c r="B65" s="267"/>
      <c r="C65" s="269"/>
      <c r="D65" s="269"/>
      <c r="E65" s="269"/>
      <c r="F65" s="269"/>
      <c r="G65" s="269"/>
      <c r="H65" s="269"/>
      <c r="I65" s="269"/>
      <c r="J65" s="269"/>
      <c r="K65" s="269"/>
      <c r="L65" s="269"/>
      <c r="M65" s="269"/>
      <c r="N65" s="267"/>
      <c r="O65" s="267"/>
      <c r="P65" s="267"/>
      <c r="Q65" s="267"/>
      <c r="R65" s="267"/>
      <c r="S65" s="267"/>
      <c r="T65" s="267"/>
      <c r="U65" s="267"/>
      <c r="V65" s="267"/>
      <c r="W65" s="267"/>
      <c r="X65" s="267"/>
      <c r="Y65" s="267"/>
      <c r="Z65" s="267"/>
      <c r="AA65" s="267"/>
      <c r="AB65" s="264" t="s">
        <v>10</v>
      </c>
    </row>
    <row r="66" spans="2:28">
      <c r="B66" s="1804" t="s">
        <v>340</v>
      </c>
      <c r="C66" s="1804" t="s">
        <v>36</v>
      </c>
      <c r="D66" s="1945" t="s">
        <v>958</v>
      </c>
      <c r="E66" s="1946"/>
      <c r="F66" s="1946"/>
      <c r="G66" s="1946"/>
      <c r="H66" s="1947"/>
      <c r="I66" s="1933" t="s">
        <v>959</v>
      </c>
      <c r="J66" s="1933"/>
      <c r="K66" s="1933"/>
      <c r="L66" s="1933"/>
      <c r="M66" s="1933"/>
      <c r="N66" s="1933" t="s">
        <v>960</v>
      </c>
      <c r="O66" s="1933"/>
      <c r="P66" s="1933"/>
      <c r="Q66" s="1933"/>
      <c r="R66" s="1933"/>
      <c r="S66" s="1933" t="s">
        <v>961</v>
      </c>
      <c r="T66" s="1933"/>
      <c r="U66" s="1933"/>
      <c r="V66" s="1933"/>
      <c r="W66" s="1933"/>
      <c r="X66" s="1933" t="s">
        <v>962</v>
      </c>
      <c r="Y66" s="1933"/>
      <c r="Z66" s="1933"/>
      <c r="AA66" s="1933"/>
      <c r="AB66" s="1933"/>
    </row>
    <row r="67" spans="2:28">
      <c r="B67" s="1804"/>
      <c r="C67" s="1804"/>
      <c r="D67" s="1937" t="s">
        <v>21</v>
      </c>
      <c r="E67" s="1938"/>
      <c r="F67" s="1938"/>
      <c r="G67" s="1938"/>
      <c r="H67" s="1938"/>
      <c r="I67" s="1934" t="s">
        <v>21</v>
      </c>
      <c r="J67" s="1935"/>
      <c r="K67" s="1935"/>
      <c r="L67" s="1935"/>
      <c r="M67" s="1936"/>
      <c r="N67" s="1937" t="s">
        <v>21</v>
      </c>
      <c r="O67" s="1938"/>
      <c r="P67" s="1938"/>
      <c r="Q67" s="1938"/>
      <c r="R67" s="1938"/>
      <c r="S67" s="1937" t="s">
        <v>21</v>
      </c>
      <c r="T67" s="1938"/>
      <c r="U67" s="1938"/>
      <c r="V67" s="1938"/>
      <c r="W67" s="1938"/>
      <c r="X67" s="1937" t="s">
        <v>21</v>
      </c>
      <c r="Y67" s="1938"/>
      <c r="Z67" s="1938"/>
      <c r="AA67" s="1938"/>
      <c r="AB67" s="1938"/>
    </row>
    <row r="68" spans="2:28" ht="42">
      <c r="B68" s="1804"/>
      <c r="C68" s="1804"/>
      <c r="D68" s="896" t="s">
        <v>267</v>
      </c>
      <c r="E68" s="896" t="s">
        <v>268</v>
      </c>
      <c r="F68" s="268" t="s">
        <v>274</v>
      </c>
      <c r="G68" s="894" t="s">
        <v>589</v>
      </c>
      <c r="H68" s="896" t="s">
        <v>270</v>
      </c>
      <c r="I68" s="896" t="s">
        <v>267</v>
      </c>
      <c r="J68" s="896" t="s">
        <v>268</v>
      </c>
      <c r="K68" s="268" t="s">
        <v>274</v>
      </c>
      <c r="L68" s="894" t="s">
        <v>589</v>
      </c>
      <c r="M68" s="896" t="s">
        <v>270</v>
      </c>
      <c r="N68" s="896" t="s">
        <v>267</v>
      </c>
      <c r="O68" s="896" t="s">
        <v>268</v>
      </c>
      <c r="P68" s="268" t="s">
        <v>274</v>
      </c>
      <c r="Q68" s="894" t="s">
        <v>589</v>
      </c>
      <c r="R68" s="896" t="s">
        <v>270</v>
      </c>
      <c r="S68" s="896" t="s">
        <v>267</v>
      </c>
      <c r="T68" s="896" t="s">
        <v>268</v>
      </c>
      <c r="U68" s="268" t="s">
        <v>274</v>
      </c>
      <c r="V68" s="894" t="s">
        <v>589</v>
      </c>
      <c r="W68" s="896" t="s">
        <v>270</v>
      </c>
      <c r="X68" s="896" t="s">
        <v>267</v>
      </c>
      <c r="Y68" s="896" t="s">
        <v>268</v>
      </c>
      <c r="Z68" s="268" t="s">
        <v>274</v>
      </c>
      <c r="AA68" s="894" t="s">
        <v>589</v>
      </c>
      <c r="AB68" s="896" t="s">
        <v>270</v>
      </c>
    </row>
    <row r="69" spans="2:28">
      <c r="B69" s="265"/>
      <c r="C69" s="265"/>
      <c r="D69" s="265" t="s">
        <v>80</v>
      </c>
      <c r="E69" s="265" t="s">
        <v>81</v>
      </c>
      <c r="F69" s="265" t="s">
        <v>461</v>
      </c>
      <c r="G69" s="265" t="s">
        <v>391</v>
      </c>
      <c r="H69" s="265" t="s">
        <v>590</v>
      </c>
      <c r="I69" s="265" t="s">
        <v>409</v>
      </c>
      <c r="J69" s="265" t="s">
        <v>511</v>
      </c>
      <c r="K69" s="265" t="s">
        <v>410</v>
      </c>
      <c r="L69" s="265" t="s">
        <v>411</v>
      </c>
      <c r="M69" s="265" t="s">
        <v>654</v>
      </c>
      <c r="N69" s="265" t="s">
        <v>591</v>
      </c>
      <c r="O69" s="265" t="s">
        <v>655</v>
      </c>
      <c r="P69" s="265" t="s">
        <v>592</v>
      </c>
      <c r="Q69" s="265" t="s">
        <v>593</v>
      </c>
      <c r="R69" s="265" t="s">
        <v>1044</v>
      </c>
      <c r="S69" s="265" t="s">
        <v>594</v>
      </c>
      <c r="T69" s="265" t="s">
        <v>595</v>
      </c>
      <c r="U69" s="265" t="s">
        <v>1045</v>
      </c>
      <c r="V69" s="265" t="s">
        <v>1046</v>
      </c>
      <c r="W69" s="265" t="s">
        <v>1047</v>
      </c>
      <c r="X69" s="265" t="s">
        <v>596</v>
      </c>
      <c r="Y69" s="265" t="s">
        <v>597</v>
      </c>
      <c r="Z69" s="265" t="s">
        <v>598</v>
      </c>
      <c r="AA69" s="265" t="s">
        <v>656</v>
      </c>
      <c r="AB69" s="265" t="s">
        <v>1048</v>
      </c>
    </row>
    <row r="70" spans="2:28">
      <c r="B70" s="474">
        <v>1</v>
      </c>
      <c r="C70" s="476" t="s">
        <v>841</v>
      </c>
      <c r="D70" s="933">
        <f>D16-D44</f>
        <v>0</v>
      </c>
      <c r="E70" s="933">
        <f t="shared" ref="E70:F70" si="34">E16-E44</f>
        <v>0</v>
      </c>
      <c r="F70" s="933">
        <f t="shared" si="34"/>
        <v>0</v>
      </c>
      <c r="G70" s="933"/>
      <c r="H70" s="697">
        <f t="shared" ref="H70:H86" si="35">D70+E70-F70-G70</f>
        <v>0</v>
      </c>
      <c r="I70" s="933">
        <f>I16-I44</f>
        <v>0</v>
      </c>
      <c r="J70" s="933">
        <f t="shared" ref="J70:K70" si="36">J16-J44</f>
        <v>0</v>
      </c>
      <c r="K70" s="933">
        <f t="shared" si="36"/>
        <v>0</v>
      </c>
      <c r="L70" s="933"/>
      <c r="M70" s="697">
        <f t="shared" ref="M70:M86" si="37">I70+J70-K70-L70</f>
        <v>0</v>
      </c>
      <c r="N70" s="933">
        <f>N16-N44</f>
        <v>0</v>
      </c>
      <c r="O70" s="933">
        <f t="shared" ref="O70:P70" si="38">O16-O44</f>
        <v>0</v>
      </c>
      <c r="P70" s="933">
        <f t="shared" si="38"/>
        <v>0</v>
      </c>
      <c r="Q70" s="933"/>
      <c r="R70" s="697">
        <f t="shared" ref="R70:R86" si="39">N70+O70-P70-Q70</f>
        <v>0</v>
      </c>
      <c r="S70" s="933">
        <f>S16-S44</f>
        <v>0</v>
      </c>
      <c r="T70" s="933">
        <f t="shared" ref="T70:U70" si="40">T16-T44</f>
        <v>0</v>
      </c>
      <c r="U70" s="933">
        <f t="shared" si="40"/>
        <v>0</v>
      </c>
      <c r="V70" s="933"/>
      <c r="W70" s="697">
        <f t="shared" ref="W70:W86" si="41">S70+T70-U70-V70</f>
        <v>0</v>
      </c>
      <c r="X70" s="933">
        <f>X16-X44</f>
        <v>0</v>
      </c>
      <c r="Y70" s="933">
        <f t="shared" ref="Y70:Z70" si="42">Y16-Y44</f>
        <v>0</v>
      </c>
      <c r="Z70" s="933">
        <f t="shared" si="42"/>
        <v>0</v>
      </c>
      <c r="AA70" s="933"/>
      <c r="AB70" s="697">
        <f t="shared" ref="AB70:AB86" si="43">X70+Y70-Z70-AA70</f>
        <v>0</v>
      </c>
    </row>
    <row r="71" spans="2:28">
      <c r="B71" s="474">
        <f>B70+1</f>
        <v>2</v>
      </c>
      <c r="C71" s="476" t="s">
        <v>842</v>
      </c>
      <c r="D71" s="933">
        <f t="shared" ref="D71:F86" si="44">D17-D45</f>
        <v>0</v>
      </c>
      <c r="E71" s="933">
        <f t="shared" si="44"/>
        <v>0</v>
      </c>
      <c r="F71" s="933">
        <f t="shared" si="44"/>
        <v>0</v>
      </c>
      <c r="G71" s="933"/>
      <c r="H71" s="697">
        <f t="shared" si="35"/>
        <v>0</v>
      </c>
      <c r="I71" s="933">
        <f t="shared" ref="I71:K86" si="45">I17-I45</f>
        <v>0</v>
      </c>
      <c r="J71" s="933">
        <f t="shared" si="45"/>
        <v>2.7606147500000002</v>
      </c>
      <c r="K71" s="933">
        <f t="shared" si="45"/>
        <v>0</v>
      </c>
      <c r="L71" s="933"/>
      <c r="M71" s="697">
        <f t="shared" si="37"/>
        <v>2.7606147500000002</v>
      </c>
      <c r="N71" s="933">
        <f t="shared" ref="N71:P86" si="46">N17-N45</f>
        <v>2.7606147500000002</v>
      </c>
      <c r="O71" s="933">
        <f t="shared" si="46"/>
        <v>-9.3770500000000007E-2</v>
      </c>
      <c r="P71" s="933">
        <f t="shared" si="46"/>
        <v>0</v>
      </c>
      <c r="Q71" s="933"/>
      <c r="R71" s="697">
        <f t="shared" si="39"/>
        <v>2.66684425</v>
      </c>
      <c r="S71" s="933">
        <f t="shared" ref="S71:U86" si="47">S17-S45</f>
        <v>2.66684425</v>
      </c>
      <c r="T71" s="933">
        <f t="shared" si="47"/>
        <v>-9.3770500000000007E-2</v>
      </c>
      <c r="U71" s="933">
        <f t="shared" si="47"/>
        <v>0</v>
      </c>
      <c r="V71" s="933"/>
      <c r="W71" s="697">
        <f t="shared" si="41"/>
        <v>2.5730737499999998</v>
      </c>
      <c r="X71" s="933">
        <f t="shared" ref="X71:Z86" si="48">X17-X45</f>
        <v>2.5730737500000003</v>
      </c>
      <c r="Y71" s="933">
        <f t="shared" si="48"/>
        <v>-9.3770500000000007E-2</v>
      </c>
      <c r="Z71" s="933">
        <f t="shared" si="48"/>
        <v>0</v>
      </c>
      <c r="AA71" s="933"/>
      <c r="AB71" s="697">
        <f t="shared" si="43"/>
        <v>2.4793032500000001</v>
      </c>
    </row>
    <row r="72" spans="2:28">
      <c r="B72" s="474">
        <f t="shared" ref="B72:B86" si="49">B71+1</f>
        <v>3</v>
      </c>
      <c r="C72" s="476" t="s">
        <v>843</v>
      </c>
      <c r="D72" s="933">
        <f t="shared" si="44"/>
        <v>0</v>
      </c>
      <c r="E72" s="933">
        <f t="shared" si="44"/>
        <v>0</v>
      </c>
      <c r="F72" s="933">
        <f t="shared" si="44"/>
        <v>0</v>
      </c>
      <c r="G72" s="933"/>
      <c r="H72" s="697">
        <f t="shared" si="35"/>
        <v>0</v>
      </c>
      <c r="I72" s="933">
        <f t="shared" si="45"/>
        <v>0</v>
      </c>
      <c r="J72" s="933">
        <f t="shared" si="45"/>
        <v>0</v>
      </c>
      <c r="K72" s="933">
        <f t="shared" si="45"/>
        <v>0</v>
      </c>
      <c r="L72" s="933"/>
      <c r="M72" s="697">
        <f t="shared" si="37"/>
        <v>0</v>
      </c>
      <c r="N72" s="933">
        <f t="shared" si="46"/>
        <v>0</v>
      </c>
      <c r="O72" s="933">
        <f t="shared" si="46"/>
        <v>0</v>
      </c>
      <c r="P72" s="933">
        <f t="shared" si="46"/>
        <v>0</v>
      </c>
      <c r="Q72" s="933"/>
      <c r="R72" s="697">
        <f t="shared" si="39"/>
        <v>0</v>
      </c>
      <c r="S72" s="933">
        <f t="shared" si="47"/>
        <v>0</v>
      </c>
      <c r="T72" s="933">
        <f t="shared" si="47"/>
        <v>0</v>
      </c>
      <c r="U72" s="933">
        <f t="shared" si="47"/>
        <v>0</v>
      </c>
      <c r="V72" s="933"/>
      <c r="W72" s="697">
        <f t="shared" si="41"/>
        <v>0</v>
      </c>
      <c r="X72" s="933">
        <f t="shared" si="48"/>
        <v>0</v>
      </c>
      <c r="Y72" s="933">
        <f t="shared" si="48"/>
        <v>0</v>
      </c>
      <c r="Z72" s="933">
        <f t="shared" si="48"/>
        <v>0</v>
      </c>
      <c r="AA72" s="933"/>
      <c r="AB72" s="697">
        <f t="shared" si="43"/>
        <v>0</v>
      </c>
    </row>
    <row r="73" spans="2:28">
      <c r="B73" s="474">
        <f t="shared" si="49"/>
        <v>4</v>
      </c>
      <c r="C73" s="476" t="s">
        <v>844</v>
      </c>
      <c r="D73" s="933">
        <f t="shared" si="44"/>
        <v>0</v>
      </c>
      <c r="E73" s="933">
        <f t="shared" si="44"/>
        <v>0</v>
      </c>
      <c r="F73" s="933">
        <f t="shared" si="44"/>
        <v>0</v>
      </c>
      <c r="G73" s="933"/>
      <c r="H73" s="697">
        <f t="shared" si="35"/>
        <v>0</v>
      </c>
      <c r="I73" s="933">
        <f t="shared" si="45"/>
        <v>0</v>
      </c>
      <c r="J73" s="933">
        <f t="shared" si="45"/>
        <v>0</v>
      </c>
      <c r="K73" s="933">
        <f t="shared" si="45"/>
        <v>0</v>
      </c>
      <c r="L73" s="933"/>
      <c r="M73" s="697">
        <f t="shared" si="37"/>
        <v>0</v>
      </c>
      <c r="N73" s="933">
        <f t="shared" si="46"/>
        <v>0</v>
      </c>
      <c r="O73" s="933">
        <f t="shared" si="46"/>
        <v>0</v>
      </c>
      <c r="P73" s="933">
        <f t="shared" si="46"/>
        <v>0</v>
      </c>
      <c r="Q73" s="933"/>
      <c r="R73" s="697">
        <f t="shared" si="39"/>
        <v>0</v>
      </c>
      <c r="S73" s="933">
        <f t="shared" si="47"/>
        <v>0</v>
      </c>
      <c r="T73" s="933">
        <f t="shared" si="47"/>
        <v>0</v>
      </c>
      <c r="U73" s="933">
        <f t="shared" si="47"/>
        <v>0</v>
      </c>
      <c r="V73" s="933"/>
      <c r="W73" s="697">
        <f t="shared" si="41"/>
        <v>0</v>
      </c>
      <c r="X73" s="933">
        <f t="shared" si="48"/>
        <v>0</v>
      </c>
      <c r="Y73" s="933">
        <f t="shared" si="48"/>
        <v>0</v>
      </c>
      <c r="Z73" s="933">
        <f t="shared" si="48"/>
        <v>0</v>
      </c>
      <c r="AA73" s="933"/>
      <c r="AB73" s="697">
        <f t="shared" si="43"/>
        <v>0</v>
      </c>
    </row>
    <row r="74" spans="2:28">
      <c r="B74" s="474">
        <f t="shared" si="49"/>
        <v>5</v>
      </c>
      <c r="C74" s="476" t="s">
        <v>845</v>
      </c>
      <c r="D74" s="933">
        <f t="shared" si="44"/>
        <v>0</v>
      </c>
      <c r="E74" s="933">
        <f t="shared" si="44"/>
        <v>0</v>
      </c>
      <c r="F74" s="933">
        <f t="shared" si="44"/>
        <v>0</v>
      </c>
      <c r="G74" s="933"/>
      <c r="H74" s="697">
        <f t="shared" si="35"/>
        <v>0</v>
      </c>
      <c r="I74" s="933">
        <f t="shared" si="45"/>
        <v>0</v>
      </c>
      <c r="J74" s="933">
        <f t="shared" si="45"/>
        <v>0</v>
      </c>
      <c r="K74" s="933">
        <f t="shared" si="45"/>
        <v>0</v>
      </c>
      <c r="L74" s="933"/>
      <c r="M74" s="697">
        <f t="shared" si="37"/>
        <v>0</v>
      </c>
      <c r="N74" s="933">
        <f t="shared" si="46"/>
        <v>0</v>
      </c>
      <c r="O74" s="933">
        <f t="shared" si="46"/>
        <v>0</v>
      </c>
      <c r="P74" s="933">
        <f t="shared" si="46"/>
        <v>0</v>
      </c>
      <c r="Q74" s="933"/>
      <c r="R74" s="697">
        <f t="shared" si="39"/>
        <v>0</v>
      </c>
      <c r="S74" s="933">
        <f t="shared" si="47"/>
        <v>0</v>
      </c>
      <c r="T74" s="933">
        <f t="shared" si="47"/>
        <v>0</v>
      </c>
      <c r="U74" s="933">
        <f t="shared" si="47"/>
        <v>0</v>
      </c>
      <c r="V74" s="933"/>
      <c r="W74" s="697">
        <f t="shared" si="41"/>
        <v>0</v>
      </c>
      <c r="X74" s="933">
        <f t="shared" si="48"/>
        <v>0</v>
      </c>
      <c r="Y74" s="933">
        <f t="shared" si="48"/>
        <v>0</v>
      </c>
      <c r="Z74" s="933">
        <f t="shared" si="48"/>
        <v>0</v>
      </c>
      <c r="AA74" s="933"/>
      <c r="AB74" s="697">
        <f t="shared" si="43"/>
        <v>0</v>
      </c>
    </row>
    <row r="75" spans="2:28">
      <c r="B75" s="474">
        <f t="shared" si="49"/>
        <v>6</v>
      </c>
      <c r="C75" s="476" t="s">
        <v>255</v>
      </c>
      <c r="D75" s="933">
        <f t="shared" si="44"/>
        <v>0</v>
      </c>
      <c r="E75" s="933">
        <f t="shared" si="44"/>
        <v>65.302419</v>
      </c>
      <c r="F75" s="933">
        <f t="shared" si="44"/>
        <v>0</v>
      </c>
      <c r="G75" s="933"/>
      <c r="H75" s="697">
        <f t="shared" si="35"/>
        <v>65.302419</v>
      </c>
      <c r="I75" s="933">
        <f t="shared" si="45"/>
        <v>65.302419</v>
      </c>
      <c r="J75" s="933">
        <f t="shared" si="45"/>
        <v>44.135329249999998</v>
      </c>
      <c r="K75" s="933">
        <f t="shared" si="45"/>
        <v>0</v>
      </c>
      <c r="L75" s="933"/>
      <c r="M75" s="697">
        <f t="shared" si="37"/>
        <v>109.43774825</v>
      </c>
      <c r="N75" s="933">
        <f t="shared" si="46"/>
        <v>109.43774824999998</v>
      </c>
      <c r="O75" s="933">
        <f t="shared" si="46"/>
        <v>74.084632999999997</v>
      </c>
      <c r="P75" s="933">
        <f t="shared" si="46"/>
        <v>0</v>
      </c>
      <c r="Q75" s="933"/>
      <c r="R75" s="697">
        <f t="shared" si="39"/>
        <v>183.52238124999997</v>
      </c>
      <c r="S75" s="933">
        <f t="shared" si="47"/>
        <v>183.52238125</v>
      </c>
      <c r="T75" s="933">
        <f t="shared" si="47"/>
        <v>-0.73665450000000021</v>
      </c>
      <c r="U75" s="933">
        <f t="shared" si="47"/>
        <v>0</v>
      </c>
      <c r="V75" s="933"/>
      <c r="W75" s="697">
        <f t="shared" si="41"/>
        <v>182.78572674999998</v>
      </c>
      <c r="X75" s="933">
        <f t="shared" si="48"/>
        <v>182.78572674999998</v>
      </c>
      <c r="Y75" s="933">
        <f t="shared" si="48"/>
        <v>55.063412166666666</v>
      </c>
      <c r="Z75" s="933">
        <f t="shared" si="48"/>
        <v>0</v>
      </c>
      <c r="AA75" s="933"/>
      <c r="AB75" s="697">
        <f t="shared" si="43"/>
        <v>237.84913891666665</v>
      </c>
    </row>
    <row r="76" spans="2:28">
      <c r="B76" s="474">
        <f t="shared" si="49"/>
        <v>7</v>
      </c>
      <c r="C76" s="476" t="s">
        <v>846</v>
      </c>
      <c r="D76" s="933">
        <f t="shared" si="44"/>
        <v>0</v>
      </c>
      <c r="E76" s="933">
        <f t="shared" si="44"/>
        <v>0</v>
      </c>
      <c r="F76" s="933">
        <f t="shared" si="44"/>
        <v>0</v>
      </c>
      <c r="G76" s="933"/>
      <c r="H76" s="697">
        <f t="shared" si="35"/>
        <v>0</v>
      </c>
      <c r="I76" s="933">
        <f t="shared" si="45"/>
        <v>0</v>
      </c>
      <c r="J76" s="933">
        <f t="shared" si="45"/>
        <v>0</v>
      </c>
      <c r="K76" s="933">
        <f t="shared" si="45"/>
        <v>0</v>
      </c>
      <c r="L76" s="933"/>
      <c r="M76" s="697">
        <f t="shared" si="37"/>
        <v>0</v>
      </c>
      <c r="N76" s="933">
        <f t="shared" si="46"/>
        <v>0</v>
      </c>
      <c r="O76" s="933">
        <f t="shared" si="46"/>
        <v>0</v>
      </c>
      <c r="P76" s="933">
        <f t="shared" si="46"/>
        <v>0</v>
      </c>
      <c r="Q76" s="933"/>
      <c r="R76" s="697">
        <f t="shared" si="39"/>
        <v>0</v>
      </c>
      <c r="S76" s="933">
        <f t="shared" si="47"/>
        <v>0</v>
      </c>
      <c r="T76" s="933">
        <f t="shared" si="47"/>
        <v>0</v>
      </c>
      <c r="U76" s="933">
        <f t="shared" si="47"/>
        <v>0</v>
      </c>
      <c r="V76" s="933"/>
      <c r="W76" s="697">
        <f t="shared" si="41"/>
        <v>0</v>
      </c>
      <c r="X76" s="933">
        <f t="shared" si="48"/>
        <v>0</v>
      </c>
      <c r="Y76" s="933">
        <f t="shared" si="48"/>
        <v>0</v>
      </c>
      <c r="Z76" s="933">
        <f t="shared" si="48"/>
        <v>0</v>
      </c>
      <c r="AA76" s="933"/>
      <c r="AB76" s="697">
        <f t="shared" si="43"/>
        <v>0</v>
      </c>
    </row>
    <row r="77" spans="2:28">
      <c r="B77" s="474">
        <f t="shared" si="49"/>
        <v>8</v>
      </c>
      <c r="C77" s="476" t="s">
        <v>847</v>
      </c>
      <c r="D77" s="933">
        <f t="shared" si="44"/>
        <v>0</v>
      </c>
      <c r="E77" s="933">
        <f t="shared" si="44"/>
        <v>2.2225000000000002E-2</v>
      </c>
      <c r="F77" s="933">
        <f t="shared" si="44"/>
        <v>0</v>
      </c>
      <c r="G77" s="933"/>
      <c r="H77" s="697">
        <f t="shared" si="35"/>
        <v>2.2225000000000002E-2</v>
      </c>
      <c r="I77" s="933">
        <f t="shared" si="45"/>
        <v>2.2225000000000002E-2</v>
      </c>
      <c r="J77" s="933">
        <f t="shared" si="45"/>
        <v>1.4452083333333334E-2</v>
      </c>
      <c r="K77" s="933">
        <f t="shared" si="45"/>
        <v>0</v>
      </c>
      <c r="L77" s="933"/>
      <c r="M77" s="697">
        <f t="shared" si="37"/>
        <v>3.6677083333333332E-2</v>
      </c>
      <c r="N77" s="933">
        <f t="shared" si="46"/>
        <v>3.6677083333333332E-2</v>
      </c>
      <c r="O77" s="933">
        <f t="shared" si="46"/>
        <v>2.9458333333333336E-2</v>
      </c>
      <c r="P77" s="933">
        <f t="shared" si="46"/>
        <v>0</v>
      </c>
      <c r="Q77" s="933"/>
      <c r="R77" s="697">
        <f t="shared" si="39"/>
        <v>6.6135416666666669E-2</v>
      </c>
      <c r="S77" s="933">
        <f t="shared" si="47"/>
        <v>6.6135416666666669E-2</v>
      </c>
      <c r="T77" s="933">
        <f t="shared" si="47"/>
        <v>3.7245833333333339E-2</v>
      </c>
      <c r="U77" s="933">
        <f t="shared" si="47"/>
        <v>0</v>
      </c>
      <c r="V77" s="933"/>
      <c r="W77" s="697">
        <f t="shared" si="41"/>
        <v>0.10338125000000001</v>
      </c>
      <c r="X77" s="933">
        <f t="shared" si="48"/>
        <v>0.10338124999999999</v>
      </c>
      <c r="Y77" s="933">
        <f t="shared" si="48"/>
        <v>5.5037500000000003E-2</v>
      </c>
      <c r="Z77" s="933">
        <f t="shared" si="48"/>
        <v>0</v>
      </c>
      <c r="AA77" s="933"/>
      <c r="AB77" s="697">
        <f t="shared" si="43"/>
        <v>0.15841875</v>
      </c>
    </row>
    <row r="78" spans="2:28">
      <c r="B78" s="474">
        <f t="shared" si="49"/>
        <v>9</v>
      </c>
      <c r="C78" s="476" t="s">
        <v>848</v>
      </c>
      <c r="D78" s="933">
        <f t="shared" si="44"/>
        <v>0</v>
      </c>
      <c r="E78" s="933">
        <f t="shared" si="44"/>
        <v>0</v>
      </c>
      <c r="F78" s="933">
        <f t="shared" si="44"/>
        <v>0</v>
      </c>
      <c r="G78" s="933"/>
      <c r="H78" s="697">
        <f t="shared" si="35"/>
        <v>0</v>
      </c>
      <c r="I78" s="933">
        <f t="shared" si="45"/>
        <v>0</v>
      </c>
      <c r="J78" s="933">
        <f t="shared" si="45"/>
        <v>0</v>
      </c>
      <c r="K78" s="933">
        <f t="shared" si="45"/>
        <v>0</v>
      </c>
      <c r="L78" s="933"/>
      <c r="M78" s="697">
        <f t="shared" si="37"/>
        <v>0</v>
      </c>
      <c r="N78" s="933">
        <f t="shared" si="46"/>
        <v>0</v>
      </c>
      <c r="O78" s="933">
        <f t="shared" si="46"/>
        <v>0</v>
      </c>
      <c r="P78" s="933">
        <f t="shared" si="46"/>
        <v>0</v>
      </c>
      <c r="Q78" s="933"/>
      <c r="R78" s="697">
        <f t="shared" si="39"/>
        <v>0</v>
      </c>
      <c r="S78" s="933">
        <f t="shared" si="47"/>
        <v>0</v>
      </c>
      <c r="T78" s="933">
        <f t="shared" si="47"/>
        <v>0</v>
      </c>
      <c r="U78" s="933">
        <f t="shared" si="47"/>
        <v>0</v>
      </c>
      <c r="V78" s="933"/>
      <c r="W78" s="697">
        <f t="shared" si="41"/>
        <v>0</v>
      </c>
      <c r="X78" s="933">
        <f t="shared" si="48"/>
        <v>0</v>
      </c>
      <c r="Y78" s="933">
        <f t="shared" si="48"/>
        <v>0</v>
      </c>
      <c r="Z78" s="933">
        <f t="shared" si="48"/>
        <v>0</v>
      </c>
      <c r="AA78" s="933"/>
      <c r="AB78" s="697">
        <f t="shared" si="43"/>
        <v>0</v>
      </c>
    </row>
    <row r="79" spans="2:28">
      <c r="B79" s="474">
        <f t="shared" si="49"/>
        <v>10</v>
      </c>
      <c r="C79" s="476" t="s">
        <v>258</v>
      </c>
      <c r="D79" s="933">
        <f t="shared" si="44"/>
        <v>0</v>
      </c>
      <c r="E79" s="933">
        <f t="shared" si="44"/>
        <v>0</v>
      </c>
      <c r="F79" s="933">
        <f t="shared" si="44"/>
        <v>0</v>
      </c>
      <c r="G79" s="933"/>
      <c r="H79" s="697">
        <f t="shared" si="35"/>
        <v>0</v>
      </c>
      <c r="I79" s="933">
        <f t="shared" si="45"/>
        <v>0</v>
      </c>
      <c r="J79" s="933">
        <f t="shared" si="45"/>
        <v>0</v>
      </c>
      <c r="K79" s="933">
        <f t="shared" si="45"/>
        <v>0</v>
      </c>
      <c r="L79" s="933"/>
      <c r="M79" s="697">
        <f t="shared" si="37"/>
        <v>0</v>
      </c>
      <c r="N79" s="933">
        <f t="shared" si="46"/>
        <v>0</v>
      </c>
      <c r="O79" s="933">
        <f t="shared" si="46"/>
        <v>0</v>
      </c>
      <c r="P79" s="933">
        <f t="shared" si="46"/>
        <v>0</v>
      </c>
      <c r="Q79" s="933"/>
      <c r="R79" s="697">
        <f t="shared" si="39"/>
        <v>0</v>
      </c>
      <c r="S79" s="933">
        <f t="shared" si="47"/>
        <v>0</v>
      </c>
      <c r="T79" s="933">
        <f t="shared" si="47"/>
        <v>0</v>
      </c>
      <c r="U79" s="933">
        <f t="shared" si="47"/>
        <v>0</v>
      </c>
      <c r="V79" s="933"/>
      <c r="W79" s="697">
        <f t="shared" si="41"/>
        <v>0</v>
      </c>
      <c r="X79" s="933">
        <f t="shared" si="48"/>
        <v>0</v>
      </c>
      <c r="Y79" s="933">
        <f t="shared" si="48"/>
        <v>0</v>
      </c>
      <c r="Z79" s="933">
        <f t="shared" si="48"/>
        <v>0</v>
      </c>
      <c r="AA79" s="933"/>
      <c r="AB79" s="697">
        <f t="shared" si="43"/>
        <v>0</v>
      </c>
    </row>
    <row r="80" spans="2:28">
      <c r="B80" s="474">
        <f t="shared" si="49"/>
        <v>11</v>
      </c>
      <c r="C80" s="476" t="s">
        <v>259</v>
      </c>
      <c r="D80" s="933">
        <f t="shared" si="44"/>
        <v>0</v>
      </c>
      <c r="E80" s="933">
        <f t="shared" si="44"/>
        <v>6.455666666666666E-3</v>
      </c>
      <c r="F80" s="933">
        <f t="shared" si="44"/>
        <v>0</v>
      </c>
      <c r="G80" s="933"/>
      <c r="H80" s="697">
        <f t="shared" si="35"/>
        <v>6.455666666666666E-3</v>
      </c>
      <c r="I80" s="933">
        <f t="shared" si="45"/>
        <v>6.455666666666666E-3</v>
      </c>
      <c r="J80" s="933">
        <f t="shared" si="45"/>
        <v>4.4197500000000001E-3</v>
      </c>
      <c r="K80" s="933">
        <f t="shared" si="45"/>
        <v>0</v>
      </c>
      <c r="L80" s="933"/>
      <c r="M80" s="697">
        <f t="shared" si="37"/>
        <v>1.0875416666666665E-2</v>
      </c>
      <c r="N80" s="933">
        <f t="shared" si="46"/>
        <v>1.0875416666666665E-2</v>
      </c>
      <c r="O80" s="933">
        <f t="shared" si="46"/>
        <v>8.9449999999999998E-3</v>
      </c>
      <c r="P80" s="933">
        <f t="shared" si="46"/>
        <v>0</v>
      </c>
      <c r="Q80" s="933"/>
      <c r="R80" s="697">
        <f t="shared" si="39"/>
        <v>1.9820416666666667E-2</v>
      </c>
      <c r="S80" s="933">
        <f t="shared" si="47"/>
        <v>1.9820416666666667E-2</v>
      </c>
      <c r="T80" s="933">
        <f t="shared" si="47"/>
        <v>1.1539833333333332E-2</v>
      </c>
      <c r="U80" s="933">
        <f t="shared" si="47"/>
        <v>0</v>
      </c>
      <c r="V80" s="933"/>
      <c r="W80" s="697">
        <f t="shared" si="41"/>
        <v>3.1360249999999999E-2</v>
      </c>
      <c r="X80" s="933">
        <f t="shared" si="48"/>
        <v>3.1360250000000006E-2</v>
      </c>
      <c r="Y80" s="933">
        <f t="shared" si="48"/>
        <v>1.71515E-2</v>
      </c>
      <c r="Z80" s="933">
        <f t="shared" si="48"/>
        <v>0</v>
      </c>
      <c r="AA80" s="933"/>
      <c r="AB80" s="697">
        <f t="shared" si="43"/>
        <v>4.8511750000000006E-2</v>
      </c>
    </row>
    <row r="81" spans="2:28">
      <c r="B81" s="474">
        <f t="shared" si="49"/>
        <v>12</v>
      </c>
      <c r="C81" s="476" t="s">
        <v>260</v>
      </c>
      <c r="D81" s="933">
        <f t="shared" si="44"/>
        <v>0</v>
      </c>
      <c r="E81" s="933">
        <f t="shared" si="44"/>
        <v>0</v>
      </c>
      <c r="F81" s="933">
        <f t="shared" si="44"/>
        <v>0</v>
      </c>
      <c r="G81" s="933"/>
      <c r="H81" s="697">
        <f t="shared" si="35"/>
        <v>0</v>
      </c>
      <c r="I81" s="933">
        <f t="shared" si="45"/>
        <v>0</v>
      </c>
      <c r="J81" s="933">
        <f t="shared" si="45"/>
        <v>0</v>
      </c>
      <c r="K81" s="933">
        <f t="shared" si="45"/>
        <v>0</v>
      </c>
      <c r="L81" s="933"/>
      <c r="M81" s="697">
        <f t="shared" si="37"/>
        <v>0</v>
      </c>
      <c r="N81" s="933">
        <f t="shared" si="46"/>
        <v>0</v>
      </c>
      <c r="O81" s="933">
        <f t="shared" si="46"/>
        <v>0</v>
      </c>
      <c r="P81" s="933">
        <f t="shared" si="46"/>
        <v>0</v>
      </c>
      <c r="Q81" s="933"/>
      <c r="R81" s="697">
        <f t="shared" si="39"/>
        <v>0</v>
      </c>
      <c r="S81" s="933">
        <f t="shared" si="47"/>
        <v>0</v>
      </c>
      <c r="T81" s="933">
        <f t="shared" si="47"/>
        <v>0</v>
      </c>
      <c r="U81" s="933">
        <f t="shared" si="47"/>
        <v>0</v>
      </c>
      <c r="V81" s="933"/>
      <c r="W81" s="697">
        <f t="shared" si="41"/>
        <v>0</v>
      </c>
      <c r="X81" s="933">
        <f t="shared" si="48"/>
        <v>0</v>
      </c>
      <c r="Y81" s="933">
        <f t="shared" si="48"/>
        <v>0</v>
      </c>
      <c r="Z81" s="933">
        <f t="shared" si="48"/>
        <v>0</v>
      </c>
      <c r="AA81" s="933"/>
      <c r="AB81" s="697">
        <f t="shared" si="43"/>
        <v>0</v>
      </c>
    </row>
    <row r="82" spans="2:28">
      <c r="B82" s="474">
        <f t="shared" si="49"/>
        <v>13</v>
      </c>
      <c r="C82" s="476" t="s">
        <v>897</v>
      </c>
      <c r="D82" s="933">
        <f t="shared" si="44"/>
        <v>0</v>
      </c>
      <c r="E82" s="933">
        <f t="shared" si="44"/>
        <v>0</v>
      </c>
      <c r="F82" s="933">
        <f t="shared" si="44"/>
        <v>0</v>
      </c>
      <c r="G82" s="933"/>
      <c r="H82" s="697">
        <f t="shared" si="35"/>
        <v>0</v>
      </c>
      <c r="I82" s="933">
        <f t="shared" si="45"/>
        <v>0</v>
      </c>
      <c r="J82" s="933">
        <f t="shared" si="45"/>
        <v>0</v>
      </c>
      <c r="K82" s="933">
        <f t="shared" si="45"/>
        <v>0</v>
      </c>
      <c r="L82" s="933"/>
      <c r="M82" s="697">
        <f t="shared" si="37"/>
        <v>0</v>
      </c>
      <c r="N82" s="933">
        <f t="shared" si="46"/>
        <v>0</v>
      </c>
      <c r="O82" s="933">
        <f t="shared" si="46"/>
        <v>0</v>
      </c>
      <c r="P82" s="933">
        <f t="shared" si="46"/>
        <v>0</v>
      </c>
      <c r="Q82" s="933"/>
      <c r="R82" s="697">
        <f t="shared" si="39"/>
        <v>0</v>
      </c>
      <c r="S82" s="933">
        <f t="shared" si="47"/>
        <v>0</v>
      </c>
      <c r="T82" s="933">
        <f t="shared" si="47"/>
        <v>0</v>
      </c>
      <c r="U82" s="933">
        <f t="shared" si="47"/>
        <v>0</v>
      </c>
      <c r="V82" s="933"/>
      <c r="W82" s="697">
        <f t="shared" si="41"/>
        <v>0</v>
      </c>
      <c r="X82" s="933">
        <f t="shared" si="48"/>
        <v>0</v>
      </c>
      <c r="Y82" s="933">
        <f t="shared" si="48"/>
        <v>0</v>
      </c>
      <c r="Z82" s="933">
        <f t="shared" si="48"/>
        <v>0</v>
      </c>
      <c r="AA82" s="933"/>
      <c r="AB82" s="697">
        <f t="shared" si="43"/>
        <v>0</v>
      </c>
    </row>
    <row r="83" spans="2:28">
      <c r="B83" s="474">
        <f t="shared" si="49"/>
        <v>14</v>
      </c>
      <c r="C83" s="476" t="s">
        <v>898</v>
      </c>
      <c r="D83" s="933">
        <f t="shared" si="44"/>
        <v>0</v>
      </c>
      <c r="E83" s="933">
        <f t="shared" si="44"/>
        <v>6.1666666666666668E-2</v>
      </c>
      <c r="F83" s="933">
        <f t="shared" si="44"/>
        <v>0</v>
      </c>
      <c r="G83" s="933"/>
      <c r="H83" s="697">
        <f t="shared" si="35"/>
        <v>6.1666666666666668E-2</v>
      </c>
      <c r="I83" s="933">
        <f t="shared" si="45"/>
        <v>6.1666666666666668E-2</v>
      </c>
      <c r="J83" s="933">
        <f t="shared" si="45"/>
        <v>3.6250000000000004E-2</v>
      </c>
      <c r="K83" s="933">
        <f t="shared" si="45"/>
        <v>0</v>
      </c>
      <c r="L83" s="933"/>
      <c r="M83" s="697">
        <f t="shared" si="37"/>
        <v>9.791666666666668E-2</v>
      </c>
      <c r="N83" s="933">
        <f t="shared" si="46"/>
        <v>9.7916666666666666E-2</v>
      </c>
      <c r="O83" s="933">
        <f t="shared" si="46"/>
        <v>7.5000000000000011E-2</v>
      </c>
      <c r="P83" s="933">
        <f t="shared" si="46"/>
        <v>0</v>
      </c>
      <c r="Q83" s="933"/>
      <c r="R83" s="697">
        <f t="shared" si="39"/>
        <v>0.17291666666666666</v>
      </c>
      <c r="S83" s="933">
        <f t="shared" si="47"/>
        <v>0.17291666666666666</v>
      </c>
      <c r="T83" s="933">
        <f t="shared" si="47"/>
        <v>9.0833333333333335E-2</v>
      </c>
      <c r="U83" s="933">
        <f t="shared" si="47"/>
        <v>0</v>
      </c>
      <c r="V83" s="933"/>
      <c r="W83" s="697">
        <f t="shared" si="41"/>
        <v>0.26374999999999998</v>
      </c>
      <c r="X83" s="933">
        <f t="shared" si="48"/>
        <v>0.26374999999999998</v>
      </c>
      <c r="Y83" s="933">
        <f t="shared" si="48"/>
        <v>0.13250000000000001</v>
      </c>
      <c r="Z83" s="933">
        <f t="shared" si="48"/>
        <v>0</v>
      </c>
      <c r="AA83" s="933"/>
      <c r="AB83" s="697">
        <f t="shared" si="43"/>
        <v>0.39624999999999999</v>
      </c>
    </row>
    <row r="84" spans="2:28">
      <c r="B84" s="474">
        <f t="shared" si="49"/>
        <v>15</v>
      </c>
      <c r="C84" s="476" t="s">
        <v>899</v>
      </c>
      <c r="D84" s="933">
        <f t="shared" si="44"/>
        <v>0</v>
      </c>
      <c r="E84" s="933">
        <f t="shared" si="44"/>
        <v>0</v>
      </c>
      <c r="F84" s="933">
        <f t="shared" si="44"/>
        <v>0</v>
      </c>
      <c r="G84" s="933"/>
      <c r="H84" s="697">
        <f t="shared" si="35"/>
        <v>0</v>
      </c>
      <c r="I84" s="933">
        <f t="shared" si="45"/>
        <v>0</v>
      </c>
      <c r="J84" s="933">
        <f t="shared" si="45"/>
        <v>0</v>
      </c>
      <c r="K84" s="933">
        <f t="shared" si="45"/>
        <v>0</v>
      </c>
      <c r="L84" s="933"/>
      <c r="M84" s="697">
        <f t="shared" si="37"/>
        <v>0</v>
      </c>
      <c r="N84" s="933">
        <f t="shared" si="46"/>
        <v>0</v>
      </c>
      <c r="O84" s="933">
        <f t="shared" si="46"/>
        <v>0</v>
      </c>
      <c r="P84" s="933">
        <f t="shared" si="46"/>
        <v>0</v>
      </c>
      <c r="Q84" s="933"/>
      <c r="R84" s="697">
        <f t="shared" si="39"/>
        <v>0</v>
      </c>
      <c r="S84" s="933">
        <f t="shared" si="47"/>
        <v>0</v>
      </c>
      <c r="T84" s="933">
        <f t="shared" si="47"/>
        <v>0</v>
      </c>
      <c r="U84" s="933">
        <f t="shared" si="47"/>
        <v>0</v>
      </c>
      <c r="V84" s="933"/>
      <c r="W84" s="697">
        <f t="shared" si="41"/>
        <v>0</v>
      </c>
      <c r="X84" s="933">
        <f t="shared" si="48"/>
        <v>0</v>
      </c>
      <c r="Y84" s="933">
        <f t="shared" si="48"/>
        <v>0</v>
      </c>
      <c r="Z84" s="933">
        <f t="shared" si="48"/>
        <v>0</v>
      </c>
      <c r="AA84" s="933"/>
      <c r="AB84" s="697">
        <f t="shared" si="43"/>
        <v>0</v>
      </c>
    </row>
    <row r="85" spans="2:28">
      <c r="B85" s="474">
        <f t="shared" si="49"/>
        <v>16</v>
      </c>
      <c r="C85" s="476" t="s">
        <v>849</v>
      </c>
      <c r="D85" s="933">
        <f t="shared" si="44"/>
        <v>0</v>
      </c>
      <c r="E85" s="933">
        <f t="shared" si="44"/>
        <v>0</v>
      </c>
      <c r="F85" s="933">
        <f t="shared" si="44"/>
        <v>0</v>
      </c>
      <c r="G85" s="933"/>
      <c r="H85" s="697">
        <f t="shared" si="35"/>
        <v>0</v>
      </c>
      <c r="I85" s="933">
        <f t="shared" si="45"/>
        <v>0</v>
      </c>
      <c r="J85" s="933">
        <f t="shared" si="45"/>
        <v>0</v>
      </c>
      <c r="K85" s="933">
        <f t="shared" si="45"/>
        <v>0</v>
      </c>
      <c r="L85" s="933"/>
      <c r="M85" s="697">
        <f t="shared" si="37"/>
        <v>0</v>
      </c>
      <c r="N85" s="933">
        <f t="shared" si="46"/>
        <v>0</v>
      </c>
      <c r="O85" s="933">
        <f t="shared" si="46"/>
        <v>0</v>
      </c>
      <c r="P85" s="933">
        <f t="shared" si="46"/>
        <v>0</v>
      </c>
      <c r="Q85" s="933"/>
      <c r="R85" s="697">
        <f t="shared" si="39"/>
        <v>0</v>
      </c>
      <c r="S85" s="933">
        <f t="shared" si="47"/>
        <v>0</v>
      </c>
      <c r="T85" s="933">
        <f t="shared" si="47"/>
        <v>0</v>
      </c>
      <c r="U85" s="933">
        <f t="shared" si="47"/>
        <v>0</v>
      </c>
      <c r="V85" s="933"/>
      <c r="W85" s="697">
        <f t="shared" si="41"/>
        <v>0</v>
      </c>
      <c r="X85" s="933">
        <f t="shared" si="48"/>
        <v>0</v>
      </c>
      <c r="Y85" s="933">
        <f t="shared" si="48"/>
        <v>0</v>
      </c>
      <c r="Z85" s="933">
        <f t="shared" si="48"/>
        <v>0</v>
      </c>
      <c r="AA85" s="933"/>
      <c r="AB85" s="697">
        <f t="shared" si="43"/>
        <v>0</v>
      </c>
    </row>
    <row r="86" spans="2:28">
      <c r="B86" s="474">
        <f t="shared" si="49"/>
        <v>17</v>
      </c>
      <c r="C86" s="476" t="s">
        <v>900</v>
      </c>
      <c r="D86" s="933">
        <f t="shared" si="44"/>
        <v>0</v>
      </c>
      <c r="E86" s="933">
        <f t="shared" si="44"/>
        <v>0</v>
      </c>
      <c r="F86" s="933">
        <f t="shared" si="44"/>
        <v>0</v>
      </c>
      <c r="G86" s="933"/>
      <c r="H86" s="697">
        <f t="shared" si="35"/>
        <v>0</v>
      </c>
      <c r="I86" s="933">
        <f t="shared" si="45"/>
        <v>0</v>
      </c>
      <c r="J86" s="933">
        <f t="shared" si="45"/>
        <v>0</v>
      </c>
      <c r="K86" s="933">
        <f t="shared" si="45"/>
        <v>0</v>
      </c>
      <c r="L86" s="933"/>
      <c r="M86" s="697">
        <f t="shared" si="37"/>
        <v>0</v>
      </c>
      <c r="N86" s="933">
        <f t="shared" si="46"/>
        <v>0</v>
      </c>
      <c r="O86" s="933">
        <f t="shared" si="46"/>
        <v>0</v>
      </c>
      <c r="P86" s="933">
        <f t="shared" si="46"/>
        <v>0</v>
      </c>
      <c r="Q86" s="933"/>
      <c r="R86" s="697">
        <f t="shared" si="39"/>
        <v>0</v>
      </c>
      <c r="S86" s="933">
        <f t="shared" si="47"/>
        <v>0</v>
      </c>
      <c r="T86" s="933">
        <f t="shared" si="47"/>
        <v>0</v>
      </c>
      <c r="U86" s="933">
        <f t="shared" si="47"/>
        <v>0</v>
      </c>
      <c r="V86" s="933"/>
      <c r="W86" s="697">
        <f t="shared" si="41"/>
        <v>0</v>
      </c>
      <c r="X86" s="933">
        <f t="shared" si="48"/>
        <v>0</v>
      </c>
      <c r="Y86" s="933">
        <f t="shared" si="48"/>
        <v>0</v>
      </c>
      <c r="Z86" s="933">
        <f t="shared" si="48"/>
        <v>0</v>
      </c>
      <c r="AA86" s="933"/>
      <c r="AB86" s="697">
        <f t="shared" si="43"/>
        <v>0</v>
      </c>
    </row>
    <row r="87" spans="2:28" ht="16">
      <c r="B87" s="83"/>
      <c r="C87" s="97" t="s">
        <v>271</v>
      </c>
      <c r="D87" s="97">
        <f>SUM(D70:D86)</f>
        <v>0</v>
      </c>
      <c r="E87" s="97">
        <f t="shared" ref="E87:AB87" si="50">SUM(E70:E86)</f>
        <v>65.392766333333341</v>
      </c>
      <c r="F87" s="97">
        <f t="shared" si="50"/>
        <v>0</v>
      </c>
      <c r="G87" s="97">
        <f t="shared" si="50"/>
        <v>0</v>
      </c>
      <c r="H87" s="97">
        <f t="shared" si="50"/>
        <v>65.392766333333341</v>
      </c>
      <c r="I87" s="97">
        <f t="shared" si="50"/>
        <v>65.392766333333341</v>
      </c>
      <c r="J87" s="97">
        <f t="shared" si="50"/>
        <v>46.951065833333331</v>
      </c>
      <c r="K87" s="97">
        <f t="shared" si="50"/>
        <v>0</v>
      </c>
      <c r="L87" s="97">
        <f t="shared" si="50"/>
        <v>0</v>
      </c>
      <c r="M87" s="97">
        <f t="shared" si="50"/>
        <v>112.34383216666666</v>
      </c>
      <c r="N87" s="97">
        <f t="shared" si="50"/>
        <v>112.34383216666664</v>
      </c>
      <c r="O87" s="97">
        <f t="shared" si="50"/>
        <v>74.104265833333329</v>
      </c>
      <c r="P87" s="97">
        <f t="shared" si="50"/>
        <v>0</v>
      </c>
      <c r="Q87" s="97">
        <f t="shared" si="50"/>
        <v>0</v>
      </c>
      <c r="R87" s="97">
        <f t="shared" si="50"/>
        <v>186.44809799999999</v>
      </c>
      <c r="S87" s="97">
        <f t="shared" si="50"/>
        <v>186.44809800000002</v>
      </c>
      <c r="T87" s="97">
        <f t="shared" si="50"/>
        <v>-0.69080600000000025</v>
      </c>
      <c r="U87" s="97">
        <f t="shared" si="50"/>
        <v>0</v>
      </c>
      <c r="V87" s="97">
        <f t="shared" si="50"/>
        <v>0</v>
      </c>
      <c r="W87" s="97">
        <f t="shared" si="50"/>
        <v>185.75729199999998</v>
      </c>
      <c r="X87" s="97">
        <f t="shared" si="50"/>
        <v>185.75729199999998</v>
      </c>
      <c r="Y87" s="97">
        <f t="shared" si="50"/>
        <v>55.174330666666663</v>
      </c>
      <c r="Z87" s="97">
        <f t="shared" si="50"/>
        <v>0</v>
      </c>
      <c r="AA87" s="97">
        <f t="shared" si="50"/>
        <v>0</v>
      </c>
      <c r="AB87" s="97">
        <f t="shared" si="50"/>
        <v>240.93162266666664</v>
      </c>
    </row>
    <row r="88" spans="2:28">
      <c r="B88" s="273"/>
      <c r="C88" s="947"/>
      <c r="D88" s="947"/>
      <c r="E88" s="947"/>
      <c r="F88" s="947"/>
      <c r="G88" s="947"/>
      <c r="H88" s="947"/>
      <c r="I88" s="947"/>
      <c r="J88" s="947"/>
      <c r="K88" s="947"/>
    </row>
  </sheetData>
  <mergeCells count="36">
    <mergeCell ref="X66:AB66"/>
    <mergeCell ref="D67:H67"/>
    <mergeCell ref="I67:M67"/>
    <mergeCell ref="N67:R67"/>
    <mergeCell ref="S67:W67"/>
    <mergeCell ref="X67:AB67"/>
    <mergeCell ref="S66:W66"/>
    <mergeCell ref="B66:B68"/>
    <mergeCell ref="C66:C68"/>
    <mergeCell ref="D66:H66"/>
    <mergeCell ref="I66:M66"/>
    <mergeCell ref="N66:R66"/>
    <mergeCell ref="X40:AB40"/>
    <mergeCell ref="D41:H41"/>
    <mergeCell ref="I41:M41"/>
    <mergeCell ref="N41:R41"/>
    <mergeCell ref="S41:W41"/>
    <mergeCell ref="X41:AB41"/>
    <mergeCell ref="S40:W40"/>
    <mergeCell ref="B40:B42"/>
    <mergeCell ref="C40:C42"/>
    <mergeCell ref="D40:H40"/>
    <mergeCell ref="I40:M40"/>
    <mergeCell ref="N40:R40"/>
    <mergeCell ref="X12:AB12"/>
    <mergeCell ref="D13:H13"/>
    <mergeCell ref="I13:M13"/>
    <mergeCell ref="N13:R13"/>
    <mergeCell ref="S13:W13"/>
    <mergeCell ref="X13:AB13"/>
    <mergeCell ref="S12:W12"/>
    <mergeCell ref="B12:B14"/>
    <mergeCell ref="C12:C14"/>
    <mergeCell ref="D12:H12"/>
    <mergeCell ref="I12:M12"/>
    <mergeCell ref="N12:R12"/>
  </mergeCells>
  <pageMargins left="0.27559055118110237" right="0.23622047244094491" top="0.23622047244094491" bottom="0.23622047244094491" header="0.23622047244094491" footer="0.23622047244094491"/>
  <pageSetup paperSize="9" scale="42" orientation="landscape" r:id="rId1"/>
  <headerFooter alignWithMargins="0">
    <oddHeader>&amp;F</oddHeader>
  </headerFooter>
  <rowBreaks count="2" manualBreakCount="2">
    <brk id="34" max="29" man="1"/>
    <brk id="63" max="29" man="1"/>
  </rowBreaks>
  <colBreaks count="1" manualBreakCount="1">
    <brk id="23" max="1048575"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A1:V325"/>
  <sheetViews>
    <sheetView showGridLines="0" view="pageBreakPreview" zoomScale="56" zoomScaleNormal="75" zoomScaleSheetLayoutView="70" workbookViewId="0">
      <pane xSplit="3" ySplit="12" topLeftCell="D13" activePane="bottomRight" state="frozen"/>
      <selection pane="topRight" activeCell="D1" sqref="D1"/>
      <selection pane="bottomLeft" activeCell="A13" sqref="A13"/>
      <selection pane="bottomRight" activeCell="E24" sqref="E24"/>
    </sheetView>
  </sheetViews>
  <sheetFormatPr defaultColWidth="9.36328125" defaultRowHeight="14"/>
  <cols>
    <col min="1" max="1" width="6.6328125" style="14" customWidth="1"/>
    <col min="2" max="2" width="7" style="607" customWidth="1"/>
    <col min="3" max="3" width="41.81640625" style="435" customWidth="1"/>
    <col min="4" max="4" width="16.453125" style="435" customWidth="1"/>
    <col min="5" max="5" width="17.36328125" style="435" customWidth="1"/>
    <col min="6" max="6" width="21.36328125" style="435" customWidth="1"/>
    <col min="7" max="7" width="22.36328125" style="435" customWidth="1"/>
    <col min="8" max="9" width="20.6328125" style="435" customWidth="1"/>
    <col min="10" max="10" width="18.6328125" style="14" customWidth="1"/>
    <col min="11" max="11" width="18.6328125" style="64" customWidth="1"/>
    <col min="12" max="12" width="18.6328125" style="14" customWidth="1"/>
    <col min="13" max="16" width="16.54296875" style="14" customWidth="1"/>
    <col min="17" max="19" width="18.6328125" style="14" customWidth="1"/>
    <col min="20" max="16384" width="9.36328125" style="14"/>
  </cols>
  <sheetData>
    <row r="1" spans="2:18">
      <c r="C1" s="14"/>
      <c r="D1" s="14"/>
      <c r="E1" s="14"/>
      <c r="F1" s="14"/>
      <c r="G1" s="14"/>
      <c r="H1" s="14"/>
      <c r="I1" s="14"/>
    </row>
    <row r="2" spans="2:18">
      <c r="C2" s="15" t="str">
        <f>Index!B2</f>
        <v xml:space="preserve">      Maharashtra State Power Generation Company Ltd.</v>
      </c>
      <c r="D2" s="15"/>
      <c r="E2" s="15"/>
      <c r="F2" s="15"/>
      <c r="G2" s="15"/>
      <c r="H2" s="16"/>
      <c r="I2" s="16"/>
      <c r="J2" s="16"/>
      <c r="K2" s="343"/>
      <c r="L2" s="16"/>
      <c r="M2" s="16"/>
      <c r="N2" s="16"/>
      <c r="O2" s="16"/>
      <c r="P2" s="16"/>
    </row>
    <row r="3" spans="2:18" s="5" customFormat="1">
      <c r="B3" s="608"/>
      <c r="C3" s="15" t="str">
        <f>Index!B3</f>
        <v>MYT Petition Formats for Parli 8</v>
      </c>
      <c r="D3" s="17"/>
      <c r="E3" s="17"/>
      <c r="F3" s="17"/>
      <c r="G3" s="17"/>
      <c r="H3" s="18"/>
      <c r="I3" s="18"/>
      <c r="J3" s="18"/>
      <c r="K3" s="66"/>
      <c r="L3" s="18"/>
      <c r="M3" s="18"/>
      <c r="N3" s="18"/>
      <c r="O3" s="18"/>
      <c r="P3" s="18"/>
    </row>
    <row r="4" spans="2:18" s="5" customFormat="1">
      <c r="B4" s="608"/>
      <c r="C4" s="19" t="s">
        <v>51</v>
      </c>
      <c r="D4" s="19"/>
      <c r="E4" s="19"/>
      <c r="F4" s="19"/>
      <c r="G4" s="19"/>
      <c r="H4" s="18"/>
      <c r="I4" s="18"/>
      <c r="J4" s="20"/>
      <c r="K4" s="66"/>
      <c r="L4" s="18"/>
      <c r="M4" s="18"/>
      <c r="N4" s="18"/>
      <c r="O4" s="18"/>
      <c r="P4" s="18"/>
    </row>
    <row r="5" spans="2:18" s="5" customFormat="1">
      <c r="B5" s="608"/>
      <c r="C5" s="19"/>
      <c r="D5" s="19"/>
      <c r="E5" s="19"/>
      <c r="F5" s="19"/>
      <c r="G5" s="19"/>
      <c r="H5" s="18"/>
      <c r="I5" s="18"/>
      <c r="J5" s="20"/>
      <c r="K5" s="66"/>
      <c r="L5" s="18"/>
      <c r="M5" s="18"/>
      <c r="N5" s="18"/>
      <c r="O5" s="18"/>
      <c r="P5" s="18"/>
    </row>
    <row r="6" spans="2:18" s="5" customFormat="1">
      <c r="B6" s="608"/>
      <c r="C6" s="19"/>
      <c r="D6" s="19"/>
      <c r="E6" s="19"/>
      <c r="F6" s="19"/>
      <c r="G6" s="19"/>
      <c r="H6" s="18"/>
      <c r="I6" s="18"/>
      <c r="J6" s="20"/>
      <c r="K6" s="66"/>
      <c r="L6" s="18"/>
      <c r="M6" s="18"/>
      <c r="N6" s="18"/>
      <c r="O6" s="18"/>
      <c r="P6" s="18"/>
    </row>
    <row r="7" spans="2:18" s="5" customFormat="1">
      <c r="B7" s="608"/>
      <c r="C7" s="19"/>
      <c r="D7" s="19"/>
      <c r="E7" s="19"/>
      <c r="F7" s="19"/>
      <c r="G7" s="19"/>
      <c r="H7" s="18"/>
      <c r="I7" s="18"/>
      <c r="J7" s="20"/>
      <c r="K7" s="66"/>
      <c r="L7" s="18"/>
      <c r="M7" s="18"/>
      <c r="N7" s="18"/>
      <c r="O7" s="18"/>
      <c r="P7" s="18"/>
    </row>
    <row r="8" spans="2:18" s="5" customFormat="1" ht="17.5">
      <c r="B8" s="608"/>
      <c r="C8" s="101" t="s">
        <v>403</v>
      </c>
      <c r="D8" s="101"/>
      <c r="E8" s="101"/>
      <c r="F8" s="101"/>
      <c r="G8" s="101"/>
      <c r="H8" s="18"/>
      <c r="I8" s="18"/>
      <c r="J8" s="20"/>
      <c r="K8" s="66"/>
      <c r="L8" s="18"/>
      <c r="M8" s="18"/>
      <c r="N8" s="18"/>
      <c r="O8" s="18"/>
      <c r="P8" s="18"/>
    </row>
    <row r="9" spans="2:18" s="5" customFormat="1">
      <c r="B9" s="608"/>
      <c r="C9" s="19"/>
      <c r="D9" s="72"/>
      <c r="E9" s="72"/>
      <c r="F9" s="72"/>
      <c r="G9" s="72"/>
      <c r="H9" s="50"/>
      <c r="I9" s="50"/>
      <c r="J9" s="307"/>
      <c r="K9" s="344"/>
      <c r="L9" s="50"/>
      <c r="N9" s="50"/>
      <c r="O9" s="50"/>
      <c r="P9" s="50"/>
      <c r="Q9" s="293" t="s">
        <v>10</v>
      </c>
    </row>
    <row r="10" spans="2:18" ht="26" customHeight="1">
      <c r="B10" s="1949" t="s">
        <v>343</v>
      </c>
      <c r="C10" s="1770" t="s">
        <v>25</v>
      </c>
      <c r="D10" s="1880" t="s">
        <v>508</v>
      </c>
      <c r="E10" s="1881"/>
      <c r="F10" s="1882"/>
      <c r="G10" s="1880" t="s">
        <v>509</v>
      </c>
      <c r="H10" s="1881"/>
      <c r="I10" s="1882"/>
      <c r="J10" s="1880" t="s">
        <v>510</v>
      </c>
      <c r="K10" s="1881"/>
      <c r="L10" s="1882"/>
      <c r="M10" s="1775" t="s">
        <v>957</v>
      </c>
      <c r="N10" s="1775"/>
      <c r="O10" s="1775"/>
      <c r="P10" s="1775"/>
      <c r="Q10" s="1775"/>
      <c r="R10" s="1785" t="s">
        <v>26</v>
      </c>
    </row>
    <row r="11" spans="2:18" ht="49.5" customHeight="1">
      <c r="B11" s="1949"/>
      <c r="C11" s="1770"/>
      <c r="D11" s="306" t="s">
        <v>956</v>
      </c>
      <c r="E11" s="301" t="s">
        <v>78</v>
      </c>
      <c r="F11" s="301" t="s">
        <v>451</v>
      </c>
      <c r="G11" s="306" t="s">
        <v>956</v>
      </c>
      <c r="H11" s="301" t="s">
        <v>78</v>
      </c>
      <c r="I11" s="301" t="s">
        <v>451</v>
      </c>
      <c r="J11" s="301" t="s">
        <v>956</v>
      </c>
      <c r="K11" s="342" t="s">
        <v>79</v>
      </c>
      <c r="L11" s="301" t="s">
        <v>452</v>
      </c>
      <c r="M11" s="709" t="s">
        <v>958</v>
      </c>
      <c r="N11" s="709" t="s">
        <v>959</v>
      </c>
      <c r="O11" s="709" t="s">
        <v>960</v>
      </c>
      <c r="P11" s="709" t="s">
        <v>961</v>
      </c>
      <c r="Q11" s="709" t="s">
        <v>962</v>
      </c>
      <c r="R11" s="1785"/>
    </row>
    <row r="12" spans="2:18" ht="26" customHeight="1">
      <c r="B12" s="609"/>
      <c r="C12" s="215"/>
      <c r="D12" s="301" t="s">
        <v>80</v>
      </c>
      <c r="E12" s="301" t="s">
        <v>81</v>
      </c>
      <c r="F12" s="301" t="s">
        <v>676</v>
      </c>
      <c r="G12" s="301" t="s">
        <v>391</v>
      </c>
      <c r="H12" s="301" t="s">
        <v>409</v>
      </c>
      <c r="I12" s="301" t="s">
        <v>456</v>
      </c>
      <c r="J12" s="301" t="s">
        <v>410</v>
      </c>
      <c r="K12" s="342" t="s">
        <v>411</v>
      </c>
      <c r="L12" s="301" t="s">
        <v>512</v>
      </c>
      <c r="M12" s="698" t="s">
        <v>21</v>
      </c>
      <c r="N12" s="698" t="s">
        <v>21</v>
      </c>
      <c r="O12" s="698" t="s">
        <v>21</v>
      </c>
      <c r="P12" s="698" t="s">
        <v>21</v>
      </c>
      <c r="Q12" s="698" t="s">
        <v>21</v>
      </c>
      <c r="R12" s="1786"/>
    </row>
    <row r="13" spans="2:18">
      <c r="B13" s="610">
        <v>1</v>
      </c>
      <c r="C13" s="26" t="s">
        <v>397</v>
      </c>
      <c r="D13" s="359"/>
      <c r="E13" s="325"/>
      <c r="F13" s="325">
        <f t="shared" ref="F13:F18" si="0">E13-D13</f>
        <v>0</v>
      </c>
      <c r="G13" s="325"/>
      <c r="H13" s="313"/>
      <c r="I13" s="325">
        <f>H13-G13</f>
        <v>0</v>
      </c>
      <c r="J13" s="313"/>
      <c r="K13" s="326"/>
      <c r="L13" s="313">
        <f>K13-J13</f>
        <v>0</v>
      </c>
      <c r="M13" s="313"/>
      <c r="N13" s="314"/>
      <c r="O13" s="314"/>
      <c r="P13" s="314"/>
      <c r="Q13" s="314"/>
      <c r="R13" s="24"/>
    </row>
    <row r="14" spans="2:18">
      <c r="B14" s="610">
        <f>B13+1</f>
        <v>2</v>
      </c>
      <c r="C14" s="26" t="s">
        <v>398</v>
      </c>
      <c r="D14" s="359"/>
      <c r="E14" s="325"/>
      <c r="F14" s="325">
        <f t="shared" si="0"/>
        <v>0</v>
      </c>
      <c r="G14" s="325"/>
      <c r="H14" s="313"/>
      <c r="I14" s="325">
        <f t="shared" ref="I14:I22" si="1">H14-G14</f>
        <v>0</v>
      </c>
      <c r="J14" s="313"/>
      <c r="K14" s="326"/>
      <c r="L14" s="313">
        <f t="shared" ref="L14:L24" si="2">K14-J14</f>
        <v>0</v>
      </c>
      <c r="M14" s="313"/>
      <c r="N14" s="314"/>
      <c r="O14" s="314"/>
      <c r="P14" s="314"/>
      <c r="Q14" s="314"/>
      <c r="R14" s="24"/>
    </row>
    <row r="15" spans="2:18" s="322" customFormat="1">
      <c r="B15" s="611">
        <f t="shared" ref="B15:B20" si="3">B14+1</f>
        <v>3</v>
      </c>
      <c r="C15" s="712" t="s">
        <v>399</v>
      </c>
      <c r="D15" s="833">
        <v>987.79410860308872</v>
      </c>
      <c r="E15" s="713">
        <v>997.45241332814498</v>
      </c>
      <c r="F15" s="713">
        <f t="shared" si="0"/>
        <v>9.6583047250562686</v>
      </c>
      <c r="G15" s="713">
        <f>D19</f>
        <v>963.3337454940945</v>
      </c>
      <c r="H15" s="713">
        <f>E19</f>
        <v>911.60072430632283</v>
      </c>
      <c r="I15" s="713">
        <f t="shared" si="1"/>
        <v>-51.733021187771669</v>
      </c>
      <c r="J15" s="714">
        <f>G19</f>
        <v>868.6773570804603</v>
      </c>
      <c r="K15" s="713">
        <f>H19</f>
        <v>869.98124630952361</v>
      </c>
      <c r="L15" s="714">
        <f t="shared" si="2"/>
        <v>1.3038892290633157</v>
      </c>
      <c r="M15" s="713">
        <f>K19</f>
        <v>783.10022111977526</v>
      </c>
      <c r="N15" s="713">
        <f>M19</f>
        <v>753.60364793002691</v>
      </c>
      <c r="O15" s="713">
        <f>N19</f>
        <v>684.09598957361186</v>
      </c>
      <c r="P15" s="713">
        <f>O19</f>
        <v>632.76328121719689</v>
      </c>
      <c r="Q15" s="713">
        <f>P19</f>
        <v>528.627265825785</v>
      </c>
      <c r="R15" s="119"/>
    </row>
    <row r="16" spans="2:18" s="322" customFormat="1">
      <c r="B16" s="611">
        <f t="shared" si="3"/>
        <v>4</v>
      </c>
      <c r="C16" s="59" t="s">
        <v>400</v>
      </c>
      <c r="D16" s="359"/>
      <c r="E16" s="359">
        <f>'F5'!$F$31*E15/'F5'!D31</f>
        <v>0</v>
      </c>
      <c r="F16" s="359">
        <f t="shared" si="0"/>
        <v>0</v>
      </c>
      <c r="G16" s="359"/>
      <c r="H16" s="326">
        <f>'F5'!$K$31*H15/'F5'!I31</f>
        <v>0</v>
      </c>
      <c r="I16" s="359">
        <f t="shared" si="1"/>
        <v>0</v>
      </c>
      <c r="J16" s="326"/>
      <c r="K16" s="326">
        <f>'F5'!$P$31*K15/'F5'!N31</f>
        <v>0</v>
      </c>
      <c r="L16" s="326">
        <f t="shared" si="2"/>
        <v>0</v>
      </c>
      <c r="M16" s="326"/>
      <c r="N16" s="326"/>
      <c r="O16" s="326"/>
      <c r="P16" s="326"/>
      <c r="Q16" s="326"/>
      <c r="R16" s="119"/>
    </row>
    <row r="17" spans="1:22" s="322" customFormat="1">
      <c r="B17" s="611">
        <f t="shared" si="3"/>
        <v>5</v>
      </c>
      <c r="C17" s="59" t="s">
        <v>467</v>
      </c>
      <c r="D17" s="359">
        <f>'F4'!D14*70%</f>
        <v>72.558678569999984</v>
      </c>
      <c r="E17" s="359">
        <f>'F4'!E14*70%</f>
        <v>8.9651515288999999</v>
      </c>
      <c r="F17" s="359">
        <f t="shared" si="0"/>
        <v>-63.593527041099982</v>
      </c>
      <c r="G17" s="359">
        <f>'F4'!G14*70%</f>
        <v>5.2989999999999995</v>
      </c>
      <c r="H17" s="326">
        <f>'F4'!H14*70%</f>
        <v>55.183627459100002</v>
      </c>
      <c r="I17" s="359">
        <f t="shared" si="1"/>
        <v>49.884627459100003</v>
      </c>
      <c r="J17" s="359">
        <f>'F4'!J14*70%</f>
        <v>62.468000000000004</v>
      </c>
      <c r="K17" s="326">
        <f>'F4'!M14*70%</f>
        <v>11.976999999999999</v>
      </c>
      <c r="L17" s="326">
        <f t="shared" si="2"/>
        <v>-50.491000000000007</v>
      </c>
      <c r="M17" s="326">
        <f>'F4'!O14*70%</f>
        <v>72.165333333333308</v>
      </c>
      <c r="N17" s="326">
        <f>'F4'!P14*70%</f>
        <v>35.589749999999995</v>
      </c>
      <c r="O17" s="326">
        <f>'F4'!Q14*70%</f>
        <v>56.538999999999994</v>
      </c>
      <c r="P17" s="326">
        <f>'F4'!R14*70%</f>
        <v>5.5019999999999998</v>
      </c>
      <c r="Q17" s="326">
        <f>'F4'!S14*70%</f>
        <v>45.702999999999989</v>
      </c>
      <c r="R17" s="119"/>
    </row>
    <row r="18" spans="1:22" s="322" customFormat="1">
      <c r="A18" s="850">
        <v>97.019041678994213</v>
      </c>
      <c r="B18" s="611">
        <f t="shared" si="3"/>
        <v>6</v>
      </c>
      <c r="C18" s="59" t="s">
        <v>407</v>
      </c>
      <c r="D18" s="359">
        <f>MIN(D17+D15,A18)</f>
        <v>97.019041678994213</v>
      </c>
      <c r="E18" s="359">
        <f>IF((E15-E16+E17)&lt;'F5 (T)'!$E$85,(E15-E16+E17),'F5 (T)'!$E$85)</f>
        <v>94.816840550722148</v>
      </c>
      <c r="F18" s="359">
        <f t="shared" si="0"/>
        <v>-2.2022011282720655</v>
      </c>
      <c r="G18" s="359">
        <f>MIN(G17+G15,U18)</f>
        <v>99.955388413634211</v>
      </c>
      <c r="H18" s="359">
        <f>IF((H15-H16+H17)&lt;'F5 (T)'!$J$85,(H15-H16+H17),'F5 (T)'!$J$85)</f>
        <v>96.803105455899214</v>
      </c>
      <c r="I18" s="359">
        <f t="shared" si="1"/>
        <v>-3.1522829577349967</v>
      </c>
      <c r="J18" s="359">
        <f>MIN(J17+J15,V18)</f>
        <v>102.5111724136342</v>
      </c>
      <c r="K18" s="359">
        <f>IF((K15-K16+K17)&lt;'F5 (T)'!$O$85,(K15-K16+K17),'F5 (T)'!$O$85)</f>
        <v>98.85802518974829</v>
      </c>
      <c r="L18" s="326">
        <f t="shared" si="2"/>
        <v>-3.6531472238859095</v>
      </c>
      <c r="M18" s="325">
        <f>IF((M15-M16+M17)&lt;'F5 (T)'!T85,(M15-M16+M17),'F5 (T)'!T85)</f>
        <v>101.66190652308164</v>
      </c>
      <c r="N18" s="325">
        <f>IF((N15-N16+N17)&lt;'F5 (T)'!E112,(N15-N16+N17),'F5 (T)'!E112)</f>
        <v>105.09740835641497</v>
      </c>
      <c r="O18" s="325">
        <f>IF((O15-O16+O17)&lt;'F5 (T)'!J112,(O15-O16+O17),'F5 (T)'!J112)</f>
        <v>107.87170835641498</v>
      </c>
      <c r="P18" s="325">
        <f>IF((P15-P16+P17)&lt;'F5 (T)'!O112,(P15-P16+P17),'F5 (T)'!O112)</f>
        <v>109.63801539141181</v>
      </c>
      <c r="Q18" s="325">
        <f>IF((Q15-Q16+Q17)&lt;'F5 (T)'!T112,(Q15-Q16+Q17),'F5 (T)'!T112)</f>
        <v>106.49786534803044</v>
      </c>
      <c r="R18" s="119"/>
      <c r="U18" s="322">
        <f>'F1'!$I$15</f>
        <v>99.955388413634211</v>
      </c>
      <c r="V18" s="322">
        <f>'F1'!$M$15</f>
        <v>102.5111724136342</v>
      </c>
    </row>
    <row r="19" spans="1:22" s="322" customFormat="1">
      <c r="B19" s="611">
        <f t="shared" si="3"/>
        <v>7</v>
      </c>
      <c r="C19" s="712" t="s">
        <v>401</v>
      </c>
      <c r="D19" s="713">
        <f>D15-D16+D17-D18</f>
        <v>963.3337454940945</v>
      </c>
      <c r="E19" s="713">
        <f>E15+E17-E18</f>
        <v>911.60072430632283</v>
      </c>
      <c r="F19" s="713">
        <f t="shared" ref="F19:F24" si="4">E19-D19</f>
        <v>-51.733021187771669</v>
      </c>
      <c r="G19" s="713">
        <f>G15-G16+G17-G18</f>
        <v>868.6773570804603</v>
      </c>
      <c r="H19" s="713">
        <f>H15+H17-H18</f>
        <v>869.98124630952361</v>
      </c>
      <c r="I19" s="713">
        <f t="shared" si="1"/>
        <v>1.3038892290633157</v>
      </c>
      <c r="J19" s="713">
        <f>J15-J16+J17-J18</f>
        <v>828.63418466682606</v>
      </c>
      <c r="K19" s="713">
        <f>K15+K17-K18</f>
        <v>783.10022111977526</v>
      </c>
      <c r="L19" s="714">
        <f t="shared" si="2"/>
        <v>-45.533963547050803</v>
      </c>
      <c r="M19" s="713">
        <f t="shared" ref="M19:Q19" si="5">M15+M17-M18</f>
        <v>753.60364793002691</v>
      </c>
      <c r="N19" s="713">
        <f t="shared" si="5"/>
        <v>684.09598957361186</v>
      </c>
      <c r="O19" s="713">
        <f t="shared" si="5"/>
        <v>632.76328121719689</v>
      </c>
      <c r="P19" s="713">
        <f t="shared" si="5"/>
        <v>528.627265825785</v>
      </c>
      <c r="Q19" s="713">
        <f t="shared" si="5"/>
        <v>467.8324004777545</v>
      </c>
      <c r="R19" s="119"/>
    </row>
    <row r="20" spans="1:22" s="322" customFormat="1">
      <c r="B20" s="611">
        <f t="shared" si="3"/>
        <v>8</v>
      </c>
      <c r="C20" s="59" t="s">
        <v>402</v>
      </c>
      <c r="D20" s="359"/>
      <c r="E20" s="359"/>
      <c r="F20" s="359">
        <f t="shared" si="4"/>
        <v>0</v>
      </c>
      <c r="G20" s="359"/>
      <c r="H20" s="326"/>
      <c r="I20" s="359">
        <f t="shared" si="1"/>
        <v>0</v>
      </c>
      <c r="J20" s="326"/>
      <c r="K20" s="326"/>
      <c r="L20" s="326">
        <f t="shared" si="2"/>
        <v>0</v>
      </c>
      <c r="M20" s="326"/>
      <c r="N20" s="326"/>
      <c r="O20" s="326"/>
      <c r="P20" s="326"/>
      <c r="Q20" s="326"/>
      <c r="R20" s="119"/>
    </row>
    <row r="21" spans="1:22" s="322" customFormat="1">
      <c r="B21" s="611">
        <v>9</v>
      </c>
      <c r="C21" s="59" t="s">
        <v>471</v>
      </c>
      <c r="D21" s="359">
        <f>AVERAGE(D15,D19)</f>
        <v>975.56392704859161</v>
      </c>
      <c r="E21" s="359">
        <f>AVERAGE(E15,E19)</f>
        <v>954.52656881723397</v>
      </c>
      <c r="F21" s="359">
        <f t="shared" si="4"/>
        <v>-21.037358231357643</v>
      </c>
      <c r="G21" s="359">
        <f>AVERAGE(G15,G19)</f>
        <v>916.0055512872774</v>
      </c>
      <c r="H21" s="359">
        <f>AVERAGE(H15,H19)</f>
        <v>890.79098530792317</v>
      </c>
      <c r="I21" s="359">
        <f t="shared" si="1"/>
        <v>-25.214565979354234</v>
      </c>
      <c r="J21" s="359">
        <f>AVERAGE(J15,J19)</f>
        <v>848.65577087364318</v>
      </c>
      <c r="K21" s="359">
        <f>AVERAGE(K15,K19)</f>
        <v>826.54073371464938</v>
      </c>
      <c r="L21" s="359">
        <f t="shared" si="2"/>
        <v>-22.1150371589938</v>
      </c>
      <c r="M21" s="359">
        <f>AVERAGE(M15,M19)</f>
        <v>768.35193452490103</v>
      </c>
      <c r="N21" s="359">
        <f t="shared" ref="N21:Q21" si="6">AVERAGE(N15,N19)</f>
        <v>718.84981875181938</v>
      </c>
      <c r="O21" s="359">
        <f t="shared" si="6"/>
        <v>658.42963539540438</v>
      </c>
      <c r="P21" s="359">
        <f t="shared" si="6"/>
        <v>580.69527352149089</v>
      </c>
      <c r="Q21" s="359">
        <f t="shared" si="6"/>
        <v>498.22983315176975</v>
      </c>
      <c r="R21" s="119"/>
    </row>
    <row r="22" spans="1:22" s="322" customFormat="1" ht="15.5">
      <c r="B22" s="611">
        <v>10</v>
      </c>
      <c r="C22" s="59" t="s">
        <v>468</v>
      </c>
      <c r="D22" s="519">
        <v>0.10671074094948595</v>
      </c>
      <c r="E22" s="519">
        <f>(E123+E269)/(E267+E121)</f>
        <v>0.10530767571926453</v>
      </c>
      <c r="F22" s="519">
        <f>E22-D22</f>
        <v>-1.4030652302214203E-3</v>
      </c>
      <c r="G22" s="874">
        <v>0.10671074094948595</v>
      </c>
      <c r="H22" s="820">
        <f>(H123+H269)/(H267+H121)</f>
        <v>9.9907331367295293E-2</v>
      </c>
      <c r="I22" s="519">
        <f t="shared" si="1"/>
        <v>-6.8034095821906532E-3</v>
      </c>
      <c r="J22" s="875">
        <v>0.10671074094948595</v>
      </c>
      <c r="K22" s="366">
        <f>H22</f>
        <v>9.9907331367295293E-2</v>
      </c>
      <c r="L22" s="326">
        <f t="shared" si="2"/>
        <v>-6.8034095821906532E-3</v>
      </c>
      <c r="M22" s="594">
        <f>$H$22</f>
        <v>9.9907331367295293E-2</v>
      </c>
      <c r="N22" s="594">
        <f t="shared" ref="N22:Q22" si="7">$H$22</f>
        <v>9.9907331367295293E-2</v>
      </c>
      <c r="O22" s="594">
        <f t="shared" si="7"/>
        <v>9.9907331367295293E-2</v>
      </c>
      <c r="P22" s="594">
        <f t="shared" si="7"/>
        <v>9.9907331367295293E-2</v>
      </c>
      <c r="Q22" s="594">
        <f t="shared" si="7"/>
        <v>9.9907331367295293E-2</v>
      </c>
      <c r="R22" s="119"/>
    </row>
    <row r="23" spans="1:22" s="322" customFormat="1" ht="15.5">
      <c r="B23" s="611">
        <v>11</v>
      </c>
      <c r="C23" s="712" t="s">
        <v>32</v>
      </c>
      <c r="D23" s="715">
        <f>D21*D22</f>
        <v>104.10314949894547</v>
      </c>
      <c r="E23" s="827">
        <f>E21*E22</f>
        <v>100.51897437442751</v>
      </c>
      <c r="F23" s="715">
        <f t="shared" si="4"/>
        <v>-3.5841751245179552</v>
      </c>
      <c r="G23" s="715">
        <f>G21*G22</f>
        <v>97.747631091707717</v>
      </c>
      <c r="H23" s="715">
        <f>H21*H22</f>
        <v>88.99655014815815</v>
      </c>
      <c r="I23" s="819">
        <f>H23-G23</f>
        <v>-8.7510809435495673</v>
      </c>
      <c r="J23" s="819">
        <f>J21*J22</f>
        <v>90.560686120983632</v>
      </c>
      <c r="K23" s="819">
        <f>K21*K22</f>
        <v>82.57747897179685</v>
      </c>
      <c r="L23" s="819">
        <f>K23-J23</f>
        <v>-7.9832071491867822</v>
      </c>
      <c r="M23" s="715">
        <f>M21*M22</f>
        <v>76.763991329281666</v>
      </c>
      <c r="N23" s="715">
        <f t="shared" ref="N23:Q23" si="8">N21*N22</f>
        <v>71.818367045358187</v>
      </c>
      <c r="O23" s="715">
        <f t="shared" si="8"/>
        <v>65.781947765496085</v>
      </c>
      <c r="P23" s="715">
        <f t="shared" si="8"/>
        <v>58.015715115133766</v>
      </c>
      <c r="Q23" s="715">
        <f t="shared" si="8"/>
        <v>49.776813037766104</v>
      </c>
      <c r="R23" s="119"/>
    </row>
    <row r="24" spans="1:22" ht="15.5">
      <c r="B24" s="610">
        <v>12</v>
      </c>
      <c r="C24" s="26" t="s">
        <v>404</v>
      </c>
      <c r="D24" s="851">
        <v>0.42725292366031975</v>
      </c>
      <c r="E24" s="325">
        <v>0.64366662547364095</v>
      </c>
      <c r="F24" s="325">
        <f t="shared" si="4"/>
        <v>0.2164137018133212</v>
      </c>
      <c r="G24" s="876">
        <v>0.42725292366031975</v>
      </c>
      <c r="H24" s="325">
        <v>0.55160299912996458</v>
      </c>
      <c r="I24" s="876">
        <f t="shared" ref="I24" si="9">H24-G24</f>
        <v>0.12435007546964483</v>
      </c>
      <c r="J24" s="872">
        <v>0.42725292366031975</v>
      </c>
      <c r="K24" s="325">
        <v>0.55160299912996458</v>
      </c>
      <c r="L24" s="313">
        <f t="shared" si="2"/>
        <v>0.12435007546964483</v>
      </c>
      <c r="M24" s="872">
        <v>0.55160299912996458</v>
      </c>
      <c r="N24" s="872">
        <v>0.55160299912996458</v>
      </c>
      <c r="O24" s="872">
        <v>0.55160299912996458</v>
      </c>
      <c r="P24" s="872">
        <v>0.55160299912996458</v>
      </c>
      <c r="Q24" s="872">
        <v>0.55160299912996458</v>
      </c>
      <c r="R24" s="24"/>
    </row>
    <row r="25" spans="1:22">
      <c r="B25" s="612">
        <v>13</v>
      </c>
      <c r="C25" s="25" t="s">
        <v>469</v>
      </c>
      <c r="D25" s="317">
        <f>SUM(D23:D24)</f>
        <v>104.53040242260579</v>
      </c>
      <c r="E25" s="317">
        <f>SUM(E23:E24)</f>
        <v>101.16264099990116</v>
      </c>
      <c r="F25" s="317">
        <f t="shared" ref="F25:M25" si="10">SUM(F23:F24)</f>
        <v>-3.3677614227046337</v>
      </c>
      <c r="G25" s="317">
        <f t="shared" si="10"/>
        <v>98.174884015368036</v>
      </c>
      <c r="H25" s="317">
        <f t="shared" si="10"/>
        <v>89.548153147288119</v>
      </c>
      <c r="I25" s="317">
        <f t="shared" si="10"/>
        <v>-8.6267308680799228</v>
      </c>
      <c r="J25" s="317">
        <f t="shared" si="10"/>
        <v>90.987939044643952</v>
      </c>
      <c r="K25" s="317">
        <f t="shared" si="10"/>
        <v>83.129081970926819</v>
      </c>
      <c r="L25" s="317">
        <f t="shared" si="10"/>
        <v>-7.8588570737171377</v>
      </c>
      <c r="M25" s="317">
        <f t="shared" si="10"/>
        <v>77.315594328411635</v>
      </c>
      <c r="N25" s="317">
        <f t="shared" ref="N25:Q25" si="11">SUM(N23:N24)</f>
        <v>72.369970044488156</v>
      </c>
      <c r="O25" s="317">
        <f t="shared" si="11"/>
        <v>66.333550764626054</v>
      </c>
      <c r="P25" s="317">
        <f t="shared" si="11"/>
        <v>58.567318114263728</v>
      </c>
      <c r="Q25" s="317">
        <f t="shared" si="11"/>
        <v>50.328416036896066</v>
      </c>
      <c r="R25" s="24"/>
    </row>
    <row r="26" spans="1:22" s="5" customFormat="1">
      <c r="B26" s="608"/>
      <c r="C26" s="19"/>
      <c r="D26" s="19"/>
      <c r="E26" s="19"/>
      <c r="F26" s="19"/>
      <c r="G26" s="19"/>
      <c r="H26" s="18"/>
      <c r="I26" s="18"/>
      <c r="J26" s="20"/>
      <c r="K26" s="66"/>
      <c r="L26" s="18"/>
      <c r="M26" s="18"/>
      <c r="N26" s="18"/>
      <c r="O26" s="18"/>
      <c r="P26" s="18"/>
    </row>
    <row r="27" spans="1:22" ht="17.5">
      <c r="C27" s="101" t="s">
        <v>470</v>
      </c>
      <c r="D27" s="101"/>
      <c r="E27" s="101"/>
      <c r="F27" s="101"/>
      <c r="G27" s="101"/>
      <c r="H27" s="14"/>
      <c r="I27" s="14"/>
    </row>
    <row r="28" spans="1:22">
      <c r="C28" s="14"/>
      <c r="D28" s="14"/>
      <c r="E28" s="14"/>
      <c r="F28" s="14"/>
      <c r="G28" s="14"/>
      <c r="H28" s="14"/>
      <c r="I28" s="14"/>
      <c r="O28" s="21"/>
      <c r="P28" s="21"/>
      <c r="Q28" s="21" t="s">
        <v>10</v>
      </c>
    </row>
    <row r="29" spans="1:22" ht="26" customHeight="1">
      <c r="B29" s="1949" t="s">
        <v>343</v>
      </c>
      <c r="C29" s="1770" t="s">
        <v>25</v>
      </c>
      <c r="D29" s="1880" t="s">
        <v>508</v>
      </c>
      <c r="E29" s="1881"/>
      <c r="F29" s="1882"/>
      <c r="G29" s="1880" t="s">
        <v>509</v>
      </c>
      <c r="H29" s="1881"/>
      <c r="I29" s="1882"/>
      <c r="J29" s="1880" t="s">
        <v>510</v>
      </c>
      <c r="K29" s="1881"/>
      <c r="L29" s="1882"/>
      <c r="M29" s="1775" t="s">
        <v>957</v>
      </c>
      <c r="N29" s="1775"/>
      <c r="O29" s="1775"/>
      <c r="P29" s="1775"/>
      <c r="Q29" s="1775"/>
      <c r="R29" s="1785" t="s">
        <v>26</v>
      </c>
    </row>
    <row r="30" spans="1:22" ht="31.5" customHeight="1">
      <c r="B30" s="1949"/>
      <c r="C30" s="1770"/>
      <c r="D30" s="306" t="s">
        <v>450</v>
      </c>
      <c r="E30" s="301" t="s">
        <v>78</v>
      </c>
      <c r="F30" s="301" t="s">
        <v>451</v>
      </c>
      <c r="G30" s="306" t="s">
        <v>450</v>
      </c>
      <c r="H30" s="301" t="s">
        <v>78</v>
      </c>
      <c r="I30" s="301" t="s">
        <v>451</v>
      </c>
      <c r="J30" s="301" t="s">
        <v>450</v>
      </c>
      <c r="K30" s="342" t="s">
        <v>79</v>
      </c>
      <c r="L30" s="301" t="s">
        <v>452</v>
      </c>
      <c r="M30" s="813" t="s">
        <v>958</v>
      </c>
      <c r="N30" s="813" t="s">
        <v>959</v>
      </c>
      <c r="O30" s="813" t="s">
        <v>960</v>
      </c>
      <c r="P30" s="813" t="s">
        <v>961</v>
      </c>
      <c r="Q30" s="813" t="s">
        <v>962</v>
      </c>
      <c r="R30" s="1785"/>
    </row>
    <row r="31" spans="1:22">
      <c r="B31" s="613"/>
      <c r="C31" s="221"/>
      <c r="D31" s="301" t="s">
        <v>80</v>
      </c>
      <c r="E31" s="301" t="s">
        <v>81</v>
      </c>
      <c r="F31" s="301" t="s">
        <v>676</v>
      </c>
      <c r="G31" s="301" t="s">
        <v>391</v>
      </c>
      <c r="H31" s="301" t="s">
        <v>409</v>
      </c>
      <c r="I31" s="301" t="s">
        <v>456</v>
      </c>
      <c r="J31" s="814" t="s">
        <v>410</v>
      </c>
      <c r="K31" s="814" t="s">
        <v>411</v>
      </c>
      <c r="L31" s="814" t="s">
        <v>512</v>
      </c>
      <c r="M31" s="812" t="s">
        <v>21</v>
      </c>
      <c r="N31" s="812" t="s">
        <v>21</v>
      </c>
      <c r="O31" s="812" t="s">
        <v>21</v>
      </c>
      <c r="P31" s="812" t="s">
        <v>21</v>
      </c>
      <c r="Q31" s="812" t="s">
        <v>21</v>
      </c>
      <c r="R31" s="1786"/>
    </row>
    <row r="32" spans="1:22">
      <c r="B32" s="612">
        <v>1</v>
      </c>
      <c r="C32" s="25" t="s">
        <v>1458</v>
      </c>
      <c r="D32" s="317"/>
      <c r="E32" s="317"/>
      <c r="F32" s="317"/>
      <c r="G32" s="317"/>
      <c r="H32" s="313"/>
      <c r="I32" s="313"/>
      <c r="J32" s="313"/>
      <c r="K32" s="326"/>
      <c r="L32" s="313"/>
      <c r="M32" s="313"/>
      <c r="N32" s="314"/>
      <c r="O32" s="314"/>
      <c r="P32" s="314"/>
      <c r="Q32" s="314"/>
      <c r="R32" s="417"/>
    </row>
    <row r="33" spans="2:18" ht="15" customHeight="1">
      <c r="B33" s="610">
        <v>1.1000000000000001</v>
      </c>
      <c r="C33" s="26" t="s">
        <v>28</v>
      </c>
      <c r="D33" s="495"/>
      <c r="E33" s="495">
        <v>0</v>
      </c>
      <c r="F33" s="495">
        <f>E33-D33</f>
        <v>0</v>
      </c>
      <c r="G33" s="495"/>
      <c r="H33" s="495">
        <v>0</v>
      </c>
      <c r="I33" s="495">
        <f>H33-G33</f>
        <v>0</v>
      </c>
      <c r="J33" s="496"/>
      <c r="K33" s="495"/>
      <c r="L33" s="495">
        <f>K33-J33</f>
        <v>0</v>
      </c>
      <c r="M33" s="496"/>
      <c r="N33" s="496"/>
      <c r="O33" s="496"/>
      <c r="P33" s="496"/>
      <c r="Q33" s="496"/>
      <c r="R33" s="420"/>
    </row>
    <row r="34" spans="2:18" ht="29.4" customHeight="1">
      <c r="B34" s="610">
        <f t="shared" ref="B34:B40" si="12">B33+0.1</f>
        <v>1.2000000000000002</v>
      </c>
      <c r="C34" s="29" t="s">
        <v>400</v>
      </c>
      <c r="D34" s="495"/>
      <c r="E34" s="495">
        <v>0</v>
      </c>
      <c r="F34" s="495">
        <f t="shared" ref="F34:F40" si="13">E34-D34</f>
        <v>0</v>
      </c>
      <c r="G34" s="495"/>
      <c r="H34" s="495">
        <v>0</v>
      </c>
      <c r="I34" s="495">
        <f t="shared" ref="I34:I40" si="14">H34-G34</f>
        <v>0</v>
      </c>
      <c r="J34" s="496"/>
      <c r="K34" s="495"/>
      <c r="L34" s="495">
        <f t="shared" ref="L34:L40" si="15">K34-J34</f>
        <v>0</v>
      </c>
      <c r="M34" s="496"/>
      <c r="N34" s="496"/>
      <c r="O34" s="496"/>
      <c r="P34" s="496"/>
      <c r="Q34" s="496"/>
      <c r="R34" s="420"/>
    </row>
    <row r="35" spans="2:18" ht="15" customHeight="1">
      <c r="B35" s="610">
        <f t="shared" si="12"/>
        <v>1.3000000000000003</v>
      </c>
      <c r="C35" s="26" t="s">
        <v>342</v>
      </c>
      <c r="D35" s="495"/>
      <c r="E35" s="495">
        <v>0</v>
      </c>
      <c r="F35" s="495">
        <f t="shared" si="13"/>
        <v>0</v>
      </c>
      <c r="G35" s="495"/>
      <c r="H35" s="495">
        <v>0</v>
      </c>
      <c r="I35" s="495">
        <f t="shared" si="14"/>
        <v>0</v>
      </c>
      <c r="J35" s="496"/>
      <c r="K35" s="495"/>
      <c r="L35" s="495">
        <f t="shared" si="15"/>
        <v>0</v>
      </c>
      <c r="M35" s="496"/>
      <c r="N35" s="496"/>
      <c r="O35" s="496"/>
      <c r="P35" s="496"/>
      <c r="Q35" s="496"/>
      <c r="R35" s="420"/>
    </row>
    <row r="36" spans="2:18" ht="15" customHeight="1">
      <c r="B36" s="610">
        <f t="shared" si="12"/>
        <v>1.4000000000000004</v>
      </c>
      <c r="C36" s="437" t="s">
        <v>29</v>
      </c>
      <c r="D36" s="495"/>
      <c r="E36" s="495">
        <v>0</v>
      </c>
      <c r="F36" s="495">
        <f t="shared" si="13"/>
        <v>0</v>
      </c>
      <c r="G36" s="495"/>
      <c r="H36" s="495">
        <v>0</v>
      </c>
      <c r="I36" s="495">
        <f t="shared" si="14"/>
        <v>0</v>
      </c>
      <c r="J36" s="496"/>
      <c r="K36" s="495"/>
      <c r="L36" s="495">
        <f t="shared" si="15"/>
        <v>0</v>
      </c>
      <c r="M36" s="496"/>
      <c r="N36" s="496"/>
      <c r="O36" s="496"/>
      <c r="P36" s="496"/>
      <c r="Q36" s="496"/>
      <c r="R36" s="420"/>
    </row>
    <row r="37" spans="2:18" ht="15" customHeight="1">
      <c r="B37" s="610">
        <f t="shared" si="12"/>
        <v>1.5000000000000004</v>
      </c>
      <c r="C37" s="437" t="s">
        <v>30</v>
      </c>
      <c r="D37" s="495"/>
      <c r="E37" s="495">
        <f>+E33-E34+E35-E36</f>
        <v>0</v>
      </c>
      <c r="F37" s="495">
        <f t="shared" si="13"/>
        <v>0</v>
      </c>
      <c r="G37" s="495"/>
      <c r="H37" s="495">
        <f>+H33-H34+H35-H36</f>
        <v>0</v>
      </c>
      <c r="I37" s="495">
        <f t="shared" si="14"/>
        <v>0</v>
      </c>
      <c r="J37" s="496"/>
      <c r="K37" s="496">
        <f>+J33-J34+J35-J36</f>
        <v>0</v>
      </c>
      <c r="L37" s="495">
        <f t="shared" si="15"/>
        <v>0</v>
      </c>
      <c r="M37" s="496"/>
      <c r="N37" s="496">
        <f>+M33-M34+M35-M36</f>
        <v>0</v>
      </c>
      <c r="O37" s="496"/>
      <c r="P37" s="496"/>
      <c r="Q37" s="496">
        <f>+O33-O34+O35-O36</f>
        <v>0</v>
      </c>
      <c r="R37" s="420"/>
    </row>
    <row r="38" spans="2:18" ht="15" customHeight="1">
      <c r="B38" s="610">
        <f t="shared" si="12"/>
        <v>1.6000000000000005</v>
      </c>
      <c r="C38" s="437" t="s">
        <v>472</v>
      </c>
      <c r="D38" s="495"/>
      <c r="E38" s="451">
        <f>AVERAGE(E33,E37)</f>
        <v>0</v>
      </c>
      <c r="F38" s="495">
        <f t="shared" si="13"/>
        <v>0</v>
      </c>
      <c r="G38" s="495"/>
      <c r="H38" s="451">
        <f>AVERAGE(H33,H37)</f>
        <v>0</v>
      </c>
      <c r="I38" s="495">
        <f t="shared" si="14"/>
        <v>0</v>
      </c>
      <c r="J38" s="496"/>
      <c r="K38" s="495"/>
      <c r="L38" s="495">
        <f t="shared" si="15"/>
        <v>0</v>
      </c>
      <c r="M38" s="496"/>
      <c r="N38" s="496"/>
      <c r="O38" s="496"/>
      <c r="P38" s="496"/>
      <c r="Q38" s="496"/>
      <c r="R38" s="420"/>
    </row>
    <row r="39" spans="2:18" s="606" customFormat="1" ht="15" customHeight="1">
      <c r="B39" s="614">
        <f t="shared" si="12"/>
        <v>1.7000000000000006</v>
      </c>
      <c r="C39" s="602" t="s">
        <v>31</v>
      </c>
      <c r="D39" s="603"/>
      <c r="E39" s="603">
        <f>IFERROR(E40/E38,0)</f>
        <v>0</v>
      </c>
      <c r="F39" s="603" t="e">
        <f>F40/F38</f>
        <v>#DIV/0!</v>
      </c>
      <c r="G39" s="603"/>
      <c r="H39" s="603">
        <f>IFERROR(H40/H38,0)</f>
        <v>0</v>
      </c>
      <c r="I39" s="603" t="e">
        <f>I40/I38</f>
        <v>#DIV/0!</v>
      </c>
      <c r="J39" s="604"/>
      <c r="K39" s="604" t="e">
        <f>J40/K38</f>
        <v>#DIV/0!</v>
      </c>
      <c r="L39" s="603" t="e">
        <f>L40/L38</f>
        <v>#DIV/0!</v>
      </c>
      <c r="M39" s="604"/>
      <c r="N39" s="604" t="e">
        <f>M40/N38</f>
        <v>#DIV/0!</v>
      </c>
      <c r="O39" s="604"/>
      <c r="P39" s="604"/>
      <c r="Q39" s="604" t="e">
        <f>O40/Q38</f>
        <v>#DIV/0!</v>
      </c>
      <c r="R39" s="605"/>
    </row>
    <row r="40" spans="2:18" ht="15" customHeight="1">
      <c r="B40" s="610">
        <f t="shared" si="12"/>
        <v>1.8000000000000007</v>
      </c>
      <c r="C40" s="437" t="s">
        <v>32</v>
      </c>
      <c r="D40" s="495"/>
      <c r="E40" s="495">
        <v>0</v>
      </c>
      <c r="F40" s="495">
        <f t="shared" si="13"/>
        <v>0</v>
      </c>
      <c r="G40" s="495"/>
      <c r="H40" s="495">
        <v>0</v>
      </c>
      <c r="I40" s="495">
        <f t="shared" si="14"/>
        <v>0</v>
      </c>
      <c r="J40" s="496"/>
      <c r="K40" s="495"/>
      <c r="L40" s="495">
        <f t="shared" si="15"/>
        <v>0</v>
      </c>
      <c r="M40" s="496"/>
      <c r="N40" s="496"/>
      <c r="O40" s="496"/>
      <c r="P40" s="496"/>
      <c r="Q40" s="496"/>
      <c r="R40" s="420"/>
    </row>
    <row r="41" spans="2:18" ht="15" customHeight="1">
      <c r="B41" s="610"/>
      <c r="C41" s="437"/>
      <c r="D41" s="495"/>
      <c r="E41" s="495"/>
      <c r="F41" s="495"/>
      <c r="G41" s="495"/>
      <c r="H41" s="495"/>
      <c r="I41" s="495"/>
      <c r="J41" s="496"/>
      <c r="K41" s="495"/>
      <c r="L41" s="495"/>
      <c r="M41" s="496"/>
      <c r="N41" s="496"/>
      <c r="O41" s="496"/>
      <c r="P41" s="496"/>
      <c r="Q41" s="496"/>
      <c r="R41" s="420"/>
    </row>
    <row r="42" spans="2:18" ht="15" customHeight="1">
      <c r="B42" s="612">
        <v>2</v>
      </c>
      <c r="C42" s="438" t="s">
        <v>1459</v>
      </c>
      <c r="D42" s="495"/>
      <c r="E42" s="495"/>
      <c r="F42" s="495"/>
      <c r="G42" s="495"/>
      <c r="H42" s="495"/>
      <c r="I42" s="495"/>
      <c r="J42" s="496"/>
      <c r="K42" s="495"/>
      <c r="L42" s="495"/>
      <c r="M42" s="496"/>
      <c r="N42" s="496"/>
      <c r="O42" s="496"/>
      <c r="P42" s="496"/>
      <c r="Q42" s="496"/>
      <c r="R42" s="420"/>
    </row>
    <row r="43" spans="2:18" ht="15" customHeight="1">
      <c r="B43" s="610">
        <f t="shared" ref="B43:B50" si="16">B42+0.1</f>
        <v>2.1</v>
      </c>
      <c r="C43" s="437" t="s">
        <v>28</v>
      </c>
      <c r="D43" s="495"/>
      <c r="E43" s="495">
        <v>0</v>
      </c>
      <c r="F43" s="495">
        <f t="shared" ref="F43:F50" si="17">E43-D43</f>
        <v>0</v>
      </c>
      <c r="G43" s="495"/>
      <c r="H43" s="495">
        <v>0</v>
      </c>
      <c r="I43" s="495">
        <f t="shared" ref="I43:I50" si="18">H43-G43</f>
        <v>0</v>
      </c>
      <c r="J43" s="496"/>
      <c r="K43" s="495"/>
      <c r="L43" s="495">
        <f t="shared" ref="L43:L50" si="19">K43-J43</f>
        <v>0</v>
      </c>
      <c r="M43" s="496"/>
      <c r="N43" s="496"/>
      <c r="O43" s="496"/>
      <c r="P43" s="496"/>
      <c r="Q43" s="496"/>
      <c r="R43" s="420"/>
    </row>
    <row r="44" spans="2:18" ht="15" customHeight="1">
      <c r="B44" s="610">
        <f t="shared" si="16"/>
        <v>2.2000000000000002</v>
      </c>
      <c r="C44" s="437" t="s">
        <v>400</v>
      </c>
      <c r="D44" s="495"/>
      <c r="E44" s="495">
        <v>0</v>
      </c>
      <c r="F44" s="495">
        <f t="shared" si="17"/>
        <v>0</v>
      </c>
      <c r="G44" s="495"/>
      <c r="H44" s="495">
        <v>0</v>
      </c>
      <c r="I44" s="495">
        <f t="shared" si="18"/>
        <v>0</v>
      </c>
      <c r="J44" s="496"/>
      <c r="K44" s="495"/>
      <c r="L44" s="495">
        <f t="shared" si="19"/>
        <v>0</v>
      </c>
      <c r="M44" s="496"/>
      <c r="N44" s="496"/>
      <c r="O44" s="496"/>
      <c r="P44" s="496"/>
      <c r="Q44" s="496"/>
      <c r="R44" s="420"/>
    </row>
    <row r="45" spans="2:18" ht="15" customHeight="1">
      <c r="B45" s="610">
        <f t="shared" si="16"/>
        <v>2.3000000000000003</v>
      </c>
      <c r="C45" s="437" t="s">
        <v>342</v>
      </c>
      <c r="D45" s="495"/>
      <c r="E45" s="495">
        <v>0</v>
      </c>
      <c r="F45" s="495">
        <f t="shared" si="17"/>
        <v>0</v>
      </c>
      <c r="G45" s="495"/>
      <c r="H45" s="495">
        <v>0</v>
      </c>
      <c r="I45" s="495">
        <f t="shared" si="18"/>
        <v>0</v>
      </c>
      <c r="J45" s="496"/>
      <c r="K45" s="495"/>
      <c r="L45" s="495">
        <f t="shared" si="19"/>
        <v>0</v>
      </c>
      <c r="M45" s="496"/>
      <c r="N45" s="496"/>
      <c r="O45" s="496"/>
      <c r="P45" s="496"/>
      <c r="Q45" s="496"/>
      <c r="R45" s="420"/>
    </row>
    <row r="46" spans="2:18" ht="15" customHeight="1">
      <c r="B46" s="610">
        <f t="shared" si="16"/>
        <v>2.4000000000000004</v>
      </c>
      <c r="C46" s="437" t="s">
        <v>29</v>
      </c>
      <c r="D46" s="495"/>
      <c r="E46" s="495">
        <v>0</v>
      </c>
      <c r="F46" s="495">
        <f t="shared" si="17"/>
        <v>0</v>
      </c>
      <c r="G46" s="495"/>
      <c r="H46" s="495">
        <v>0</v>
      </c>
      <c r="I46" s="495">
        <f t="shared" si="18"/>
        <v>0</v>
      </c>
      <c r="J46" s="496"/>
      <c r="K46" s="495"/>
      <c r="L46" s="495">
        <f t="shared" si="19"/>
        <v>0</v>
      </c>
      <c r="M46" s="496"/>
      <c r="N46" s="496"/>
      <c r="O46" s="496"/>
      <c r="P46" s="496"/>
      <c r="Q46" s="496"/>
      <c r="R46" s="420"/>
    </row>
    <row r="47" spans="2:18" ht="15" customHeight="1">
      <c r="B47" s="610">
        <f t="shared" si="16"/>
        <v>2.5000000000000004</v>
      </c>
      <c r="C47" s="437" t="s">
        <v>30</v>
      </c>
      <c r="D47" s="495"/>
      <c r="E47" s="495">
        <f>+E43-E44+E45-E46</f>
        <v>0</v>
      </c>
      <c r="F47" s="495">
        <f t="shared" si="17"/>
        <v>0</v>
      </c>
      <c r="G47" s="495"/>
      <c r="H47" s="495">
        <f>+H43-H44+H45-H46</f>
        <v>0</v>
      </c>
      <c r="I47" s="495">
        <f t="shared" si="18"/>
        <v>0</v>
      </c>
      <c r="J47" s="496"/>
      <c r="K47" s="496">
        <f>+J43-J44+J45-J46</f>
        <v>0</v>
      </c>
      <c r="L47" s="495">
        <f t="shared" si="19"/>
        <v>0</v>
      </c>
      <c r="M47" s="496"/>
      <c r="N47" s="496">
        <f>+M43-M44+M45-M46</f>
        <v>0</v>
      </c>
      <c r="O47" s="496"/>
      <c r="P47" s="496"/>
      <c r="Q47" s="496">
        <f>+O43-O44+O45-O46</f>
        <v>0</v>
      </c>
      <c r="R47" s="420"/>
    </row>
    <row r="48" spans="2:18" ht="15" customHeight="1">
      <c r="B48" s="610">
        <f t="shared" si="16"/>
        <v>2.6000000000000005</v>
      </c>
      <c r="C48" s="437" t="s">
        <v>472</v>
      </c>
      <c r="D48" s="495"/>
      <c r="E48" s="451">
        <f>AVERAGE(E43,E47)</f>
        <v>0</v>
      </c>
      <c r="F48" s="495">
        <f t="shared" si="17"/>
        <v>0</v>
      </c>
      <c r="G48" s="495"/>
      <c r="H48" s="451">
        <f>AVERAGE(H43,H47)</f>
        <v>0</v>
      </c>
      <c r="I48" s="495">
        <f t="shared" si="18"/>
        <v>0</v>
      </c>
      <c r="J48" s="496"/>
      <c r="K48" s="495"/>
      <c r="L48" s="495">
        <f t="shared" si="19"/>
        <v>0</v>
      </c>
      <c r="M48" s="496"/>
      <c r="N48" s="496"/>
      <c r="O48" s="496"/>
      <c r="P48" s="496"/>
      <c r="Q48" s="496"/>
      <c r="R48" s="420"/>
    </row>
    <row r="49" spans="2:18" s="606" customFormat="1" ht="15" customHeight="1">
      <c r="B49" s="614">
        <f t="shared" si="16"/>
        <v>2.7000000000000006</v>
      </c>
      <c r="C49" s="602" t="s">
        <v>31</v>
      </c>
      <c r="D49" s="603"/>
      <c r="E49" s="603">
        <f>IFERROR(E50/E48,0)</f>
        <v>0</v>
      </c>
      <c r="F49" s="603" t="e">
        <f>F50/F48</f>
        <v>#DIV/0!</v>
      </c>
      <c r="G49" s="603"/>
      <c r="H49" s="603">
        <f>IFERROR(H50/H48,0)</f>
        <v>0</v>
      </c>
      <c r="I49" s="603" t="e">
        <f>I50/I48</f>
        <v>#DIV/0!</v>
      </c>
      <c r="J49" s="604"/>
      <c r="K49" s="604" t="e">
        <f>J50/K48</f>
        <v>#DIV/0!</v>
      </c>
      <c r="L49" s="603" t="e">
        <f>L50/L48</f>
        <v>#DIV/0!</v>
      </c>
      <c r="M49" s="604"/>
      <c r="N49" s="604" t="e">
        <f>M50/N48</f>
        <v>#DIV/0!</v>
      </c>
      <c r="O49" s="604"/>
      <c r="P49" s="604"/>
      <c r="Q49" s="604" t="e">
        <f>O50/Q48</f>
        <v>#DIV/0!</v>
      </c>
      <c r="R49" s="605"/>
    </row>
    <row r="50" spans="2:18" ht="15" customHeight="1">
      <c r="B50" s="610">
        <f t="shared" si="16"/>
        <v>2.8000000000000007</v>
      </c>
      <c r="C50" s="437" t="s">
        <v>32</v>
      </c>
      <c r="D50" s="495"/>
      <c r="E50" s="495">
        <v>0</v>
      </c>
      <c r="F50" s="495">
        <f t="shared" si="17"/>
        <v>0</v>
      </c>
      <c r="G50" s="495"/>
      <c r="H50" s="495">
        <v>0</v>
      </c>
      <c r="I50" s="495">
        <f t="shared" si="18"/>
        <v>0</v>
      </c>
      <c r="J50" s="496"/>
      <c r="K50" s="495"/>
      <c r="L50" s="495">
        <f t="shared" si="19"/>
        <v>0</v>
      </c>
      <c r="M50" s="496"/>
      <c r="N50" s="496"/>
      <c r="O50" s="496"/>
      <c r="P50" s="496"/>
      <c r="Q50" s="496"/>
      <c r="R50" s="420"/>
    </row>
    <row r="51" spans="2:18" ht="15" customHeight="1">
      <c r="B51" s="610"/>
      <c r="C51" s="437"/>
      <c r="D51" s="495"/>
      <c r="E51" s="495"/>
      <c r="F51" s="495"/>
      <c r="G51" s="495"/>
      <c r="H51" s="495"/>
      <c r="I51" s="495"/>
      <c r="J51" s="496"/>
      <c r="K51" s="495"/>
      <c r="L51" s="495"/>
      <c r="M51" s="496"/>
      <c r="N51" s="496"/>
      <c r="O51" s="496"/>
      <c r="P51" s="496"/>
      <c r="Q51" s="496"/>
      <c r="R51" s="420"/>
    </row>
    <row r="52" spans="2:18" ht="15" customHeight="1">
      <c r="B52" s="612">
        <v>3</v>
      </c>
      <c r="C52" s="438" t="s">
        <v>1460</v>
      </c>
      <c r="D52" s="495"/>
      <c r="E52" s="495"/>
      <c r="F52" s="495"/>
      <c r="G52" s="495"/>
      <c r="H52" s="495"/>
      <c r="I52" s="495"/>
      <c r="J52" s="496"/>
      <c r="K52" s="495"/>
      <c r="L52" s="495"/>
      <c r="M52" s="496"/>
      <c r="N52" s="496"/>
      <c r="O52" s="496"/>
      <c r="P52" s="496"/>
      <c r="Q52" s="496"/>
      <c r="R52" s="420"/>
    </row>
    <row r="53" spans="2:18" ht="15" customHeight="1">
      <c r="B53" s="610">
        <f>B52+0.1</f>
        <v>3.1</v>
      </c>
      <c r="C53" s="437" t="s">
        <v>28</v>
      </c>
      <c r="D53" s="495"/>
      <c r="E53" s="495">
        <v>0</v>
      </c>
      <c r="F53" s="495">
        <f t="shared" ref="F53:F60" si="20">E53-D53</f>
        <v>0</v>
      </c>
      <c r="G53" s="495"/>
      <c r="H53" s="495">
        <v>0</v>
      </c>
      <c r="I53" s="495">
        <f t="shared" ref="I53:I60" si="21">H53-G53</f>
        <v>0</v>
      </c>
      <c r="J53" s="496"/>
      <c r="K53" s="495"/>
      <c r="L53" s="495">
        <f t="shared" ref="L53:L60" si="22">K53-J53</f>
        <v>0</v>
      </c>
      <c r="M53" s="496"/>
      <c r="N53" s="496"/>
      <c r="O53" s="496"/>
      <c r="P53" s="496"/>
      <c r="Q53" s="496"/>
      <c r="R53" s="420"/>
    </row>
    <row r="54" spans="2:18" ht="15" customHeight="1">
      <c r="B54" s="610">
        <f t="shared" ref="B54:B60" si="23">B53+0.1</f>
        <v>3.2</v>
      </c>
      <c r="C54" s="437" t="s">
        <v>400</v>
      </c>
      <c r="D54" s="495"/>
      <c r="E54" s="495">
        <v>0</v>
      </c>
      <c r="F54" s="495">
        <f t="shared" si="20"/>
        <v>0</v>
      </c>
      <c r="G54" s="495"/>
      <c r="H54" s="495">
        <v>0</v>
      </c>
      <c r="I54" s="495">
        <f t="shared" si="21"/>
        <v>0</v>
      </c>
      <c r="J54" s="496"/>
      <c r="K54" s="495"/>
      <c r="L54" s="495">
        <f t="shared" si="22"/>
        <v>0</v>
      </c>
      <c r="M54" s="496"/>
      <c r="N54" s="496"/>
      <c r="O54" s="496"/>
      <c r="P54" s="496"/>
      <c r="Q54" s="496"/>
      <c r="R54" s="420"/>
    </row>
    <row r="55" spans="2:18" ht="15" customHeight="1">
      <c r="B55" s="610">
        <f t="shared" si="23"/>
        <v>3.3000000000000003</v>
      </c>
      <c r="C55" s="437" t="s">
        <v>342</v>
      </c>
      <c r="D55" s="495"/>
      <c r="E55" s="495">
        <v>0</v>
      </c>
      <c r="F55" s="495">
        <f t="shared" si="20"/>
        <v>0</v>
      </c>
      <c r="G55" s="495"/>
      <c r="H55" s="495">
        <v>0</v>
      </c>
      <c r="I55" s="495">
        <f t="shared" si="21"/>
        <v>0</v>
      </c>
      <c r="J55" s="496"/>
      <c r="K55" s="495"/>
      <c r="L55" s="495">
        <f t="shared" si="22"/>
        <v>0</v>
      </c>
      <c r="M55" s="496"/>
      <c r="N55" s="496"/>
      <c r="O55" s="496"/>
      <c r="P55" s="496"/>
      <c r="Q55" s="496"/>
      <c r="R55" s="420"/>
    </row>
    <row r="56" spans="2:18" ht="15" customHeight="1">
      <c r="B56" s="610">
        <f t="shared" si="23"/>
        <v>3.4000000000000004</v>
      </c>
      <c r="C56" s="437" t="s">
        <v>29</v>
      </c>
      <c r="D56" s="495"/>
      <c r="E56" s="495">
        <v>0</v>
      </c>
      <c r="F56" s="495">
        <f t="shared" si="20"/>
        <v>0</v>
      </c>
      <c r="G56" s="495"/>
      <c r="H56" s="495">
        <v>0</v>
      </c>
      <c r="I56" s="495">
        <f t="shared" si="21"/>
        <v>0</v>
      </c>
      <c r="J56" s="496"/>
      <c r="K56" s="495"/>
      <c r="L56" s="495">
        <f t="shared" si="22"/>
        <v>0</v>
      </c>
      <c r="M56" s="496"/>
      <c r="N56" s="496"/>
      <c r="O56" s="496"/>
      <c r="P56" s="496"/>
      <c r="Q56" s="496"/>
      <c r="R56" s="420"/>
    </row>
    <row r="57" spans="2:18" ht="15" customHeight="1">
      <c r="B57" s="610">
        <f t="shared" si="23"/>
        <v>3.5000000000000004</v>
      </c>
      <c r="C57" s="437" t="s">
        <v>30</v>
      </c>
      <c r="D57" s="495"/>
      <c r="E57" s="495">
        <f>+E53-E54+E55-E56</f>
        <v>0</v>
      </c>
      <c r="F57" s="495">
        <f t="shared" si="20"/>
        <v>0</v>
      </c>
      <c r="G57" s="495"/>
      <c r="H57" s="495">
        <f>+H53-H54+H55-H56</f>
        <v>0</v>
      </c>
      <c r="I57" s="495">
        <f t="shared" si="21"/>
        <v>0</v>
      </c>
      <c r="J57" s="496"/>
      <c r="K57" s="496">
        <f>+J53-J54+J55-J56</f>
        <v>0</v>
      </c>
      <c r="L57" s="495">
        <f t="shared" si="22"/>
        <v>0</v>
      </c>
      <c r="M57" s="496"/>
      <c r="N57" s="496">
        <f>+M53-M54+M55-M56</f>
        <v>0</v>
      </c>
      <c r="O57" s="496"/>
      <c r="P57" s="496"/>
      <c r="Q57" s="496">
        <f>+O53-O54+O55-O56</f>
        <v>0</v>
      </c>
      <c r="R57" s="420"/>
    </row>
    <row r="58" spans="2:18" ht="15" customHeight="1">
      <c r="B58" s="610">
        <f t="shared" si="23"/>
        <v>3.6000000000000005</v>
      </c>
      <c r="C58" s="437" t="s">
        <v>472</v>
      </c>
      <c r="D58" s="495"/>
      <c r="E58" s="451">
        <f>AVERAGE(E53,E57)</f>
        <v>0</v>
      </c>
      <c r="F58" s="495">
        <f t="shared" si="20"/>
        <v>0</v>
      </c>
      <c r="G58" s="495"/>
      <c r="H58" s="451">
        <f>AVERAGE(H53,H57)</f>
        <v>0</v>
      </c>
      <c r="I58" s="495">
        <f t="shared" si="21"/>
        <v>0</v>
      </c>
      <c r="J58" s="496"/>
      <c r="K58" s="495"/>
      <c r="L58" s="495">
        <f t="shared" si="22"/>
        <v>0</v>
      </c>
      <c r="M58" s="496"/>
      <c r="N58" s="496"/>
      <c r="O58" s="496"/>
      <c r="P58" s="496"/>
      <c r="Q58" s="496"/>
      <c r="R58" s="420"/>
    </row>
    <row r="59" spans="2:18" s="606" customFormat="1" ht="15" customHeight="1">
      <c r="B59" s="614">
        <f t="shared" si="23"/>
        <v>3.7000000000000006</v>
      </c>
      <c r="C59" s="602" t="s">
        <v>31</v>
      </c>
      <c r="D59" s="603"/>
      <c r="E59" s="603">
        <f>IFERROR(E60/E58,0)</f>
        <v>0</v>
      </c>
      <c r="F59" s="603" t="e">
        <f>F60/F58</f>
        <v>#DIV/0!</v>
      </c>
      <c r="G59" s="603"/>
      <c r="H59" s="603">
        <f>IFERROR(H60/H58,0)</f>
        <v>0</v>
      </c>
      <c r="I59" s="603" t="e">
        <f>I60/I58</f>
        <v>#DIV/0!</v>
      </c>
      <c r="J59" s="604"/>
      <c r="K59" s="604" t="e">
        <f>J60/K58</f>
        <v>#DIV/0!</v>
      </c>
      <c r="L59" s="603" t="e">
        <f>L60/L58</f>
        <v>#DIV/0!</v>
      </c>
      <c r="M59" s="604"/>
      <c r="N59" s="604" t="e">
        <f>M60/N58</f>
        <v>#DIV/0!</v>
      </c>
      <c r="O59" s="604"/>
      <c r="P59" s="604"/>
      <c r="Q59" s="604" t="e">
        <f>O60/Q58</f>
        <v>#DIV/0!</v>
      </c>
      <c r="R59" s="605"/>
    </row>
    <row r="60" spans="2:18" ht="15" customHeight="1">
      <c r="B60" s="610">
        <f t="shared" si="23"/>
        <v>3.8000000000000007</v>
      </c>
      <c r="C60" s="437" t="s">
        <v>32</v>
      </c>
      <c r="D60" s="495"/>
      <c r="E60" s="495">
        <v>0</v>
      </c>
      <c r="F60" s="495">
        <f t="shared" si="20"/>
        <v>0</v>
      </c>
      <c r="G60" s="495"/>
      <c r="H60" s="495">
        <v>0</v>
      </c>
      <c r="I60" s="495">
        <f t="shared" si="21"/>
        <v>0</v>
      </c>
      <c r="J60" s="496"/>
      <c r="K60" s="495"/>
      <c r="L60" s="495">
        <f t="shared" si="22"/>
        <v>0</v>
      </c>
      <c r="M60" s="496"/>
      <c r="N60" s="496"/>
      <c r="O60" s="496"/>
      <c r="P60" s="496"/>
      <c r="Q60" s="496"/>
      <c r="R60" s="420"/>
    </row>
    <row r="61" spans="2:18" ht="15" customHeight="1">
      <c r="B61" s="612"/>
      <c r="C61" s="438"/>
      <c r="D61" s="495"/>
      <c r="E61" s="495"/>
      <c r="F61" s="495"/>
      <c r="G61" s="495"/>
      <c r="H61" s="495"/>
      <c r="I61" s="495"/>
      <c r="J61" s="496"/>
      <c r="K61" s="495"/>
      <c r="L61" s="495"/>
      <c r="M61" s="496"/>
      <c r="N61" s="496"/>
      <c r="O61" s="496"/>
      <c r="P61" s="496"/>
      <c r="Q61" s="496"/>
      <c r="R61" s="420"/>
    </row>
    <row r="62" spans="2:18" ht="15" customHeight="1">
      <c r="B62" s="612">
        <v>4</v>
      </c>
      <c r="C62" s="438" t="s">
        <v>1461</v>
      </c>
      <c r="D62" s="495"/>
      <c r="E62" s="495"/>
      <c r="F62" s="495"/>
      <c r="G62" s="495"/>
      <c r="H62" s="495"/>
      <c r="I62" s="495"/>
      <c r="J62" s="496"/>
      <c r="K62" s="495"/>
      <c r="L62" s="495"/>
      <c r="M62" s="496"/>
      <c r="N62" s="496"/>
      <c r="O62" s="496"/>
      <c r="P62" s="496"/>
      <c r="Q62" s="496"/>
      <c r="R62" s="420"/>
    </row>
    <row r="63" spans="2:18" ht="15" customHeight="1">
      <c r="B63" s="610">
        <f>B62+0.1</f>
        <v>4.0999999999999996</v>
      </c>
      <c r="C63" s="437" t="s">
        <v>28</v>
      </c>
      <c r="D63" s="495"/>
      <c r="E63" s="495">
        <v>0</v>
      </c>
      <c r="F63" s="495">
        <f t="shared" ref="F63:F70" si="24">E63-D63</f>
        <v>0</v>
      </c>
      <c r="G63" s="495"/>
      <c r="H63" s="495">
        <v>0</v>
      </c>
      <c r="I63" s="495">
        <f t="shared" ref="I63:I70" si="25">H63-G63</f>
        <v>0</v>
      </c>
      <c r="J63" s="496"/>
      <c r="K63" s="495"/>
      <c r="L63" s="495">
        <f t="shared" ref="L63:L70" si="26">K63-J63</f>
        <v>0</v>
      </c>
      <c r="M63" s="496"/>
      <c r="N63" s="496"/>
      <c r="O63" s="496"/>
      <c r="P63" s="496"/>
      <c r="Q63" s="496"/>
      <c r="R63" s="420"/>
    </row>
    <row r="64" spans="2:18" ht="15" customHeight="1">
      <c r="B64" s="610">
        <f t="shared" ref="B64:B70" si="27">B63+0.1</f>
        <v>4.1999999999999993</v>
      </c>
      <c r="C64" s="437" t="s">
        <v>400</v>
      </c>
      <c r="D64" s="495"/>
      <c r="E64" s="495">
        <v>0</v>
      </c>
      <c r="F64" s="495">
        <f t="shared" si="24"/>
        <v>0</v>
      </c>
      <c r="G64" s="495"/>
      <c r="H64" s="495">
        <v>0</v>
      </c>
      <c r="I64" s="495">
        <f t="shared" si="25"/>
        <v>0</v>
      </c>
      <c r="J64" s="496"/>
      <c r="K64" s="495"/>
      <c r="L64" s="495">
        <f t="shared" si="26"/>
        <v>0</v>
      </c>
      <c r="M64" s="496"/>
      <c r="N64" s="496"/>
      <c r="O64" s="496"/>
      <c r="P64" s="496"/>
      <c r="Q64" s="496"/>
      <c r="R64" s="420"/>
    </row>
    <row r="65" spans="2:18" ht="15" customHeight="1">
      <c r="B65" s="610">
        <f t="shared" si="27"/>
        <v>4.2999999999999989</v>
      </c>
      <c r="C65" s="437" t="s">
        <v>342</v>
      </c>
      <c r="D65" s="495"/>
      <c r="E65" s="495">
        <v>0</v>
      </c>
      <c r="F65" s="495">
        <f t="shared" si="24"/>
        <v>0</v>
      </c>
      <c r="G65" s="495"/>
      <c r="H65" s="495">
        <v>0</v>
      </c>
      <c r="I65" s="495">
        <f t="shared" si="25"/>
        <v>0</v>
      </c>
      <c r="J65" s="496"/>
      <c r="K65" s="495"/>
      <c r="L65" s="495">
        <f t="shared" si="26"/>
        <v>0</v>
      </c>
      <c r="M65" s="496"/>
      <c r="N65" s="496"/>
      <c r="O65" s="496"/>
      <c r="P65" s="496"/>
      <c r="Q65" s="496"/>
      <c r="R65" s="420"/>
    </row>
    <row r="66" spans="2:18" ht="15" customHeight="1">
      <c r="B66" s="610">
        <f t="shared" si="27"/>
        <v>4.3999999999999986</v>
      </c>
      <c r="C66" s="437" t="s">
        <v>29</v>
      </c>
      <c r="D66" s="495"/>
      <c r="E66" s="495">
        <v>0</v>
      </c>
      <c r="F66" s="495">
        <f t="shared" si="24"/>
        <v>0</v>
      </c>
      <c r="G66" s="495"/>
      <c r="H66" s="495">
        <v>0</v>
      </c>
      <c r="I66" s="495">
        <f t="shared" si="25"/>
        <v>0</v>
      </c>
      <c r="J66" s="496"/>
      <c r="K66" s="495"/>
      <c r="L66" s="495">
        <f t="shared" si="26"/>
        <v>0</v>
      </c>
      <c r="M66" s="496"/>
      <c r="N66" s="496"/>
      <c r="O66" s="496"/>
      <c r="P66" s="496"/>
      <c r="Q66" s="496"/>
      <c r="R66" s="420"/>
    </row>
    <row r="67" spans="2:18" ht="15" customHeight="1">
      <c r="B67" s="610">
        <f t="shared" si="27"/>
        <v>4.4999999999999982</v>
      </c>
      <c r="C67" s="437" t="s">
        <v>30</v>
      </c>
      <c r="D67" s="495"/>
      <c r="E67" s="495">
        <f>+E63-E64+E65-E66</f>
        <v>0</v>
      </c>
      <c r="F67" s="495">
        <f t="shared" si="24"/>
        <v>0</v>
      </c>
      <c r="G67" s="495"/>
      <c r="H67" s="495">
        <f>+H63-H64+H65-H66</f>
        <v>0</v>
      </c>
      <c r="I67" s="495">
        <f t="shared" si="25"/>
        <v>0</v>
      </c>
      <c r="J67" s="496"/>
      <c r="K67" s="496">
        <f>+J63-J64+J65-J66</f>
        <v>0</v>
      </c>
      <c r="L67" s="495">
        <f t="shared" si="26"/>
        <v>0</v>
      </c>
      <c r="M67" s="496"/>
      <c r="N67" s="496">
        <f>+M63-M64+M65-M66</f>
        <v>0</v>
      </c>
      <c r="O67" s="496"/>
      <c r="P67" s="496"/>
      <c r="Q67" s="496">
        <f>+O63-O64+O65-O66</f>
        <v>0</v>
      </c>
      <c r="R67" s="420"/>
    </row>
    <row r="68" spans="2:18" ht="15" customHeight="1">
      <c r="B68" s="610">
        <f t="shared" si="27"/>
        <v>4.5999999999999979</v>
      </c>
      <c r="C68" s="437" t="s">
        <v>472</v>
      </c>
      <c r="D68" s="495"/>
      <c r="E68" s="451">
        <f>AVERAGE(E63,E67)</f>
        <v>0</v>
      </c>
      <c r="F68" s="495">
        <f t="shared" si="24"/>
        <v>0</v>
      </c>
      <c r="G68" s="495"/>
      <c r="H68" s="451">
        <f>AVERAGE(H63,H67)</f>
        <v>0</v>
      </c>
      <c r="I68" s="495">
        <f t="shared" si="25"/>
        <v>0</v>
      </c>
      <c r="J68" s="496"/>
      <c r="K68" s="495"/>
      <c r="L68" s="495">
        <f t="shared" si="26"/>
        <v>0</v>
      </c>
      <c r="M68" s="496"/>
      <c r="N68" s="496"/>
      <c r="O68" s="496"/>
      <c r="P68" s="496"/>
      <c r="Q68" s="496"/>
      <c r="R68" s="420"/>
    </row>
    <row r="69" spans="2:18" s="606" customFormat="1" ht="15" customHeight="1">
      <c r="B69" s="614">
        <f t="shared" si="27"/>
        <v>4.6999999999999975</v>
      </c>
      <c r="C69" s="602" t="s">
        <v>31</v>
      </c>
      <c r="D69" s="603"/>
      <c r="E69" s="603">
        <f>IFERROR(E70/E68,0)</f>
        <v>0</v>
      </c>
      <c r="F69" s="603" t="e">
        <f>F70/F68</f>
        <v>#DIV/0!</v>
      </c>
      <c r="G69" s="603"/>
      <c r="H69" s="603">
        <f>IFERROR(H70/H68,0)</f>
        <v>0</v>
      </c>
      <c r="I69" s="603" t="e">
        <f>I70/I68</f>
        <v>#DIV/0!</v>
      </c>
      <c r="J69" s="604"/>
      <c r="K69" s="604" t="e">
        <f>J70/K68</f>
        <v>#DIV/0!</v>
      </c>
      <c r="L69" s="603" t="e">
        <f>L70/L68</f>
        <v>#DIV/0!</v>
      </c>
      <c r="M69" s="604"/>
      <c r="N69" s="604" t="e">
        <f>M70/N68</f>
        <v>#DIV/0!</v>
      </c>
      <c r="O69" s="604"/>
      <c r="P69" s="604"/>
      <c r="Q69" s="604" t="e">
        <f>O70/Q68</f>
        <v>#DIV/0!</v>
      </c>
      <c r="R69" s="605"/>
    </row>
    <row r="70" spans="2:18" ht="15" customHeight="1">
      <c r="B70" s="610">
        <f t="shared" si="27"/>
        <v>4.7999999999999972</v>
      </c>
      <c r="C70" s="437" t="s">
        <v>32</v>
      </c>
      <c r="D70" s="495"/>
      <c r="E70" s="495">
        <v>0</v>
      </c>
      <c r="F70" s="495">
        <f t="shared" si="24"/>
        <v>0</v>
      </c>
      <c r="G70" s="495"/>
      <c r="H70" s="495">
        <v>0</v>
      </c>
      <c r="I70" s="495">
        <f t="shared" si="25"/>
        <v>0</v>
      </c>
      <c r="J70" s="496"/>
      <c r="K70" s="495"/>
      <c r="L70" s="495">
        <f t="shared" si="26"/>
        <v>0</v>
      </c>
      <c r="M70" s="496"/>
      <c r="N70" s="496"/>
      <c r="O70" s="496"/>
      <c r="P70" s="496"/>
      <c r="Q70" s="496"/>
      <c r="R70" s="420"/>
    </row>
    <row r="71" spans="2:18" ht="15" customHeight="1">
      <c r="B71" s="612"/>
      <c r="C71" s="438"/>
      <c r="D71" s="495"/>
      <c r="E71" s="495"/>
      <c r="F71" s="495"/>
      <c r="G71" s="495"/>
      <c r="H71" s="495"/>
      <c r="I71" s="495"/>
      <c r="J71" s="496"/>
      <c r="K71" s="495"/>
      <c r="L71" s="495"/>
      <c r="M71" s="496"/>
      <c r="N71" s="496"/>
      <c r="O71" s="496"/>
      <c r="P71" s="496"/>
      <c r="Q71" s="496"/>
      <c r="R71" s="420"/>
    </row>
    <row r="72" spans="2:18" ht="15" customHeight="1">
      <c r="B72" s="612">
        <v>5</v>
      </c>
      <c r="C72" s="438" t="s">
        <v>1462</v>
      </c>
      <c r="D72" s="495"/>
      <c r="E72" s="495"/>
      <c r="F72" s="495"/>
      <c r="G72" s="495"/>
      <c r="H72" s="495"/>
      <c r="I72" s="495"/>
      <c r="J72" s="496"/>
      <c r="K72" s="495"/>
      <c r="L72" s="495"/>
      <c r="M72" s="496"/>
      <c r="N72" s="496"/>
      <c r="O72" s="496"/>
      <c r="P72" s="496"/>
      <c r="Q72" s="496"/>
      <c r="R72" s="420"/>
    </row>
    <row r="73" spans="2:18" ht="15" customHeight="1">
      <c r="B73" s="610">
        <f>B72+0.1</f>
        <v>5.0999999999999996</v>
      </c>
      <c r="C73" s="437" t="s">
        <v>28</v>
      </c>
      <c r="D73" s="495"/>
      <c r="E73" s="495">
        <v>0</v>
      </c>
      <c r="F73" s="495">
        <f t="shared" ref="F73:F80" si="28">E73-D73</f>
        <v>0</v>
      </c>
      <c r="G73" s="495"/>
      <c r="H73" s="495">
        <v>0</v>
      </c>
      <c r="I73" s="495">
        <f t="shared" ref="I73:I80" si="29">H73-G73</f>
        <v>0</v>
      </c>
      <c r="J73" s="496"/>
      <c r="K73" s="495"/>
      <c r="L73" s="495">
        <f t="shared" ref="L73:L80" si="30">K73-J73</f>
        <v>0</v>
      </c>
      <c r="M73" s="496"/>
      <c r="N73" s="496"/>
      <c r="O73" s="496"/>
      <c r="P73" s="496"/>
      <c r="Q73" s="496"/>
      <c r="R73" s="420"/>
    </row>
    <row r="74" spans="2:18" ht="15" customHeight="1">
      <c r="B74" s="610">
        <f t="shared" ref="B74:B80" si="31">B73+0.1</f>
        <v>5.1999999999999993</v>
      </c>
      <c r="C74" s="437" t="s">
        <v>400</v>
      </c>
      <c r="D74" s="495"/>
      <c r="E74" s="495">
        <v>0</v>
      </c>
      <c r="F74" s="495">
        <f t="shared" si="28"/>
        <v>0</v>
      </c>
      <c r="G74" s="495"/>
      <c r="H74" s="495">
        <v>0</v>
      </c>
      <c r="I74" s="495">
        <f t="shared" si="29"/>
        <v>0</v>
      </c>
      <c r="J74" s="496"/>
      <c r="K74" s="495"/>
      <c r="L74" s="495">
        <f t="shared" si="30"/>
        <v>0</v>
      </c>
      <c r="M74" s="496"/>
      <c r="N74" s="496"/>
      <c r="O74" s="496"/>
      <c r="P74" s="496"/>
      <c r="Q74" s="496"/>
      <c r="R74" s="420"/>
    </row>
    <row r="75" spans="2:18" ht="15" customHeight="1">
      <c r="B75" s="610">
        <f t="shared" si="31"/>
        <v>5.2999999999999989</v>
      </c>
      <c r="C75" s="437" t="s">
        <v>342</v>
      </c>
      <c r="D75" s="495"/>
      <c r="E75" s="495">
        <v>0</v>
      </c>
      <c r="F75" s="495">
        <f t="shared" si="28"/>
        <v>0</v>
      </c>
      <c r="G75" s="495"/>
      <c r="H75" s="495">
        <v>0</v>
      </c>
      <c r="I75" s="495">
        <f t="shared" si="29"/>
        <v>0</v>
      </c>
      <c r="J75" s="496"/>
      <c r="K75" s="495"/>
      <c r="L75" s="495">
        <f t="shared" si="30"/>
        <v>0</v>
      </c>
      <c r="M75" s="496"/>
      <c r="N75" s="496"/>
      <c r="O75" s="496"/>
      <c r="P75" s="496"/>
      <c r="Q75" s="496"/>
      <c r="R75" s="420"/>
    </row>
    <row r="76" spans="2:18" ht="15" customHeight="1">
      <c r="B76" s="610">
        <f t="shared" si="31"/>
        <v>5.3999999999999986</v>
      </c>
      <c r="C76" s="437" t="s">
        <v>29</v>
      </c>
      <c r="D76" s="495"/>
      <c r="E76" s="495">
        <v>0</v>
      </c>
      <c r="F76" s="495">
        <f t="shared" si="28"/>
        <v>0</v>
      </c>
      <c r="G76" s="495"/>
      <c r="H76" s="495">
        <v>0</v>
      </c>
      <c r="I76" s="495">
        <f t="shared" si="29"/>
        <v>0</v>
      </c>
      <c r="J76" s="496"/>
      <c r="K76" s="495"/>
      <c r="L76" s="495">
        <f t="shared" si="30"/>
        <v>0</v>
      </c>
      <c r="M76" s="496"/>
      <c r="N76" s="496"/>
      <c r="O76" s="496"/>
      <c r="P76" s="496"/>
      <c r="Q76" s="496"/>
      <c r="R76" s="420"/>
    </row>
    <row r="77" spans="2:18" ht="15" customHeight="1">
      <c r="B77" s="610">
        <f t="shared" si="31"/>
        <v>5.4999999999999982</v>
      </c>
      <c r="C77" s="437" t="s">
        <v>30</v>
      </c>
      <c r="D77" s="495"/>
      <c r="E77" s="495">
        <f>+E73-E74+E75-E76</f>
        <v>0</v>
      </c>
      <c r="F77" s="495">
        <f t="shared" si="28"/>
        <v>0</v>
      </c>
      <c r="G77" s="495"/>
      <c r="H77" s="495">
        <f>+H73-H74+H75-H76</f>
        <v>0</v>
      </c>
      <c r="I77" s="495">
        <f t="shared" si="29"/>
        <v>0</v>
      </c>
      <c r="J77" s="496"/>
      <c r="K77" s="496">
        <f>+J73-J74+J75-J76</f>
        <v>0</v>
      </c>
      <c r="L77" s="495">
        <f t="shared" si="30"/>
        <v>0</v>
      </c>
      <c r="M77" s="496"/>
      <c r="N77" s="496">
        <f>+M73-M74+M75-M76</f>
        <v>0</v>
      </c>
      <c r="O77" s="496"/>
      <c r="P77" s="496"/>
      <c r="Q77" s="496">
        <f>+O73-O74+O75-O76</f>
        <v>0</v>
      </c>
      <c r="R77" s="420"/>
    </row>
    <row r="78" spans="2:18" ht="15" customHeight="1">
      <c r="B78" s="610">
        <f t="shared" si="31"/>
        <v>5.5999999999999979</v>
      </c>
      <c r="C78" s="437" t="s">
        <v>472</v>
      </c>
      <c r="D78" s="495"/>
      <c r="E78" s="451">
        <f>AVERAGE(E73,E77)</f>
        <v>0</v>
      </c>
      <c r="F78" s="495">
        <f t="shared" si="28"/>
        <v>0</v>
      </c>
      <c r="G78" s="495"/>
      <c r="H78" s="451">
        <f>AVERAGE(H73,H77)</f>
        <v>0</v>
      </c>
      <c r="I78" s="495">
        <f t="shared" si="29"/>
        <v>0</v>
      </c>
      <c r="J78" s="496"/>
      <c r="K78" s="495"/>
      <c r="L78" s="495">
        <f t="shared" si="30"/>
        <v>0</v>
      </c>
      <c r="M78" s="496"/>
      <c r="N78" s="496"/>
      <c r="O78" s="496"/>
      <c r="P78" s="496"/>
      <c r="Q78" s="496"/>
      <c r="R78" s="420"/>
    </row>
    <row r="79" spans="2:18" s="606" customFormat="1" ht="15" customHeight="1">
      <c r="B79" s="614">
        <f t="shared" si="31"/>
        <v>5.6999999999999975</v>
      </c>
      <c r="C79" s="602" t="s">
        <v>31</v>
      </c>
      <c r="D79" s="603"/>
      <c r="E79" s="603">
        <f>IFERROR(E80/E78,0)</f>
        <v>0</v>
      </c>
      <c r="F79" s="603" t="e">
        <f>F80/F78</f>
        <v>#DIV/0!</v>
      </c>
      <c r="G79" s="603"/>
      <c r="H79" s="603">
        <f>IFERROR(H80/H78,0)</f>
        <v>0</v>
      </c>
      <c r="I79" s="603" t="e">
        <f>I80/I78</f>
        <v>#DIV/0!</v>
      </c>
      <c r="J79" s="604"/>
      <c r="K79" s="604" t="e">
        <f>J80/K78</f>
        <v>#DIV/0!</v>
      </c>
      <c r="L79" s="603" t="e">
        <f>L80/L78</f>
        <v>#DIV/0!</v>
      </c>
      <c r="M79" s="604"/>
      <c r="N79" s="604" t="e">
        <f>M80/N78</f>
        <v>#DIV/0!</v>
      </c>
      <c r="O79" s="604"/>
      <c r="P79" s="604"/>
      <c r="Q79" s="604" t="e">
        <f>O80/Q78</f>
        <v>#DIV/0!</v>
      </c>
      <c r="R79" s="605"/>
    </row>
    <row r="80" spans="2:18" ht="15" customHeight="1">
      <c r="B80" s="610">
        <f t="shared" si="31"/>
        <v>5.7999999999999972</v>
      </c>
      <c r="C80" s="437" t="s">
        <v>32</v>
      </c>
      <c r="D80" s="495"/>
      <c r="E80" s="495">
        <v>0</v>
      </c>
      <c r="F80" s="495">
        <f t="shared" si="28"/>
        <v>0</v>
      </c>
      <c r="G80" s="495"/>
      <c r="H80" s="495">
        <v>0</v>
      </c>
      <c r="I80" s="495">
        <f t="shared" si="29"/>
        <v>0</v>
      </c>
      <c r="J80" s="496"/>
      <c r="K80" s="495"/>
      <c r="L80" s="495">
        <f t="shared" si="30"/>
        <v>0</v>
      </c>
      <c r="M80" s="496"/>
      <c r="N80" s="496"/>
      <c r="O80" s="496"/>
      <c r="P80" s="496"/>
      <c r="Q80" s="496"/>
      <c r="R80" s="420"/>
    </row>
    <row r="81" spans="2:18" ht="15" customHeight="1">
      <c r="B81" s="612"/>
      <c r="C81" s="438"/>
      <c r="D81" s="495"/>
      <c r="E81" s="495"/>
      <c r="F81" s="495"/>
      <c r="G81" s="495"/>
      <c r="H81" s="495"/>
      <c r="I81" s="495"/>
      <c r="J81" s="496"/>
      <c r="K81" s="495"/>
      <c r="L81" s="495"/>
      <c r="M81" s="496"/>
      <c r="N81" s="496"/>
      <c r="O81" s="496"/>
      <c r="P81" s="496"/>
      <c r="Q81" s="496"/>
      <c r="R81" s="420"/>
    </row>
    <row r="82" spans="2:18" ht="15" customHeight="1">
      <c r="B82" s="612">
        <v>6</v>
      </c>
      <c r="C82" s="438" t="s">
        <v>1463</v>
      </c>
      <c r="D82" s="495"/>
      <c r="E82" s="495"/>
      <c r="F82" s="495"/>
      <c r="G82" s="495"/>
      <c r="H82" s="495"/>
      <c r="I82" s="495"/>
      <c r="J82" s="496"/>
      <c r="K82" s="495"/>
      <c r="L82" s="495"/>
      <c r="M82" s="496"/>
      <c r="N82" s="496"/>
      <c r="O82" s="496"/>
      <c r="P82" s="496"/>
      <c r="Q82" s="496"/>
      <c r="R82" s="420"/>
    </row>
    <row r="83" spans="2:18" ht="15" customHeight="1">
      <c r="B83" s="610">
        <f>B82+0.1</f>
        <v>6.1</v>
      </c>
      <c r="C83" s="437" t="s">
        <v>28</v>
      </c>
      <c r="D83" s="495"/>
      <c r="E83" s="495">
        <v>0</v>
      </c>
      <c r="F83" s="495">
        <f t="shared" ref="F83:F90" si="32">E83-D83</f>
        <v>0</v>
      </c>
      <c r="G83" s="495"/>
      <c r="H83" s="495">
        <v>0</v>
      </c>
      <c r="I83" s="495">
        <f t="shared" ref="I83:I90" si="33">H83-G83</f>
        <v>0</v>
      </c>
      <c r="J83" s="496"/>
      <c r="K83" s="495"/>
      <c r="L83" s="495">
        <f t="shared" ref="L83:L90" si="34">K83-J83</f>
        <v>0</v>
      </c>
      <c r="M83" s="496"/>
      <c r="N83" s="496"/>
      <c r="O83" s="496"/>
      <c r="P83" s="496"/>
      <c r="Q83" s="496"/>
      <c r="R83" s="420"/>
    </row>
    <row r="84" spans="2:18" ht="15" customHeight="1">
      <c r="B84" s="610">
        <f t="shared" ref="B84:B90" si="35">B83+0.1</f>
        <v>6.1999999999999993</v>
      </c>
      <c r="C84" s="437" t="s">
        <v>400</v>
      </c>
      <c r="D84" s="495"/>
      <c r="E84" s="495">
        <v>0</v>
      </c>
      <c r="F84" s="495">
        <f t="shared" si="32"/>
        <v>0</v>
      </c>
      <c r="G84" s="495"/>
      <c r="H84" s="495">
        <v>0</v>
      </c>
      <c r="I84" s="495">
        <f t="shared" si="33"/>
        <v>0</v>
      </c>
      <c r="J84" s="496"/>
      <c r="K84" s="495"/>
      <c r="L84" s="495">
        <f t="shared" si="34"/>
        <v>0</v>
      </c>
      <c r="M84" s="496"/>
      <c r="N84" s="496"/>
      <c r="O84" s="496"/>
      <c r="P84" s="496"/>
      <c r="Q84" s="496"/>
      <c r="R84" s="420"/>
    </row>
    <row r="85" spans="2:18" ht="15" customHeight="1">
      <c r="B85" s="610">
        <f t="shared" si="35"/>
        <v>6.2999999999999989</v>
      </c>
      <c r="C85" s="437" t="s">
        <v>342</v>
      </c>
      <c r="D85" s="495"/>
      <c r="E85" s="495">
        <v>0</v>
      </c>
      <c r="F85" s="495">
        <f t="shared" si="32"/>
        <v>0</v>
      </c>
      <c r="G85" s="495"/>
      <c r="H85" s="495">
        <v>0</v>
      </c>
      <c r="I85" s="495">
        <f t="shared" si="33"/>
        <v>0</v>
      </c>
      <c r="J85" s="496"/>
      <c r="K85" s="495"/>
      <c r="L85" s="495">
        <f t="shared" si="34"/>
        <v>0</v>
      </c>
      <c r="M85" s="496"/>
      <c r="N85" s="496"/>
      <c r="O85" s="496"/>
      <c r="P85" s="496"/>
      <c r="Q85" s="496"/>
      <c r="R85" s="420"/>
    </row>
    <row r="86" spans="2:18" ht="15" customHeight="1">
      <c r="B86" s="610">
        <f t="shared" si="35"/>
        <v>6.3999999999999986</v>
      </c>
      <c r="C86" s="437" t="s">
        <v>29</v>
      </c>
      <c r="D86" s="495"/>
      <c r="E86" s="495">
        <v>0</v>
      </c>
      <c r="F86" s="495">
        <f t="shared" si="32"/>
        <v>0</v>
      </c>
      <c r="G86" s="495"/>
      <c r="H86" s="495">
        <v>0</v>
      </c>
      <c r="I86" s="495">
        <f t="shared" si="33"/>
        <v>0</v>
      </c>
      <c r="J86" s="496"/>
      <c r="K86" s="495"/>
      <c r="L86" s="495">
        <f t="shared" si="34"/>
        <v>0</v>
      </c>
      <c r="M86" s="496"/>
      <c r="N86" s="496"/>
      <c r="O86" s="496"/>
      <c r="P86" s="496"/>
      <c r="Q86" s="496"/>
      <c r="R86" s="420"/>
    </row>
    <row r="87" spans="2:18" ht="15" customHeight="1">
      <c r="B87" s="610">
        <f t="shared" si="35"/>
        <v>6.4999999999999982</v>
      </c>
      <c r="C87" s="437" t="s">
        <v>30</v>
      </c>
      <c r="D87" s="495"/>
      <c r="E87" s="495">
        <f>+E83-E84+E85-E86</f>
        <v>0</v>
      </c>
      <c r="F87" s="495">
        <f t="shared" si="32"/>
        <v>0</v>
      </c>
      <c r="G87" s="495"/>
      <c r="H87" s="495">
        <f>+H83-H84+H85-H86</f>
        <v>0</v>
      </c>
      <c r="I87" s="495">
        <f t="shared" si="33"/>
        <v>0</v>
      </c>
      <c r="J87" s="496"/>
      <c r="K87" s="496">
        <f>+J83-J84+J85-J86</f>
        <v>0</v>
      </c>
      <c r="L87" s="495">
        <f t="shared" si="34"/>
        <v>0</v>
      </c>
      <c r="M87" s="496"/>
      <c r="N87" s="496">
        <f>+M83-M84+M85-M86</f>
        <v>0</v>
      </c>
      <c r="O87" s="496"/>
      <c r="P87" s="496"/>
      <c r="Q87" s="496">
        <f>+O83-O84+O85-O86</f>
        <v>0</v>
      </c>
      <c r="R87" s="420"/>
    </row>
    <row r="88" spans="2:18" ht="15" customHeight="1">
      <c r="B88" s="610">
        <f t="shared" si="35"/>
        <v>6.5999999999999979</v>
      </c>
      <c r="C88" s="437" t="s">
        <v>472</v>
      </c>
      <c r="D88" s="495"/>
      <c r="E88" s="451">
        <f>AVERAGE(E83,E87)</f>
        <v>0</v>
      </c>
      <c r="F88" s="495">
        <f t="shared" si="32"/>
        <v>0</v>
      </c>
      <c r="G88" s="495"/>
      <c r="H88" s="451">
        <f>AVERAGE(H83,H87)</f>
        <v>0</v>
      </c>
      <c r="I88" s="495">
        <f t="shared" si="33"/>
        <v>0</v>
      </c>
      <c r="J88" s="496"/>
      <c r="K88" s="495"/>
      <c r="L88" s="495">
        <f t="shared" si="34"/>
        <v>0</v>
      </c>
      <c r="M88" s="496"/>
      <c r="N88" s="496"/>
      <c r="O88" s="496"/>
      <c r="P88" s="496"/>
      <c r="Q88" s="496"/>
      <c r="R88" s="420"/>
    </row>
    <row r="89" spans="2:18" s="606" customFormat="1" ht="15" customHeight="1">
      <c r="B89" s="614">
        <f t="shared" si="35"/>
        <v>6.6999999999999975</v>
      </c>
      <c r="C89" s="602" t="s">
        <v>31</v>
      </c>
      <c r="D89" s="603"/>
      <c r="E89" s="603">
        <f>IFERROR(E90/E88,0)</f>
        <v>0</v>
      </c>
      <c r="F89" s="603" t="e">
        <f>F90/F88</f>
        <v>#DIV/0!</v>
      </c>
      <c r="G89" s="603"/>
      <c r="H89" s="603">
        <f>IFERROR(H90/H88,0)</f>
        <v>0</v>
      </c>
      <c r="I89" s="603" t="e">
        <f>I90/I88</f>
        <v>#DIV/0!</v>
      </c>
      <c r="J89" s="604"/>
      <c r="K89" s="604" t="e">
        <f>J90/K88</f>
        <v>#DIV/0!</v>
      </c>
      <c r="L89" s="603" t="e">
        <f>L90/L88</f>
        <v>#DIV/0!</v>
      </c>
      <c r="M89" s="604"/>
      <c r="N89" s="604" t="e">
        <f>M90/N88</f>
        <v>#DIV/0!</v>
      </c>
      <c r="O89" s="604"/>
      <c r="P89" s="604"/>
      <c r="Q89" s="604" t="e">
        <f>O90/Q88</f>
        <v>#DIV/0!</v>
      </c>
      <c r="R89" s="605"/>
    </row>
    <row r="90" spans="2:18" ht="15" customHeight="1">
      <c r="B90" s="610">
        <f t="shared" si="35"/>
        <v>6.7999999999999972</v>
      </c>
      <c r="C90" s="437" t="s">
        <v>32</v>
      </c>
      <c r="D90" s="495"/>
      <c r="E90" s="495">
        <v>0</v>
      </c>
      <c r="F90" s="495">
        <f t="shared" si="32"/>
        <v>0</v>
      </c>
      <c r="G90" s="495"/>
      <c r="H90" s="495">
        <v>0</v>
      </c>
      <c r="I90" s="495">
        <f t="shared" si="33"/>
        <v>0</v>
      </c>
      <c r="J90" s="496"/>
      <c r="K90" s="495"/>
      <c r="L90" s="495">
        <f t="shared" si="34"/>
        <v>0</v>
      </c>
      <c r="M90" s="496"/>
      <c r="N90" s="496"/>
      <c r="O90" s="496"/>
      <c r="P90" s="496"/>
      <c r="Q90" s="496"/>
      <c r="R90" s="420"/>
    </row>
    <row r="91" spans="2:18" ht="15" customHeight="1">
      <c r="B91" s="612"/>
      <c r="C91" s="438"/>
      <c r="D91" s="495"/>
      <c r="E91" s="495"/>
      <c r="F91" s="495"/>
      <c r="G91" s="495"/>
      <c r="H91" s="495"/>
      <c r="I91" s="495"/>
      <c r="J91" s="496"/>
      <c r="K91" s="495"/>
      <c r="L91" s="495"/>
      <c r="M91" s="496"/>
      <c r="N91" s="496"/>
      <c r="O91" s="496"/>
      <c r="P91" s="496"/>
      <c r="Q91" s="496"/>
      <c r="R91" s="420"/>
    </row>
    <row r="92" spans="2:18" ht="15" customHeight="1">
      <c r="B92" s="612">
        <v>7</v>
      </c>
      <c r="C92" s="438" t="s">
        <v>1464</v>
      </c>
      <c r="D92" s="495"/>
      <c r="E92" s="495"/>
      <c r="F92" s="495"/>
      <c r="G92" s="495"/>
      <c r="H92" s="495"/>
      <c r="I92" s="495"/>
      <c r="J92" s="496"/>
      <c r="K92" s="495"/>
      <c r="L92" s="495"/>
      <c r="M92" s="496"/>
      <c r="N92" s="496"/>
      <c r="O92" s="496"/>
      <c r="P92" s="496"/>
      <c r="Q92" s="496"/>
      <c r="R92" s="420"/>
    </row>
    <row r="93" spans="2:18" ht="15" customHeight="1">
      <c r="B93" s="610">
        <f>B92+0.1</f>
        <v>7.1</v>
      </c>
      <c r="C93" s="437" t="s">
        <v>28</v>
      </c>
      <c r="D93" s="495"/>
      <c r="E93" s="495">
        <v>0</v>
      </c>
      <c r="F93" s="495">
        <f t="shared" ref="F93:F100" si="36">E93-D93</f>
        <v>0</v>
      </c>
      <c r="G93" s="495"/>
      <c r="H93" s="495">
        <v>0</v>
      </c>
      <c r="I93" s="495">
        <f t="shared" ref="I93:I100" si="37">H93-G93</f>
        <v>0</v>
      </c>
      <c r="J93" s="496"/>
      <c r="K93" s="495"/>
      <c r="L93" s="495">
        <f t="shared" ref="L93:L100" si="38">K93-J93</f>
        <v>0</v>
      </c>
      <c r="M93" s="496"/>
      <c r="N93" s="496"/>
      <c r="O93" s="496"/>
      <c r="P93" s="496"/>
      <c r="Q93" s="496"/>
      <c r="R93" s="420"/>
    </row>
    <row r="94" spans="2:18" ht="15" customHeight="1">
      <c r="B94" s="610">
        <f t="shared" ref="B94:B100" si="39">B93+0.1</f>
        <v>7.1999999999999993</v>
      </c>
      <c r="C94" s="437" t="s">
        <v>400</v>
      </c>
      <c r="D94" s="495"/>
      <c r="E94" s="495">
        <v>0</v>
      </c>
      <c r="F94" s="495">
        <f t="shared" si="36"/>
        <v>0</v>
      </c>
      <c r="G94" s="495"/>
      <c r="H94" s="495">
        <v>0</v>
      </c>
      <c r="I94" s="495">
        <f t="shared" si="37"/>
        <v>0</v>
      </c>
      <c r="J94" s="496"/>
      <c r="K94" s="495"/>
      <c r="L94" s="495">
        <f t="shared" si="38"/>
        <v>0</v>
      </c>
      <c r="M94" s="496"/>
      <c r="N94" s="496"/>
      <c r="O94" s="496"/>
      <c r="P94" s="496"/>
      <c r="Q94" s="496"/>
      <c r="R94" s="420"/>
    </row>
    <row r="95" spans="2:18" ht="15" customHeight="1">
      <c r="B95" s="610">
        <f t="shared" si="39"/>
        <v>7.2999999999999989</v>
      </c>
      <c r="C95" s="437" t="s">
        <v>342</v>
      </c>
      <c r="D95" s="495"/>
      <c r="E95" s="495">
        <v>0</v>
      </c>
      <c r="F95" s="495">
        <f t="shared" si="36"/>
        <v>0</v>
      </c>
      <c r="G95" s="495"/>
      <c r="H95" s="495">
        <v>0</v>
      </c>
      <c r="I95" s="495">
        <f t="shared" si="37"/>
        <v>0</v>
      </c>
      <c r="J95" s="496"/>
      <c r="K95" s="495"/>
      <c r="L95" s="495">
        <f t="shared" si="38"/>
        <v>0</v>
      </c>
      <c r="M95" s="496"/>
      <c r="N95" s="496"/>
      <c r="O95" s="496"/>
      <c r="P95" s="496"/>
      <c r="Q95" s="496"/>
      <c r="R95" s="420"/>
    </row>
    <row r="96" spans="2:18" ht="15" customHeight="1">
      <c r="B96" s="610">
        <f t="shared" si="39"/>
        <v>7.3999999999999986</v>
      </c>
      <c r="C96" s="437" t="s">
        <v>29</v>
      </c>
      <c r="D96" s="495"/>
      <c r="E96" s="495">
        <v>0</v>
      </c>
      <c r="F96" s="495">
        <f t="shared" si="36"/>
        <v>0</v>
      </c>
      <c r="G96" s="495"/>
      <c r="H96" s="495">
        <v>0</v>
      </c>
      <c r="I96" s="495">
        <f t="shared" si="37"/>
        <v>0</v>
      </c>
      <c r="J96" s="496"/>
      <c r="K96" s="495"/>
      <c r="L96" s="495">
        <f t="shared" si="38"/>
        <v>0</v>
      </c>
      <c r="M96" s="496"/>
      <c r="N96" s="496"/>
      <c r="O96" s="496"/>
      <c r="P96" s="496"/>
      <c r="Q96" s="496"/>
      <c r="R96" s="420"/>
    </row>
    <row r="97" spans="2:18" ht="15" customHeight="1">
      <c r="B97" s="610">
        <f t="shared" si="39"/>
        <v>7.4999999999999982</v>
      </c>
      <c r="C97" s="437" t="s">
        <v>30</v>
      </c>
      <c r="D97" s="495"/>
      <c r="E97" s="495">
        <f>+E93-E94+E95-E96</f>
        <v>0</v>
      </c>
      <c r="F97" s="495">
        <f t="shared" si="36"/>
        <v>0</v>
      </c>
      <c r="G97" s="495"/>
      <c r="H97" s="495">
        <f>+H93-H94+H95-H96</f>
        <v>0</v>
      </c>
      <c r="I97" s="495">
        <f t="shared" si="37"/>
        <v>0</v>
      </c>
      <c r="J97" s="496"/>
      <c r="K97" s="495">
        <f>+K93-K94+K95-K96</f>
        <v>0</v>
      </c>
      <c r="L97" s="495">
        <f t="shared" si="38"/>
        <v>0</v>
      </c>
      <c r="M97" s="496"/>
      <c r="N97" s="496">
        <f>+M93-M94+M95-M96</f>
        <v>0</v>
      </c>
      <c r="O97" s="496"/>
      <c r="P97" s="496"/>
      <c r="Q97" s="496">
        <f>+O93-O94+O95-O96</f>
        <v>0</v>
      </c>
      <c r="R97" s="420"/>
    </row>
    <row r="98" spans="2:18" ht="15" customHeight="1">
      <c r="B98" s="610">
        <f t="shared" si="39"/>
        <v>7.5999999999999979</v>
      </c>
      <c r="C98" s="437" t="s">
        <v>472</v>
      </c>
      <c r="D98" s="495"/>
      <c r="E98" s="451">
        <f>AVERAGE(E93,E97)</f>
        <v>0</v>
      </c>
      <c r="F98" s="495">
        <f t="shared" si="36"/>
        <v>0</v>
      </c>
      <c r="G98" s="495"/>
      <c r="H98" s="451">
        <f>AVERAGE(H93,H97)</f>
        <v>0</v>
      </c>
      <c r="I98" s="495">
        <f t="shared" si="37"/>
        <v>0</v>
      </c>
      <c r="J98" s="496"/>
      <c r="K98" s="495"/>
      <c r="L98" s="495">
        <f t="shared" si="38"/>
        <v>0</v>
      </c>
      <c r="M98" s="496"/>
      <c r="N98" s="496"/>
      <c r="O98" s="496"/>
      <c r="P98" s="496"/>
      <c r="Q98" s="496"/>
      <c r="R98" s="420"/>
    </row>
    <row r="99" spans="2:18" s="606" customFormat="1" ht="15" customHeight="1">
      <c r="B99" s="614">
        <f t="shared" si="39"/>
        <v>7.6999999999999975</v>
      </c>
      <c r="C99" s="602" t="s">
        <v>31</v>
      </c>
      <c r="D99" s="603"/>
      <c r="E99" s="603">
        <f>IFERROR(E100/E98,0)</f>
        <v>0</v>
      </c>
      <c r="F99" s="603" t="e">
        <f>F100/F98</f>
        <v>#DIV/0!</v>
      </c>
      <c r="G99" s="603"/>
      <c r="H99" s="603">
        <f>IFERROR(H100/H98,0)</f>
        <v>0</v>
      </c>
      <c r="I99" s="603" t="e">
        <f>I100/I98</f>
        <v>#DIV/0!</v>
      </c>
      <c r="J99" s="604"/>
      <c r="K99" s="604" t="e">
        <f>J100/K98</f>
        <v>#DIV/0!</v>
      </c>
      <c r="L99" s="603" t="e">
        <f>L100/L98</f>
        <v>#DIV/0!</v>
      </c>
      <c r="M99" s="604"/>
      <c r="N99" s="604" t="e">
        <f>M100/N98</f>
        <v>#DIV/0!</v>
      </c>
      <c r="O99" s="604"/>
      <c r="P99" s="604"/>
      <c r="Q99" s="604" t="e">
        <f>O100/Q98</f>
        <v>#DIV/0!</v>
      </c>
      <c r="R99" s="605"/>
    </row>
    <row r="100" spans="2:18" ht="15" customHeight="1">
      <c r="B100" s="610">
        <f t="shared" si="39"/>
        <v>7.7999999999999972</v>
      </c>
      <c r="C100" s="437" t="s">
        <v>32</v>
      </c>
      <c r="D100" s="495"/>
      <c r="E100" s="495">
        <v>0</v>
      </c>
      <c r="F100" s="495">
        <f t="shared" si="36"/>
        <v>0</v>
      </c>
      <c r="G100" s="495"/>
      <c r="H100" s="495">
        <v>0</v>
      </c>
      <c r="I100" s="495">
        <f t="shared" si="37"/>
        <v>0</v>
      </c>
      <c r="J100" s="496"/>
      <c r="K100" s="495"/>
      <c r="L100" s="495">
        <f t="shared" si="38"/>
        <v>0</v>
      </c>
      <c r="M100" s="496"/>
      <c r="N100" s="496"/>
      <c r="O100" s="496"/>
      <c r="P100" s="496"/>
      <c r="Q100" s="496"/>
      <c r="R100" s="420"/>
    </row>
    <row r="101" spans="2:18" ht="15" customHeight="1">
      <c r="B101" s="612"/>
      <c r="C101" s="438"/>
      <c r="D101" s="495"/>
      <c r="E101" s="495"/>
      <c r="F101" s="495"/>
      <c r="G101" s="495"/>
      <c r="H101" s="495"/>
      <c r="I101" s="495"/>
      <c r="J101" s="496"/>
      <c r="K101" s="495"/>
      <c r="L101" s="495"/>
      <c r="M101" s="496"/>
      <c r="N101" s="496"/>
      <c r="O101" s="496"/>
      <c r="P101" s="496"/>
      <c r="Q101" s="496"/>
      <c r="R101" s="420"/>
    </row>
    <row r="102" spans="2:18" ht="15" customHeight="1">
      <c r="B102" s="612">
        <v>8</v>
      </c>
      <c r="C102" s="438" t="s">
        <v>1465</v>
      </c>
      <c r="D102" s="495"/>
      <c r="E102" s="495"/>
      <c r="F102" s="495"/>
      <c r="G102" s="495"/>
      <c r="H102" s="495"/>
      <c r="I102" s="495"/>
      <c r="J102" s="496"/>
      <c r="K102" s="495"/>
      <c r="L102" s="495"/>
      <c r="M102" s="496"/>
      <c r="N102" s="496"/>
      <c r="O102" s="496"/>
      <c r="P102" s="496"/>
      <c r="Q102" s="496"/>
      <c r="R102" s="420"/>
    </row>
    <row r="103" spans="2:18" ht="15" customHeight="1">
      <c r="B103" s="610">
        <f>B102+0.1</f>
        <v>8.1</v>
      </c>
      <c r="C103" s="437" t="s">
        <v>28</v>
      </c>
      <c r="D103" s="495"/>
      <c r="E103" s="495">
        <v>0</v>
      </c>
      <c r="F103" s="495">
        <f t="shared" ref="F103:F110" si="40">E103-D103</f>
        <v>0</v>
      </c>
      <c r="G103" s="495"/>
      <c r="H103" s="495">
        <v>0</v>
      </c>
      <c r="I103" s="495">
        <f t="shared" ref="I103:I110" si="41">H103-G103</f>
        <v>0</v>
      </c>
      <c r="J103" s="496"/>
      <c r="K103" s="495"/>
      <c r="L103" s="495">
        <f t="shared" ref="L103:L110" si="42">K103-J103</f>
        <v>0</v>
      </c>
      <c r="M103" s="496"/>
      <c r="N103" s="496"/>
      <c r="O103" s="496"/>
      <c r="P103" s="496"/>
      <c r="Q103" s="496"/>
      <c r="R103" s="420"/>
    </row>
    <row r="104" spans="2:18" ht="15" customHeight="1">
      <c r="B104" s="610">
        <f t="shared" ref="B104:B110" si="43">B103+0.1</f>
        <v>8.1999999999999993</v>
      </c>
      <c r="C104" s="437" t="s">
        <v>400</v>
      </c>
      <c r="D104" s="495"/>
      <c r="E104" s="495">
        <v>0</v>
      </c>
      <c r="F104" s="495">
        <f t="shared" si="40"/>
        <v>0</v>
      </c>
      <c r="G104" s="495"/>
      <c r="H104" s="495">
        <v>0</v>
      </c>
      <c r="I104" s="495">
        <f t="shared" si="41"/>
        <v>0</v>
      </c>
      <c r="J104" s="496"/>
      <c r="K104" s="495"/>
      <c r="L104" s="495">
        <f t="shared" si="42"/>
        <v>0</v>
      </c>
      <c r="M104" s="496"/>
      <c r="N104" s="496"/>
      <c r="O104" s="496"/>
      <c r="P104" s="496"/>
      <c r="Q104" s="496"/>
      <c r="R104" s="420"/>
    </row>
    <row r="105" spans="2:18" ht="15" customHeight="1">
      <c r="B105" s="610">
        <f t="shared" si="43"/>
        <v>8.2999999999999989</v>
      </c>
      <c r="C105" s="437" t="s">
        <v>342</v>
      </c>
      <c r="D105" s="495"/>
      <c r="E105" s="495">
        <v>0</v>
      </c>
      <c r="F105" s="495">
        <f t="shared" si="40"/>
        <v>0</v>
      </c>
      <c r="G105" s="495"/>
      <c r="H105" s="495">
        <v>0</v>
      </c>
      <c r="I105" s="495">
        <f t="shared" si="41"/>
        <v>0</v>
      </c>
      <c r="J105" s="496"/>
      <c r="K105" s="495"/>
      <c r="L105" s="495">
        <f t="shared" si="42"/>
        <v>0</v>
      </c>
      <c r="M105" s="496"/>
      <c r="N105" s="496"/>
      <c r="O105" s="496"/>
      <c r="P105" s="496"/>
      <c r="Q105" s="496"/>
      <c r="R105" s="420"/>
    </row>
    <row r="106" spans="2:18" ht="15" customHeight="1">
      <c r="B106" s="610">
        <f t="shared" si="43"/>
        <v>8.3999999999999986</v>
      </c>
      <c r="C106" s="437" t="s">
        <v>29</v>
      </c>
      <c r="D106" s="495"/>
      <c r="E106" s="495">
        <v>0</v>
      </c>
      <c r="F106" s="495">
        <f t="shared" si="40"/>
        <v>0</v>
      </c>
      <c r="G106" s="495"/>
      <c r="H106" s="495">
        <v>0</v>
      </c>
      <c r="I106" s="495">
        <f t="shared" si="41"/>
        <v>0</v>
      </c>
      <c r="J106" s="496"/>
      <c r="K106" s="495"/>
      <c r="L106" s="495">
        <f t="shared" si="42"/>
        <v>0</v>
      </c>
      <c r="M106" s="496"/>
      <c r="N106" s="496"/>
      <c r="O106" s="496"/>
      <c r="P106" s="496"/>
      <c r="Q106" s="496"/>
      <c r="R106" s="420"/>
    </row>
    <row r="107" spans="2:18" ht="15" customHeight="1">
      <c r="B107" s="610">
        <f t="shared" si="43"/>
        <v>8.4999999999999982</v>
      </c>
      <c r="C107" s="437" t="s">
        <v>30</v>
      </c>
      <c r="D107" s="495"/>
      <c r="E107" s="495">
        <f>+E103-E104+E105-E106</f>
        <v>0</v>
      </c>
      <c r="F107" s="495">
        <f t="shared" si="40"/>
        <v>0</v>
      </c>
      <c r="G107" s="495"/>
      <c r="H107" s="495">
        <f>+H103-H104+H105-H106</f>
        <v>0</v>
      </c>
      <c r="I107" s="495">
        <f t="shared" si="41"/>
        <v>0</v>
      </c>
      <c r="J107" s="496"/>
      <c r="K107" s="496">
        <f>+J103-J104+J105-J106</f>
        <v>0</v>
      </c>
      <c r="L107" s="495">
        <f t="shared" si="42"/>
        <v>0</v>
      </c>
      <c r="M107" s="496"/>
      <c r="N107" s="496">
        <f>+M103-M104+M105-M106</f>
        <v>0</v>
      </c>
      <c r="O107" s="496"/>
      <c r="P107" s="496"/>
      <c r="Q107" s="496">
        <f>+O103-O104+O105-O106</f>
        <v>0</v>
      </c>
      <c r="R107" s="420"/>
    </row>
    <row r="108" spans="2:18" ht="15" customHeight="1">
      <c r="B108" s="610">
        <f t="shared" si="43"/>
        <v>8.5999999999999979</v>
      </c>
      <c r="C108" s="437" t="s">
        <v>472</v>
      </c>
      <c r="D108" s="495"/>
      <c r="E108" s="451">
        <f>AVERAGE(E103,E107)</f>
        <v>0</v>
      </c>
      <c r="F108" s="495">
        <f t="shared" si="40"/>
        <v>0</v>
      </c>
      <c r="G108" s="495"/>
      <c r="H108" s="451">
        <f>AVERAGE(H103,H107)</f>
        <v>0</v>
      </c>
      <c r="I108" s="495">
        <f t="shared" si="41"/>
        <v>0</v>
      </c>
      <c r="J108" s="496"/>
      <c r="K108" s="495"/>
      <c r="L108" s="495">
        <f t="shared" si="42"/>
        <v>0</v>
      </c>
      <c r="M108" s="496"/>
      <c r="N108" s="496"/>
      <c r="O108" s="496"/>
      <c r="P108" s="496"/>
      <c r="Q108" s="496"/>
      <c r="R108" s="420"/>
    </row>
    <row r="109" spans="2:18" s="606" customFormat="1" ht="15" customHeight="1">
      <c r="B109" s="614">
        <f t="shared" si="43"/>
        <v>8.6999999999999975</v>
      </c>
      <c r="C109" s="602" t="s">
        <v>31</v>
      </c>
      <c r="D109" s="603"/>
      <c r="E109" s="603">
        <f>IFERROR(E110/E108,0)</f>
        <v>0</v>
      </c>
      <c r="F109" s="603" t="e">
        <f>F110/F108</f>
        <v>#DIV/0!</v>
      </c>
      <c r="G109" s="603"/>
      <c r="H109" s="603">
        <f>IFERROR(H110/H108,0)</f>
        <v>0</v>
      </c>
      <c r="I109" s="603" t="e">
        <f>I110/I108</f>
        <v>#DIV/0!</v>
      </c>
      <c r="J109" s="604"/>
      <c r="K109" s="604" t="e">
        <f>J110/K108</f>
        <v>#DIV/0!</v>
      </c>
      <c r="L109" s="603" t="e">
        <f>L110/L108</f>
        <v>#DIV/0!</v>
      </c>
      <c r="M109" s="604"/>
      <c r="N109" s="604" t="e">
        <f>M110/N108</f>
        <v>#DIV/0!</v>
      </c>
      <c r="O109" s="604"/>
      <c r="P109" s="604"/>
      <c r="Q109" s="604" t="e">
        <f>O110/Q108</f>
        <v>#DIV/0!</v>
      </c>
      <c r="R109" s="605"/>
    </row>
    <row r="110" spans="2:18" ht="15" customHeight="1">
      <c r="B110" s="610">
        <f t="shared" si="43"/>
        <v>8.7999999999999972</v>
      </c>
      <c r="C110" s="437" t="s">
        <v>32</v>
      </c>
      <c r="D110" s="495"/>
      <c r="E110" s="495">
        <v>0</v>
      </c>
      <c r="F110" s="495">
        <f t="shared" si="40"/>
        <v>0</v>
      </c>
      <c r="G110" s="495"/>
      <c r="H110" s="495">
        <v>0</v>
      </c>
      <c r="I110" s="495">
        <f t="shared" si="41"/>
        <v>0</v>
      </c>
      <c r="J110" s="496"/>
      <c r="K110" s="495"/>
      <c r="L110" s="495">
        <f t="shared" si="42"/>
        <v>0</v>
      </c>
      <c r="M110" s="496"/>
      <c r="N110" s="496"/>
      <c r="O110" s="496"/>
      <c r="P110" s="496"/>
      <c r="Q110" s="496"/>
      <c r="R110" s="420"/>
    </row>
    <row r="111" spans="2:18" ht="15" customHeight="1">
      <c r="B111" s="610"/>
      <c r="C111" s="437" t="s">
        <v>23</v>
      </c>
      <c r="D111" s="497"/>
      <c r="E111" s="497"/>
      <c r="F111" s="497"/>
      <c r="G111" s="497"/>
      <c r="H111" s="497"/>
      <c r="I111" s="497"/>
      <c r="J111" s="497"/>
      <c r="K111" s="497"/>
      <c r="L111" s="497"/>
      <c r="M111" s="497"/>
      <c r="N111" s="497"/>
      <c r="O111" s="497"/>
      <c r="P111" s="497"/>
      <c r="Q111" s="497"/>
      <c r="R111" s="420"/>
    </row>
    <row r="112" spans="2:18" ht="15" customHeight="1">
      <c r="B112" s="610"/>
      <c r="C112" s="437" t="s">
        <v>23</v>
      </c>
      <c r="D112" s="497"/>
      <c r="E112" s="497"/>
      <c r="F112" s="497"/>
      <c r="G112" s="497"/>
      <c r="H112" s="497"/>
      <c r="I112" s="497"/>
      <c r="J112" s="497"/>
      <c r="K112" s="497"/>
      <c r="L112" s="497"/>
      <c r="M112" s="497"/>
      <c r="N112" s="497"/>
      <c r="O112" s="497"/>
      <c r="P112" s="497"/>
      <c r="Q112" s="497"/>
      <c r="R112" s="420"/>
    </row>
    <row r="113" spans="2:18" ht="15" customHeight="1">
      <c r="B113" s="610"/>
      <c r="C113" s="437" t="s">
        <v>23</v>
      </c>
      <c r="D113" s="497"/>
      <c r="E113" s="497"/>
      <c r="F113" s="497"/>
      <c r="G113" s="497"/>
      <c r="H113" s="497"/>
      <c r="I113" s="497"/>
      <c r="J113" s="497"/>
      <c r="K113" s="497"/>
      <c r="L113" s="497"/>
      <c r="M113" s="497"/>
      <c r="N113" s="497"/>
      <c r="O113" s="497"/>
      <c r="P113" s="497"/>
      <c r="Q113" s="497"/>
      <c r="R113" s="420"/>
    </row>
    <row r="114" spans="2:18" ht="15" customHeight="1">
      <c r="B114" s="610"/>
      <c r="C114" s="437"/>
      <c r="D114" s="497"/>
      <c r="E114" s="497"/>
      <c r="F114" s="497"/>
      <c r="G114" s="497"/>
      <c r="H114" s="497"/>
      <c r="I114" s="497"/>
      <c r="J114" s="497"/>
      <c r="K114" s="497"/>
      <c r="L114" s="497"/>
      <c r="M114" s="497"/>
      <c r="N114" s="497"/>
      <c r="O114" s="497"/>
      <c r="P114" s="497"/>
      <c r="Q114" s="497"/>
      <c r="R114" s="420"/>
    </row>
    <row r="115" spans="2:18" ht="15" customHeight="1">
      <c r="B115" s="612">
        <v>9</v>
      </c>
      <c r="C115" s="438" t="s">
        <v>271</v>
      </c>
      <c r="D115" s="497"/>
      <c r="E115" s="497"/>
      <c r="F115" s="497"/>
      <c r="G115" s="497"/>
      <c r="H115" s="497"/>
      <c r="I115" s="497"/>
      <c r="J115" s="497"/>
      <c r="K115" s="497"/>
      <c r="L115" s="497"/>
      <c r="M115" s="497"/>
      <c r="N115" s="497"/>
      <c r="O115" s="497"/>
      <c r="P115" s="497"/>
      <c r="Q115" s="497"/>
      <c r="R115" s="420"/>
    </row>
    <row r="116" spans="2:18" ht="15" customHeight="1">
      <c r="B116" s="610">
        <f t="shared" ref="B116:B123" si="44">B115+0.1</f>
        <v>9.1</v>
      </c>
      <c r="C116" s="437" t="s">
        <v>28</v>
      </c>
      <c r="D116" s="497"/>
      <c r="E116" s="497">
        <f t="shared" ref="E116:E123" si="45">E33+E43+E53+E63+E73+E83+E93+E103</f>
        <v>0</v>
      </c>
      <c r="F116" s="497"/>
      <c r="G116" s="497"/>
      <c r="H116" s="497">
        <f t="shared" ref="H116:H123" si="46">H33+H43+H53+H63+H73+H83+H93+H103</f>
        <v>0</v>
      </c>
      <c r="I116" s="497"/>
      <c r="J116" s="497"/>
      <c r="K116" s="497">
        <f t="shared" ref="K116:K123" si="47">K33+K43+K53+K63+K73+K83+K93+K103</f>
        <v>0</v>
      </c>
      <c r="L116" s="497"/>
      <c r="M116" s="497"/>
      <c r="N116" s="497">
        <f t="shared" ref="N116:N123" si="48">N33+N43+N53+N63+N73+N83+N93+N103</f>
        <v>0</v>
      </c>
      <c r="O116" s="497"/>
      <c r="P116" s="497"/>
      <c r="Q116" s="497">
        <f t="shared" ref="Q116:Q123" si="49">Q33+Q43+Q53+Q63+Q73+Q83+Q93+Q103</f>
        <v>0</v>
      </c>
      <c r="R116" s="420"/>
    </row>
    <row r="117" spans="2:18" ht="15" customHeight="1">
      <c r="B117" s="610">
        <f t="shared" si="44"/>
        <v>9.1999999999999993</v>
      </c>
      <c r="C117" s="437" t="s">
        <v>400</v>
      </c>
      <c r="D117" s="497"/>
      <c r="E117" s="497">
        <f t="shared" si="45"/>
        <v>0</v>
      </c>
      <c r="F117" s="497"/>
      <c r="G117" s="497"/>
      <c r="H117" s="497">
        <f t="shared" si="46"/>
        <v>0</v>
      </c>
      <c r="I117" s="497"/>
      <c r="J117" s="497"/>
      <c r="K117" s="497">
        <f t="shared" si="47"/>
        <v>0</v>
      </c>
      <c r="L117" s="497"/>
      <c r="M117" s="497"/>
      <c r="N117" s="497">
        <f t="shared" si="48"/>
        <v>0</v>
      </c>
      <c r="O117" s="497"/>
      <c r="P117" s="497"/>
      <c r="Q117" s="497">
        <f t="shared" si="49"/>
        <v>0</v>
      </c>
      <c r="R117" s="420"/>
    </row>
    <row r="118" spans="2:18" ht="15" customHeight="1">
      <c r="B118" s="610">
        <f t="shared" si="44"/>
        <v>9.2999999999999989</v>
      </c>
      <c r="C118" s="437" t="s">
        <v>342</v>
      </c>
      <c r="D118" s="497"/>
      <c r="E118" s="497">
        <f t="shared" si="45"/>
        <v>0</v>
      </c>
      <c r="F118" s="497"/>
      <c r="G118" s="497"/>
      <c r="H118" s="497">
        <f t="shared" si="46"/>
        <v>0</v>
      </c>
      <c r="I118" s="497"/>
      <c r="J118" s="497"/>
      <c r="K118" s="497">
        <f t="shared" si="47"/>
        <v>0</v>
      </c>
      <c r="L118" s="497"/>
      <c r="M118" s="497"/>
      <c r="N118" s="497">
        <f t="shared" si="48"/>
        <v>0</v>
      </c>
      <c r="O118" s="497"/>
      <c r="P118" s="497"/>
      <c r="Q118" s="497">
        <f t="shared" si="49"/>
        <v>0</v>
      </c>
      <c r="R118" s="420"/>
    </row>
    <row r="119" spans="2:18" ht="15" customHeight="1">
      <c r="B119" s="610">
        <f t="shared" si="44"/>
        <v>9.3999999999999986</v>
      </c>
      <c r="C119" s="437" t="s">
        <v>29</v>
      </c>
      <c r="D119" s="497"/>
      <c r="E119" s="497">
        <f t="shared" si="45"/>
        <v>0</v>
      </c>
      <c r="F119" s="497"/>
      <c r="G119" s="497"/>
      <c r="H119" s="497">
        <f t="shared" si="46"/>
        <v>0</v>
      </c>
      <c r="I119" s="497"/>
      <c r="J119" s="497"/>
      <c r="K119" s="497">
        <f t="shared" si="47"/>
        <v>0</v>
      </c>
      <c r="L119" s="497"/>
      <c r="M119" s="497"/>
      <c r="N119" s="497">
        <f t="shared" si="48"/>
        <v>0</v>
      </c>
      <c r="O119" s="497"/>
      <c r="P119" s="497"/>
      <c r="Q119" s="497">
        <f t="shared" si="49"/>
        <v>0</v>
      </c>
      <c r="R119" s="420"/>
    </row>
    <row r="120" spans="2:18" ht="15" customHeight="1">
      <c r="B120" s="610">
        <f t="shared" si="44"/>
        <v>9.4999999999999982</v>
      </c>
      <c r="C120" s="437" t="s">
        <v>30</v>
      </c>
      <c r="D120" s="497"/>
      <c r="E120" s="497">
        <f t="shared" si="45"/>
        <v>0</v>
      </c>
      <c r="F120" s="497"/>
      <c r="G120" s="497"/>
      <c r="H120" s="497">
        <f t="shared" si="46"/>
        <v>0</v>
      </c>
      <c r="I120" s="497"/>
      <c r="J120" s="497"/>
      <c r="K120" s="497">
        <f t="shared" si="47"/>
        <v>0</v>
      </c>
      <c r="L120" s="497"/>
      <c r="M120" s="497"/>
      <c r="N120" s="497">
        <f t="shared" si="48"/>
        <v>0</v>
      </c>
      <c r="O120" s="497"/>
      <c r="P120" s="497"/>
      <c r="Q120" s="497">
        <f t="shared" si="49"/>
        <v>0</v>
      </c>
      <c r="R120" s="420"/>
    </row>
    <row r="121" spans="2:18" ht="15" customHeight="1">
      <c r="B121" s="610">
        <f t="shared" si="44"/>
        <v>9.5999999999999979</v>
      </c>
      <c r="C121" s="437" t="s">
        <v>472</v>
      </c>
      <c r="D121" s="497"/>
      <c r="E121" s="497">
        <f t="shared" si="45"/>
        <v>0</v>
      </c>
      <c r="F121" s="497"/>
      <c r="G121" s="497"/>
      <c r="H121" s="497">
        <f t="shared" si="46"/>
        <v>0</v>
      </c>
      <c r="I121" s="497"/>
      <c r="J121" s="497"/>
      <c r="K121" s="497">
        <f t="shared" si="47"/>
        <v>0</v>
      </c>
      <c r="L121" s="497"/>
      <c r="M121" s="497"/>
      <c r="N121" s="497">
        <f t="shared" si="48"/>
        <v>0</v>
      </c>
      <c r="O121" s="497"/>
      <c r="P121" s="497"/>
      <c r="Q121" s="497">
        <f t="shared" si="49"/>
        <v>0</v>
      </c>
      <c r="R121" s="420"/>
    </row>
    <row r="122" spans="2:18" s="606" customFormat="1" ht="15" customHeight="1">
      <c r="B122" s="614">
        <f t="shared" si="44"/>
        <v>9.6999999999999975</v>
      </c>
      <c r="C122" s="821" t="s">
        <v>31</v>
      </c>
      <c r="D122" s="822"/>
      <c r="E122" s="603">
        <f>IFERROR(E123/E121,0)</f>
        <v>0</v>
      </c>
      <c r="F122" s="605"/>
      <c r="G122" s="605"/>
      <c r="H122" s="603">
        <f>IFERROR(H123/H121,0)</f>
        <v>0</v>
      </c>
      <c r="I122" s="605"/>
      <c r="J122" s="605"/>
      <c r="K122" s="605" t="e">
        <f t="shared" si="47"/>
        <v>#DIV/0!</v>
      </c>
      <c r="L122" s="605"/>
      <c r="M122" s="605"/>
      <c r="N122" s="605" t="e">
        <f t="shared" si="48"/>
        <v>#DIV/0!</v>
      </c>
      <c r="O122" s="605"/>
      <c r="P122" s="605"/>
      <c r="Q122" s="605" t="e">
        <f t="shared" si="49"/>
        <v>#DIV/0!</v>
      </c>
      <c r="R122" s="605"/>
    </row>
    <row r="123" spans="2:18" ht="15" customHeight="1">
      <c r="B123" s="610">
        <f t="shared" si="44"/>
        <v>9.7999999999999972</v>
      </c>
      <c r="C123" s="437" t="s">
        <v>32</v>
      </c>
      <c r="D123" s="497"/>
      <c r="E123" s="497">
        <f t="shared" si="45"/>
        <v>0</v>
      </c>
      <c r="F123" s="497"/>
      <c r="G123" s="497"/>
      <c r="H123" s="497">
        <f t="shared" si="46"/>
        <v>0</v>
      </c>
      <c r="I123" s="497"/>
      <c r="J123" s="497"/>
      <c r="K123" s="497">
        <f t="shared" si="47"/>
        <v>0</v>
      </c>
      <c r="L123" s="497"/>
      <c r="M123" s="497"/>
      <c r="N123" s="497">
        <f t="shared" si="48"/>
        <v>0</v>
      </c>
      <c r="O123" s="497"/>
      <c r="P123" s="497"/>
      <c r="Q123" s="497">
        <f t="shared" si="49"/>
        <v>0</v>
      </c>
      <c r="R123" s="420"/>
    </row>
    <row r="124" spans="2:18" ht="15" customHeight="1">
      <c r="B124" s="610"/>
      <c r="C124" s="437"/>
      <c r="D124" s="497"/>
      <c r="E124" s="333"/>
      <c r="F124" s="497"/>
      <c r="G124" s="497"/>
      <c r="H124" s="497"/>
      <c r="I124" s="497"/>
      <c r="J124" s="497"/>
      <c r="K124" s="497"/>
      <c r="L124" s="497"/>
      <c r="M124" s="497"/>
      <c r="N124" s="497"/>
      <c r="O124" s="497"/>
      <c r="P124" s="497"/>
      <c r="Q124" s="497"/>
      <c r="R124" s="420"/>
    </row>
    <row r="125" spans="2:18" ht="15" customHeight="1">
      <c r="B125" s="610"/>
      <c r="C125" s="437"/>
      <c r="D125" s="497"/>
      <c r="E125" s="497"/>
      <c r="F125" s="497"/>
      <c r="G125" s="497"/>
      <c r="H125" s="497"/>
      <c r="I125" s="497"/>
      <c r="J125" s="497"/>
      <c r="K125" s="497"/>
      <c r="L125" s="497"/>
      <c r="M125" s="497"/>
      <c r="N125" s="497"/>
      <c r="O125" s="497"/>
      <c r="P125" s="497"/>
      <c r="Q125" s="497"/>
      <c r="R125" s="420"/>
    </row>
    <row r="126" spans="2:18" s="22" customFormat="1" ht="15" customHeight="1">
      <c r="B126" s="612">
        <v>10</v>
      </c>
      <c r="C126" s="438" t="s">
        <v>33</v>
      </c>
      <c r="D126" s="498"/>
      <c r="E126" s="498">
        <f>E123</f>
        <v>0</v>
      </c>
      <c r="F126" s="498"/>
      <c r="G126" s="498"/>
      <c r="H126" s="498">
        <f>H123</f>
        <v>0</v>
      </c>
      <c r="I126" s="498"/>
      <c r="J126" s="498"/>
      <c r="K126" s="498">
        <f>K123</f>
        <v>0</v>
      </c>
      <c r="L126" s="498"/>
      <c r="M126" s="498"/>
      <c r="N126" s="498">
        <f>N123</f>
        <v>0</v>
      </c>
      <c r="O126" s="498"/>
      <c r="P126" s="498"/>
      <c r="Q126" s="498">
        <f>Q123</f>
        <v>0</v>
      </c>
      <c r="R126" s="433"/>
    </row>
    <row r="127" spans="2:18" ht="15" customHeight="1">
      <c r="B127" s="610">
        <v>11</v>
      </c>
      <c r="C127" s="439" t="s">
        <v>34</v>
      </c>
      <c r="D127" s="497"/>
      <c r="E127" s="497"/>
      <c r="F127" s="497"/>
      <c r="G127" s="497"/>
      <c r="H127" s="497"/>
      <c r="I127" s="497"/>
      <c r="J127" s="497"/>
      <c r="K127" s="497"/>
      <c r="L127" s="497"/>
      <c r="M127" s="497"/>
      <c r="N127" s="497"/>
      <c r="O127" s="497"/>
      <c r="P127" s="497"/>
      <c r="Q127" s="497"/>
      <c r="R127" s="420"/>
    </row>
    <row r="128" spans="2:18" s="322" customFormat="1" ht="15" customHeight="1">
      <c r="B128" s="615">
        <v>12</v>
      </c>
      <c r="C128" s="440" t="s">
        <v>35</v>
      </c>
      <c r="D128" s="497"/>
      <c r="E128" s="497">
        <f>E126-E127</f>
        <v>0</v>
      </c>
      <c r="F128" s="497"/>
      <c r="G128" s="497"/>
      <c r="H128" s="497">
        <f>H126-H127</f>
        <v>0</v>
      </c>
      <c r="I128" s="497"/>
      <c r="J128" s="497"/>
      <c r="K128" s="497">
        <f>K126-K127</f>
        <v>0</v>
      </c>
      <c r="L128" s="497"/>
      <c r="M128" s="497"/>
      <c r="N128" s="497">
        <f>N126-N127</f>
        <v>0</v>
      </c>
      <c r="O128" s="497"/>
      <c r="P128" s="497"/>
      <c r="Q128" s="497">
        <f>Q126-Q127</f>
        <v>0</v>
      </c>
      <c r="R128" s="420"/>
    </row>
    <row r="129" spans="2:18" ht="15" customHeight="1">
      <c r="B129" s="610"/>
      <c r="C129" s="441"/>
      <c r="D129" s="497"/>
      <c r="E129" s="497"/>
      <c r="F129" s="497"/>
      <c r="G129" s="497"/>
      <c r="H129" s="497"/>
      <c r="I129" s="497"/>
      <c r="J129" s="497"/>
      <c r="K129" s="497"/>
      <c r="L129" s="497"/>
      <c r="M129" s="497"/>
      <c r="N129" s="497"/>
      <c r="O129" s="497"/>
      <c r="P129" s="497"/>
      <c r="Q129" s="497"/>
      <c r="R129" s="420"/>
    </row>
    <row r="130" spans="2:18">
      <c r="B130" s="616"/>
      <c r="C130" s="442"/>
      <c r="D130" s="442"/>
      <c r="E130" s="442"/>
      <c r="F130" s="442"/>
      <c r="G130" s="442"/>
      <c r="H130" s="443"/>
      <c r="I130" s="443"/>
      <c r="J130" s="222"/>
      <c r="L130" s="222"/>
      <c r="M130" s="222"/>
      <c r="N130" s="23"/>
      <c r="O130" s="23"/>
      <c r="P130" s="23"/>
      <c r="Q130" s="23"/>
    </row>
    <row r="131" spans="2:18">
      <c r="B131" s="616"/>
      <c r="C131" s="1948" t="s">
        <v>143</v>
      </c>
      <c r="D131" s="1948"/>
      <c r="E131" s="1948"/>
      <c r="F131" s="1948"/>
      <c r="G131" s="1948"/>
      <c r="H131" s="443"/>
      <c r="I131" s="443"/>
      <c r="J131" s="222"/>
      <c r="L131" s="222"/>
      <c r="M131" s="222"/>
      <c r="N131" s="23"/>
      <c r="O131" s="23"/>
      <c r="P131" s="23"/>
      <c r="Q131" s="23"/>
    </row>
    <row r="132" spans="2:18">
      <c r="C132" s="435" t="s">
        <v>489</v>
      </c>
    </row>
    <row r="134" spans="2:18" ht="17.5">
      <c r="C134" s="716" t="s">
        <v>815</v>
      </c>
      <c r="D134" s="444"/>
      <c r="E134" s="444"/>
      <c r="F134" s="444"/>
      <c r="G134" s="444"/>
    </row>
    <row r="135" spans="2:18">
      <c r="O135" s="21"/>
      <c r="P135" s="21"/>
      <c r="Q135" s="21" t="s">
        <v>10</v>
      </c>
    </row>
    <row r="136" spans="2:18" ht="15" customHeight="1">
      <c r="B136" s="1949" t="s">
        <v>343</v>
      </c>
      <c r="C136" s="1956" t="s">
        <v>25</v>
      </c>
      <c r="D136" s="1880" t="s">
        <v>508</v>
      </c>
      <c r="E136" s="1881"/>
      <c r="F136" s="1882"/>
      <c r="G136" s="1880" t="s">
        <v>509</v>
      </c>
      <c r="H136" s="1881"/>
      <c r="I136" s="1882"/>
      <c r="J136" s="1880" t="s">
        <v>510</v>
      </c>
      <c r="K136" s="1881"/>
      <c r="L136" s="1882"/>
      <c r="M136" s="1775" t="s">
        <v>957</v>
      </c>
      <c r="N136" s="1775"/>
      <c r="O136" s="1775"/>
      <c r="P136" s="1775"/>
      <c r="Q136" s="1775"/>
      <c r="R136" s="1785" t="s">
        <v>26</v>
      </c>
    </row>
    <row r="137" spans="2:18" ht="28">
      <c r="B137" s="1949"/>
      <c r="C137" s="1956"/>
      <c r="D137" s="445" t="s">
        <v>450</v>
      </c>
      <c r="E137" s="446" t="s">
        <v>78</v>
      </c>
      <c r="F137" s="446" t="s">
        <v>451</v>
      </c>
      <c r="G137" s="445" t="s">
        <v>450</v>
      </c>
      <c r="H137" s="446" t="s">
        <v>78</v>
      </c>
      <c r="I137" s="446" t="s">
        <v>451</v>
      </c>
      <c r="J137" s="416" t="s">
        <v>450</v>
      </c>
      <c r="K137" s="416" t="s">
        <v>79</v>
      </c>
      <c r="L137" s="416" t="s">
        <v>452</v>
      </c>
      <c r="M137" s="813" t="s">
        <v>958</v>
      </c>
      <c r="N137" s="813" t="s">
        <v>959</v>
      </c>
      <c r="O137" s="813" t="s">
        <v>960</v>
      </c>
      <c r="P137" s="813" t="s">
        <v>961</v>
      </c>
      <c r="Q137" s="813" t="s">
        <v>962</v>
      </c>
      <c r="R137" s="1785"/>
    </row>
    <row r="138" spans="2:18">
      <c r="B138" s="613"/>
      <c r="C138" s="447"/>
      <c r="D138" s="446" t="s">
        <v>80</v>
      </c>
      <c r="E138" s="446" t="s">
        <v>81</v>
      </c>
      <c r="F138" s="446" t="s">
        <v>676</v>
      </c>
      <c r="G138" s="446" t="s">
        <v>391</v>
      </c>
      <c r="H138" s="446" t="s">
        <v>409</v>
      </c>
      <c r="I138" s="446" t="s">
        <v>456</v>
      </c>
      <c r="J138" s="814" t="s">
        <v>410</v>
      </c>
      <c r="K138" s="814" t="s">
        <v>411</v>
      </c>
      <c r="L138" s="814" t="s">
        <v>512</v>
      </c>
      <c r="M138" s="812" t="s">
        <v>21</v>
      </c>
      <c r="N138" s="812" t="s">
        <v>21</v>
      </c>
      <c r="O138" s="812" t="s">
        <v>21</v>
      </c>
      <c r="P138" s="812" t="s">
        <v>21</v>
      </c>
      <c r="Q138" s="812" t="s">
        <v>21</v>
      </c>
      <c r="R138" s="1786"/>
    </row>
    <row r="139" spans="2:18">
      <c r="B139" s="612">
        <v>1</v>
      </c>
      <c r="C139" s="438" t="s">
        <v>1466</v>
      </c>
      <c r="D139" s="438"/>
      <c r="E139" s="438"/>
      <c r="F139" s="438"/>
      <c r="G139" s="438"/>
      <c r="H139" s="448"/>
      <c r="I139" s="448"/>
      <c r="J139" s="417"/>
      <c r="K139" s="418"/>
      <c r="L139" s="417"/>
      <c r="M139" s="417"/>
      <c r="N139" s="419"/>
      <c r="O139" s="419"/>
      <c r="P139" s="419"/>
      <c r="Q139" s="419"/>
      <c r="R139" s="417"/>
    </row>
    <row r="140" spans="2:18">
      <c r="B140" s="610">
        <v>1.1000000000000001</v>
      </c>
      <c r="C140" s="437" t="s">
        <v>28</v>
      </c>
      <c r="D140" s="495"/>
      <c r="E140" s="495">
        <v>0</v>
      </c>
      <c r="F140" s="495">
        <f>E140-D140</f>
        <v>0</v>
      </c>
      <c r="G140" s="495"/>
      <c r="H140" s="495">
        <v>0</v>
      </c>
      <c r="I140" s="495">
        <f>H140-G140</f>
        <v>0</v>
      </c>
      <c r="J140" s="496"/>
      <c r="K140" s="495"/>
      <c r="L140" s="495">
        <f>K140-J140</f>
        <v>0</v>
      </c>
      <c r="M140" s="496"/>
      <c r="N140" s="496"/>
      <c r="O140" s="496"/>
      <c r="P140" s="496"/>
      <c r="Q140" s="496"/>
      <c r="R140" s="420"/>
    </row>
    <row r="141" spans="2:18">
      <c r="B141" s="610">
        <f t="shared" ref="B141:B147" si="50">B140+0.1</f>
        <v>1.2000000000000002</v>
      </c>
      <c r="C141" s="437" t="s">
        <v>400</v>
      </c>
      <c r="D141" s="495"/>
      <c r="E141" s="495">
        <v>0</v>
      </c>
      <c r="F141" s="495">
        <f t="shared" ref="F141:F147" si="51">E141-D141</f>
        <v>0</v>
      </c>
      <c r="G141" s="495"/>
      <c r="H141" s="495">
        <v>0</v>
      </c>
      <c r="I141" s="495">
        <f t="shared" ref="I141:I147" si="52">H141-G141</f>
        <v>0</v>
      </c>
      <c r="J141" s="496"/>
      <c r="K141" s="495"/>
      <c r="L141" s="495">
        <f t="shared" ref="L141:L147" si="53">K141-J141</f>
        <v>0</v>
      </c>
      <c r="M141" s="496"/>
      <c r="N141" s="496"/>
      <c r="O141" s="496"/>
      <c r="P141" s="496"/>
      <c r="Q141" s="496"/>
      <c r="R141" s="420"/>
    </row>
    <row r="142" spans="2:18">
      <c r="B142" s="610">
        <f t="shared" si="50"/>
        <v>1.3000000000000003</v>
      </c>
      <c r="C142" s="437" t="s">
        <v>342</v>
      </c>
      <c r="D142" s="495"/>
      <c r="E142" s="495">
        <v>0</v>
      </c>
      <c r="F142" s="495">
        <f t="shared" si="51"/>
        <v>0</v>
      </c>
      <c r="G142" s="495"/>
      <c r="H142" s="495">
        <v>14.232575899999999</v>
      </c>
      <c r="I142" s="495">
        <f t="shared" si="52"/>
        <v>14.232575899999999</v>
      </c>
      <c r="J142" s="496"/>
      <c r="K142" s="495"/>
      <c r="L142" s="495">
        <f t="shared" si="53"/>
        <v>0</v>
      </c>
      <c r="M142" s="496"/>
      <c r="N142" s="496"/>
      <c r="O142" s="496"/>
      <c r="P142" s="496"/>
      <c r="Q142" s="496"/>
      <c r="R142" s="420"/>
    </row>
    <row r="143" spans="2:18">
      <c r="B143" s="610">
        <f t="shared" si="50"/>
        <v>1.4000000000000004</v>
      </c>
      <c r="C143" s="437" t="s">
        <v>29</v>
      </c>
      <c r="D143" s="495"/>
      <c r="E143" s="495">
        <v>0</v>
      </c>
      <c r="F143" s="495">
        <f t="shared" si="51"/>
        <v>0</v>
      </c>
      <c r="G143" s="495"/>
      <c r="H143" s="495">
        <v>0</v>
      </c>
      <c r="I143" s="495">
        <f t="shared" si="52"/>
        <v>0</v>
      </c>
      <c r="J143" s="496"/>
      <c r="K143" s="495"/>
      <c r="L143" s="495">
        <f t="shared" si="53"/>
        <v>0</v>
      </c>
      <c r="M143" s="496"/>
      <c r="N143" s="496"/>
      <c r="O143" s="496"/>
      <c r="P143" s="496"/>
      <c r="Q143" s="496"/>
      <c r="R143" s="420"/>
    </row>
    <row r="144" spans="2:18">
      <c r="B144" s="610">
        <f t="shared" si="50"/>
        <v>1.5000000000000004</v>
      </c>
      <c r="C144" s="437" t="s">
        <v>30</v>
      </c>
      <c r="D144" s="495"/>
      <c r="E144" s="495">
        <f>+E140-E141+E142-E143</f>
        <v>0</v>
      </c>
      <c r="F144" s="495">
        <f t="shared" si="51"/>
        <v>0</v>
      </c>
      <c r="G144" s="495"/>
      <c r="H144" s="495">
        <f>+H140-H141+H142-H143</f>
        <v>14.232575899999999</v>
      </c>
      <c r="I144" s="495">
        <f t="shared" si="52"/>
        <v>14.232575899999999</v>
      </c>
      <c r="J144" s="496"/>
      <c r="K144" s="496">
        <f>+J140-J141+J142-J143</f>
        <v>0</v>
      </c>
      <c r="L144" s="495">
        <f t="shared" si="53"/>
        <v>0</v>
      </c>
      <c r="M144" s="496"/>
      <c r="N144" s="496">
        <f>+M140-M141+M142-M143</f>
        <v>0</v>
      </c>
      <c r="O144" s="496"/>
      <c r="P144" s="496"/>
      <c r="Q144" s="496">
        <f>+O140-O141+O142-O143</f>
        <v>0</v>
      </c>
      <c r="R144" s="420"/>
    </row>
    <row r="145" spans="2:18">
      <c r="B145" s="610">
        <f t="shared" si="50"/>
        <v>1.6000000000000005</v>
      </c>
      <c r="C145" s="437" t="s">
        <v>472</v>
      </c>
      <c r="D145" s="495"/>
      <c r="E145" s="451">
        <f>AVERAGE(E140,E144)</f>
        <v>0</v>
      </c>
      <c r="F145" s="495">
        <f t="shared" si="51"/>
        <v>0</v>
      </c>
      <c r="G145" s="495"/>
      <c r="H145" s="451">
        <f>AVERAGE(H140,H144)</f>
        <v>7.1162879499999994</v>
      </c>
      <c r="I145" s="495">
        <f t="shared" si="52"/>
        <v>7.1162879499999994</v>
      </c>
      <c r="J145" s="496"/>
      <c r="K145" s="495"/>
      <c r="L145" s="495">
        <f t="shared" si="53"/>
        <v>0</v>
      </c>
      <c r="M145" s="496"/>
      <c r="N145" s="496"/>
      <c r="O145" s="496"/>
      <c r="P145" s="496"/>
      <c r="Q145" s="496"/>
      <c r="R145" s="420"/>
    </row>
    <row r="146" spans="2:18" s="606" customFormat="1">
      <c r="B146" s="614">
        <f t="shared" si="50"/>
        <v>1.7000000000000006</v>
      </c>
      <c r="C146" s="602" t="s">
        <v>31</v>
      </c>
      <c r="D146" s="603"/>
      <c r="E146" s="603">
        <f>IFERROR(E147/E145,0)</f>
        <v>0</v>
      </c>
      <c r="F146" s="603" t="e">
        <f>F147/F145</f>
        <v>#DIV/0!</v>
      </c>
      <c r="G146" s="603"/>
      <c r="H146" s="603">
        <f>IFERROR(H147/H145,0)</f>
        <v>6.9337631152496415E-2</v>
      </c>
      <c r="I146" s="603">
        <f>I147/I145</f>
        <v>6.9337631152496415E-2</v>
      </c>
      <c r="J146" s="604"/>
      <c r="K146" s="604" t="e">
        <f>J147/K145</f>
        <v>#DIV/0!</v>
      </c>
      <c r="L146" s="603" t="e">
        <f>L147/L145</f>
        <v>#DIV/0!</v>
      </c>
      <c r="M146" s="604"/>
      <c r="N146" s="604" t="e">
        <f>M147/N145</f>
        <v>#DIV/0!</v>
      </c>
      <c r="O146" s="604"/>
      <c r="P146" s="604"/>
      <c r="Q146" s="604" t="e">
        <f>O147/Q145</f>
        <v>#DIV/0!</v>
      </c>
      <c r="R146" s="605"/>
    </row>
    <row r="147" spans="2:18">
      <c r="B147" s="610">
        <f t="shared" si="50"/>
        <v>1.8000000000000007</v>
      </c>
      <c r="C147" s="437" t="s">
        <v>32</v>
      </c>
      <c r="D147" s="495"/>
      <c r="E147" s="495">
        <v>0</v>
      </c>
      <c r="F147" s="495">
        <f t="shared" si="51"/>
        <v>0</v>
      </c>
      <c r="G147" s="495"/>
      <c r="H147" s="495">
        <v>0.4934265490520548</v>
      </c>
      <c r="I147" s="495">
        <f t="shared" si="52"/>
        <v>0.4934265490520548</v>
      </c>
      <c r="J147" s="496"/>
      <c r="K147" s="495"/>
      <c r="L147" s="495">
        <f t="shared" si="53"/>
        <v>0</v>
      </c>
      <c r="M147" s="496"/>
      <c r="N147" s="496"/>
      <c r="O147" s="496"/>
      <c r="P147" s="496"/>
      <c r="Q147" s="496"/>
      <c r="R147" s="420"/>
    </row>
    <row r="148" spans="2:18">
      <c r="B148" s="610"/>
      <c r="C148" s="437"/>
      <c r="D148" s="495"/>
      <c r="E148" s="495"/>
      <c r="F148" s="495"/>
      <c r="G148" s="495"/>
      <c r="H148" s="495"/>
      <c r="I148" s="495"/>
      <c r="J148" s="496"/>
      <c r="K148" s="495"/>
      <c r="L148" s="495"/>
      <c r="M148" s="496"/>
      <c r="N148" s="496"/>
      <c r="O148" s="496"/>
      <c r="P148" s="496"/>
      <c r="Q148" s="496"/>
      <c r="R148" s="420"/>
    </row>
    <row r="149" spans="2:18">
      <c r="B149" s="612">
        <v>2</v>
      </c>
      <c r="C149" s="438" t="s">
        <v>1467</v>
      </c>
      <c r="D149" s="495"/>
      <c r="E149" s="495"/>
      <c r="F149" s="495"/>
      <c r="G149" s="495"/>
      <c r="H149" s="495"/>
      <c r="I149" s="495"/>
      <c r="J149" s="496"/>
      <c r="K149" s="495"/>
      <c r="L149" s="495"/>
      <c r="M149" s="496"/>
      <c r="N149" s="496"/>
      <c r="O149" s="496"/>
      <c r="P149" s="496"/>
      <c r="Q149" s="496"/>
      <c r="R149" s="420"/>
    </row>
    <row r="150" spans="2:18">
      <c r="B150" s="610">
        <f t="shared" ref="B150:B157" si="54">B149+0.1</f>
        <v>2.1</v>
      </c>
      <c r="C150" s="437" t="s">
        <v>28</v>
      </c>
      <c r="D150" s="495"/>
      <c r="E150" s="495">
        <v>0</v>
      </c>
      <c r="F150" s="495">
        <f t="shared" ref="F150:F157" si="55">E150-D150</f>
        <v>0</v>
      </c>
      <c r="G150" s="495"/>
      <c r="H150" s="495">
        <v>0</v>
      </c>
      <c r="I150" s="495">
        <f t="shared" ref="I150:I157" si="56">H150-G150</f>
        <v>0</v>
      </c>
      <c r="J150" s="496"/>
      <c r="K150" s="495"/>
      <c r="L150" s="495">
        <f t="shared" ref="L150:L157" si="57">K150-J150</f>
        <v>0</v>
      </c>
      <c r="M150" s="496"/>
      <c r="N150" s="496"/>
      <c r="O150" s="496"/>
      <c r="P150" s="496"/>
      <c r="Q150" s="496"/>
      <c r="R150" s="420"/>
    </row>
    <row r="151" spans="2:18">
      <c r="B151" s="610">
        <f t="shared" si="54"/>
        <v>2.2000000000000002</v>
      </c>
      <c r="C151" s="437" t="s">
        <v>400</v>
      </c>
      <c r="D151" s="495"/>
      <c r="E151" s="495">
        <v>0</v>
      </c>
      <c r="F151" s="495">
        <f t="shared" si="55"/>
        <v>0</v>
      </c>
      <c r="G151" s="495"/>
      <c r="H151" s="495">
        <v>0</v>
      </c>
      <c r="I151" s="495">
        <f t="shared" si="56"/>
        <v>0</v>
      </c>
      <c r="J151" s="496"/>
      <c r="K151" s="495"/>
      <c r="L151" s="495">
        <f t="shared" si="57"/>
        <v>0</v>
      </c>
      <c r="M151" s="496"/>
      <c r="N151" s="496"/>
      <c r="O151" s="496"/>
      <c r="P151" s="496"/>
      <c r="Q151" s="496"/>
      <c r="R151" s="420"/>
    </row>
    <row r="152" spans="2:18">
      <c r="B152" s="610">
        <f t="shared" si="54"/>
        <v>2.3000000000000003</v>
      </c>
      <c r="C152" s="437" t="s">
        <v>342</v>
      </c>
      <c r="D152" s="495"/>
      <c r="E152" s="495">
        <v>0</v>
      </c>
      <c r="F152" s="495">
        <f t="shared" si="55"/>
        <v>0</v>
      </c>
      <c r="G152" s="495"/>
      <c r="H152" s="495">
        <v>0</v>
      </c>
      <c r="I152" s="495">
        <f t="shared" si="56"/>
        <v>0</v>
      </c>
      <c r="J152" s="496"/>
      <c r="K152" s="495"/>
      <c r="L152" s="495">
        <f t="shared" si="57"/>
        <v>0</v>
      </c>
      <c r="M152" s="496"/>
      <c r="N152" s="496"/>
      <c r="O152" s="496"/>
      <c r="P152" s="496"/>
      <c r="Q152" s="496"/>
      <c r="R152" s="420"/>
    </row>
    <row r="153" spans="2:18">
      <c r="B153" s="610">
        <f t="shared" si="54"/>
        <v>2.4000000000000004</v>
      </c>
      <c r="C153" s="437" t="s">
        <v>29</v>
      </c>
      <c r="D153" s="495"/>
      <c r="E153" s="495">
        <v>0</v>
      </c>
      <c r="F153" s="495">
        <f t="shared" si="55"/>
        <v>0</v>
      </c>
      <c r="G153" s="495"/>
      <c r="H153" s="495">
        <v>0</v>
      </c>
      <c r="I153" s="495">
        <f t="shared" si="56"/>
        <v>0</v>
      </c>
      <c r="J153" s="496"/>
      <c r="K153" s="495"/>
      <c r="L153" s="495">
        <f t="shared" si="57"/>
        <v>0</v>
      </c>
      <c r="M153" s="496"/>
      <c r="N153" s="496"/>
      <c r="O153" s="496"/>
      <c r="P153" s="496"/>
      <c r="Q153" s="496"/>
      <c r="R153" s="420"/>
    </row>
    <row r="154" spans="2:18">
      <c r="B154" s="610">
        <f t="shared" si="54"/>
        <v>2.5000000000000004</v>
      </c>
      <c r="C154" s="437" t="s">
        <v>30</v>
      </c>
      <c r="D154" s="495"/>
      <c r="E154" s="495">
        <f>+E150-E151+E152-E153</f>
        <v>0</v>
      </c>
      <c r="F154" s="495">
        <f t="shared" si="55"/>
        <v>0</v>
      </c>
      <c r="G154" s="495"/>
      <c r="H154" s="495">
        <f>+H150-H151+H152-H153</f>
        <v>0</v>
      </c>
      <c r="I154" s="495">
        <f t="shared" si="56"/>
        <v>0</v>
      </c>
      <c r="J154" s="496"/>
      <c r="K154" s="496">
        <f>+J150-J151+J152-J153</f>
        <v>0</v>
      </c>
      <c r="L154" s="495">
        <f t="shared" si="57"/>
        <v>0</v>
      </c>
      <c r="M154" s="496"/>
      <c r="N154" s="496">
        <f>+M150-M151+M152-M153</f>
        <v>0</v>
      </c>
      <c r="O154" s="496"/>
      <c r="P154" s="496"/>
      <c r="Q154" s="496">
        <f>+O150-O151+O152-O153</f>
        <v>0</v>
      </c>
      <c r="R154" s="420"/>
    </row>
    <row r="155" spans="2:18">
      <c r="B155" s="610">
        <f t="shared" si="54"/>
        <v>2.6000000000000005</v>
      </c>
      <c r="C155" s="437" t="s">
        <v>472</v>
      </c>
      <c r="D155" s="495"/>
      <c r="E155" s="451">
        <f>AVERAGE(E150,E154)</f>
        <v>0</v>
      </c>
      <c r="F155" s="495">
        <f t="shared" si="55"/>
        <v>0</v>
      </c>
      <c r="G155" s="495"/>
      <c r="H155" s="451">
        <f>AVERAGE(H150,H154)</f>
        <v>0</v>
      </c>
      <c r="I155" s="495">
        <f t="shared" si="56"/>
        <v>0</v>
      </c>
      <c r="J155" s="496"/>
      <c r="K155" s="495"/>
      <c r="L155" s="495">
        <f t="shared" si="57"/>
        <v>0</v>
      </c>
      <c r="M155" s="496"/>
      <c r="N155" s="496"/>
      <c r="O155" s="496"/>
      <c r="P155" s="496"/>
      <c r="Q155" s="496"/>
      <c r="R155" s="420"/>
    </row>
    <row r="156" spans="2:18" s="606" customFormat="1">
      <c r="B156" s="614">
        <f t="shared" si="54"/>
        <v>2.7000000000000006</v>
      </c>
      <c r="C156" s="602" t="s">
        <v>31</v>
      </c>
      <c r="D156" s="603"/>
      <c r="E156" s="603">
        <f>IFERROR(E157/E155,0)</f>
        <v>0</v>
      </c>
      <c r="F156" s="603" t="e">
        <f>F157/F155</f>
        <v>#DIV/0!</v>
      </c>
      <c r="G156" s="603"/>
      <c r="H156" s="603">
        <f>IFERROR(H157/H155,0)</f>
        <v>0</v>
      </c>
      <c r="I156" s="603" t="e">
        <f>I157/I155</f>
        <v>#DIV/0!</v>
      </c>
      <c r="J156" s="604"/>
      <c r="K156" s="604" t="e">
        <f>J157/K155</f>
        <v>#DIV/0!</v>
      </c>
      <c r="L156" s="603" t="e">
        <f>L157/L155</f>
        <v>#DIV/0!</v>
      </c>
      <c r="M156" s="604"/>
      <c r="N156" s="604" t="e">
        <f>M157/N155</f>
        <v>#DIV/0!</v>
      </c>
      <c r="O156" s="604"/>
      <c r="P156" s="604"/>
      <c r="Q156" s="604" t="e">
        <f>O157/Q155</f>
        <v>#DIV/0!</v>
      </c>
      <c r="R156" s="605"/>
    </row>
    <row r="157" spans="2:18">
      <c r="B157" s="610">
        <f t="shared" si="54"/>
        <v>2.8000000000000007</v>
      </c>
      <c r="C157" s="437" t="s">
        <v>32</v>
      </c>
      <c r="D157" s="495"/>
      <c r="E157" s="495">
        <v>0</v>
      </c>
      <c r="F157" s="495">
        <f t="shared" si="55"/>
        <v>0</v>
      </c>
      <c r="G157" s="495"/>
      <c r="H157" s="495">
        <v>0</v>
      </c>
      <c r="I157" s="495">
        <f t="shared" si="56"/>
        <v>0</v>
      </c>
      <c r="J157" s="496"/>
      <c r="K157" s="495"/>
      <c r="L157" s="495">
        <f t="shared" si="57"/>
        <v>0</v>
      </c>
      <c r="M157" s="496"/>
      <c r="N157" s="496"/>
      <c r="O157" s="496"/>
      <c r="P157" s="496"/>
      <c r="Q157" s="496"/>
      <c r="R157" s="420"/>
    </row>
    <row r="158" spans="2:18">
      <c r="B158" s="610"/>
      <c r="C158" s="437"/>
      <c r="D158" s="495"/>
      <c r="E158" s="495"/>
      <c r="F158" s="495"/>
      <c r="G158" s="495"/>
      <c r="H158" s="495"/>
      <c r="I158" s="495"/>
      <c r="J158" s="496"/>
      <c r="K158" s="495"/>
      <c r="L158" s="495"/>
      <c r="M158" s="496"/>
      <c r="N158" s="496"/>
      <c r="O158" s="496"/>
      <c r="P158" s="496"/>
      <c r="Q158" s="496"/>
      <c r="R158" s="420"/>
    </row>
    <row r="159" spans="2:18">
      <c r="B159" s="612">
        <v>3</v>
      </c>
      <c r="C159" s="438" t="s">
        <v>1460</v>
      </c>
      <c r="D159" s="495"/>
      <c r="E159" s="495"/>
      <c r="F159" s="495"/>
      <c r="G159" s="495"/>
      <c r="H159" s="495"/>
      <c r="I159" s="495"/>
      <c r="J159" s="496"/>
      <c r="K159" s="495"/>
      <c r="L159" s="495"/>
      <c r="M159" s="496"/>
      <c r="N159" s="496"/>
      <c r="O159" s="496"/>
      <c r="P159" s="496"/>
      <c r="Q159" s="496"/>
      <c r="R159" s="420"/>
    </row>
    <row r="160" spans="2:18">
      <c r="B160" s="610">
        <f>B159+0.1</f>
        <v>3.1</v>
      </c>
      <c r="C160" s="437" t="s">
        <v>28</v>
      </c>
      <c r="D160" s="495"/>
      <c r="E160" s="495">
        <v>958.60129689999997</v>
      </c>
      <c r="F160" s="495">
        <f t="shared" ref="F160:F167" si="58">E160-D160</f>
        <v>958.60129689999997</v>
      </c>
      <c r="G160" s="495"/>
      <c r="H160" s="495">
        <v>821.65829689999998</v>
      </c>
      <c r="I160" s="495">
        <f t="shared" ref="I160:I167" si="59">H160-G160</f>
        <v>821.65829689999998</v>
      </c>
      <c r="J160" s="496"/>
      <c r="K160" s="495"/>
      <c r="L160" s="495">
        <f t="shared" ref="L160:L167" si="60">K160-J160</f>
        <v>0</v>
      </c>
      <c r="M160" s="496"/>
      <c r="N160" s="496"/>
      <c r="O160" s="496"/>
      <c r="P160" s="496"/>
      <c r="Q160" s="496"/>
      <c r="R160" s="420"/>
    </row>
    <row r="161" spans="2:18">
      <c r="B161" s="610">
        <f t="shared" ref="B161:B167" si="61">B160+0.1</f>
        <v>3.2</v>
      </c>
      <c r="C161" s="437" t="s">
        <v>400</v>
      </c>
      <c r="D161" s="495"/>
      <c r="E161" s="495">
        <v>0</v>
      </c>
      <c r="F161" s="495">
        <f t="shared" si="58"/>
        <v>0</v>
      </c>
      <c r="G161" s="495"/>
      <c r="H161" s="495">
        <v>0</v>
      </c>
      <c r="I161" s="495">
        <f t="shared" si="59"/>
        <v>0</v>
      </c>
      <c r="J161" s="496"/>
      <c r="K161" s="495"/>
      <c r="L161" s="495">
        <f t="shared" si="60"/>
        <v>0</v>
      </c>
      <c r="M161" s="496"/>
      <c r="N161" s="496"/>
      <c r="O161" s="496"/>
      <c r="P161" s="496"/>
      <c r="Q161" s="496"/>
      <c r="R161" s="420"/>
    </row>
    <row r="162" spans="2:18">
      <c r="B162" s="610">
        <f t="shared" si="61"/>
        <v>3.3000000000000003</v>
      </c>
      <c r="C162" s="437" t="s">
        <v>342</v>
      </c>
      <c r="D162" s="495"/>
      <c r="E162" s="495">
        <v>0</v>
      </c>
      <c r="F162" s="495">
        <f t="shared" si="58"/>
        <v>0</v>
      </c>
      <c r="G162" s="495"/>
      <c r="H162" s="495">
        <v>0</v>
      </c>
      <c r="I162" s="495">
        <f t="shared" si="59"/>
        <v>0</v>
      </c>
      <c r="J162" s="496"/>
      <c r="K162" s="495"/>
      <c r="L162" s="495">
        <f t="shared" si="60"/>
        <v>0</v>
      </c>
      <c r="M162" s="496"/>
      <c r="N162" s="496"/>
      <c r="O162" s="496"/>
      <c r="P162" s="496"/>
      <c r="Q162" s="496"/>
      <c r="R162" s="420"/>
    </row>
    <row r="163" spans="2:18">
      <c r="B163" s="610">
        <f t="shared" si="61"/>
        <v>3.4000000000000004</v>
      </c>
      <c r="C163" s="437" t="s">
        <v>29</v>
      </c>
      <c r="D163" s="495"/>
      <c r="E163" s="495">
        <v>136.94299999999998</v>
      </c>
      <c r="F163" s="495">
        <f t="shared" si="58"/>
        <v>136.94299999999998</v>
      </c>
      <c r="G163" s="495"/>
      <c r="H163" s="495">
        <v>136.94303380399998</v>
      </c>
      <c r="I163" s="495">
        <f t="shared" si="59"/>
        <v>136.94303380399998</v>
      </c>
      <c r="J163" s="496"/>
      <c r="K163" s="495"/>
      <c r="L163" s="495">
        <f t="shared" si="60"/>
        <v>0</v>
      </c>
      <c r="M163" s="496"/>
      <c r="N163" s="496"/>
      <c r="O163" s="496"/>
      <c r="P163" s="496"/>
      <c r="Q163" s="496"/>
      <c r="R163" s="420"/>
    </row>
    <row r="164" spans="2:18">
      <c r="B164" s="610">
        <f t="shared" si="61"/>
        <v>3.5000000000000004</v>
      </c>
      <c r="C164" s="437" t="s">
        <v>30</v>
      </c>
      <c r="D164" s="495"/>
      <c r="E164" s="495">
        <f>+E160-E161+E162-E163</f>
        <v>821.65829689999998</v>
      </c>
      <c r="F164" s="495">
        <f t="shared" si="58"/>
        <v>821.65829689999998</v>
      </c>
      <c r="G164" s="495"/>
      <c r="H164" s="495">
        <f>+H160-H161+H162-H163</f>
        <v>684.71526309599994</v>
      </c>
      <c r="I164" s="495">
        <f t="shared" si="59"/>
        <v>684.71526309599994</v>
      </c>
      <c r="J164" s="496"/>
      <c r="K164" s="496">
        <f>+J160-J161+J162-J163</f>
        <v>0</v>
      </c>
      <c r="L164" s="495">
        <f t="shared" si="60"/>
        <v>0</v>
      </c>
      <c r="M164" s="496"/>
      <c r="N164" s="496">
        <f>+M160-M161+M162-M163</f>
        <v>0</v>
      </c>
      <c r="O164" s="496"/>
      <c r="P164" s="496"/>
      <c r="Q164" s="496">
        <f>+O160-O161+O162-O163</f>
        <v>0</v>
      </c>
      <c r="R164" s="420"/>
    </row>
    <row r="165" spans="2:18">
      <c r="B165" s="610">
        <f t="shared" si="61"/>
        <v>3.6000000000000005</v>
      </c>
      <c r="C165" s="437" t="s">
        <v>472</v>
      </c>
      <c r="D165" s="495"/>
      <c r="E165" s="451">
        <f>AVERAGE(E160,E164)</f>
        <v>890.12979689999997</v>
      </c>
      <c r="F165" s="495">
        <f t="shared" si="58"/>
        <v>890.12979689999997</v>
      </c>
      <c r="G165" s="495"/>
      <c r="H165" s="451">
        <f>AVERAGE(H160,H164)</f>
        <v>753.18677999800002</v>
      </c>
      <c r="I165" s="495">
        <f t="shared" si="59"/>
        <v>753.18677999800002</v>
      </c>
      <c r="J165" s="496"/>
      <c r="K165" s="495"/>
      <c r="L165" s="495">
        <f t="shared" si="60"/>
        <v>0</v>
      </c>
      <c r="M165" s="496"/>
      <c r="N165" s="496"/>
      <c r="O165" s="496"/>
      <c r="P165" s="496"/>
      <c r="Q165" s="496"/>
      <c r="R165" s="420"/>
    </row>
    <row r="166" spans="2:18" s="606" customFormat="1">
      <c r="B166" s="614">
        <f t="shared" si="61"/>
        <v>3.7000000000000006</v>
      </c>
      <c r="C166" s="602" t="s">
        <v>31</v>
      </c>
      <c r="D166" s="603"/>
      <c r="E166" s="603">
        <f>IFERROR(E167/E165,0)</f>
        <v>0.10530767571926453</v>
      </c>
      <c r="F166" s="603">
        <f>F167/F165</f>
        <v>0.10530767571926453</v>
      </c>
      <c r="G166" s="603"/>
      <c r="H166" s="603">
        <f>IFERROR(H167/H165,0)</f>
        <v>0.10019616117027491</v>
      </c>
      <c r="I166" s="603">
        <f>I167/I165</f>
        <v>0.10019616117027491</v>
      </c>
      <c r="J166" s="604"/>
      <c r="K166" s="604" t="e">
        <f>J167/K165</f>
        <v>#DIV/0!</v>
      </c>
      <c r="L166" s="603" t="e">
        <f>L167/L165</f>
        <v>#DIV/0!</v>
      </c>
      <c r="M166" s="604"/>
      <c r="N166" s="604" t="e">
        <f>M167/N165</f>
        <v>#DIV/0!</v>
      </c>
      <c r="O166" s="604"/>
      <c r="P166" s="604"/>
      <c r="Q166" s="604" t="e">
        <f>O167/Q165</f>
        <v>#DIV/0!</v>
      </c>
      <c r="R166" s="605"/>
    </row>
    <row r="167" spans="2:18">
      <c r="B167" s="610">
        <f t="shared" si="61"/>
        <v>3.8000000000000007</v>
      </c>
      <c r="C167" s="437" t="s">
        <v>32</v>
      </c>
      <c r="D167" s="495"/>
      <c r="E167" s="495">
        <v>93.737499999999997</v>
      </c>
      <c r="F167" s="495">
        <f t="shared" si="58"/>
        <v>93.737499999999997</v>
      </c>
      <c r="G167" s="495"/>
      <c r="H167" s="495">
        <v>75.466424000000004</v>
      </c>
      <c r="I167" s="495">
        <f t="shared" si="59"/>
        <v>75.466424000000004</v>
      </c>
      <c r="J167" s="496"/>
      <c r="K167" s="495"/>
      <c r="L167" s="495">
        <f t="shared" si="60"/>
        <v>0</v>
      </c>
      <c r="M167" s="496"/>
      <c r="N167" s="496"/>
      <c r="O167" s="496"/>
      <c r="P167" s="496"/>
      <c r="Q167" s="496"/>
      <c r="R167" s="420"/>
    </row>
    <row r="168" spans="2:18">
      <c r="B168" s="612"/>
      <c r="C168" s="438"/>
      <c r="D168" s="495"/>
      <c r="E168" s="495"/>
      <c r="F168" s="495"/>
      <c r="G168" s="495"/>
      <c r="H168" s="495"/>
      <c r="I168" s="495"/>
      <c r="J168" s="496"/>
      <c r="K168" s="495"/>
      <c r="L168" s="495"/>
      <c r="M168" s="496"/>
      <c r="N168" s="496"/>
      <c r="O168" s="496"/>
      <c r="P168" s="496"/>
      <c r="Q168" s="496"/>
      <c r="R168" s="420"/>
    </row>
    <row r="169" spans="2:18">
      <c r="B169" s="612">
        <v>4</v>
      </c>
      <c r="C169" s="438" t="s">
        <v>1461</v>
      </c>
      <c r="D169" s="495"/>
      <c r="E169" s="495"/>
      <c r="F169" s="495"/>
      <c r="G169" s="495"/>
      <c r="H169" s="495"/>
      <c r="I169" s="495"/>
      <c r="J169" s="496"/>
      <c r="K169" s="495"/>
      <c r="L169" s="495"/>
      <c r="M169" s="496"/>
      <c r="N169" s="496"/>
      <c r="O169" s="496"/>
      <c r="P169" s="496"/>
      <c r="Q169" s="496"/>
      <c r="R169" s="420"/>
    </row>
    <row r="170" spans="2:18">
      <c r="B170" s="610">
        <f>B169+0.1</f>
        <v>4.0999999999999996</v>
      </c>
      <c r="C170" s="437" t="s">
        <v>28</v>
      </c>
      <c r="D170" s="495"/>
      <c r="E170" s="495">
        <v>0</v>
      </c>
      <c r="F170" s="495">
        <f t="shared" ref="F170:F177" si="62">E170-D170</f>
        <v>0</v>
      </c>
      <c r="G170" s="495"/>
      <c r="H170" s="495">
        <v>0</v>
      </c>
      <c r="I170" s="495">
        <f t="shared" ref="I170:I177" si="63">H170-G170</f>
        <v>0</v>
      </c>
      <c r="J170" s="496"/>
      <c r="K170" s="495"/>
      <c r="L170" s="495">
        <f t="shared" ref="L170:L177" si="64">K170-J170</f>
        <v>0</v>
      </c>
      <c r="M170" s="496"/>
      <c r="N170" s="496"/>
      <c r="O170" s="496"/>
      <c r="P170" s="496"/>
      <c r="Q170" s="496"/>
      <c r="R170" s="420"/>
    </row>
    <row r="171" spans="2:18">
      <c r="B171" s="610">
        <f t="shared" ref="B171:B177" si="65">B170+0.1</f>
        <v>4.1999999999999993</v>
      </c>
      <c r="C171" s="437" t="s">
        <v>400</v>
      </c>
      <c r="D171" s="495"/>
      <c r="E171" s="495">
        <v>0</v>
      </c>
      <c r="F171" s="495">
        <f t="shared" si="62"/>
        <v>0</v>
      </c>
      <c r="G171" s="495"/>
      <c r="H171" s="495">
        <v>0</v>
      </c>
      <c r="I171" s="495">
        <f t="shared" si="63"/>
        <v>0</v>
      </c>
      <c r="J171" s="496"/>
      <c r="K171" s="495"/>
      <c r="L171" s="495">
        <f t="shared" si="64"/>
        <v>0</v>
      </c>
      <c r="M171" s="496"/>
      <c r="N171" s="496"/>
      <c r="O171" s="496"/>
      <c r="P171" s="496"/>
      <c r="Q171" s="496"/>
      <c r="R171" s="420"/>
    </row>
    <row r="172" spans="2:18">
      <c r="B172" s="610">
        <f t="shared" si="65"/>
        <v>4.2999999999999989</v>
      </c>
      <c r="C172" s="437" t="s">
        <v>342</v>
      </c>
      <c r="D172" s="495"/>
      <c r="E172" s="495">
        <v>0</v>
      </c>
      <c r="F172" s="495">
        <f t="shared" si="62"/>
        <v>0</v>
      </c>
      <c r="G172" s="495"/>
      <c r="H172" s="495">
        <v>0</v>
      </c>
      <c r="I172" s="495">
        <f t="shared" si="63"/>
        <v>0</v>
      </c>
      <c r="J172" s="496"/>
      <c r="K172" s="495"/>
      <c r="L172" s="495">
        <f t="shared" si="64"/>
        <v>0</v>
      </c>
      <c r="M172" s="496"/>
      <c r="N172" s="496"/>
      <c r="O172" s="496"/>
      <c r="P172" s="496"/>
      <c r="Q172" s="496"/>
      <c r="R172" s="420"/>
    </row>
    <row r="173" spans="2:18">
      <c r="B173" s="610">
        <f t="shared" si="65"/>
        <v>4.3999999999999986</v>
      </c>
      <c r="C173" s="437" t="s">
        <v>29</v>
      </c>
      <c r="D173" s="495"/>
      <c r="E173" s="495">
        <v>0</v>
      </c>
      <c r="F173" s="495">
        <f t="shared" si="62"/>
        <v>0</v>
      </c>
      <c r="G173" s="495"/>
      <c r="H173" s="495">
        <v>0</v>
      </c>
      <c r="I173" s="495">
        <f t="shared" si="63"/>
        <v>0</v>
      </c>
      <c r="J173" s="496"/>
      <c r="K173" s="495"/>
      <c r="L173" s="495">
        <f t="shared" si="64"/>
        <v>0</v>
      </c>
      <c r="M173" s="496"/>
      <c r="N173" s="496"/>
      <c r="O173" s="496"/>
      <c r="P173" s="496"/>
      <c r="Q173" s="496"/>
      <c r="R173" s="420"/>
    </row>
    <row r="174" spans="2:18">
      <c r="B174" s="610">
        <f t="shared" si="65"/>
        <v>4.4999999999999982</v>
      </c>
      <c r="C174" s="437" t="s">
        <v>30</v>
      </c>
      <c r="D174" s="495"/>
      <c r="E174" s="495">
        <f>+E170-E171+E172-E173</f>
        <v>0</v>
      </c>
      <c r="F174" s="495">
        <f t="shared" si="62"/>
        <v>0</v>
      </c>
      <c r="G174" s="495"/>
      <c r="H174" s="495">
        <f>+H170-H171+H172-H173</f>
        <v>0</v>
      </c>
      <c r="I174" s="495">
        <f t="shared" si="63"/>
        <v>0</v>
      </c>
      <c r="J174" s="496"/>
      <c r="K174" s="496">
        <f>+J170-J171+J172-J173</f>
        <v>0</v>
      </c>
      <c r="L174" s="495">
        <f t="shared" si="64"/>
        <v>0</v>
      </c>
      <c r="M174" s="496"/>
      <c r="N174" s="496">
        <f>+M170-M171+M172-M173</f>
        <v>0</v>
      </c>
      <c r="O174" s="496"/>
      <c r="P174" s="496"/>
      <c r="Q174" s="496">
        <f>+O170-O171+O172-O173</f>
        <v>0</v>
      </c>
      <c r="R174" s="420"/>
    </row>
    <row r="175" spans="2:18">
      <c r="B175" s="610">
        <f t="shared" si="65"/>
        <v>4.5999999999999979</v>
      </c>
      <c r="C175" s="437" t="s">
        <v>472</v>
      </c>
      <c r="D175" s="495"/>
      <c r="E175" s="451">
        <f>AVERAGE(E170,E174)</f>
        <v>0</v>
      </c>
      <c r="F175" s="495">
        <f t="shared" si="62"/>
        <v>0</v>
      </c>
      <c r="G175" s="495"/>
      <c r="H175" s="451">
        <f>AVERAGE(H170,H174)</f>
        <v>0</v>
      </c>
      <c r="I175" s="495">
        <f t="shared" si="63"/>
        <v>0</v>
      </c>
      <c r="J175" s="496"/>
      <c r="K175" s="495"/>
      <c r="L175" s="495">
        <f t="shared" si="64"/>
        <v>0</v>
      </c>
      <c r="M175" s="496"/>
      <c r="N175" s="496"/>
      <c r="O175" s="496"/>
      <c r="P175" s="496"/>
      <c r="Q175" s="496"/>
      <c r="R175" s="420"/>
    </row>
    <row r="176" spans="2:18" s="606" customFormat="1">
      <c r="B176" s="614">
        <f t="shared" si="65"/>
        <v>4.6999999999999975</v>
      </c>
      <c r="C176" s="602" t="s">
        <v>31</v>
      </c>
      <c r="D176" s="603"/>
      <c r="E176" s="603">
        <f>IFERROR(E177/E175,0)</f>
        <v>0</v>
      </c>
      <c r="F176" s="603">
        <f t="shared" si="62"/>
        <v>0</v>
      </c>
      <c r="G176" s="603"/>
      <c r="H176" s="603">
        <f>IFERROR(H177/H175,0)</f>
        <v>0</v>
      </c>
      <c r="I176" s="603" t="e">
        <f>I177/I175</f>
        <v>#DIV/0!</v>
      </c>
      <c r="J176" s="604"/>
      <c r="K176" s="604" t="e">
        <f>J177/K175</f>
        <v>#DIV/0!</v>
      </c>
      <c r="L176" s="603" t="e">
        <f>L177/L175</f>
        <v>#DIV/0!</v>
      </c>
      <c r="M176" s="604"/>
      <c r="N176" s="604" t="e">
        <f>M177/N175</f>
        <v>#DIV/0!</v>
      </c>
      <c r="O176" s="604"/>
      <c r="P176" s="604"/>
      <c r="Q176" s="604" t="e">
        <f>O177/Q175</f>
        <v>#DIV/0!</v>
      </c>
      <c r="R176" s="605"/>
    </row>
    <row r="177" spans="2:18">
      <c r="B177" s="610">
        <f t="shared" si="65"/>
        <v>4.7999999999999972</v>
      </c>
      <c r="C177" s="437" t="s">
        <v>32</v>
      </c>
      <c r="D177" s="495"/>
      <c r="E177" s="495">
        <v>0</v>
      </c>
      <c r="F177" s="495">
        <f t="shared" si="62"/>
        <v>0</v>
      </c>
      <c r="G177" s="495"/>
      <c r="H177" s="495">
        <v>0</v>
      </c>
      <c r="I177" s="495">
        <f t="shared" si="63"/>
        <v>0</v>
      </c>
      <c r="J177" s="496"/>
      <c r="K177" s="495"/>
      <c r="L177" s="495">
        <f t="shared" si="64"/>
        <v>0</v>
      </c>
      <c r="M177" s="496"/>
      <c r="N177" s="496"/>
      <c r="O177" s="496"/>
      <c r="P177" s="496"/>
      <c r="Q177" s="496"/>
      <c r="R177" s="420"/>
    </row>
    <row r="178" spans="2:18">
      <c r="B178" s="612"/>
      <c r="C178" s="438"/>
      <c r="D178" s="495"/>
      <c r="E178" s="495"/>
      <c r="F178" s="495"/>
      <c r="G178" s="495"/>
      <c r="H178" s="495"/>
      <c r="I178" s="495"/>
      <c r="J178" s="496"/>
      <c r="K178" s="495"/>
      <c r="L178" s="495"/>
      <c r="M178" s="496"/>
      <c r="N178" s="496"/>
      <c r="O178" s="496"/>
      <c r="P178" s="496"/>
      <c r="Q178" s="496"/>
      <c r="R178" s="420"/>
    </row>
    <row r="179" spans="2:18">
      <c r="B179" s="612">
        <v>5</v>
      </c>
      <c r="C179" s="438" t="s">
        <v>1468</v>
      </c>
      <c r="D179" s="495"/>
      <c r="E179" s="495"/>
      <c r="F179" s="495"/>
      <c r="G179" s="495"/>
      <c r="H179" s="495"/>
      <c r="I179" s="495"/>
      <c r="J179" s="496"/>
      <c r="K179" s="495"/>
      <c r="L179" s="495"/>
      <c r="M179" s="496"/>
      <c r="N179" s="496"/>
      <c r="O179" s="496"/>
      <c r="P179" s="496"/>
      <c r="Q179" s="496"/>
      <c r="R179" s="420"/>
    </row>
    <row r="180" spans="2:18">
      <c r="B180" s="610">
        <f>B179+0.1</f>
        <v>5.0999999999999996</v>
      </c>
      <c r="C180" s="437" t="s">
        <v>28</v>
      </c>
      <c r="D180" s="495"/>
      <c r="E180" s="495">
        <v>0</v>
      </c>
      <c r="F180" s="495">
        <f t="shared" ref="F180:F187" si="66">E180-D180</f>
        <v>0</v>
      </c>
      <c r="G180" s="495"/>
      <c r="H180" s="495">
        <v>0</v>
      </c>
      <c r="I180" s="495">
        <f t="shared" ref="I180:I187" si="67">H180-G180</f>
        <v>0</v>
      </c>
      <c r="J180" s="496"/>
      <c r="K180" s="495"/>
      <c r="L180" s="495">
        <f t="shared" ref="L180:L187" si="68">K180-J180</f>
        <v>0</v>
      </c>
      <c r="M180" s="496"/>
      <c r="N180" s="496"/>
      <c r="O180" s="496"/>
      <c r="P180" s="496"/>
      <c r="Q180" s="496"/>
      <c r="R180" s="420"/>
    </row>
    <row r="181" spans="2:18">
      <c r="B181" s="610">
        <f t="shared" ref="B181:B187" si="69">B180+0.1</f>
        <v>5.1999999999999993</v>
      </c>
      <c r="C181" s="437" t="s">
        <v>400</v>
      </c>
      <c r="D181" s="495"/>
      <c r="E181" s="495">
        <v>0</v>
      </c>
      <c r="F181" s="495">
        <f t="shared" si="66"/>
        <v>0</v>
      </c>
      <c r="G181" s="495"/>
      <c r="H181" s="495">
        <v>0</v>
      </c>
      <c r="I181" s="495">
        <f t="shared" si="67"/>
        <v>0</v>
      </c>
      <c r="J181" s="496"/>
      <c r="K181" s="495"/>
      <c r="L181" s="495">
        <f t="shared" si="68"/>
        <v>0</v>
      </c>
      <c r="M181" s="496"/>
      <c r="N181" s="496"/>
      <c r="O181" s="496"/>
      <c r="P181" s="496"/>
      <c r="Q181" s="496"/>
      <c r="R181" s="420"/>
    </row>
    <row r="182" spans="2:18">
      <c r="B182" s="610">
        <f t="shared" si="69"/>
        <v>5.2999999999999989</v>
      </c>
      <c r="C182" s="437" t="s">
        <v>342</v>
      </c>
      <c r="D182" s="495"/>
      <c r="E182" s="495">
        <v>0</v>
      </c>
      <c r="F182" s="495">
        <f t="shared" si="66"/>
        <v>0</v>
      </c>
      <c r="G182" s="495"/>
      <c r="H182" s="495">
        <v>0</v>
      </c>
      <c r="I182" s="495">
        <f t="shared" si="67"/>
        <v>0</v>
      </c>
      <c r="J182" s="496"/>
      <c r="K182" s="495"/>
      <c r="L182" s="495">
        <f t="shared" si="68"/>
        <v>0</v>
      </c>
      <c r="M182" s="496"/>
      <c r="N182" s="496"/>
      <c r="O182" s="496"/>
      <c r="P182" s="496"/>
      <c r="Q182" s="496"/>
      <c r="R182" s="420"/>
    </row>
    <row r="183" spans="2:18">
      <c r="B183" s="610">
        <f t="shared" si="69"/>
        <v>5.3999999999999986</v>
      </c>
      <c r="C183" s="437" t="s">
        <v>29</v>
      </c>
      <c r="D183" s="495"/>
      <c r="E183" s="495">
        <v>0</v>
      </c>
      <c r="F183" s="495">
        <f t="shared" si="66"/>
        <v>0</v>
      </c>
      <c r="G183" s="495"/>
      <c r="H183" s="495">
        <v>0</v>
      </c>
      <c r="I183" s="495">
        <f t="shared" si="67"/>
        <v>0</v>
      </c>
      <c r="J183" s="496"/>
      <c r="K183" s="495"/>
      <c r="L183" s="495">
        <f t="shared" si="68"/>
        <v>0</v>
      </c>
      <c r="M183" s="496"/>
      <c r="N183" s="496"/>
      <c r="O183" s="496"/>
      <c r="P183" s="496"/>
      <c r="Q183" s="496"/>
      <c r="R183" s="420"/>
    </row>
    <row r="184" spans="2:18">
      <c r="B184" s="610">
        <f t="shared" si="69"/>
        <v>5.4999999999999982</v>
      </c>
      <c r="C184" s="437" t="s">
        <v>30</v>
      </c>
      <c r="D184" s="495"/>
      <c r="E184" s="495">
        <f>+E180-E181+E182-E183</f>
        <v>0</v>
      </c>
      <c r="F184" s="495">
        <f t="shared" si="66"/>
        <v>0</v>
      </c>
      <c r="G184" s="495"/>
      <c r="H184" s="495">
        <f>+H180-H181+H182-H183</f>
        <v>0</v>
      </c>
      <c r="I184" s="495">
        <f t="shared" si="67"/>
        <v>0</v>
      </c>
      <c r="J184" s="496"/>
      <c r="K184" s="496">
        <f>+J180-J181+J182-J183</f>
        <v>0</v>
      </c>
      <c r="L184" s="495">
        <f t="shared" si="68"/>
        <v>0</v>
      </c>
      <c r="M184" s="496"/>
      <c r="N184" s="496">
        <f>+M180-M181+M182-M183</f>
        <v>0</v>
      </c>
      <c r="O184" s="496"/>
      <c r="P184" s="496"/>
      <c r="Q184" s="496">
        <f>+O180-O181+O182-O183</f>
        <v>0</v>
      </c>
      <c r="R184" s="420"/>
    </row>
    <row r="185" spans="2:18">
      <c r="B185" s="610">
        <f t="shared" si="69"/>
        <v>5.5999999999999979</v>
      </c>
      <c r="C185" s="437" t="s">
        <v>472</v>
      </c>
      <c r="D185" s="495"/>
      <c r="E185" s="451">
        <f>AVERAGE(E180,E184)</f>
        <v>0</v>
      </c>
      <c r="F185" s="495">
        <f t="shared" si="66"/>
        <v>0</v>
      </c>
      <c r="G185" s="495"/>
      <c r="H185" s="451">
        <f>AVERAGE(H180,H184)</f>
        <v>0</v>
      </c>
      <c r="I185" s="495">
        <f t="shared" si="67"/>
        <v>0</v>
      </c>
      <c r="J185" s="496"/>
      <c r="K185" s="495"/>
      <c r="L185" s="495">
        <f t="shared" si="68"/>
        <v>0</v>
      </c>
      <c r="M185" s="496"/>
      <c r="N185" s="496"/>
      <c r="O185" s="496"/>
      <c r="P185" s="496"/>
      <c r="Q185" s="496"/>
      <c r="R185" s="420"/>
    </row>
    <row r="186" spans="2:18" s="606" customFormat="1">
      <c r="B186" s="614">
        <f t="shared" si="69"/>
        <v>5.6999999999999975</v>
      </c>
      <c r="C186" s="602" t="s">
        <v>31</v>
      </c>
      <c r="D186" s="603"/>
      <c r="E186" s="603">
        <f>IFERROR(E187/E185,0)</f>
        <v>0</v>
      </c>
      <c r="F186" s="603" t="e">
        <f>F187/F185</f>
        <v>#DIV/0!</v>
      </c>
      <c r="G186" s="603"/>
      <c r="H186" s="603">
        <f>IFERROR(H187/H185,0)</f>
        <v>0</v>
      </c>
      <c r="I186" s="603" t="e">
        <f>I187/I185</f>
        <v>#DIV/0!</v>
      </c>
      <c r="J186" s="604"/>
      <c r="K186" s="604" t="e">
        <f>J187/K185</f>
        <v>#DIV/0!</v>
      </c>
      <c r="L186" s="603" t="e">
        <f>L187/L185</f>
        <v>#DIV/0!</v>
      </c>
      <c r="M186" s="604"/>
      <c r="N186" s="604" t="e">
        <f>M187/N185</f>
        <v>#DIV/0!</v>
      </c>
      <c r="O186" s="604"/>
      <c r="P186" s="604"/>
      <c r="Q186" s="604" t="e">
        <f>O187/Q185</f>
        <v>#DIV/0!</v>
      </c>
      <c r="R186" s="605"/>
    </row>
    <row r="187" spans="2:18">
      <c r="B187" s="610">
        <f t="shared" si="69"/>
        <v>5.7999999999999972</v>
      </c>
      <c r="C187" s="437" t="s">
        <v>32</v>
      </c>
      <c r="D187" s="495"/>
      <c r="E187" s="495">
        <v>0</v>
      </c>
      <c r="F187" s="495">
        <f t="shared" si="66"/>
        <v>0</v>
      </c>
      <c r="G187" s="495"/>
      <c r="H187" s="495">
        <v>0</v>
      </c>
      <c r="I187" s="495">
        <f t="shared" si="67"/>
        <v>0</v>
      </c>
      <c r="J187" s="496"/>
      <c r="K187" s="495"/>
      <c r="L187" s="495">
        <f t="shared" si="68"/>
        <v>0</v>
      </c>
      <c r="M187" s="496"/>
      <c r="N187" s="496"/>
      <c r="O187" s="496"/>
      <c r="P187" s="496"/>
      <c r="Q187" s="496"/>
      <c r="R187" s="420"/>
    </row>
    <row r="188" spans="2:18">
      <c r="B188" s="612"/>
      <c r="C188" s="438"/>
      <c r="D188" s="495"/>
      <c r="E188" s="495"/>
      <c r="F188" s="495"/>
      <c r="G188" s="495"/>
      <c r="H188" s="495"/>
      <c r="I188" s="495"/>
      <c r="J188" s="496"/>
      <c r="K188" s="495"/>
      <c r="L188" s="495"/>
      <c r="M188" s="496"/>
      <c r="N188" s="496"/>
      <c r="O188" s="496"/>
      <c r="P188" s="496"/>
      <c r="Q188" s="496"/>
      <c r="R188" s="420"/>
    </row>
    <row r="189" spans="2:18">
      <c r="B189" s="612">
        <v>6</v>
      </c>
      <c r="C189" s="438" t="s">
        <v>1469</v>
      </c>
      <c r="D189" s="495"/>
      <c r="E189" s="495"/>
      <c r="F189" s="495"/>
      <c r="G189" s="495"/>
      <c r="H189" s="495"/>
      <c r="I189" s="495"/>
      <c r="J189" s="496"/>
      <c r="K189" s="495"/>
      <c r="L189" s="495"/>
      <c r="M189" s="496"/>
      <c r="N189" s="496"/>
      <c r="O189" s="496"/>
      <c r="P189" s="496"/>
      <c r="Q189" s="496"/>
      <c r="R189" s="420"/>
    </row>
    <row r="190" spans="2:18">
      <c r="B190" s="610">
        <f>B189+0.1</f>
        <v>6.1</v>
      </c>
      <c r="C190" s="437" t="s">
        <v>28</v>
      </c>
      <c r="D190" s="495"/>
      <c r="E190" s="495">
        <v>0</v>
      </c>
      <c r="F190" s="495">
        <f t="shared" ref="F190:F197" si="70">E190-D190</f>
        <v>0</v>
      </c>
      <c r="G190" s="495"/>
      <c r="H190" s="495">
        <v>0</v>
      </c>
      <c r="I190" s="495">
        <f t="shared" ref="I190:I197" si="71">H190-G190</f>
        <v>0</v>
      </c>
      <c r="J190" s="496"/>
      <c r="K190" s="495"/>
      <c r="L190" s="495">
        <f t="shared" ref="L190:L197" si="72">K190-J190</f>
        <v>0</v>
      </c>
      <c r="M190" s="496"/>
      <c r="N190" s="496"/>
      <c r="O190" s="496"/>
      <c r="P190" s="496"/>
      <c r="Q190" s="496"/>
      <c r="R190" s="420"/>
    </row>
    <row r="191" spans="2:18">
      <c r="B191" s="610">
        <f t="shared" ref="B191:B197" si="73">B190+0.1</f>
        <v>6.1999999999999993</v>
      </c>
      <c r="C191" s="437" t="s">
        <v>400</v>
      </c>
      <c r="D191" s="495"/>
      <c r="E191" s="495">
        <v>0</v>
      </c>
      <c r="F191" s="495">
        <f t="shared" si="70"/>
        <v>0</v>
      </c>
      <c r="G191" s="495"/>
      <c r="H191" s="495">
        <v>0</v>
      </c>
      <c r="I191" s="495">
        <f t="shared" si="71"/>
        <v>0</v>
      </c>
      <c r="J191" s="496"/>
      <c r="K191" s="495"/>
      <c r="L191" s="495">
        <f t="shared" si="72"/>
        <v>0</v>
      </c>
      <c r="M191" s="496"/>
      <c r="N191" s="496"/>
      <c r="O191" s="496"/>
      <c r="P191" s="496"/>
      <c r="Q191" s="496"/>
      <c r="R191" s="420"/>
    </row>
    <row r="192" spans="2:18">
      <c r="B192" s="610">
        <f t="shared" si="73"/>
        <v>6.2999999999999989</v>
      </c>
      <c r="C192" s="437" t="s">
        <v>342</v>
      </c>
      <c r="D192" s="495"/>
      <c r="E192" s="495">
        <v>0</v>
      </c>
      <c r="F192" s="495">
        <f t="shared" si="70"/>
        <v>0</v>
      </c>
      <c r="G192" s="495"/>
      <c r="H192" s="495">
        <v>0</v>
      </c>
      <c r="I192" s="495">
        <f t="shared" si="71"/>
        <v>0</v>
      </c>
      <c r="J192" s="496"/>
      <c r="K192" s="495"/>
      <c r="L192" s="495">
        <f t="shared" si="72"/>
        <v>0</v>
      </c>
      <c r="M192" s="496"/>
      <c r="N192" s="496"/>
      <c r="O192" s="496"/>
      <c r="P192" s="496"/>
      <c r="Q192" s="496"/>
      <c r="R192" s="420"/>
    </row>
    <row r="193" spans="2:18">
      <c r="B193" s="610">
        <f t="shared" si="73"/>
        <v>6.3999999999999986</v>
      </c>
      <c r="C193" s="437" t="s">
        <v>29</v>
      </c>
      <c r="D193" s="495"/>
      <c r="E193" s="495">
        <v>0</v>
      </c>
      <c r="F193" s="495">
        <f t="shared" si="70"/>
        <v>0</v>
      </c>
      <c r="G193" s="495"/>
      <c r="H193" s="495">
        <v>0</v>
      </c>
      <c r="I193" s="495">
        <f t="shared" si="71"/>
        <v>0</v>
      </c>
      <c r="J193" s="496"/>
      <c r="K193" s="495"/>
      <c r="L193" s="495">
        <f t="shared" si="72"/>
        <v>0</v>
      </c>
      <c r="M193" s="496"/>
      <c r="N193" s="496"/>
      <c r="O193" s="496"/>
      <c r="P193" s="496"/>
      <c r="Q193" s="496"/>
      <c r="R193" s="420"/>
    </row>
    <row r="194" spans="2:18">
      <c r="B194" s="610">
        <f t="shared" si="73"/>
        <v>6.4999999999999982</v>
      </c>
      <c r="C194" s="437" t="s">
        <v>30</v>
      </c>
      <c r="D194" s="495"/>
      <c r="E194" s="495">
        <f>+E190-E191+E192-E193</f>
        <v>0</v>
      </c>
      <c r="F194" s="495">
        <f t="shared" si="70"/>
        <v>0</v>
      </c>
      <c r="G194" s="495"/>
      <c r="H194" s="495">
        <f>+H190-H191+H192-H193</f>
        <v>0</v>
      </c>
      <c r="I194" s="495">
        <f t="shared" si="71"/>
        <v>0</v>
      </c>
      <c r="J194" s="496"/>
      <c r="K194" s="496">
        <f>+J190-J191+J192-J193</f>
        <v>0</v>
      </c>
      <c r="L194" s="495">
        <f t="shared" si="72"/>
        <v>0</v>
      </c>
      <c r="M194" s="496"/>
      <c r="N194" s="496">
        <f>+M190-M191+M192-M193</f>
        <v>0</v>
      </c>
      <c r="O194" s="496"/>
      <c r="P194" s="496"/>
      <c r="Q194" s="496">
        <f>+O190-O191+O192-O193</f>
        <v>0</v>
      </c>
      <c r="R194" s="420"/>
    </row>
    <row r="195" spans="2:18">
      <c r="B195" s="610">
        <f t="shared" si="73"/>
        <v>6.5999999999999979</v>
      </c>
      <c r="C195" s="437" t="s">
        <v>472</v>
      </c>
      <c r="D195" s="495"/>
      <c r="E195" s="451">
        <f>AVERAGE(E190,E194)</f>
        <v>0</v>
      </c>
      <c r="F195" s="495">
        <f t="shared" si="70"/>
        <v>0</v>
      </c>
      <c r="G195" s="495"/>
      <c r="H195" s="451">
        <f>AVERAGE(H190,H194)</f>
        <v>0</v>
      </c>
      <c r="I195" s="495">
        <f t="shared" si="71"/>
        <v>0</v>
      </c>
      <c r="J195" s="496"/>
      <c r="K195" s="495"/>
      <c r="L195" s="495">
        <f t="shared" si="72"/>
        <v>0</v>
      </c>
      <c r="M195" s="496"/>
      <c r="N195" s="496"/>
      <c r="O195" s="496"/>
      <c r="P195" s="496"/>
      <c r="Q195" s="496"/>
      <c r="R195" s="420"/>
    </row>
    <row r="196" spans="2:18" s="606" customFormat="1">
      <c r="B196" s="614">
        <f t="shared" si="73"/>
        <v>6.6999999999999975</v>
      </c>
      <c r="C196" s="602" t="s">
        <v>31</v>
      </c>
      <c r="D196" s="603"/>
      <c r="E196" s="603">
        <f>IFERROR(E197/E195,0)</f>
        <v>0</v>
      </c>
      <c r="F196" s="603" t="e">
        <f>F197/F195</f>
        <v>#DIV/0!</v>
      </c>
      <c r="G196" s="603"/>
      <c r="H196" s="603">
        <f>IFERROR(H197/H195,0)</f>
        <v>0</v>
      </c>
      <c r="I196" s="603" t="e">
        <f>I197/I195</f>
        <v>#DIV/0!</v>
      </c>
      <c r="J196" s="604"/>
      <c r="K196" s="604" t="e">
        <f>J197/K195</f>
        <v>#DIV/0!</v>
      </c>
      <c r="L196" s="603" t="e">
        <f>L197/L195</f>
        <v>#DIV/0!</v>
      </c>
      <c r="M196" s="604"/>
      <c r="N196" s="604" t="e">
        <f>M197/N195</f>
        <v>#DIV/0!</v>
      </c>
      <c r="O196" s="604"/>
      <c r="P196" s="604"/>
      <c r="Q196" s="604" t="e">
        <f>O197/Q195</f>
        <v>#DIV/0!</v>
      </c>
      <c r="R196" s="605"/>
    </row>
    <row r="197" spans="2:18">
      <c r="B197" s="610">
        <f t="shared" si="73"/>
        <v>6.7999999999999972</v>
      </c>
      <c r="C197" s="437" t="s">
        <v>32</v>
      </c>
      <c r="D197" s="495"/>
      <c r="E197" s="495">
        <v>0</v>
      </c>
      <c r="F197" s="495">
        <f t="shared" si="70"/>
        <v>0</v>
      </c>
      <c r="G197" s="495"/>
      <c r="H197" s="495">
        <v>0</v>
      </c>
      <c r="I197" s="495">
        <f t="shared" si="71"/>
        <v>0</v>
      </c>
      <c r="J197" s="496"/>
      <c r="K197" s="495"/>
      <c r="L197" s="495">
        <f t="shared" si="72"/>
        <v>0</v>
      </c>
      <c r="M197" s="496"/>
      <c r="N197" s="496"/>
      <c r="O197" s="496"/>
      <c r="P197" s="496"/>
      <c r="Q197" s="496"/>
      <c r="R197" s="420"/>
    </row>
    <row r="198" spans="2:18">
      <c r="B198" s="612"/>
      <c r="C198" s="438"/>
      <c r="D198" s="495"/>
      <c r="E198" s="495"/>
      <c r="F198" s="495"/>
      <c r="G198" s="495"/>
      <c r="H198" s="495"/>
      <c r="I198" s="495"/>
      <c r="J198" s="496"/>
      <c r="K198" s="495"/>
      <c r="L198" s="495"/>
      <c r="M198" s="496"/>
      <c r="N198" s="496"/>
      <c r="O198" s="496"/>
      <c r="P198" s="496"/>
      <c r="Q198" s="496"/>
      <c r="R198" s="420"/>
    </row>
    <row r="199" spans="2:18">
      <c r="B199" s="612">
        <v>7</v>
      </c>
      <c r="C199" s="438" t="s">
        <v>1463</v>
      </c>
      <c r="D199" s="495"/>
      <c r="E199" s="495"/>
      <c r="F199" s="495"/>
      <c r="G199" s="495"/>
      <c r="H199" s="495"/>
      <c r="I199" s="495"/>
      <c r="J199" s="496"/>
      <c r="K199" s="495"/>
      <c r="L199" s="495"/>
      <c r="M199" s="496"/>
      <c r="N199" s="496"/>
      <c r="O199" s="496"/>
      <c r="P199" s="496"/>
      <c r="Q199" s="496"/>
      <c r="R199" s="420"/>
    </row>
    <row r="200" spans="2:18">
      <c r="B200" s="610">
        <f>B199+0.1</f>
        <v>7.1</v>
      </c>
      <c r="C200" s="437" t="s">
        <v>28</v>
      </c>
      <c r="D200" s="495"/>
      <c r="E200" s="495">
        <v>0</v>
      </c>
      <c r="F200" s="495">
        <f t="shared" ref="F200:F207" si="74">E200-D200</f>
        <v>0</v>
      </c>
      <c r="G200" s="495"/>
      <c r="H200" s="495">
        <v>0</v>
      </c>
      <c r="I200" s="495">
        <f t="shared" ref="I200:I207" si="75">H200-G200</f>
        <v>0</v>
      </c>
      <c r="J200" s="496"/>
      <c r="K200" s="495"/>
      <c r="L200" s="495">
        <f t="shared" ref="L200:L207" si="76">K200-J200</f>
        <v>0</v>
      </c>
      <c r="M200" s="496"/>
      <c r="N200" s="496"/>
      <c r="O200" s="496"/>
      <c r="P200" s="496"/>
      <c r="Q200" s="496"/>
      <c r="R200" s="420"/>
    </row>
    <row r="201" spans="2:18">
      <c r="B201" s="610">
        <f t="shared" ref="B201:B207" si="77">B200+0.1</f>
        <v>7.1999999999999993</v>
      </c>
      <c r="C201" s="437" t="s">
        <v>400</v>
      </c>
      <c r="D201" s="495"/>
      <c r="E201" s="495">
        <v>0</v>
      </c>
      <c r="F201" s="495">
        <f t="shared" si="74"/>
        <v>0</v>
      </c>
      <c r="G201" s="495"/>
      <c r="H201" s="495">
        <v>0</v>
      </c>
      <c r="I201" s="495">
        <f t="shared" si="75"/>
        <v>0</v>
      </c>
      <c r="J201" s="496"/>
      <c r="K201" s="495"/>
      <c r="L201" s="495">
        <f t="shared" si="76"/>
        <v>0</v>
      </c>
      <c r="M201" s="496"/>
      <c r="N201" s="496"/>
      <c r="O201" s="496"/>
      <c r="P201" s="496"/>
      <c r="Q201" s="496"/>
      <c r="R201" s="420"/>
    </row>
    <row r="202" spans="2:18">
      <c r="B202" s="610">
        <f t="shared" si="77"/>
        <v>7.2999999999999989</v>
      </c>
      <c r="C202" s="437" t="s">
        <v>342</v>
      </c>
      <c r="D202" s="495"/>
      <c r="E202" s="495">
        <v>0</v>
      </c>
      <c r="F202" s="495">
        <f t="shared" si="74"/>
        <v>0</v>
      </c>
      <c r="G202" s="495"/>
      <c r="H202" s="495">
        <v>0</v>
      </c>
      <c r="I202" s="495">
        <f t="shared" si="75"/>
        <v>0</v>
      </c>
      <c r="J202" s="496"/>
      <c r="K202" s="495"/>
      <c r="L202" s="495">
        <f t="shared" si="76"/>
        <v>0</v>
      </c>
      <c r="M202" s="496"/>
      <c r="N202" s="496"/>
      <c r="O202" s="496"/>
      <c r="P202" s="496"/>
      <c r="Q202" s="496"/>
      <c r="R202" s="420"/>
    </row>
    <row r="203" spans="2:18">
      <c r="B203" s="610">
        <f t="shared" si="77"/>
        <v>7.3999999999999986</v>
      </c>
      <c r="C203" s="437" t="s">
        <v>29</v>
      </c>
      <c r="D203" s="495"/>
      <c r="E203" s="495">
        <v>0</v>
      </c>
      <c r="F203" s="495">
        <f t="shared" si="74"/>
        <v>0</v>
      </c>
      <c r="G203" s="495"/>
      <c r="H203" s="495">
        <v>0</v>
      </c>
      <c r="I203" s="495">
        <f t="shared" si="75"/>
        <v>0</v>
      </c>
      <c r="J203" s="496"/>
      <c r="K203" s="495"/>
      <c r="L203" s="495">
        <f t="shared" si="76"/>
        <v>0</v>
      </c>
      <c r="M203" s="496"/>
      <c r="N203" s="496"/>
      <c r="O203" s="496"/>
      <c r="P203" s="496"/>
      <c r="Q203" s="496"/>
      <c r="R203" s="420"/>
    </row>
    <row r="204" spans="2:18">
      <c r="B204" s="610">
        <f t="shared" si="77"/>
        <v>7.4999999999999982</v>
      </c>
      <c r="C204" s="437" t="s">
        <v>30</v>
      </c>
      <c r="D204" s="495"/>
      <c r="E204" s="495">
        <f>+E200-E201+E202-E203</f>
        <v>0</v>
      </c>
      <c r="F204" s="495">
        <f t="shared" si="74"/>
        <v>0</v>
      </c>
      <c r="G204" s="495"/>
      <c r="H204" s="495">
        <f>+H200-H201+H202-H203</f>
        <v>0</v>
      </c>
      <c r="I204" s="495">
        <f t="shared" si="75"/>
        <v>0</v>
      </c>
      <c r="J204" s="496"/>
      <c r="K204" s="496">
        <f>+J200-J201+J202-J203</f>
        <v>0</v>
      </c>
      <c r="L204" s="495">
        <f t="shared" si="76"/>
        <v>0</v>
      </c>
      <c r="M204" s="496"/>
      <c r="N204" s="496">
        <f>+M200-M201+M202-M203</f>
        <v>0</v>
      </c>
      <c r="O204" s="496"/>
      <c r="P204" s="496"/>
      <c r="Q204" s="496">
        <f>+O200-O201+O202-O203</f>
        <v>0</v>
      </c>
      <c r="R204" s="420"/>
    </row>
    <row r="205" spans="2:18">
      <c r="B205" s="610">
        <f t="shared" si="77"/>
        <v>7.5999999999999979</v>
      </c>
      <c r="C205" s="437" t="s">
        <v>472</v>
      </c>
      <c r="D205" s="495"/>
      <c r="E205" s="451">
        <f>AVERAGE(E200,E204)</f>
        <v>0</v>
      </c>
      <c r="F205" s="495">
        <f t="shared" si="74"/>
        <v>0</v>
      </c>
      <c r="G205" s="495"/>
      <c r="H205" s="451">
        <f>AVERAGE(H200,H204)</f>
        <v>0</v>
      </c>
      <c r="I205" s="495">
        <f t="shared" si="75"/>
        <v>0</v>
      </c>
      <c r="J205" s="496"/>
      <c r="K205" s="495"/>
      <c r="L205" s="495">
        <f t="shared" si="76"/>
        <v>0</v>
      </c>
      <c r="M205" s="496"/>
      <c r="N205" s="496"/>
      <c r="O205" s="496"/>
      <c r="P205" s="496"/>
      <c r="Q205" s="496"/>
      <c r="R205" s="420"/>
    </row>
    <row r="206" spans="2:18" s="606" customFormat="1">
      <c r="B206" s="614">
        <f t="shared" si="77"/>
        <v>7.6999999999999975</v>
      </c>
      <c r="C206" s="602" t="s">
        <v>31</v>
      </c>
      <c r="D206" s="603"/>
      <c r="E206" s="603">
        <f>IFERROR(E207/E205,0)</f>
        <v>0</v>
      </c>
      <c r="F206" s="603" t="e">
        <f>F207/F205</f>
        <v>#DIV/0!</v>
      </c>
      <c r="G206" s="603"/>
      <c r="H206" s="603">
        <f>IFERROR(H207/H205,0)</f>
        <v>0</v>
      </c>
      <c r="I206" s="603" t="e">
        <f>I207/I205</f>
        <v>#DIV/0!</v>
      </c>
      <c r="J206" s="604"/>
      <c r="K206" s="604" t="e">
        <f>J207/K205</f>
        <v>#DIV/0!</v>
      </c>
      <c r="L206" s="603" t="e">
        <f>L207/L205</f>
        <v>#DIV/0!</v>
      </c>
      <c r="M206" s="604"/>
      <c r="N206" s="604" t="e">
        <f>M207/N205</f>
        <v>#DIV/0!</v>
      </c>
      <c r="O206" s="604"/>
      <c r="P206" s="604"/>
      <c r="Q206" s="604" t="e">
        <f>O207/Q205</f>
        <v>#DIV/0!</v>
      </c>
      <c r="R206" s="605"/>
    </row>
    <row r="207" spans="2:18">
      <c r="B207" s="610">
        <f t="shared" si="77"/>
        <v>7.7999999999999972</v>
      </c>
      <c r="C207" s="437" t="s">
        <v>32</v>
      </c>
      <c r="D207" s="495"/>
      <c r="E207" s="495">
        <v>0</v>
      </c>
      <c r="F207" s="495">
        <f t="shared" si="74"/>
        <v>0</v>
      </c>
      <c r="G207" s="495"/>
      <c r="H207" s="495">
        <v>0</v>
      </c>
      <c r="I207" s="495">
        <f t="shared" si="75"/>
        <v>0</v>
      </c>
      <c r="J207" s="496"/>
      <c r="K207" s="495"/>
      <c r="L207" s="495">
        <f t="shared" si="76"/>
        <v>0</v>
      </c>
      <c r="M207" s="496"/>
      <c r="N207" s="496"/>
      <c r="O207" s="496"/>
      <c r="P207" s="496"/>
      <c r="Q207" s="496"/>
      <c r="R207" s="420"/>
    </row>
    <row r="208" spans="2:18">
      <c r="B208" s="612"/>
      <c r="C208" s="438"/>
      <c r="D208" s="495"/>
      <c r="E208" s="495"/>
      <c r="F208" s="495"/>
      <c r="G208" s="495"/>
      <c r="H208" s="495"/>
      <c r="I208" s="495"/>
      <c r="J208" s="496"/>
      <c r="K208" s="495"/>
      <c r="L208" s="495"/>
      <c r="M208" s="496"/>
      <c r="N208" s="496"/>
      <c r="O208" s="496"/>
      <c r="P208" s="496"/>
      <c r="Q208" s="496"/>
      <c r="R208" s="420"/>
    </row>
    <row r="209" spans="2:18">
      <c r="B209" s="612">
        <v>8</v>
      </c>
      <c r="C209" s="438" t="s">
        <v>1464</v>
      </c>
      <c r="D209" s="495"/>
      <c r="E209" s="495"/>
      <c r="F209" s="495"/>
      <c r="G209" s="495"/>
      <c r="H209" s="495"/>
      <c r="I209" s="495"/>
      <c r="J209" s="496"/>
      <c r="K209" s="495"/>
      <c r="L209" s="495"/>
      <c r="M209" s="496"/>
      <c r="N209" s="496"/>
      <c r="O209" s="496"/>
      <c r="P209" s="496"/>
      <c r="Q209" s="496"/>
      <c r="R209" s="420"/>
    </row>
    <row r="210" spans="2:18">
      <c r="B210" s="610">
        <f>B209+0.1</f>
        <v>8.1</v>
      </c>
      <c r="C210" s="437" t="s">
        <v>28</v>
      </c>
      <c r="D210" s="495"/>
      <c r="E210" s="495">
        <v>0</v>
      </c>
      <c r="F210" s="495">
        <f t="shared" ref="F210:F217" si="78">E210-D210</f>
        <v>0</v>
      </c>
      <c r="G210" s="495"/>
      <c r="H210" s="495">
        <v>0</v>
      </c>
      <c r="I210" s="495">
        <f t="shared" ref="I210:I217" si="79">H210-G210</f>
        <v>0</v>
      </c>
      <c r="J210" s="496"/>
      <c r="K210" s="495"/>
      <c r="L210" s="495">
        <f t="shared" ref="L210:L217" si="80">K210-J210</f>
        <v>0</v>
      </c>
      <c r="M210" s="496"/>
      <c r="N210" s="496"/>
      <c r="O210" s="496"/>
      <c r="P210" s="496"/>
      <c r="Q210" s="496"/>
      <c r="R210" s="420"/>
    </row>
    <row r="211" spans="2:18">
      <c r="B211" s="610">
        <f t="shared" ref="B211:B217" si="81">B210+0.1</f>
        <v>8.1999999999999993</v>
      </c>
      <c r="C211" s="437" t="s">
        <v>400</v>
      </c>
      <c r="D211" s="495"/>
      <c r="E211" s="495">
        <v>0</v>
      </c>
      <c r="F211" s="495">
        <f t="shared" si="78"/>
        <v>0</v>
      </c>
      <c r="G211" s="495"/>
      <c r="H211" s="495">
        <v>0</v>
      </c>
      <c r="I211" s="495">
        <f t="shared" si="79"/>
        <v>0</v>
      </c>
      <c r="J211" s="496"/>
      <c r="K211" s="495"/>
      <c r="L211" s="495">
        <f t="shared" si="80"/>
        <v>0</v>
      </c>
      <c r="M211" s="496"/>
      <c r="N211" s="496"/>
      <c r="O211" s="496"/>
      <c r="P211" s="496"/>
      <c r="Q211" s="496"/>
      <c r="R211" s="420"/>
    </row>
    <row r="212" spans="2:18">
      <c r="B212" s="610">
        <f t="shared" si="81"/>
        <v>8.2999999999999989</v>
      </c>
      <c r="C212" s="437" t="s">
        <v>342</v>
      </c>
      <c r="D212" s="495"/>
      <c r="E212" s="495">
        <v>0</v>
      </c>
      <c r="F212" s="495">
        <f t="shared" si="78"/>
        <v>0</v>
      </c>
      <c r="G212" s="495"/>
      <c r="H212" s="495">
        <v>0</v>
      </c>
      <c r="I212" s="495">
        <f t="shared" si="79"/>
        <v>0</v>
      </c>
      <c r="J212" s="496"/>
      <c r="K212" s="495"/>
      <c r="L212" s="495">
        <f t="shared" si="80"/>
        <v>0</v>
      </c>
      <c r="M212" s="496"/>
      <c r="N212" s="496"/>
      <c r="O212" s="496"/>
      <c r="P212" s="496"/>
      <c r="Q212" s="496"/>
      <c r="R212" s="420"/>
    </row>
    <row r="213" spans="2:18">
      <c r="B213" s="610">
        <f t="shared" si="81"/>
        <v>8.3999999999999986</v>
      </c>
      <c r="C213" s="437" t="s">
        <v>29</v>
      </c>
      <c r="D213" s="495"/>
      <c r="E213" s="495">
        <v>0</v>
      </c>
      <c r="F213" s="495">
        <f t="shared" si="78"/>
        <v>0</v>
      </c>
      <c r="G213" s="495"/>
      <c r="H213" s="495">
        <v>0</v>
      </c>
      <c r="I213" s="495">
        <f t="shared" si="79"/>
        <v>0</v>
      </c>
      <c r="J213" s="496"/>
      <c r="K213" s="495"/>
      <c r="L213" s="495">
        <f t="shared" si="80"/>
        <v>0</v>
      </c>
      <c r="M213" s="496"/>
      <c r="N213" s="496"/>
      <c r="O213" s="496"/>
      <c r="P213" s="496"/>
      <c r="Q213" s="496"/>
      <c r="R213" s="420"/>
    </row>
    <row r="214" spans="2:18">
      <c r="B214" s="610">
        <f t="shared" si="81"/>
        <v>8.4999999999999982</v>
      </c>
      <c r="C214" s="437" t="s">
        <v>30</v>
      </c>
      <c r="D214" s="495"/>
      <c r="E214" s="495">
        <f>+E210-E211+E212-E213</f>
        <v>0</v>
      </c>
      <c r="F214" s="495">
        <f t="shared" si="78"/>
        <v>0</v>
      </c>
      <c r="G214" s="495"/>
      <c r="H214" s="495">
        <f>+H210-H211+H212-H213</f>
        <v>0</v>
      </c>
      <c r="I214" s="495">
        <f t="shared" si="79"/>
        <v>0</v>
      </c>
      <c r="J214" s="496"/>
      <c r="K214" s="496">
        <f>+J210-J211+J212-J213</f>
        <v>0</v>
      </c>
      <c r="L214" s="495">
        <f t="shared" si="80"/>
        <v>0</v>
      </c>
      <c r="M214" s="496"/>
      <c r="N214" s="496">
        <f>+M210-M211+M212-M213</f>
        <v>0</v>
      </c>
      <c r="O214" s="496"/>
      <c r="P214" s="496"/>
      <c r="Q214" s="496">
        <f>+O210-O211+O212-O213</f>
        <v>0</v>
      </c>
      <c r="R214" s="420"/>
    </row>
    <row r="215" spans="2:18">
      <c r="B215" s="610">
        <f t="shared" si="81"/>
        <v>8.5999999999999979</v>
      </c>
      <c r="C215" s="437" t="s">
        <v>472</v>
      </c>
      <c r="D215" s="495"/>
      <c r="E215" s="451">
        <f>AVERAGE(E210,E214)</f>
        <v>0</v>
      </c>
      <c r="F215" s="495">
        <f t="shared" si="78"/>
        <v>0</v>
      </c>
      <c r="G215" s="495"/>
      <c r="H215" s="451">
        <f>AVERAGE(H210,H214)</f>
        <v>0</v>
      </c>
      <c r="I215" s="495">
        <f t="shared" si="79"/>
        <v>0</v>
      </c>
      <c r="J215" s="496"/>
      <c r="K215" s="495"/>
      <c r="L215" s="495">
        <f t="shared" si="80"/>
        <v>0</v>
      </c>
      <c r="M215" s="496"/>
      <c r="N215" s="496"/>
      <c r="O215" s="496"/>
      <c r="P215" s="496"/>
      <c r="Q215" s="496"/>
      <c r="R215" s="420"/>
    </row>
    <row r="216" spans="2:18" s="606" customFormat="1">
      <c r="B216" s="614">
        <f t="shared" si="81"/>
        <v>8.6999999999999975</v>
      </c>
      <c r="C216" s="602" t="s">
        <v>31</v>
      </c>
      <c r="D216" s="603"/>
      <c r="E216" s="603">
        <f>IFERROR(E217/E215,0)</f>
        <v>0</v>
      </c>
      <c r="F216" s="603" t="e">
        <f>F217/F215</f>
        <v>#DIV/0!</v>
      </c>
      <c r="G216" s="603"/>
      <c r="H216" s="603">
        <f>IFERROR(H217/H215,0)</f>
        <v>0</v>
      </c>
      <c r="I216" s="603" t="e">
        <f>I217/I215</f>
        <v>#DIV/0!</v>
      </c>
      <c r="J216" s="604"/>
      <c r="K216" s="604" t="e">
        <f>J217/K215</f>
        <v>#DIV/0!</v>
      </c>
      <c r="L216" s="603" t="e">
        <f>L217/L215</f>
        <v>#DIV/0!</v>
      </c>
      <c r="M216" s="604"/>
      <c r="N216" s="604" t="e">
        <f>M217/N215</f>
        <v>#DIV/0!</v>
      </c>
      <c r="O216" s="604"/>
      <c r="P216" s="604"/>
      <c r="Q216" s="604" t="e">
        <f>O217/Q215</f>
        <v>#DIV/0!</v>
      </c>
      <c r="R216" s="605"/>
    </row>
    <row r="217" spans="2:18">
      <c r="B217" s="610">
        <f t="shared" si="81"/>
        <v>8.7999999999999972</v>
      </c>
      <c r="C217" s="437" t="s">
        <v>32</v>
      </c>
      <c r="D217" s="495"/>
      <c r="E217" s="495">
        <v>0</v>
      </c>
      <c r="F217" s="495">
        <f t="shared" si="78"/>
        <v>0</v>
      </c>
      <c r="G217" s="495"/>
      <c r="H217" s="495">
        <v>0</v>
      </c>
      <c r="I217" s="495">
        <f t="shared" si="79"/>
        <v>0</v>
      </c>
      <c r="J217" s="496"/>
      <c r="K217" s="495"/>
      <c r="L217" s="495">
        <f t="shared" si="80"/>
        <v>0</v>
      </c>
      <c r="M217" s="496"/>
      <c r="N217" s="496"/>
      <c r="O217" s="496"/>
      <c r="P217" s="496"/>
      <c r="Q217" s="496"/>
      <c r="R217" s="420"/>
    </row>
    <row r="218" spans="2:18">
      <c r="B218" s="610"/>
      <c r="C218" s="437"/>
      <c r="D218" s="495"/>
      <c r="E218" s="495"/>
      <c r="F218" s="495"/>
      <c r="G218" s="495"/>
      <c r="H218" s="495"/>
      <c r="I218" s="495"/>
      <c r="J218" s="496"/>
      <c r="K218" s="495"/>
      <c r="L218" s="495"/>
      <c r="M218" s="496"/>
      <c r="N218" s="496"/>
      <c r="O218" s="496"/>
      <c r="P218" s="496"/>
      <c r="Q218" s="496"/>
      <c r="R218" s="420"/>
    </row>
    <row r="219" spans="2:18" s="22" customFormat="1">
      <c r="B219" s="612">
        <v>9</v>
      </c>
      <c r="C219" s="438" t="s">
        <v>1465</v>
      </c>
      <c r="D219" s="495"/>
      <c r="E219" s="495"/>
      <c r="F219" s="495"/>
      <c r="G219" s="495"/>
      <c r="H219" s="495"/>
      <c r="I219" s="495"/>
      <c r="J219" s="496"/>
      <c r="K219" s="495"/>
      <c r="L219" s="495"/>
      <c r="M219" s="496"/>
      <c r="N219" s="496"/>
      <c r="O219" s="496"/>
      <c r="P219" s="496"/>
      <c r="Q219" s="496"/>
      <c r="R219" s="433"/>
    </row>
    <row r="220" spans="2:18">
      <c r="B220" s="610">
        <f>B219+0.1</f>
        <v>9.1</v>
      </c>
      <c r="C220" s="437" t="s">
        <v>28</v>
      </c>
      <c r="D220" s="495"/>
      <c r="E220" s="495">
        <v>0</v>
      </c>
      <c r="F220" s="495">
        <f t="shared" ref="F220:F227" si="82">E220-D220</f>
        <v>0</v>
      </c>
      <c r="G220" s="495"/>
      <c r="H220" s="495">
        <v>0</v>
      </c>
      <c r="I220" s="495">
        <f t="shared" ref="I220:I227" si="83">H220-G220</f>
        <v>0</v>
      </c>
      <c r="J220" s="496"/>
      <c r="K220" s="495"/>
      <c r="L220" s="495">
        <f t="shared" ref="L220:L227" si="84">K220-J220</f>
        <v>0</v>
      </c>
      <c r="M220" s="496"/>
      <c r="N220" s="496"/>
      <c r="O220" s="496"/>
      <c r="P220" s="496"/>
      <c r="Q220" s="496"/>
      <c r="R220" s="420"/>
    </row>
    <row r="221" spans="2:18">
      <c r="B221" s="610">
        <f t="shared" ref="B221:B227" si="85">B220+0.1</f>
        <v>9.1999999999999993</v>
      </c>
      <c r="C221" s="437" t="s">
        <v>400</v>
      </c>
      <c r="D221" s="495"/>
      <c r="E221" s="495">
        <v>0</v>
      </c>
      <c r="F221" s="495">
        <f t="shared" si="82"/>
        <v>0</v>
      </c>
      <c r="G221" s="495"/>
      <c r="H221" s="495">
        <v>0</v>
      </c>
      <c r="I221" s="495">
        <f t="shared" si="83"/>
        <v>0</v>
      </c>
      <c r="J221" s="496"/>
      <c r="K221" s="495"/>
      <c r="L221" s="495">
        <f t="shared" si="84"/>
        <v>0</v>
      </c>
      <c r="M221" s="496"/>
      <c r="N221" s="496"/>
      <c r="O221" s="496"/>
      <c r="P221" s="496"/>
      <c r="Q221" s="496"/>
      <c r="R221" s="420"/>
    </row>
    <row r="222" spans="2:18">
      <c r="B222" s="610">
        <f t="shared" si="85"/>
        <v>9.2999999999999989</v>
      </c>
      <c r="C222" s="437" t="s">
        <v>342</v>
      </c>
      <c r="D222" s="495"/>
      <c r="E222" s="495">
        <v>0</v>
      </c>
      <c r="F222" s="495">
        <f t="shared" si="82"/>
        <v>0</v>
      </c>
      <c r="G222" s="495"/>
      <c r="H222" s="495">
        <v>0</v>
      </c>
      <c r="I222" s="495">
        <f t="shared" si="83"/>
        <v>0</v>
      </c>
      <c r="J222" s="496"/>
      <c r="K222" s="495"/>
      <c r="L222" s="495">
        <f t="shared" si="84"/>
        <v>0</v>
      </c>
      <c r="M222" s="496"/>
      <c r="N222" s="496"/>
      <c r="O222" s="496"/>
      <c r="P222" s="496"/>
      <c r="Q222" s="496"/>
      <c r="R222" s="420"/>
    </row>
    <row r="223" spans="2:18">
      <c r="B223" s="610">
        <f t="shared" si="85"/>
        <v>9.3999999999999986</v>
      </c>
      <c r="C223" s="437" t="s">
        <v>29</v>
      </c>
      <c r="D223" s="495"/>
      <c r="E223" s="495">
        <v>0</v>
      </c>
      <c r="F223" s="495">
        <f t="shared" si="82"/>
        <v>0</v>
      </c>
      <c r="G223" s="495"/>
      <c r="H223" s="495">
        <v>0</v>
      </c>
      <c r="I223" s="495">
        <f t="shared" si="83"/>
        <v>0</v>
      </c>
      <c r="J223" s="496"/>
      <c r="K223" s="495"/>
      <c r="L223" s="495">
        <f t="shared" si="84"/>
        <v>0</v>
      </c>
      <c r="M223" s="496"/>
      <c r="N223" s="496"/>
      <c r="O223" s="496"/>
      <c r="P223" s="496"/>
      <c r="Q223" s="496"/>
      <c r="R223" s="420"/>
    </row>
    <row r="224" spans="2:18">
      <c r="B224" s="610">
        <f t="shared" si="85"/>
        <v>9.4999999999999982</v>
      </c>
      <c r="C224" s="437" t="s">
        <v>30</v>
      </c>
      <c r="D224" s="495"/>
      <c r="E224" s="495">
        <f>+E220-E221+E222-E223</f>
        <v>0</v>
      </c>
      <c r="F224" s="495">
        <f t="shared" si="82"/>
        <v>0</v>
      </c>
      <c r="G224" s="495"/>
      <c r="H224" s="495">
        <f>+H220-H221+H222-H223</f>
        <v>0</v>
      </c>
      <c r="I224" s="495">
        <f t="shared" si="83"/>
        <v>0</v>
      </c>
      <c r="J224" s="496"/>
      <c r="K224" s="496">
        <f>+J220-J221+J222-J223</f>
        <v>0</v>
      </c>
      <c r="L224" s="495">
        <f t="shared" si="84"/>
        <v>0</v>
      </c>
      <c r="M224" s="496"/>
      <c r="N224" s="496">
        <f>+M220-M221+M222-M223</f>
        <v>0</v>
      </c>
      <c r="O224" s="496"/>
      <c r="P224" s="496"/>
      <c r="Q224" s="496">
        <f>+O220-O221+O222-O223</f>
        <v>0</v>
      </c>
      <c r="R224" s="420"/>
    </row>
    <row r="225" spans="2:18">
      <c r="B225" s="610">
        <f t="shared" si="85"/>
        <v>9.5999999999999979</v>
      </c>
      <c r="C225" s="437" t="s">
        <v>472</v>
      </c>
      <c r="D225" s="495"/>
      <c r="E225" s="451">
        <f>AVERAGE(E220,E224)</f>
        <v>0</v>
      </c>
      <c r="F225" s="495">
        <f t="shared" si="82"/>
        <v>0</v>
      </c>
      <c r="G225" s="495"/>
      <c r="H225" s="451">
        <f>AVERAGE(H220,H224)</f>
        <v>0</v>
      </c>
      <c r="I225" s="495">
        <f t="shared" si="83"/>
        <v>0</v>
      </c>
      <c r="J225" s="496"/>
      <c r="K225" s="495"/>
      <c r="L225" s="495">
        <f t="shared" si="84"/>
        <v>0</v>
      </c>
      <c r="M225" s="496"/>
      <c r="N225" s="496"/>
      <c r="O225" s="496"/>
      <c r="P225" s="496"/>
      <c r="Q225" s="496"/>
      <c r="R225" s="420"/>
    </row>
    <row r="226" spans="2:18" s="606" customFormat="1">
      <c r="B226" s="614">
        <f t="shared" si="85"/>
        <v>9.6999999999999975</v>
      </c>
      <c r="C226" s="602" t="s">
        <v>31</v>
      </c>
      <c r="D226" s="603"/>
      <c r="E226" s="603">
        <f>IFERROR(E227/E225,0)</f>
        <v>0</v>
      </c>
      <c r="F226" s="603" t="e">
        <f>F227/F225</f>
        <v>#DIV/0!</v>
      </c>
      <c r="G226" s="603"/>
      <c r="H226" s="603">
        <f>IFERROR(H227/H225,0)</f>
        <v>0</v>
      </c>
      <c r="I226" s="603" t="e">
        <f>I227/I225</f>
        <v>#DIV/0!</v>
      </c>
      <c r="J226" s="604"/>
      <c r="K226" s="604" t="e">
        <f>J227/K225</f>
        <v>#DIV/0!</v>
      </c>
      <c r="L226" s="603" t="e">
        <f>L227/L225</f>
        <v>#DIV/0!</v>
      </c>
      <c r="M226" s="604"/>
      <c r="N226" s="604" t="e">
        <f>M227/N225</f>
        <v>#DIV/0!</v>
      </c>
      <c r="O226" s="604"/>
      <c r="P226" s="604"/>
      <c r="Q226" s="604" t="e">
        <f>O227/Q225</f>
        <v>#DIV/0!</v>
      </c>
      <c r="R226" s="605"/>
    </row>
    <row r="227" spans="2:18">
      <c r="B227" s="610">
        <f t="shared" si="85"/>
        <v>9.7999999999999972</v>
      </c>
      <c r="C227" s="437" t="s">
        <v>32</v>
      </c>
      <c r="D227" s="495"/>
      <c r="E227" s="495">
        <v>0</v>
      </c>
      <c r="F227" s="495">
        <f t="shared" si="82"/>
        <v>0</v>
      </c>
      <c r="G227" s="495"/>
      <c r="H227" s="495">
        <v>0</v>
      </c>
      <c r="I227" s="495">
        <f t="shared" si="83"/>
        <v>0</v>
      </c>
      <c r="J227" s="496"/>
      <c r="K227" s="495"/>
      <c r="L227" s="495">
        <f t="shared" si="84"/>
        <v>0</v>
      </c>
      <c r="M227" s="496"/>
      <c r="N227" s="496"/>
      <c r="O227" s="496"/>
      <c r="P227" s="496"/>
      <c r="Q227" s="496"/>
      <c r="R227" s="420"/>
    </row>
    <row r="228" spans="2:18">
      <c r="B228" s="610"/>
      <c r="C228" s="437"/>
      <c r="D228" s="495"/>
      <c r="E228" s="495"/>
      <c r="F228" s="495"/>
      <c r="G228" s="495"/>
      <c r="H228" s="495"/>
      <c r="I228" s="495"/>
      <c r="J228" s="496"/>
      <c r="K228" s="495"/>
      <c r="L228" s="495"/>
      <c r="M228" s="496"/>
      <c r="N228" s="496"/>
      <c r="O228" s="496"/>
      <c r="P228" s="496"/>
      <c r="Q228" s="496"/>
      <c r="R228" s="420"/>
    </row>
    <row r="229" spans="2:18" s="22" customFormat="1">
      <c r="B229" s="612">
        <v>10</v>
      </c>
      <c r="C229" s="438" t="s">
        <v>1470</v>
      </c>
      <c r="D229" s="495"/>
      <c r="E229" s="495"/>
      <c r="F229" s="495"/>
      <c r="G229" s="495"/>
      <c r="H229" s="495"/>
      <c r="I229" s="495"/>
      <c r="J229" s="496"/>
      <c r="K229" s="495"/>
      <c r="L229" s="495"/>
      <c r="M229" s="496"/>
      <c r="N229" s="496"/>
      <c r="O229" s="496"/>
      <c r="P229" s="496"/>
      <c r="Q229" s="496"/>
      <c r="R229" s="433"/>
    </row>
    <row r="230" spans="2:18">
      <c r="B230" s="610">
        <f>B229+0.1</f>
        <v>10.1</v>
      </c>
      <c r="C230" s="437" t="s">
        <v>28</v>
      </c>
      <c r="D230" s="495"/>
      <c r="E230" s="495">
        <v>0</v>
      </c>
      <c r="F230" s="495">
        <f t="shared" ref="F230:F237" si="86">E230-D230</f>
        <v>0</v>
      </c>
      <c r="G230" s="495"/>
      <c r="H230" s="495">
        <v>0</v>
      </c>
      <c r="I230" s="495">
        <f t="shared" ref="I230:I237" si="87">H230-G230</f>
        <v>0</v>
      </c>
      <c r="J230" s="496"/>
      <c r="K230" s="495"/>
      <c r="L230" s="495">
        <f t="shared" ref="L230:L237" si="88">K230-J230</f>
        <v>0</v>
      </c>
      <c r="M230" s="496"/>
      <c r="N230" s="496"/>
      <c r="O230" s="496"/>
      <c r="P230" s="496"/>
      <c r="Q230" s="496"/>
      <c r="R230" s="420"/>
    </row>
    <row r="231" spans="2:18">
      <c r="B231" s="610">
        <f t="shared" ref="B231:B237" si="89">B230+0.1</f>
        <v>10.199999999999999</v>
      </c>
      <c r="C231" s="437" t="s">
        <v>400</v>
      </c>
      <c r="D231" s="495"/>
      <c r="E231" s="495">
        <v>0</v>
      </c>
      <c r="F231" s="495">
        <f t="shared" si="86"/>
        <v>0</v>
      </c>
      <c r="G231" s="495"/>
      <c r="H231" s="495">
        <v>0</v>
      </c>
      <c r="I231" s="495">
        <f t="shared" si="87"/>
        <v>0</v>
      </c>
      <c r="J231" s="496"/>
      <c r="K231" s="495"/>
      <c r="L231" s="495">
        <f t="shared" si="88"/>
        <v>0</v>
      </c>
      <c r="M231" s="496"/>
      <c r="N231" s="496"/>
      <c r="O231" s="496"/>
      <c r="P231" s="496"/>
      <c r="Q231" s="496"/>
      <c r="R231" s="420"/>
    </row>
    <row r="232" spans="2:18">
      <c r="B232" s="610">
        <f t="shared" si="89"/>
        <v>10.299999999999999</v>
      </c>
      <c r="C232" s="437" t="s">
        <v>342</v>
      </c>
      <c r="D232" s="495"/>
      <c r="E232" s="495">
        <v>0</v>
      </c>
      <c r="F232" s="495">
        <f t="shared" si="86"/>
        <v>0</v>
      </c>
      <c r="G232" s="495"/>
      <c r="H232" s="495">
        <v>0</v>
      </c>
      <c r="I232" s="495">
        <f t="shared" si="87"/>
        <v>0</v>
      </c>
      <c r="J232" s="496"/>
      <c r="K232" s="495"/>
      <c r="L232" s="495">
        <f t="shared" si="88"/>
        <v>0</v>
      </c>
      <c r="M232" s="496"/>
      <c r="N232" s="496"/>
      <c r="O232" s="496"/>
      <c r="P232" s="496"/>
      <c r="Q232" s="496"/>
      <c r="R232" s="420"/>
    </row>
    <row r="233" spans="2:18">
      <c r="B233" s="610">
        <f t="shared" si="89"/>
        <v>10.399999999999999</v>
      </c>
      <c r="C233" s="437" t="s">
        <v>29</v>
      </c>
      <c r="D233" s="495"/>
      <c r="E233" s="495">
        <v>0</v>
      </c>
      <c r="F233" s="495">
        <f t="shared" si="86"/>
        <v>0</v>
      </c>
      <c r="G233" s="495"/>
      <c r="H233" s="495">
        <v>0</v>
      </c>
      <c r="I233" s="495">
        <f t="shared" si="87"/>
        <v>0</v>
      </c>
      <c r="J233" s="496"/>
      <c r="K233" s="495"/>
      <c r="L233" s="495">
        <f t="shared" si="88"/>
        <v>0</v>
      </c>
      <c r="M233" s="496"/>
      <c r="N233" s="496"/>
      <c r="O233" s="496"/>
      <c r="P233" s="496"/>
      <c r="Q233" s="496"/>
      <c r="R233" s="420"/>
    </row>
    <row r="234" spans="2:18">
      <c r="B234" s="610">
        <f t="shared" si="89"/>
        <v>10.499999999999998</v>
      </c>
      <c r="C234" s="437" t="s">
        <v>30</v>
      </c>
      <c r="D234" s="495"/>
      <c r="E234" s="495">
        <f>+E230-E231+E232-E233</f>
        <v>0</v>
      </c>
      <c r="F234" s="495">
        <f t="shared" si="86"/>
        <v>0</v>
      </c>
      <c r="G234" s="495"/>
      <c r="H234" s="495">
        <f>+H230-H231+H232-H233</f>
        <v>0</v>
      </c>
      <c r="I234" s="495">
        <f t="shared" si="87"/>
        <v>0</v>
      </c>
      <c r="J234" s="496"/>
      <c r="K234" s="496">
        <f>+J230-J231+J232-J233</f>
        <v>0</v>
      </c>
      <c r="L234" s="495">
        <f t="shared" si="88"/>
        <v>0</v>
      </c>
      <c r="M234" s="496"/>
      <c r="N234" s="496">
        <f>+M230-M231+M232-M233</f>
        <v>0</v>
      </c>
      <c r="O234" s="496"/>
      <c r="P234" s="496"/>
      <c r="Q234" s="496">
        <f>+O230-O231+O232-O233</f>
        <v>0</v>
      </c>
      <c r="R234" s="420"/>
    </row>
    <row r="235" spans="2:18">
      <c r="B235" s="610">
        <f t="shared" si="89"/>
        <v>10.599999999999998</v>
      </c>
      <c r="C235" s="437" t="s">
        <v>472</v>
      </c>
      <c r="D235" s="495"/>
      <c r="E235" s="451">
        <f>AVERAGE(E230,E234)</f>
        <v>0</v>
      </c>
      <c r="F235" s="495">
        <f t="shared" si="86"/>
        <v>0</v>
      </c>
      <c r="G235" s="495"/>
      <c r="H235" s="451">
        <f>AVERAGE(H230,H234)</f>
        <v>0</v>
      </c>
      <c r="I235" s="495">
        <f t="shared" si="87"/>
        <v>0</v>
      </c>
      <c r="J235" s="496"/>
      <c r="K235" s="495"/>
      <c r="L235" s="495">
        <f t="shared" si="88"/>
        <v>0</v>
      </c>
      <c r="M235" s="496"/>
      <c r="N235" s="496"/>
      <c r="O235" s="496"/>
      <c r="P235" s="496"/>
      <c r="Q235" s="496"/>
      <c r="R235" s="420"/>
    </row>
    <row r="236" spans="2:18" s="606" customFormat="1">
      <c r="B236" s="614">
        <f t="shared" si="89"/>
        <v>10.699999999999998</v>
      </c>
      <c r="C236" s="602" t="s">
        <v>31</v>
      </c>
      <c r="D236" s="603"/>
      <c r="E236" s="603">
        <f>IFERROR(E237/E235,0)</f>
        <v>0</v>
      </c>
      <c r="F236" s="603" t="e">
        <f>F237/F235</f>
        <v>#DIV/0!</v>
      </c>
      <c r="G236" s="603"/>
      <c r="H236" s="603">
        <f>IFERROR(H237/H235,0)</f>
        <v>0</v>
      </c>
      <c r="I236" s="603" t="e">
        <f>I237/I235</f>
        <v>#DIV/0!</v>
      </c>
      <c r="J236" s="604"/>
      <c r="K236" s="604" t="e">
        <f>J237/K235</f>
        <v>#DIV/0!</v>
      </c>
      <c r="L236" s="603" t="e">
        <f>L237/L235</f>
        <v>#DIV/0!</v>
      </c>
      <c r="M236" s="604"/>
      <c r="N236" s="604" t="e">
        <f>M237/N235</f>
        <v>#DIV/0!</v>
      </c>
      <c r="O236" s="604"/>
      <c r="P236" s="604"/>
      <c r="Q236" s="604" t="e">
        <f>O237/Q235</f>
        <v>#DIV/0!</v>
      </c>
      <c r="R236" s="605"/>
    </row>
    <row r="237" spans="2:18">
      <c r="B237" s="610">
        <f t="shared" si="89"/>
        <v>10.799999999999997</v>
      </c>
      <c r="C237" s="437" t="s">
        <v>32</v>
      </c>
      <c r="D237" s="495"/>
      <c r="E237" s="495">
        <v>0</v>
      </c>
      <c r="F237" s="495">
        <f t="shared" si="86"/>
        <v>0</v>
      </c>
      <c r="G237" s="495"/>
      <c r="H237" s="495">
        <v>0</v>
      </c>
      <c r="I237" s="495">
        <f t="shared" si="87"/>
        <v>0</v>
      </c>
      <c r="J237" s="496"/>
      <c r="K237" s="495"/>
      <c r="L237" s="495">
        <f t="shared" si="88"/>
        <v>0</v>
      </c>
      <c r="M237" s="496"/>
      <c r="N237" s="496"/>
      <c r="O237" s="496"/>
      <c r="P237" s="496"/>
      <c r="Q237" s="496"/>
      <c r="R237" s="420"/>
    </row>
    <row r="238" spans="2:18">
      <c r="B238" s="610"/>
      <c r="C238" s="437"/>
      <c r="D238" s="495"/>
      <c r="E238" s="495"/>
      <c r="F238" s="495"/>
      <c r="G238" s="495"/>
      <c r="H238" s="495"/>
      <c r="I238" s="495"/>
      <c r="J238" s="496"/>
      <c r="K238" s="495"/>
      <c r="L238" s="495"/>
      <c r="M238" s="496"/>
      <c r="N238" s="496"/>
      <c r="O238" s="496"/>
      <c r="P238" s="496"/>
      <c r="Q238" s="496"/>
      <c r="R238" s="420"/>
    </row>
    <row r="239" spans="2:18" s="22" customFormat="1">
      <c r="B239" s="612">
        <v>11</v>
      </c>
      <c r="C239" s="438" t="s">
        <v>1471</v>
      </c>
      <c r="D239" s="495"/>
      <c r="E239" s="495"/>
      <c r="F239" s="495"/>
      <c r="G239" s="495"/>
      <c r="H239" s="495"/>
      <c r="I239" s="495"/>
      <c r="J239" s="496"/>
      <c r="K239" s="495"/>
      <c r="L239" s="495"/>
      <c r="M239" s="496"/>
      <c r="N239" s="496"/>
      <c r="O239" s="496"/>
      <c r="P239" s="496"/>
      <c r="Q239" s="496"/>
      <c r="R239" s="433"/>
    </row>
    <row r="240" spans="2:18">
      <c r="B240" s="610">
        <f>B239+0.1</f>
        <v>11.1</v>
      </c>
      <c r="C240" s="437" t="s">
        <v>28</v>
      </c>
      <c r="D240" s="495"/>
      <c r="E240" s="495">
        <v>0</v>
      </c>
      <c r="F240" s="495">
        <f t="shared" ref="F240:F247" si="90">E240-D240</f>
        <v>0</v>
      </c>
      <c r="G240" s="495"/>
      <c r="H240" s="495">
        <v>0</v>
      </c>
      <c r="I240" s="495">
        <f t="shared" ref="I240:I247" si="91">H240-G240</f>
        <v>0</v>
      </c>
      <c r="J240" s="496"/>
      <c r="K240" s="495"/>
      <c r="L240" s="495">
        <f t="shared" ref="L240:L247" si="92">K240-J240</f>
        <v>0</v>
      </c>
      <c r="M240" s="496"/>
      <c r="N240" s="496"/>
      <c r="O240" s="496"/>
      <c r="P240" s="496"/>
      <c r="Q240" s="496"/>
      <c r="R240" s="420"/>
    </row>
    <row r="241" spans="2:18">
      <c r="B241" s="610">
        <f t="shared" ref="B241:B247" si="93">B240+0.1</f>
        <v>11.2</v>
      </c>
      <c r="C241" s="437" t="s">
        <v>400</v>
      </c>
      <c r="D241" s="495"/>
      <c r="E241" s="495">
        <v>0</v>
      </c>
      <c r="F241" s="495">
        <f t="shared" si="90"/>
        <v>0</v>
      </c>
      <c r="G241" s="495"/>
      <c r="H241" s="495">
        <v>0</v>
      </c>
      <c r="I241" s="495">
        <f t="shared" si="91"/>
        <v>0</v>
      </c>
      <c r="J241" s="496"/>
      <c r="K241" s="495"/>
      <c r="L241" s="495">
        <f t="shared" si="92"/>
        <v>0</v>
      </c>
      <c r="M241" s="496"/>
      <c r="N241" s="496"/>
      <c r="O241" s="496"/>
      <c r="P241" s="496"/>
      <c r="Q241" s="496"/>
      <c r="R241" s="420"/>
    </row>
    <row r="242" spans="2:18">
      <c r="B242" s="610">
        <f t="shared" si="93"/>
        <v>11.299999999999999</v>
      </c>
      <c r="C242" s="437" t="s">
        <v>342</v>
      </c>
      <c r="D242" s="495"/>
      <c r="E242" s="495">
        <v>0</v>
      </c>
      <c r="F242" s="495">
        <f t="shared" si="90"/>
        <v>0</v>
      </c>
      <c r="G242" s="495"/>
      <c r="H242" s="495">
        <v>0</v>
      </c>
      <c r="I242" s="495">
        <f t="shared" si="91"/>
        <v>0</v>
      </c>
      <c r="J242" s="496"/>
      <c r="K242" s="495"/>
      <c r="L242" s="495">
        <f t="shared" si="92"/>
        <v>0</v>
      </c>
      <c r="M242" s="496"/>
      <c r="N242" s="496"/>
      <c r="O242" s="496"/>
      <c r="P242" s="496"/>
      <c r="Q242" s="496"/>
      <c r="R242" s="420"/>
    </row>
    <row r="243" spans="2:18">
      <c r="B243" s="610">
        <f t="shared" si="93"/>
        <v>11.399999999999999</v>
      </c>
      <c r="C243" s="437" t="s">
        <v>29</v>
      </c>
      <c r="D243" s="495"/>
      <c r="E243" s="495">
        <v>0</v>
      </c>
      <c r="F243" s="495">
        <f t="shared" si="90"/>
        <v>0</v>
      </c>
      <c r="G243" s="495"/>
      <c r="H243" s="495">
        <v>0</v>
      </c>
      <c r="I243" s="495">
        <f t="shared" si="91"/>
        <v>0</v>
      </c>
      <c r="J243" s="496"/>
      <c r="K243" s="495"/>
      <c r="L243" s="495">
        <f t="shared" si="92"/>
        <v>0</v>
      </c>
      <c r="M243" s="496"/>
      <c r="N243" s="496"/>
      <c r="O243" s="496"/>
      <c r="P243" s="496"/>
      <c r="Q243" s="496"/>
      <c r="R243" s="420"/>
    </row>
    <row r="244" spans="2:18">
      <c r="B244" s="610">
        <f t="shared" si="93"/>
        <v>11.499999999999998</v>
      </c>
      <c r="C244" s="437" t="s">
        <v>30</v>
      </c>
      <c r="D244" s="495"/>
      <c r="E244" s="495">
        <f>+E240-E241+E242-E243</f>
        <v>0</v>
      </c>
      <c r="F244" s="495">
        <f t="shared" si="90"/>
        <v>0</v>
      </c>
      <c r="G244" s="495"/>
      <c r="H244" s="495">
        <f>+H240-H241+H242-H243</f>
        <v>0</v>
      </c>
      <c r="I244" s="495">
        <f t="shared" si="91"/>
        <v>0</v>
      </c>
      <c r="J244" s="496"/>
      <c r="K244" s="496">
        <f>+J240-J241+J242-J243</f>
        <v>0</v>
      </c>
      <c r="L244" s="495">
        <f t="shared" si="92"/>
        <v>0</v>
      </c>
      <c r="M244" s="496"/>
      <c r="N244" s="496">
        <f>+M240-M241+M242-M243</f>
        <v>0</v>
      </c>
      <c r="O244" s="496"/>
      <c r="P244" s="496"/>
      <c r="Q244" s="496">
        <f>+O240-O241+O242-O243</f>
        <v>0</v>
      </c>
      <c r="R244" s="420"/>
    </row>
    <row r="245" spans="2:18">
      <c r="B245" s="610">
        <f t="shared" si="93"/>
        <v>11.599999999999998</v>
      </c>
      <c r="C245" s="437" t="s">
        <v>472</v>
      </c>
      <c r="D245" s="495"/>
      <c r="E245" s="451">
        <f>AVERAGE(E240,E244)</f>
        <v>0</v>
      </c>
      <c r="F245" s="495">
        <f t="shared" si="90"/>
        <v>0</v>
      </c>
      <c r="G245" s="495"/>
      <c r="H245" s="451">
        <f>AVERAGE(H240,H244)</f>
        <v>0</v>
      </c>
      <c r="I245" s="495">
        <f t="shared" si="91"/>
        <v>0</v>
      </c>
      <c r="J245" s="496"/>
      <c r="K245" s="495"/>
      <c r="L245" s="495">
        <f t="shared" si="92"/>
        <v>0</v>
      </c>
      <c r="M245" s="496"/>
      <c r="N245" s="496"/>
      <c r="O245" s="496"/>
      <c r="P245" s="496"/>
      <c r="Q245" s="496"/>
      <c r="R245" s="420"/>
    </row>
    <row r="246" spans="2:18" s="606" customFormat="1">
      <c r="B246" s="614">
        <f t="shared" si="93"/>
        <v>11.699999999999998</v>
      </c>
      <c r="C246" s="602" t="s">
        <v>31</v>
      </c>
      <c r="D246" s="603"/>
      <c r="E246" s="603">
        <f>IFERROR(E247/E245,0)</f>
        <v>0</v>
      </c>
      <c r="F246" s="603" t="e">
        <f>F247/F245</f>
        <v>#DIV/0!</v>
      </c>
      <c r="G246" s="603"/>
      <c r="H246" s="603">
        <f>IFERROR(H247/H245,0)</f>
        <v>0</v>
      </c>
      <c r="I246" s="603" t="e">
        <f>I247/I245</f>
        <v>#DIV/0!</v>
      </c>
      <c r="J246" s="604"/>
      <c r="K246" s="604" t="e">
        <f>J247/K245</f>
        <v>#DIV/0!</v>
      </c>
      <c r="L246" s="603" t="e">
        <f>L247/L245</f>
        <v>#DIV/0!</v>
      </c>
      <c r="M246" s="604"/>
      <c r="N246" s="604" t="e">
        <f>M247/N245</f>
        <v>#DIV/0!</v>
      </c>
      <c r="O246" s="604"/>
      <c r="P246" s="604"/>
      <c r="Q246" s="604" t="e">
        <f>O247/Q245</f>
        <v>#DIV/0!</v>
      </c>
      <c r="R246" s="605"/>
    </row>
    <row r="247" spans="2:18">
      <c r="B247" s="610">
        <f t="shared" si="93"/>
        <v>11.799999999999997</v>
      </c>
      <c r="C247" s="437" t="s">
        <v>32</v>
      </c>
      <c r="D247" s="495"/>
      <c r="E247" s="495">
        <v>0</v>
      </c>
      <c r="F247" s="495">
        <f t="shared" si="90"/>
        <v>0</v>
      </c>
      <c r="G247" s="495"/>
      <c r="H247" s="495">
        <v>0</v>
      </c>
      <c r="I247" s="495">
        <f t="shared" si="91"/>
        <v>0</v>
      </c>
      <c r="J247" s="496"/>
      <c r="K247" s="495"/>
      <c r="L247" s="495">
        <f t="shared" si="92"/>
        <v>0</v>
      </c>
      <c r="M247" s="496"/>
      <c r="N247" s="496"/>
      <c r="O247" s="496"/>
      <c r="P247" s="496"/>
      <c r="Q247" s="496"/>
      <c r="R247" s="420"/>
    </row>
    <row r="248" spans="2:18">
      <c r="B248" s="610"/>
      <c r="C248" s="437"/>
      <c r="D248" s="495"/>
      <c r="E248" s="495"/>
      <c r="F248" s="495"/>
      <c r="G248" s="495"/>
      <c r="H248" s="495"/>
      <c r="I248" s="495"/>
      <c r="J248" s="496"/>
      <c r="K248" s="495"/>
      <c r="L248" s="495"/>
      <c r="M248" s="496"/>
      <c r="N248" s="496"/>
      <c r="O248" s="496"/>
      <c r="P248" s="496"/>
      <c r="Q248" s="496"/>
      <c r="R248" s="420"/>
    </row>
    <row r="249" spans="2:18" s="22" customFormat="1">
      <c r="B249" s="612">
        <v>12</v>
      </c>
      <c r="C249" s="438" t="s">
        <v>1472</v>
      </c>
      <c r="D249" s="495"/>
      <c r="E249" s="495"/>
      <c r="F249" s="495"/>
      <c r="G249" s="495"/>
      <c r="H249" s="495"/>
      <c r="I249" s="495"/>
      <c r="J249" s="496"/>
      <c r="K249" s="495"/>
      <c r="L249" s="495"/>
      <c r="M249" s="496"/>
      <c r="N249" s="496"/>
      <c r="O249" s="496"/>
      <c r="P249" s="496"/>
      <c r="Q249" s="496"/>
      <c r="R249" s="433"/>
    </row>
    <row r="250" spans="2:18">
      <c r="B250" s="610">
        <f>B249+0.1</f>
        <v>12.1</v>
      </c>
      <c r="C250" s="437" t="s">
        <v>28</v>
      </c>
      <c r="D250" s="495"/>
      <c r="E250" s="495">
        <v>0</v>
      </c>
      <c r="F250" s="495">
        <f t="shared" ref="F250:F257" si="94">E250-D250</f>
        <v>0</v>
      </c>
      <c r="G250" s="495"/>
      <c r="H250" s="495">
        <v>0</v>
      </c>
      <c r="I250" s="495">
        <f t="shared" ref="I250:I257" si="95">H250-G250</f>
        <v>0</v>
      </c>
      <c r="J250" s="496"/>
      <c r="K250" s="495"/>
      <c r="L250" s="495">
        <f t="shared" ref="L250:L257" si="96">K250-J250</f>
        <v>0</v>
      </c>
      <c r="M250" s="496"/>
      <c r="N250" s="496"/>
      <c r="O250" s="496"/>
      <c r="P250" s="496"/>
      <c r="Q250" s="496"/>
      <c r="R250" s="420"/>
    </row>
    <row r="251" spans="2:18">
      <c r="B251" s="610">
        <f t="shared" ref="B251:B257" si="97">B250+0.1</f>
        <v>12.2</v>
      </c>
      <c r="C251" s="437" t="s">
        <v>400</v>
      </c>
      <c r="D251" s="495"/>
      <c r="E251" s="495">
        <v>0</v>
      </c>
      <c r="F251" s="495">
        <f t="shared" si="94"/>
        <v>0</v>
      </c>
      <c r="G251" s="495"/>
      <c r="H251" s="495">
        <v>0</v>
      </c>
      <c r="I251" s="495">
        <f t="shared" si="95"/>
        <v>0</v>
      </c>
      <c r="J251" s="496"/>
      <c r="K251" s="495"/>
      <c r="L251" s="495">
        <f t="shared" si="96"/>
        <v>0</v>
      </c>
      <c r="M251" s="496"/>
      <c r="N251" s="496"/>
      <c r="O251" s="496"/>
      <c r="P251" s="496"/>
      <c r="Q251" s="496"/>
      <c r="R251" s="420"/>
    </row>
    <row r="252" spans="2:18">
      <c r="B252" s="610">
        <f t="shared" si="97"/>
        <v>12.299999999999999</v>
      </c>
      <c r="C252" s="437" t="s">
        <v>342</v>
      </c>
      <c r="D252" s="495"/>
      <c r="E252" s="495">
        <v>0</v>
      </c>
      <c r="F252" s="495">
        <f t="shared" si="94"/>
        <v>0</v>
      </c>
      <c r="G252" s="495"/>
      <c r="H252" s="495">
        <v>0</v>
      </c>
      <c r="I252" s="495">
        <f t="shared" si="95"/>
        <v>0</v>
      </c>
      <c r="J252" s="496"/>
      <c r="K252" s="495"/>
      <c r="L252" s="495">
        <f t="shared" si="96"/>
        <v>0</v>
      </c>
      <c r="M252" s="496"/>
      <c r="N252" s="496"/>
      <c r="O252" s="496"/>
      <c r="P252" s="496"/>
      <c r="Q252" s="496"/>
      <c r="R252" s="420"/>
    </row>
    <row r="253" spans="2:18">
      <c r="B253" s="610">
        <f t="shared" si="97"/>
        <v>12.399999999999999</v>
      </c>
      <c r="C253" s="437" t="s">
        <v>29</v>
      </c>
      <c r="D253" s="495"/>
      <c r="E253" s="495">
        <v>0</v>
      </c>
      <c r="F253" s="495">
        <f t="shared" si="94"/>
        <v>0</v>
      </c>
      <c r="G253" s="495"/>
      <c r="H253" s="495">
        <v>0</v>
      </c>
      <c r="I253" s="495">
        <f t="shared" si="95"/>
        <v>0</v>
      </c>
      <c r="J253" s="496"/>
      <c r="K253" s="495"/>
      <c r="L253" s="495">
        <f t="shared" si="96"/>
        <v>0</v>
      </c>
      <c r="M253" s="496"/>
      <c r="N253" s="496"/>
      <c r="O253" s="496"/>
      <c r="P253" s="496"/>
      <c r="Q253" s="496"/>
      <c r="R253" s="420"/>
    </row>
    <row r="254" spans="2:18">
      <c r="B254" s="610">
        <f t="shared" si="97"/>
        <v>12.499999999999998</v>
      </c>
      <c r="C254" s="437" t="s">
        <v>30</v>
      </c>
      <c r="D254" s="495"/>
      <c r="E254" s="495">
        <f>+E250-E251+E252-E253</f>
        <v>0</v>
      </c>
      <c r="F254" s="495">
        <f t="shared" si="94"/>
        <v>0</v>
      </c>
      <c r="G254" s="495"/>
      <c r="H254" s="495">
        <f>+H250-H251+H252-H253</f>
        <v>0</v>
      </c>
      <c r="I254" s="495">
        <f t="shared" si="95"/>
        <v>0</v>
      </c>
      <c r="J254" s="496"/>
      <c r="K254" s="496">
        <f>+J250-J251+J252-J253</f>
        <v>0</v>
      </c>
      <c r="L254" s="495">
        <f t="shared" si="96"/>
        <v>0</v>
      </c>
      <c r="M254" s="496"/>
      <c r="N254" s="496">
        <f>+M250-M251+M252-M253</f>
        <v>0</v>
      </c>
      <c r="O254" s="496"/>
      <c r="P254" s="496"/>
      <c r="Q254" s="496">
        <f>+O250-O251+O252-O253</f>
        <v>0</v>
      </c>
      <c r="R254" s="420"/>
    </row>
    <row r="255" spans="2:18">
      <c r="B255" s="610">
        <f t="shared" si="97"/>
        <v>12.599999999999998</v>
      </c>
      <c r="C255" s="437" t="s">
        <v>472</v>
      </c>
      <c r="D255" s="495"/>
      <c r="E255" s="451">
        <f>AVERAGE(E250,E254)</f>
        <v>0</v>
      </c>
      <c r="F255" s="495">
        <f t="shared" si="94"/>
        <v>0</v>
      </c>
      <c r="G255" s="495"/>
      <c r="H255" s="451">
        <f>AVERAGE(H250,H254)</f>
        <v>0</v>
      </c>
      <c r="I255" s="495">
        <f t="shared" si="95"/>
        <v>0</v>
      </c>
      <c r="J255" s="496"/>
      <c r="K255" s="495"/>
      <c r="L255" s="495">
        <f t="shared" si="96"/>
        <v>0</v>
      </c>
      <c r="M255" s="496"/>
      <c r="N255" s="496"/>
      <c r="O255" s="496"/>
      <c r="P255" s="496"/>
      <c r="Q255" s="496"/>
      <c r="R255" s="420"/>
    </row>
    <row r="256" spans="2:18" s="606" customFormat="1">
      <c r="B256" s="614">
        <f t="shared" si="97"/>
        <v>12.699999999999998</v>
      </c>
      <c r="C256" s="602" t="s">
        <v>31</v>
      </c>
      <c r="D256" s="603"/>
      <c r="E256" s="603">
        <f>IFERROR(E257/E255,0)</f>
        <v>0</v>
      </c>
      <c r="F256" s="603" t="e">
        <f>F257/F255</f>
        <v>#DIV/0!</v>
      </c>
      <c r="G256" s="603"/>
      <c r="H256" s="603">
        <f>IFERROR(H257/H255,0)</f>
        <v>0</v>
      </c>
      <c r="I256" s="603" t="e">
        <f>I257/I255</f>
        <v>#DIV/0!</v>
      </c>
      <c r="J256" s="604"/>
      <c r="K256" s="604" t="e">
        <f>J257/K255</f>
        <v>#DIV/0!</v>
      </c>
      <c r="L256" s="603" t="e">
        <f>L257/L255</f>
        <v>#DIV/0!</v>
      </c>
      <c r="M256" s="604"/>
      <c r="N256" s="604" t="e">
        <f>M257/N255</f>
        <v>#DIV/0!</v>
      </c>
      <c r="O256" s="604"/>
      <c r="P256" s="604"/>
      <c r="Q256" s="604" t="e">
        <f>O257/Q255</f>
        <v>#DIV/0!</v>
      </c>
      <c r="R256" s="605"/>
    </row>
    <row r="257" spans="2:18">
      <c r="B257" s="610">
        <f t="shared" si="97"/>
        <v>12.799999999999997</v>
      </c>
      <c r="C257" s="437" t="s">
        <v>32</v>
      </c>
      <c r="D257" s="495"/>
      <c r="E257" s="495">
        <v>0</v>
      </c>
      <c r="F257" s="495">
        <f t="shared" si="94"/>
        <v>0</v>
      </c>
      <c r="G257" s="495"/>
      <c r="H257" s="495">
        <v>0</v>
      </c>
      <c r="I257" s="495">
        <f t="shared" si="95"/>
        <v>0</v>
      </c>
      <c r="J257" s="496"/>
      <c r="K257" s="495"/>
      <c r="L257" s="495">
        <f t="shared" si="96"/>
        <v>0</v>
      </c>
      <c r="M257" s="496"/>
      <c r="N257" s="496"/>
      <c r="O257" s="496"/>
      <c r="P257" s="496"/>
      <c r="Q257" s="496"/>
      <c r="R257" s="420"/>
    </row>
    <row r="258" spans="2:18">
      <c r="B258" s="610"/>
      <c r="C258" s="437" t="s">
        <v>23</v>
      </c>
      <c r="D258" s="497"/>
      <c r="E258" s="497"/>
      <c r="F258" s="497"/>
      <c r="G258" s="497"/>
      <c r="H258" s="497"/>
      <c r="I258" s="497"/>
      <c r="J258" s="497"/>
      <c r="K258" s="497"/>
      <c r="L258" s="497"/>
      <c r="M258" s="497"/>
      <c r="N258" s="497"/>
      <c r="O258" s="497"/>
      <c r="P258" s="497"/>
      <c r="Q258" s="497"/>
      <c r="R258" s="420"/>
    </row>
    <row r="259" spans="2:18">
      <c r="B259" s="610"/>
      <c r="C259" s="437" t="s">
        <v>23</v>
      </c>
      <c r="D259" s="497"/>
      <c r="E259" s="497"/>
      <c r="F259" s="497"/>
      <c r="G259" s="497"/>
      <c r="H259" s="497"/>
      <c r="I259" s="497"/>
      <c r="J259" s="497"/>
      <c r="K259" s="497"/>
      <c r="L259" s="497"/>
      <c r="M259" s="497"/>
      <c r="N259" s="497"/>
      <c r="O259" s="497"/>
      <c r="P259" s="497"/>
      <c r="Q259" s="497"/>
      <c r="R259" s="420"/>
    </row>
    <row r="260" spans="2:18">
      <c r="B260" s="610"/>
      <c r="C260" s="437"/>
      <c r="D260" s="497"/>
      <c r="E260" s="497"/>
      <c r="F260" s="497"/>
      <c r="G260" s="497"/>
      <c r="H260" s="497"/>
      <c r="I260" s="497"/>
      <c r="J260" s="497"/>
      <c r="K260" s="497"/>
      <c r="L260" s="497"/>
      <c r="M260" s="497"/>
      <c r="N260" s="497"/>
      <c r="O260" s="497"/>
      <c r="P260" s="497"/>
      <c r="Q260" s="497"/>
      <c r="R260" s="420"/>
    </row>
    <row r="261" spans="2:18">
      <c r="B261" s="612">
        <v>13</v>
      </c>
      <c r="C261" s="438" t="s">
        <v>271</v>
      </c>
      <c r="D261" s="497"/>
      <c r="E261" s="497"/>
      <c r="F261" s="497"/>
      <c r="G261" s="497"/>
      <c r="H261" s="497"/>
      <c r="I261" s="497"/>
      <c r="J261" s="497"/>
      <c r="K261" s="497"/>
      <c r="L261" s="497"/>
      <c r="M261" s="497"/>
      <c r="N261" s="497"/>
      <c r="O261" s="497"/>
      <c r="P261" s="497"/>
      <c r="Q261" s="497"/>
      <c r="R261" s="420"/>
    </row>
    <row r="262" spans="2:18">
      <c r="B262" s="610">
        <f t="shared" ref="B262:B269" si="98">B261+0.1</f>
        <v>13.1</v>
      </c>
      <c r="C262" s="437" t="s">
        <v>28</v>
      </c>
      <c r="D262" s="497"/>
      <c r="E262" s="497">
        <f t="shared" ref="E262:E269" si="99">E140+E150+E160+E170+E180+E190+E200+E210+E220+E230+E240+E250</f>
        <v>958.60129689999997</v>
      </c>
      <c r="F262" s="497"/>
      <c r="G262" s="497"/>
      <c r="H262" s="497">
        <f t="shared" ref="H262:H269" si="100">H140+H150+H160+H170+H180+H190+H200+H210+H220+H230+H240+H250</f>
        <v>821.65829689999998</v>
      </c>
      <c r="I262" s="497"/>
      <c r="J262" s="497"/>
      <c r="K262" s="497">
        <f t="shared" ref="K262:K269" si="101">K140+K150+K160+K170+K180+K190+K200+K210+K220+K230+K240+K250</f>
        <v>0</v>
      </c>
      <c r="L262" s="497"/>
      <c r="M262" s="497"/>
      <c r="N262" s="497">
        <f t="shared" ref="N262:N269" si="102">N140+N150+N160+N170+N180+N190+N200+N210+N220+N230+N240+N250</f>
        <v>0</v>
      </c>
      <c r="O262" s="497"/>
      <c r="P262" s="497"/>
      <c r="Q262" s="497">
        <f t="shared" ref="Q262:Q269" si="103">Q140+Q150+Q160+Q170+Q180+Q190+Q200+Q210+Q220+Q230+Q240+Q250</f>
        <v>0</v>
      </c>
      <c r="R262" s="420"/>
    </row>
    <row r="263" spans="2:18">
      <c r="B263" s="610">
        <f t="shared" si="98"/>
        <v>13.2</v>
      </c>
      <c r="C263" s="437" t="s">
        <v>400</v>
      </c>
      <c r="D263" s="497"/>
      <c r="E263" s="497">
        <f t="shared" si="99"/>
        <v>0</v>
      </c>
      <c r="F263" s="497"/>
      <c r="G263" s="497"/>
      <c r="H263" s="497">
        <f t="shared" si="100"/>
        <v>0</v>
      </c>
      <c r="I263" s="497"/>
      <c r="J263" s="497"/>
      <c r="K263" s="497">
        <f t="shared" si="101"/>
        <v>0</v>
      </c>
      <c r="L263" s="497"/>
      <c r="M263" s="497"/>
      <c r="N263" s="497">
        <f t="shared" si="102"/>
        <v>0</v>
      </c>
      <c r="O263" s="497"/>
      <c r="P263" s="497"/>
      <c r="Q263" s="497">
        <f t="shared" si="103"/>
        <v>0</v>
      </c>
      <c r="R263" s="420"/>
    </row>
    <row r="264" spans="2:18">
      <c r="B264" s="610">
        <f t="shared" si="98"/>
        <v>13.299999999999999</v>
      </c>
      <c r="C264" s="437" t="s">
        <v>342</v>
      </c>
      <c r="D264" s="497"/>
      <c r="E264" s="497">
        <f t="shared" si="99"/>
        <v>0</v>
      </c>
      <c r="F264" s="497"/>
      <c r="G264" s="497"/>
      <c r="H264" s="497">
        <f t="shared" si="100"/>
        <v>14.232575899999999</v>
      </c>
      <c r="I264" s="497"/>
      <c r="J264" s="497"/>
      <c r="K264" s="497">
        <f t="shared" si="101"/>
        <v>0</v>
      </c>
      <c r="L264" s="497"/>
      <c r="M264" s="497"/>
      <c r="N264" s="497">
        <f t="shared" si="102"/>
        <v>0</v>
      </c>
      <c r="O264" s="497"/>
      <c r="P264" s="497"/>
      <c r="Q264" s="497">
        <f t="shared" si="103"/>
        <v>0</v>
      </c>
      <c r="R264" s="420"/>
    </row>
    <row r="265" spans="2:18">
      <c r="B265" s="610">
        <f t="shared" si="98"/>
        <v>13.399999999999999</v>
      </c>
      <c r="C265" s="437" t="s">
        <v>29</v>
      </c>
      <c r="D265" s="497"/>
      <c r="E265" s="497">
        <f t="shared" si="99"/>
        <v>136.94299999999998</v>
      </c>
      <c r="F265" s="497"/>
      <c r="G265" s="497"/>
      <c r="H265" s="497">
        <f t="shared" si="100"/>
        <v>136.94303380399998</v>
      </c>
      <c r="I265" s="497"/>
      <c r="J265" s="497"/>
      <c r="K265" s="497">
        <f t="shared" si="101"/>
        <v>0</v>
      </c>
      <c r="L265" s="497"/>
      <c r="M265" s="497"/>
      <c r="N265" s="497">
        <f t="shared" si="102"/>
        <v>0</v>
      </c>
      <c r="O265" s="497"/>
      <c r="P265" s="497"/>
      <c r="Q265" s="497">
        <f t="shared" si="103"/>
        <v>0</v>
      </c>
      <c r="R265" s="420"/>
    </row>
    <row r="266" spans="2:18">
      <c r="B266" s="610">
        <f t="shared" si="98"/>
        <v>13.499999999999998</v>
      </c>
      <c r="C266" s="437" t="s">
        <v>30</v>
      </c>
      <c r="D266" s="497"/>
      <c r="E266" s="497">
        <f t="shared" si="99"/>
        <v>821.65829689999998</v>
      </c>
      <c r="F266" s="497"/>
      <c r="G266" s="497"/>
      <c r="H266" s="497">
        <f t="shared" si="100"/>
        <v>698.94783899599997</v>
      </c>
      <c r="I266" s="497"/>
      <c r="J266" s="497"/>
      <c r="K266" s="497">
        <f t="shared" si="101"/>
        <v>0</v>
      </c>
      <c r="L266" s="497"/>
      <c r="M266" s="497"/>
      <c r="N266" s="497">
        <f t="shared" si="102"/>
        <v>0</v>
      </c>
      <c r="O266" s="497"/>
      <c r="P266" s="497"/>
      <c r="Q266" s="497">
        <f t="shared" si="103"/>
        <v>0</v>
      </c>
      <c r="R266" s="420"/>
    </row>
    <row r="267" spans="2:18">
      <c r="B267" s="610">
        <f t="shared" si="98"/>
        <v>13.599999999999998</v>
      </c>
      <c r="C267" s="437" t="s">
        <v>472</v>
      </c>
      <c r="D267" s="497"/>
      <c r="E267" s="497">
        <f t="shared" si="99"/>
        <v>890.12979689999997</v>
      </c>
      <c r="F267" s="497"/>
      <c r="G267" s="497"/>
      <c r="H267" s="497">
        <f t="shared" si="100"/>
        <v>760.30306794800003</v>
      </c>
      <c r="I267" s="497"/>
      <c r="J267" s="497"/>
      <c r="K267" s="497">
        <f t="shared" si="101"/>
        <v>0</v>
      </c>
      <c r="L267" s="497"/>
      <c r="M267" s="497"/>
      <c r="N267" s="497">
        <f t="shared" si="102"/>
        <v>0</v>
      </c>
      <c r="O267" s="497"/>
      <c r="P267" s="497"/>
      <c r="Q267" s="497">
        <f t="shared" si="103"/>
        <v>0</v>
      </c>
      <c r="R267" s="420"/>
    </row>
    <row r="268" spans="2:18" s="606" customFormat="1">
      <c r="B268" s="614">
        <f t="shared" si="98"/>
        <v>13.699999999999998</v>
      </c>
      <c r="C268" s="602" t="s">
        <v>31</v>
      </c>
      <c r="D268" s="605"/>
      <c r="E268" s="603">
        <f>IFERROR(E269/E267,0)</f>
        <v>0.10530767571926453</v>
      </c>
      <c r="F268" s="605"/>
      <c r="G268" s="605"/>
      <c r="H268" s="605">
        <f t="shared" si="100"/>
        <v>0.16953379232277133</v>
      </c>
      <c r="I268" s="605"/>
      <c r="J268" s="605"/>
      <c r="K268" s="605" t="e">
        <f t="shared" si="101"/>
        <v>#DIV/0!</v>
      </c>
      <c r="L268" s="605"/>
      <c r="M268" s="605"/>
      <c r="N268" s="605" t="e">
        <f t="shared" si="102"/>
        <v>#DIV/0!</v>
      </c>
      <c r="O268" s="605"/>
      <c r="P268" s="605"/>
      <c r="Q268" s="605" t="e">
        <f t="shared" si="103"/>
        <v>#DIV/0!</v>
      </c>
      <c r="R268" s="605"/>
    </row>
    <row r="269" spans="2:18">
      <c r="B269" s="610">
        <f t="shared" si="98"/>
        <v>13.799999999999997</v>
      </c>
      <c r="C269" s="437" t="s">
        <v>32</v>
      </c>
      <c r="D269" s="497"/>
      <c r="E269" s="497">
        <f t="shared" si="99"/>
        <v>93.737499999999997</v>
      </c>
      <c r="F269" s="497"/>
      <c r="G269" s="497"/>
      <c r="H269" s="497">
        <f t="shared" si="100"/>
        <v>75.959850549052064</v>
      </c>
      <c r="I269" s="497"/>
      <c r="J269" s="497"/>
      <c r="K269" s="497">
        <f t="shared" si="101"/>
        <v>0</v>
      </c>
      <c r="L269" s="497"/>
      <c r="M269" s="497"/>
      <c r="N269" s="497">
        <f t="shared" si="102"/>
        <v>0</v>
      </c>
      <c r="O269" s="497"/>
      <c r="P269" s="497"/>
      <c r="Q269" s="497">
        <f t="shared" si="103"/>
        <v>0</v>
      </c>
      <c r="R269" s="420"/>
    </row>
    <row r="270" spans="2:18">
      <c r="B270" s="610"/>
      <c r="C270" s="437"/>
      <c r="D270" s="497"/>
      <c r="E270" s="333"/>
      <c r="F270" s="497"/>
      <c r="G270" s="497"/>
      <c r="H270" s="497"/>
      <c r="I270" s="497"/>
      <c r="J270" s="497"/>
      <c r="K270" s="497"/>
      <c r="L270" s="497"/>
      <c r="M270" s="497"/>
      <c r="N270" s="497"/>
      <c r="O270" s="497"/>
      <c r="P270" s="497"/>
      <c r="Q270" s="497"/>
      <c r="R270" s="420"/>
    </row>
    <row r="271" spans="2:18">
      <c r="B271" s="610"/>
      <c r="C271" s="437"/>
      <c r="D271" s="497"/>
      <c r="E271" s="497"/>
      <c r="F271" s="497"/>
      <c r="G271" s="497"/>
      <c r="H271" s="497"/>
      <c r="I271" s="497"/>
      <c r="J271" s="497"/>
      <c r="K271" s="497"/>
      <c r="L271" s="497"/>
      <c r="M271" s="497"/>
      <c r="N271" s="497"/>
      <c r="O271" s="497"/>
      <c r="P271" s="497"/>
      <c r="Q271" s="497"/>
      <c r="R271" s="420"/>
    </row>
    <row r="272" spans="2:18">
      <c r="B272" s="610">
        <v>14</v>
      </c>
      <c r="C272" s="438" t="s">
        <v>33</v>
      </c>
      <c r="D272" s="497"/>
      <c r="E272" s="497">
        <f>E269</f>
        <v>93.737499999999997</v>
      </c>
      <c r="F272" s="497"/>
      <c r="G272" s="497"/>
      <c r="H272" s="497">
        <f>H269</f>
        <v>75.959850549052064</v>
      </c>
      <c r="I272" s="497"/>
      <c r="J272" s="497"/>
      <c r="K272" s="497">
        <f>K269</f>
        <v>0</v>
      </c>
      <c r="L272" s="497"/>
      <c r="M272" s="497"/>
      <c r="N272" s="497">
        <f>N269</f>
        <v>0</v>
      </c>
      <c r="O272" s="497"/>
      <c r="P272" s="497"/>
      <c r="Q272" s="497">
        <f>Q269</f>
        <v>0</v>
      </c>
      <c r="R272" s="420"/>
    </row>
    <row r="273" spans="2:18">
      <c r="B273" s="610">
        <v>15</v>
      </c>
      <c r="C273" s="439" t="s">
        <v>34</v>
      </c>
      <c r="D273" s="497"/>
      <c r="E273" s="497"/>
      <c r="F273" s="497"/>
      <c r="G273" s="497"/>
      <c r="H273" s="497"/>
      <c r="I273" s="497"/>
      <c r="J273" s="497"/>
      <c r="K273" s="497"/>
      <c r="L273" s="497"/>
      <c r="M273" s="497"/>
      <c r="N273" s="497"/>
      <c r="O273" s="497"/>
      <c r="P273" s="497"/>
      <c r="Q273" s="497"/>
      <c r="R273" s="420"/>
    </row>
    <row r="274" spans="2:18">
      <c r="B274" s="615">
        <v>16</v>
      </c>
      <c r="C274" s="440" t="s">
        <v>35</v>
      </c>
      <c r="D274" s="497"/>
      <c r="E274" s="497">
        <f>E272-E273</f>
        <v>93.737499999999997</v>
      </c>
      <c r="F274" s="497"/>
      <c r="G274" s="497"/>
      <c r="H274" s="497">
        <f>H272-H273</f>
        <v>75.959850549052064</v>
      </c>
      <c r="I274" s="497"/>
      <c r="J274" s="497"/>
      <c r="K274" s="497">
        <f>K272-K273</f>
        <v>0</v>
      </c>
      <c r="L274" s="497"/>
      <c r="M274" s="497"/>
      <c r="N274" s="497">
        <f>N272-N273</f>
        <v>0</v>
      </c>
      <c r="O274" s="497"/>
      <c r="P274" s="497"/>
      <c r="Q274" s="497">
        <f>Q272-Q273</f>
        <v>0</v>
      </c>
      <c r="R274" s="420"/>
    </row>
    <row r="277" spans="2:18" ht="17.5">
      <c r="C277" s="716" t="s">
        <v>816</v>
      </c>
      <c r="D277" s="444"/>
      <c r="E277" s="444"/>
      <c r="F277" s="444"/>
      <c r="G277" s="444"/>
    </row>
    <row r="278" spans="2:18">
      <c r="B278" s="617"/>
      <c r="M278" s="21" t="s">
        <v>10</v>
      </c>
    </row>
    <row r="279" spans="2:18" ht="21.65" customHeight="1">
      <c r="B279" s="1953" t="s">
        <v>340</v>
      </c>
      <c r="C279" s="1950" t="s">
        <v>25</v>
      </c>
      <c r="D279" s="1880" t="s">
        <v>508</v>
      </c>
      <c r="E279" s="1881"/>
      <c r="F279" s="1882"/>
      <c r="G279" s="1880" t="s">
        <v>509</v>
      </c>
      <c r="H279" s="1881"/>
      <c r="I279" s="1882"/>
      <c r="J279" s="1880" t="s">
        <v>510</v>
      </c>
      <c r="K279" s="1881"/>
      <c r="L279" s="1882"/>
      <c r="M279" s="1775" t="s">
        <v>957</v>
      </c>
      <c r="N279" s="1775"/>
      <c r="O279" s="1775"/>
      <c r="P279" s="1775"/>
      <c r="Q279" s="1775"/>
      <c r="R279" s="1785" t="s">
        <v>26</v>
      </c>
    </row>
    <row r="280" spans="2:18" ht="43.5" customHeight="1">
      <c r="B280" s="1954"/>
      <c r="C280" s="1951"/>
      <c r="D280" s="306" t="s">
        <v>956</v>
      </c>
      <c r="E280" s="883" t="s">
        <v>78</v>
      </c>
      <c r="F280" s="883" t="s">
        <v>451</v>
      </c>
      <c r="G280" s="306" t="s">
        <v>956</v>
      </c>
      <c r="H280" s="883" t="s">
        <v>78</v>
      </c>
      <c r="I280" s="883" t="s">
        <v>451</v>
      </c>
      <c r="J280" s="883" t="s">
        <v>956</v>
      </c>
      <c r="K280" s="883" t="s">
        <v>79</v>
      </c>
      <c r="L280" s="883" t="s">
        <v>452</v>
      </c>
      <c r="M280" s="882" t="s">
        <v>958</v>
      </c>
      <c r="N280" s="882" t="s">
        <v>959</v>
      </c>
      <c r="O280" s="882" t="s">
        <v>960</v>
      </c>
      <c r="P280" s="882" t="s">
        <v>961</v>
      </c>
      <c r="Q280" s="882" t="s">
        <v>962</v>
      </c>
      <c r="R280" s="1785"/>
    </row>
    <row r="281" spans="2:18">
      <c r="B281" s="1955"/>
      <c r="C281" s="1952"/>
      <c r="D281" s="883" t="s">
        <v>80</v>
      </c>
      <c r="E281" s="883" t="s">
        <v>81</v>
      </c>
      <c r="F281" s="883" t="s">
        <v>676</v>
      </c>
      <c r="G281" s="883" t="s">
        <v>391</v>
      </c>
      <c r="H281" s="883" t="s">
        <v>409</v>
      </c>
      <c r="I281" s="883" t="s">
        <v>456</v>
      </c>
      <c r="J281" s="883" t="s">
        <v>410</v>
      </c>
      <c r="K281" s="883" t="s">
        <v>411</v>
      </c>
      <c r="L281" s="883" t="s">
        <v>512</v>
      </c>
      <c r="M281" s="881" t="s">
        <v>21</v>
      </c>
      <c r="N281" s="881" t="s">
        <v>21</v>
      </c>
      <c r="O281" s="881" t="s">
        <v>21</v>
      </c>
      <c r="P281" s="881" t="s">
        <v>21</v>
      </c>
      <c r="Q281" s="881" t="s">
        <v>21</v>
      </c>
      <c r="R281" s="1786"/>
    </row>
    <row r="282" spans="2:18">
      <c r="B282" s="610"/>
      <c r="C282" s="448"/>
      <c r="D282" s="438"/>
      <c r="E282" s="438"/>
      <c r="F282" s="438"/>
      <c r="G282" s="438"/>
      <c r="H282" s="448"/>
      <c r="I282" s="448"/>
      <c r="J282" s="24"/>
      <c r="K282" s="119"/>
      <c r="L282" s="24"/>
      <c r="M282" s="24"/>
      <c r="N282" s="24"/>
      <c r="O282" s="24"/>
      <c r="P282" s="24"/>
      <c r="Q282" s="24"/>
      <c r="R282" s="24"/>
    </row>
    <row r="283" spans="2:18" ht="15" customHeight="1">
      <c r="B283" s="612">
        <v>1</v>
      </c>
      <c r="C283" s="438" t="s">
        <v>422</v>
      </c>
      <c r="D283" s="449"/>
      <c r="E283" s="449"/>
      <c r="F283" s="449"/>
      <c r="G283" s="449"/>
      <c r="H283" s="449"/>
      <c r="I283" s="449"/>
      <c r="J283" s="421"/>
      <c r="K283" s="421"/>
      <c r="L283" s="421"/>
      <c r="M283" s="421"/>
      <c r="N283" s="421"/>
      <c r="O283" s="421"/>
      <c r="P283" s="421"/>
      <c r="Q283" s="421"/>
      <c r="R283" s="421"/>
    </row>
    <row r="284" spans="2:18" ht="15" customHeight="1">
      <c r="B284" s="610">
        <v>1.1000000000000001</v>
      </c>
      <c r="C284" s="437" t="s">
        <v>28</v>
      </c>
      <c r="D284" s="449"/>
      <c r="E284" s="449"/>
      <c r="F284" s="449"/>
      <c r="G284" s="449"/>
      <c r="H284" s="449"/>
      <c r="I284" s="449"/>
      <c r="J284" s="421"/>
      <c r="K284" s="421"/>
      <c r="L284" s="421"/>
      <c r="M284" s="421"/>
      <c r="N284" s="421"/>
      <c r="O284" s="421"/>
      <c r="P284" s="421"/>
      <c r="Q284" s="421"/>
      <c r="R284" s="421"/>
    </row>
    <row r="285" spans="2:18" ht="15" customHeight="1">
      <c r="B285" s="610">
        <f t="shared" ref="B285:B291" si="104">B284+0.1</f>
        <v>1.2000000000000002</v>
      </c>
      <c r="C285" s="437" t="s">
        <v>400</v>
      </c>
      <c r="D285" s="449"/>
      <c r="E285" s="449"/>
      <c r="F285" s="449"/>
      <c r="G285" s="449"/>
      <c r="H285" s="449"/>
      <c r="I285" s="449"/>
      <c r="J285" s="421"/>
      <c r="K285" s="421"/>
      <c r="L285" s="421"/>
      <c r="M285" s="421"/>
      <c r="N285" s="421"/>
      <c r="O285" s="421"/>
      <c r="P285" s="421"/>
      <c r="Q285" s="421"/>
      <c r="R285" s="421"/>
    </row>
    <row r="286" spans="2:18" ht="15" customHeight="1">
      <c r="B286" s="610">
        <f t="shared" si="104"/>
        <v>1.3000000000000003</v>
      </c>
      <c r="C286" s="437" t="s">
        <v>342</v>
      </c>
      <c r="D286" s="449"/>
      <c r="E286" s="449"/>
      <c r="F286" s="449"/>
      <c r="G286" s="449"/>
      <c r="H286" s="449"/>
      <c r="I286" s="449"/>
      <c r="J286" s="421"/>
      <c r="K286" s="421"/>
      <c r="L286" s="421"/>
      <c r="M286" s="421"/>
      <c r="N286" s="421"/>
      <c r="O286" s="421"/>
      <c r="P286" s="421"/>
      <c r="Q286" s="421"/>
      <c r="R286" s="421"/>
    </row>
    <row r="287" spans="2:18" ht="15" customHeight="1">
      <c r="B287" s="610">
        <f t="shared" si="104"/>
        <v>1.4000000000000004</v>
      </c>
      <c r="C287" s="437" t="s">
        <v>29</v>
      </c>
      <c r="D287" s="449"/>
      <c r="E287" s="449"/>
      <c r="F287" s="449"/>
      <c r="G287" s="449"/>
      <c r="H287" s="449"/>
      <c r="I287" s="449"/>
      <c r="J287" s="421"/>
      <c r="K287" s="421"/>
      <c r="L287" s="421"/>
      <c r="M287" s="421"/>
      <c r="N287" s="421"/>
      <c r="O287" s="421"/>
      <c r="P287" s="421"/>
      <c r="Q287" s="421"/>
      <c r="R287" s="421"/>
    </row>
    <row r="288" spans="2:18" ht="15" customHeight="1">
      <c r="B288" s="610">
        <f t="shared" si="104"/>
        <v>1.5000000000000004</v>
      </c>
      <c r="C288" s="437" t="s">
        <v>30</v>
      </c>
      <c r="D288" s="449"/>
      <c r="E288" s="434">
        <f>+E284-E285+E286-E287</f>
        <v>0</v>
      </c>
      <c r="F288" s="434"/>
      <c r="G288" s="434"/>
      <c r="H288" s="434">
        <f>+H284-H285+H286-H287</f>
        <v>0</v>
      </c>
      <c r="I288" s="434"/>
      <c r="J288" s="422"/>
      <c r="K288" s="422">
        <f>+K284-K285+K286-K287</f>
        <v>0</v>
      </c>
      <c r="L288" s="422"/>
      <c r="M288" s="422"/>
      <c r="N288" s="422">
        <f>+M284-M285+M286-M287</f>
        <v>0</v>
      </c>
      <c r="O288" s="422"/>
      <c r="P288" s="422"/>
      <c r="Q288" s="422">
        <f>+O284-O285+O286-O287</f>
        <v>0</v>
      </c>
      <c r="R288" s="422"/>
    </row>
    <row r="289" spans="2:18" ht="15" customHeight="1">
      <c r="B289" s="610">
        <f t="shared" si="104"/>
        <v>1.6000000000000005</v>
      </c>
      <c r="C289" s="437" t="s">
        <v>472</v>
      </c>
      <c r="D289" s="449"/>
      <c r="E289" s="817">
        <f>AVERAGE(E284,E288)</f>
        <v>0</v>
      </c>
      <c r="F289" s="434"/>
      <c r="G289" s="434"/>
      <c r="H289" s="434"/>
      <c r="I289" s="434"/>
      <c r="J289" s="422"/>
      <c r="K289" s="422"/>
      <c r="L289" s="422"/>
      <c r="M289" s="422"/>
      <c r="N289" s="422"/>
      <c r="O289" s="422"/>
      <c r="P289" s="422"/>
      <c r="Q289" s="422"/>
      <c r="R289" s="422"/>
    </row>
    <row r="290" spans="2:18" ht="15" customHeight="1">
      <c r="B290" s="610">
        <f t="shared" si="104"/>
        <v>1.7000000000000006</v>
      </c>
      <c r="C290" s="437" t="s">
        <v>31</v>
      </c>
      <c r="D290" s="449"/>
      <c r="E290" s="603">
        <f>IFERROR(E291/E289,0)</f>
        <v>0</v>
      </c>
      <c r="F290" s="434"/>
      <c r="G290" s="434"/>
      <c r="H290" s="434" t="e">
        <f>H291/H289</f>
        <v>#DIV/0!</v>
      </c>
      <c r="I290" s="434"/>
      <c r="J290" s="422"/>
      <c r="K290" s="422" t="e">
        <f>K291/K289</f>
        <v>#DIV/0!</v>
      </c>
      <c r="L290" s="422"/>
      <c r="M290" s="422"/>
      <c r="N290" s="422" t="e">
        <f>M291/N289</f>
        <v>#DIV/0!</v>
      </c>
      <c r="O290" s="422"/>
      <c r="P290" s="422"/>
      <c r="Q290" s="422" t="e">
        <f>O291/Q289</f>
        <v>#DIV/0!</v>
      </c>
      <c r="R290" s="422"/>
    </row>
    <row r="291" spans="2:18" ht="15" customHeight="1">
      <c r="B291" s="610">
        <f t="shared" si="104"/>
        <v>1.8000000000000007</v>
      </c>
      <c r="C291" s="437" t="s">
        <v>32</v>
      </c>
      <c r="D291" s="449"/>
      <c r="E291" s="449"/>
      <c r="F291" s="449"/>
      <c r="G291" s="449"/>
      <c r="H291" s="449"/>
      <c r="I291" s="449"/>
      <c r="J291" s="421"/>
      <c r="K291" s="421"/>
      <c r="L291" s="421"/>
      <c r="M291" s="421"/>
      <c r="N291" s="421"/>
      <c r="O291" s="421"/>
      <c r="P291" s="421"/>
      <c r="Q291" s="421"/>
      <c r="R291" s="421"/>
    </row>
    <row r="292" spans="2:18" ht="15" customHeight="1">
      <c r="B292" s="610"/>
      <c r="C292" s="437"/>
      <c r="D292" s="449"/>
      <c r="E292" s="449"/>
      <c r="F292" s="449"/>
      <c r="G292" s="449"/>
      <c r="H292" s="449"/>
      <c r="I292" s="449"/>
      <c r="J292" s="421"/>
      <c r="K292" s="421"/>
      <c r="L292" s="421"/>
      <c r="M292" s="421"/>
      <c r="N292" s="421"/>
      <c r="O292" s="421"/>
      <c r="P292" s="421"/>
      <c r="Q292" s="421"/>
      <c r="R292" s="421"/>
    </row>
    <row r="293" spans="2:18" ht="15" customHeight="1">
      <c r="B293" s="612">
        <v>2</v>
      </c>
      <c r="C293" s="438" t="s">
        <v>421</v>
      </c>
      <c r="D293" s="449"/>
      <c r="E293" s="449"/>
      <c r="F293" s="449"/>
      <c r="G293" s="449"/>
      <c r="H293" s="449"/>
      <c r="I293" s="449"/>
      <c r="J293" s="421"/>
      <c r="K293" s="421"/>
      <c r="L293" s="421"/>
      <c r="M293" s="421"/>
      <c r="N293" s="421"/>
      <c r="O293" s="421"/>
      <c r="P293" s="421"/>
      <c r="Q293" s="421"/>
      <c r="R293" s="421"/>
    </row>
    <row r="294" spans="2:18" ht="15" customHeight="1">
      <c r="B294" s="610">
        <f t="shared" ref="B294:B301" si="105">B293+0.1</f>
        <v>2.1</v>
      </c>
      <c r="C294" s="437" t="s">
        <v>28</v>
      </c>
      <c r="D294" s="449"/>
      <c r="E294" s="449"/>
      <c r="F294" s="449"/>
      <c r="G294" s="449"/>
      <c r="H294" s="449"/>
      <c r="I294" s="449"/>
      <c r="J294" s="421"/>
      <c r="K294" s="421"/>
      <c r="L294" s="421"/>
      <c r="M294" s="421"/>
      <c r="N294" s="421"/>
      <c r="O294" s="421"/>
      <c r="P294" s="421"/>
      <c r="Q294" s="421"/>
      <c r="R294" s="421"/>
    </row>
    <row r="295" spans="2:18" ht="15" customHeight="1">
      <c r="B295" s="610">
        <f t="shared" si="105"/>
        <v>2.2000000000000002</v>
      </c>
      <c r="C295" s="437" t="s">
        <v>400</v>
      </c>
      <c r="D295" s="449"/>
      <c r="E295" s="449"/>
      <c r="F295" s="449"/>
      <c r="G295" s="449"/>
      <c r="H295" s="449"/>
      <c r="I295" s="449"/>
      <c r="J295" s="421"/>
      <c r="K295" s="421"/>
      <c r="L295" s="421"/>
      <c r="M295" s="421"/>
      <c r="N295" s="421"/>
      <c r="O295" s="421"/>
      <c r="P295" s="421"/>
      <c r="Q295" s="421"/>
      <c r="R295" s="421"/>
    </row>
    <row r="296" spans="2:18" ht="15" customHeight="1">
      <c r="B296" s="610">
        <f t="shared" si="105"/>
        <v>2.3000000000000003</v>
      </c>
      <c r="C296" s="437" t="s">
        <v>342</v>
      </c>
      <c r="D296" s="449"/>
      <c r="E296" s="449"/>
      <c r="F296" s="449"/>
      <c r="G296" s="449"/>
      <c r="H296" s="449"/>
      <c r="I296" s="449"/>
      <c r="J296" s="421"/>
      <c r="K296" s="421"/>
      <c r="L296" s="421"/>
      <c r="M296" s="421"/>
      <c r="N296" s="421"/>
      <c r="O296" s="421"/>
      <c r="P296" s="421"/>
      <c r="Q296" s="421"/>
      <c r="R296" s="421"/>
    </row>
    <row r="297" spans="2:18" ht="15" customHeight="1">
      <c r="B297" s="610">
        <f t="shared" si="105"/>
        <v>2.4000000000000004</v>
      </c>
      <c r="C297" s="437" t="s">
        <v>29</v>
      </c>
      <c r="D297" s="449"/>
      <c r="E297" s="449"/>
      <c r="F297" s="449"/>
      <c r="G297" s="449"/>
      <c r="H297" s="449"/>
      <c r="I297" s="449"/>
      <c r="J297" s="421"/>
      <c r="K297" s="421"/>
      <c r="L297" s="421"/>
      <c r="M297" s="421"/>
      <c r="N297" s="421"/>
      <c r="O297" s="421"/>
      <c r="P297" s="421"/>
      <c r="Q297" s="421"/>
      <c r="R297" s="421"/>
    </row>
    <row r="298" spans="2:18" ht="15" customHeight="1">
      <c r="B298" s="610">
        <f t="shared" si="105"/>
        <v>2.5000000000000004</v>
      </c>
      <c r="C298" s="437" t="s">
        <v>30</v>
      </c>
      <c r="D298" s="449"/>
      <c r="E298" s="434">
        <f>+E294-E295+E296-E297</f>
        <v>0</v>
      </c>
      <c r="F298" s="434"/>
      <c r="G298" s="434"/>
      <c r="H298" s="434">
        <f>+H294-H295+H296-H297</f>
        <v>0</v>
      </c>
      <c r="I298" s="434"/>
      <c r="J298" s="422"/>
      <c r="K298" s="422">
        <f>+K294-K295+K296-K297</f>
        <v>0</v>
      </c>
      <c r="L298" s="422"/>
      <c r="M298" s="422"/>
      <c r="N298" s="422">
        <f>+M294-M295+M296-M297</f>
        <v>0</v>
      </c>
      <c r="O298" s="422"/>
      <c r="P298" s="422"/>
      <c r="Q298" s="422">
        <f>+O294-O295+O296-O297</f>
        <v>0</v>
      </c>
      <c r="R298" s="422"/>
    </row>
    <row r="299" spans="2:18" ht="15" customHeight="1">
      <c r="B299" s="610">
        <f t="shared" si="105"/>
        <v>2.6000000000000005</v>
      </c>
      <c r="C299" s="437" t="s">
        <v>472</v>
      </c>
      <c r="D299" s="449"/>
      <c r="E299" s="817">
        <f>AVERAGE(E294,E298)</f>
        <v>0</v>
      </c>
      <c r="F299" s="434"/>
      <c r="G299" s="434"/>
      <c r="H299" s="434"/>
      <c r="I299" s="434"/>
      <c r="J299" s="422"/>
      <c r="K299" s="422"/>
      <c r="L299" s="422"/>
      <c r="M299" s="422"/>
      <c r="N299" s="422"/>
      <c r="O299" s="422"/>
      <c r="P299" s="422"/>
      <c r="Q299" s="422"/>
      <c r="R299" s="422"/>
    </row>
    <row r="300" spans="2:18" ht="15" customHeight="1">
      <c r="B300" s="610">
        <f t="shared" si="105"/>
        <v>2.7000000000000006</v>
      </c>
      <c r="C300" s="437" t="s">
        <v>31</v>
      </c>
      <c r="D300" s="449"/>
      <c r="E300" s="603">
        <f>IFERROR(E301/E299,0)</f>
        <v>0</v>
      </c>
      <c r="F300" s="434"/>
      <c r="G300" s="434"/>
      <c r="H300" s="434" t="e">
        <f>H301/H299</f>
        <v>#DIV/0!</v>
      </c>
      <c r="I300" s="434"/>
      <c r="J300" s="422"/>
      <c r="K300" s="422" t="e">
        <f>K301/K299</f>
        <v>#DIV/0!</v>
      </c>
      <c r="L300" s="422"/>
      <c r="M300" s="422"/>
      <c r="N300" s="422" t="e">
        <f>M301/N299</f>
        <v>#DIV/0!</v>
      </c>
      <c r="O300" s="422"/>
      <c r="P300" s="422"/>
      <c r="Q300" s="422" t="e">
        <f>O301/Q299</f>
        <v>#DIV/0!</v>
      </c>
      <c r="R300" s="422"/>
    </row>
    <row r="301" spans="2:18" ht="15" customHeight="1">
      <c r="B301" s="610">
        <f t="shared" si="105"/>
        <v>2.8000000000000007</v>
      </c>
      <c r="C301" s="437" t="s">
        <v>32</v>
      </c>
      <c r="D301" s="449"/>
      <c r="E301" s="449"/>
      <c r="F301" s="449"/>
      <c r="G301" s="449"/>
      <c r="H301" s="449"/>
      <c r="I301" s="449"/>
      <c r="J301" s="421"/>
      <c r="K301" s="421"/>
      <c r="L301" s="421"/>
      <c r="M301" s="421"/>
      <c r="N301" s="421"/>
      <c r="O301" s="421"/>
      <c r="P301" s="421"/>
      <c r="Q301" s="421"/>
      <c r="R301" s="421"/>
    </row>
    <row r="302" spans="2:18" ht="15" customHeight="1">
      <c r="B302" s="610"/>
      <c r="C302" s="437"/>
      <c r="D302" s="449"/>
      <c r="E302" s="449"/>
      <c r="F302" s="449"/>
      <c r="G302" s="449"/>
      <c r="H302" s="449"/>
      <c r="I302" s="449"/>
      <c r="J302" s="421"/>
      <c r="K302" s="421"/>
      <c r="L302" s="421"/>
      <c r="M302" s="421"/>
      <c r="N302" s="421"/>
      <c r="O302" s="421"/>
      <c r="P302" s="421"/>
      <c r="Q302" s="421"/>
      <c r="R302" s="421"/>
    </row>
    <row r="303" spans="2:18" ht="15" customHeight="1">
      <c r="B303" s="612">
        <v>3</v>
      </c>
      <c r="C303" s="438" t="s">
        <v>488</v>
      </c>
      <c r="D303" s="449"/>
      <c r="E303" s="449"/>
      <c r="F303" s="449"/>
      <c r="G303" s="449"/>
      <c r="H303" s="449"/>
      <c r="I303" s="449"/>
      <c r="J303" s="421"/>
      <c r="K303" s="421"/>
      <c r="L303" s="421"/>
      <c r="M303" s="421"/>
      <c r="N303" s="421"/>
      <c r="O303" s="421"/>
      <c r="P303" s="421"/>
      <c r="Q303" s="421"/>
      <c r="R303" s="421"/>
    </row>
    <row r="304" spans="2:18" ht="15" customHeight="1">
      <c r="B304" s="610"/>
      <c r="C304" s="437" t="s">
        <v>23</v>
      </c>
      <c r="D304" s="449"/>
      <c r="E304" s="449"/>
      <c r="F304" s="449"/>
      <c r="G304" s="449"/>
      <c r="H304" s="449"/>
      <c r="I304" s="449"/>
      <c r="J304" s="421"/>
      <c r="K304" s="421"/>
      <c r="L304" s="421"/>
      <c r="M304" s="421"/>
      <c r="N304" s="421"/>
      <c r="O304" s="421"/>
      <c r="P304" s="421"/>
      <c r="Q304" s="421"/>
      <c r="R304" s="421"/>
    </row>
    <row r="305" spans="2:18" ht="15" customHeight="1">
      <c r="B305" s="610"/>
      <c r="C305" s="437" t="s">
        <v>23</v>
      </c>
      <c r="D305" s="449"/>
      <c r="E305" s="449"/>
      <c r="F305" s="449"/>
      <c r="G305" s="449"/>
      <c r="H305" s="449"/>
      <c r="I305" s="449"/>
      <c r="J305" s="421"/>
      <c r="K305" s="421"/>
      <c r="L305" s="421"/>
      <c r="M305" s="421"/>
      <c r="N305" s="421"/>
      <c r="O305" s="421"/>
      <c r="P305" s="421"/>
      <c r="Q305" s="421"/>
      <c r="R305" s="421"/>
    </row>
    <row r="306" spans="2:18" ht="15" customHeight="1">
      <c r="B306" s="610"/>
      <c r="C306" s="437" t="s">
        <v>23</v>
      </c>
      <c r="D306" s="449"/>
      <c r="E306" s="449"/>
      <c r="F306" s="449"/>
      <c r="G306" s="449"/>
      <c r="H306" s="449"/>
      <c r="I306" s="449"/>
      <c r="J306" s="421"/>
      <c r="K306" s="421"/>
      <c r="L306" s="421"/>
      <c r="M306" s="421"/>
      <c r="N306" s="421"/>
      <c r="O306" s="421"/>
      <c r="P306" s="421"/>
      <c r="Q306" s="421"/>
      <c r="R306" s="421"/>
    </row>
    <row r="307" spans="2:18" ht="15" customHeight="1">
      <c r="B307" s="610"/>
      <c r="C307" s="437"/>
      <c r="D307" s="449"/>
      <c r="E307" s="449"/>
      <c r="F307" s="449"/>
      <c r="G307" s="449"/>
      <c r="H307" s="449"/>
      <c r="I307" s="449"/>
      <c r="J307" s="421"/>
      <c r="K307" s="421"/>
      <c r="L307" s="421"/>
      <c r="M307" s="421"/>
      <c r="N307" s="421"/>
      <c r="O307" s="421"/>
      <c r="P307" s="421"/>
      <c r="Q307" s="421"/>
      <c r="R307" s="421"/>
    </row>
    <row r="308" spans="2:18" ht="15" customHeight="1">
      <c r="B308" s="612">
        <v>10</v>
      </c>
      <c r="C308" s="438" t="s">
        <v>271</v>
      </c>
      <c r="D308" s="449"/>
      <c r="E308" s="449"/>
      <c r="F308" s="449"/>
      <c r="G308" s="449"/>
      <c r="H308" s="449"/>
      <c r="I308" s="449"/>
      <c r="J308" s="421"/>
      <c r="K308" s="421"/>
      <c r="L308" s="421"/>
      <c r="M308" s="421"/>
      <c r="N308" s="421"/>
      <c r="O308" s="421"/>
      <c r="P308" s="421"/>
      <c r="Q308" s="421"/>
      <c r="R308" s="421"/>
    </row>
    <row r="309" spans="2:18" ht="15" customHeight="1">
      <c r="B309" s="610">
        <f t="shared" ref="B309:B316" si="106">B308+0.1</f>
        <v>10.1</v>
      </c>
      <c r="C309" s="437" t="s">
        <v>28</v>
      </c>
      <c r="D309" s="449"/>
      <c r="E309" s="449"/>
      <c r="F309" s="449"/>
      <c r="G309" s="449"/>
      <c r="H309" s="449"/>
      <c r="I309" s="449"/>
      <c r="J309" s="421"/>
      <c r="K309" s="421"/>
      <c r="L309" s="421"/>
      <c r="M309" s="421"/>
      <c r="N309" s="421"/>
      <c r="O309" s="421"/>
      <c r="P309" s="421"/>
      <c r="Q309" s="421"/>
      <c r="R309" s="421"/>
    </row>
    <row r="310" spans="2:18" ht="15" customHeight="1">
      <c r="B310" s="610">
        <f t="shared" si="106"/>
        <v>10.199999999999999</v>
      </c>
      <c r="C310" s="437" t="s">
        <v>400</v>
      </c>
      <c r="D310" s="449"/>
      <c r="E310" s="449"/>
      <c r="F310" s="449"/>
      <c r="G310" s="449"/>
      <c r="H310" s="449"/>
      <c r="I310" s="449"/>
      <c r="J310" s="421"/>
      <c r="K310" s="421"/>
      <c r="L310" s="421"/>
      <c r="M310" s="421"/>
      <c r="N310" s="421"/>
      <c r="O310" s="421"/>
      <c r="P310" s="421"/>
      <c r="Q310" s="421"/>
      <c r="R310" s="421"/>
    </row>
    <row r="311" spans="2:18" ht="15" customHeight="1">
      <c r="B311" s="610">
        <f t="shared" si="106"/>
        <v>10.299999999999999</v>
      </c>
      <c r="C311" s="437" t="s">
        <v>342</v>
      </c>
      <c r="D311" s="449"/>
      <c r="E311" s="449"/>
      <c r="F311" s="449"/>
      <c r="G311" s="449"/>
      <c r="H311" s="449"/>
      <c r="I311" s="449"/>
      <c r="J311" s="421"/>
      <c r="K311" s="421"/>
      <c r="L311" s="421"/>
      <c r="M311" s="421"/>
      <c r="N311" s="421"/>
      <c r="O311" s="421"/>
      <c r="P311" s="421"/>
      <c r="Q311" s="421"/>
      <c r="R311" s="421"/>
    </row>
    <row r="312" spans="2:18" ht="15" customHeight="1">
      <c r="B312" s="610">
        <f t="shared" si="106"/>
        <v>10.399999999999999</v>
      </c>
      <c r="C312" s="437" t="s">
        <v>29</v>
      </c>
      <c r="D312" s="449"/>
      <c r="E312" s="449"/>
      <c r="F312" s="449"/>
      <c r="G312" s="449"/>
      <c r="H312" s="449"/>
      <c r="I312" s="449"/>
      <c r="J312" s="421"/>
      <c r="K312" s="421"/>
      <c r="L312" s="421"/>
      <c r="M312" s="421"/>
      <c r="N312" s="421"/>
      <c r="O312" s="421"/>
      <c r="P312" s="421"/>
      <c r="Q312" s="421"/>
      <c r="R312" s="421"/>
    </row>
    <row r="313" spans="2:18" ht="15" customHeight="1">
      <c r="B313" s="610">
        <f t="shared" si="106"/>
        <v>10.499999999999998</v>
      </c>
      <c r="C313" s="437" t="s">
        <v>30</v>
      </c>
      <c r="D313" s="449"/>
      <c r="E313" s="449"/>
      <c r="F313" s="449"/>
      <c r="G313" s="449"/>
      <c r="H313" s="449"/>
      <c r="I313" s="449"/>
      <c r="J313" s="421"/>
      <c r="K313" s="421"/>
      <c r="L313" s="421"/>
      <c r="M313" s="421"/>
      <c r="N313" s="421"/>
      <c r="O313" s="421"/>
      <c r="P313" s="421"/>
      <c r="Q313" s="421"/>
      <c r="R313" s="421"/>
    </row>
    <row r="314" spans="2:18" ht="15" customHeight="1">
      <c r="B314" s="610">
        <f t="shared" si="106"/>
        <v>10.599999999999998</v>
      </c>
      <c r="C314" s="437" t="s">
        <v>472</v>
      </c>
      <c r="D314" s="449"/>
      <c r="E314" s="449"/>
      <c r="F314" s="449"/>
      <c r="G314" s="449"/>
      <c r="H314" s="449"/>
      <c r="I314" s="449"/>
      <c r="J314" s="421"/>
      <c r="K314" s="421"/>
      <c r="L314" s="421"/>
      <c r="M314" s="421"/>
      <c r="N314" s="421"/>
      <c r="O314" s="421"/>
      <c r="P314" s="421"/>
      <c r="Q314" s="421"/>
      <c r="R314" s="421"/>
    </row>
    <row r="315" spans="2:18" ht="15" customHeight="1">
      <c r="B315" s="610">
        <f t="shared" si="106"/>
        <v>10.699999999999998</v>
      </c>
      <c r="C315" s="437" t="s">
        <v>31</v>
      </c>
      <c r="D315" s="449"/>
      <c r="E315" s="603">
        <f>IFERROR(E316/E314,0)</f>
        <v>0</v>
      </c>
      <c r="F315" s="449"/>
      <c r="G315" s="449"/>
      <c r="H315" s="449"/>
      <c r="I315" s="449"/>
      <c r="J315" s="421"/>
      <c r="K315" s="421"/>
      <c r="L315" s="421"/>
      <c r="M315" s="421"/>
      <c r="N315" s="421"/>
      <c r="O315" s="421"/>
      <c r="P315" s="421"/>
      <c r="Q315" s="421"/>
      <c r="R315" s="421"/>
    </row>
    <row r="316" spans="2:18" ht="15" customHeight="1">
      <c r="B316" s="610">
        <f t="shared" si="106"/>
        <v>10.799999999999997</v>
      </c>
      <c r="C316" s="437" t="s">
        <v>32</v>
      </c>
      <c r="D316" s="449"/>
      <c r="E316" s="449"/>
      <c r="F316" s="449"/>
      <c r="G316" s="449"/>
      <c r="H316" s="449"/>
      <c r="I316" s="449"/>
      <c r="J316" s="421"/>
      <c r="K316" s="421"/>
      <c r="L316" s="421"/>
      <c r="M316" s="421"/>
      <c r="N316" s="421"/>
      <c r="O316" s="421"/>
      <c r="P316" s="421"/>
      <c r="Q316" s="421"/>
      <c r="R316" s="421"/>
    </row>
    <row r="317" spans="2:18" ht="15" customHeight="1">
      <c r="B317" s="610"/>
      <c r="C317" s="438"/>
      <c r="D317" s="449"/>
      <c r="E317" s="449"/>
      <c r="F317" s="449"/>
      <c r="G317" s="449"/>
      <c r="H317" s="449"/>
      <c r="I317" s="449"/>
      <c r="J317" s="421"/>
      <c r="K317" s="421"/>
      <c r="L317" s="421"/>
      <c r="M317" s="421"/>
      <c r="N317" s="421"/>
      <c r="O317" s="421"/>
      <c r="P317" s="421"/>
      <c r="Q317" s="421"/>
      <c r="R317" s="421"/>
    </row>
    <row r="318" spans="2:18" ht="15" customHeight="1">
      <c r="B318" s="610"/>
      <c r="C318" s="437"/>
      <c r="D318" s="449"/>
      <c r="E318" s="449"/>
      <c r="F318" s="449"/>
      <c r="G318" s="449"/>
      <c r="H318" s="449"/>
      <c r="I318" s="449"/>
      <c r="J318" s="421"/>
      <c r="K318" s="421"/>
      <c r="L318" s="421"/>
      <c r="M318" s="421"/>
      <c r="N318" s="421"/>
      <c r="O318" s="421"/>
      <c r="P318" s="421"/>
      <c r="Q318" s="421"/>
      <c r="R318" s="421"/>
    </row>
    <row r="319" spans="2:18" ht="15" customHeight="1">
      <c r="B319" s="610">
        <v>9</v>
      </c>
      <c r="C319" s="438" t="s">
        <v>33</v>
      </c>
      <c r="D319" s="449"/>
      <c r="E319" s="449"/>
      <c r="F319" s="449"/>
      <c r="G319" s="449"/>
      <c r="H319" s="449"/>
      <c r="I319" s="449"/>
      <c r="J319" s="421"/>
      <c r="K319" s="421"/>
      <c r="L319" s="421"/>
      <c r="M319" s="421"/>
      <c r="N319" s="421"/>
      <c r="O319" s="421"/>
      <c r="P319" s="421"/>
      <c r="Q319" s="421"/>
      <c r="R319" s="421"/>
    </row>
    <row r="320" spans="2:18" ht="15" customHeight="1">
      <c r="B320" s="610">
        <v>10</v>
      </c>
      <c r="C320" s="439" t="s">
        <v>34</v>
      </c>
      <c r="D320" s="449"/>
      <c r="E320" s="449"/>
      <c r="F320" s="449"/>
      <c r="G320" s="449"/>
      <c r="H320" s="449"/>
      <c r="I320" s="449"/>
      <c r="J320" s="421"/>
      <c r="K320" s="421"/>
      <c r="L320" s="421"/>
      <c r="M320" s="421"/>
      <c r="N320" s="421"/>
      <c r="O320" s="421"/>
      <c r="P320" s="421"/>
      <c r="Q320" s="421"/>
      <c r="R320" s="421"/>
    </row>
    <row r="321" spans="2:18" ht="15" customHeight="1">
      <c r="B321" s="612">
        <v>11</v>
      </c>
      <c r="C321" s="450" t="s">
        <v>35</v>
      </c>
      <c r="D321" s="449"/>
      <c r="E321" s="449"/>
      <c r="F321" s="449"/>
      <c r="G321" s="449"/>
      <c r="H321" s="449"/>
      <c r="I321" s="449"/>
      <c r="J321" s="421"/>
      <c r="K321" s="421"/>
      <c r="L321" s="421"/>
      <c r="M321" s="421"/>
      <c r="N321" s="421"/>
      <c r="O321" s="421"/>
      <c r="P321" s="421"/>
      <c r="Q321" s="421"/>
      <c r="R321" s="421"/>
    </row>
    <row r="322" spans="2:18">
      <c r="B322" s="610"/>
      <c r="C322" s="441"/>
      <c r="D322" s="441"/>
      <c r="E322" s="441"/>
      <c r="F322" s="441"/>
      <c r="G322" s="441"/>
      <c r="H322" s="448"/>
      <c r="I322" s="448"/>
      <c r="J322" s="24"/>
      <c r="K322" s="119"/>
      <c r="L322" s="24"/>
      <c r="M322" s="24"/>
      <c r="N322" s="24"/>
      <c r="O322" s="24"/>
      <c r="P322" s="24"/>
      <c r="Q322" s="24"/>
      <c r="R322" s="24"/>
    </row>
    <row r="324" spans="2:18">
      <c r="C324" s="1948" t="s">
        <v>143</v>
      </c>
      <c r="D324" s="1948"/>
      <c r="E324" s="1948"/>
      <c r="F324" s="1948"/>
      <c r="G324" s="1948"/>
    </row>
    <row r="325" spans="2:18">
      <c r="C325" s="435" t="s">
        <v>489</v>
      </c>
    </row>
  </sheetData>
  <mergeCells count="30">
    <mergeCell ref="B10:B11"/>
    <mergeCell ref="C10:C11"/>
    <mergeCell ref="B29:B30"/>
    <mergeCell ref="C279:C281"/>
    <mergeCell ref="B279:B281"/>
    <mergeCell ref="B136:B137"/>
    <mergeCell ref="C136:C137"/>
    <mergeCell ref="C324:G324"/>
    <mergeCell ref="C29:C30"/>
    <mergeCell ref="G10:I10"/>
    <mergeCell ref="G29:I29"/>
    <mergeCell ref="G279:I279"/>
    <mergeCell ref="C131:G131"/>
    <mergeCell ref="D136:F136"/>
    <mergeCell ref="G136:I136"/>
    <mergeCell ref="D10:F10"/>
    <mergeCell ref="D29:F29"/>
    <mergeCell ref="D279:F279"/>
    <mergeCell ref="J136:L136"/>
    <mergeCell ref="M29:Q29"/>
    <mergeCell ref="M136:Q136"/>
    <mergeCell ref="R279:R281"/>
    <mergeCell ref="R136:R138"/>
    <mergeCell ref="J279:L279"/>
    <mergeCell ref="M279:Q279"/>
    <mergeCell ref="R10:R12"/>
    <mergeCell ref="R29:R31"/>
    <mergeCell ref="J10:L10"/>
    <mergeCell ref="M10:Q10"/>
    <mergeCell ref="J29:L29"/>
  </mergeCells>
  <pageMargins left="1.02" right="0.25" top="1" bottom="1" header="0.25" footer="0.25"/>
  <pageSetup paperSize="9" scale="40" fitToHeight="0" orientation="landscape" r:id="rId1"/>
  <headerFooter alignWithMargins="0">
    <oddHeader>&amp;F</oddHeader>
  </headerFooter>
  <rowBreaks count="2" manualBreakCount="2">
    <brk id="26" max="17" man="1"/>
    <brk id="265" max="17"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B2:X65"/>
  <sheetViews>
    <sheetView showGridLines="0" zoomScale="75" zoomScaleNormal="75" workbookViewId="0">
      <pane xSplit="3" ySplit="9" topLeftCell="D10" activePane="bottomRight" state="frozen"/>
      <selection pane="topRight" activeCell="D1" sqref="D1"/>
      <selection pane="bottomLeft" activeCell="A10" sqref="A10"/>
      <selection pane="bottomRight" activeCell="E14" sqref="E14"/>
    </sheetView>
  </sheetViews>
  <sheetFormatPr defaultColWidth="9.36328125" defaultRowHeight="14"/>
  <cols>
    <col min="1" max="1" width="6.36328125" style="14" customWidth="1"/>
    <col min="2" max="2" width="8.36328125" style="14" customWidth="1"/>
    <col min="3" max="3" width="64" style="14" customWidth="1"/>
    <col min="4" max="7" width="19.36328125" style="14" customWidth="1"/>
    <col min="8" max="8" width="21.6328125" style="14" customWidth="1"/>
    <col min="9" max="10" width="20.6328125" style="14" customWidth="1"/>
    <col min="11" max="11" width="20.6328125" style="322" customWidth="1"/>
    <col min="12" max="20" width="16.6328125" style="14" customWidth="1"/>
    <col min="21" max="16384" width="9.36328125" style="14"/>
  </cols>
  <sheetData>
    <row r="2" spans="2:24">
      <c r="B2" s="1776" t="str">
        <f>Index!B2</f>
        <v xml:space="preserve">      Maharashtra State Power Generation Company Ltd.</v>
      </c>
      <c r="C2" s="1776"/>
      <c r="D2" s="1776"/>
      <c r="E2" s="1776"/>
      <c r="F2" s="1776"/>
      <c r="G2" s="1776"/>
      <c r="H2" s="1776"/>
      <c r="I2" s="1776"/>
      <c r="J2" s="1776"/>
      <c r="K2" s="1776"/>
      <c r="L2" s="1776"/>
      <c r="M2" s="1776"/>
      <c r="N2" s="1776"/>
    </row>
    <row r="3" spans="2:24" ht="15" customHeight="1">
      <c r="B3" s="1776" t="str">
        <f>Index!B3</f>
        <v>MYT Petition Formats for Parli 8</v>
      </c>
      <c r="C3" s="1776"/>
      <c r="D3" s="1776"/>
      <c r="E3" s="1776"/>
      <c r="F3" s="1776"/>
      <c r="G3" s="1776"/>
      <c r="H3" s="1776"/>
      <c r="I3" s="1776"/>
      <c r="J3" s="1776"/>
      <c r="K3" s="1776"/>
      <c r="L3" s="1776"/>
      <c r="M3" s="1776"/>
      <c r="N3" s="1776"/>
    </row>
    <row r="4" spans="2:24" ht="15">
      <c r="B4" s="1958" t="s">
        <v>1009</v>
      </c>
      <c r="C4" s="1958"/>
      <c r="D4" s="1958"/>
      <c r="E4" s="1958"/>
      <c r="F4" s="1958"/>
      <c r="G4" s="1958"/>
      <c r="H4" s="1958"/>
      <c r="I4" s="1958"/>
      <c r="J4" s="1958"/>
      <c r="K4" s="1958"/>
      <c r="L4" s="1958"/>
      <c r="M4" s="1958"/>
      <c r="N4" s="1958"/>
    </row>
    <row r="6" spans="2:24">
      <c r="K6" s="14"/>
      <c r="O6" s="22" t="s">
        <v>10</v>
      </c>
    </row>
    <row r="7" spans="2:24" ht="15" customHeight="1">
      <c r="B7" s="1778" t="s">
        <v>343</v>
      </c>
      <c r="C7" s="1778" t="s">
        <v>36</v>
      </c>
      <c r="D7" s="1880" t="s">
        <v>508</v>
      </c>
      <c r="E7" s="1881"/>
      <c r="F7" s="1882"/>
      <c r="G7" s="1880" t="s">
        <v>509</v>
      </c>
      <c r="H7" s="1881"/>
      <c r="I7" s="1882"/>
      <c r="J7" s="1880" t="s">
        <v>510</v>
      </c>
      <c r="K7" s="1881"/>
      <c r="L7" s="1882"/>
    </row>
    <row r="8" spans="2:24" ht="28">
      <c r="B8" s="1779"/>
      <c r="C8" s="1779"/>
      <c r="D8" s="306" t="s">
        <v>956</v>
      </c>
      <c r="E8" s="301" t="s">
        <v>78</v>
      </c>
      <c r="F8" s="301" t="s">
        <v>451</v>
      </c>
      <c r="G8" s="306" t="s">
        <v>956</v>
      </c>
      <c r="H8" s="752" t="s">
        <v>78</v>
      </c>
      <c r="I8" s="752" t="s">
        <v>451</v>
      </c>
      <c r="J8" s="301" t="s">
        <v>956</v>
      </c>
      <c r="K8" s="323" t="s">
        <v>79</v>
      </c>
      <c r="L8" s="301" t="s">
        <v>452</v>
      </c>
    </row>
    <row r="9" spans="2:24">
      <c r="B9" s="1807"/>
      <c r="C9" s="1807"/>
      <c r="D9" s="301" t="s">
        <v>80</v>
      </c>
      <c r="E9" s="301" t="s">
        <v>81</v>
      </c>
      <c r="F9" s="301" t="s">
        <v>676</v>
      </c>
      <c r="G9" s="752" t="s">
        <v>391</v>
      </c>
      <c r="H9" s="752" t="s">
        <v>409</v>
      </c>
      <c r="I9" s="752" t="s">
        <v>456</v>
      </c>
      <c r="J9" s="301" t="s">
        <v>410</v>
      </c>
      <c r="K9" s="323" t="s">
        <v>411</v>
      </c>
      <c r="L9" s="301" t="s">
        <v>716</v>
      </c>
    </row>
    <row r="10" spans="2:24">
      <c r="B10" s="103">
        <v>1</v>
      </c>
      <c r="C10" s="102" t="s">
        <v>602</v>
      </c>
      <c r="D10" s="326">
        <v>390.66139242451902</v>
      </c>
      <c r="E10" s="315">
        <v>390.95871186451905</v>
      </c>
      <c r="F10" s="313">
        <f>E10-D10</f>
        <v>0.29731944000002386</v>
      </c>
      <c r="G10" s="313">
        <f>D14</f>
        <v>421.75796895451901</v>
      </c>
      <c r="H10" s="315">
        <v>394.80091966261904</v>
      </c>
      <c r="I10" s="313"/>
      <c r="J10" s="313">
        <f>G14</f>
        <v>424.02896895451903</v>
      </c>
      <c r="K10" s="313">
        <f>H14</f>
        <v>418.45104571651905</v>
      </c>
      <c r="L10" s="313">
        <f>K10-J10</f>
        <v>-5.5779232379999826</v>
      </c>
      <c r="V10" s="333"/>
      <c r="W10" s="333"/>
      <c r="X10" s="333"/>
    </row>
    <row r="11" spans="2:24">
      <c r="B11" s="103">
        <f>B10+1</f>
        <v>2</v>
      </c>
      <c r="C11" s="102" t="s">
        <v>549</v>
      </c>
      <c r="D11" s="119"/>
      <c r="E11" s="24"/>
      <c r="F11" s="313">
        <f>E11-D11</f>
        <v>0</v>
      </c>
      <c r="G11" s="313"/>
      <c r="H11" s="313"/>
      <c r="I11" s="313"/>
      <c r="J11" s="313"/>
      <c r="K11" s="326"/>
      <c r="L11" s="313">
        <f>K11-J11</f>
        <v>0</v>
      </c>
      <c r="V11" s="333"/>
      <c r="W11" s="333"/>
      <c r="X11" s="333"/>
    </row>
    <row r="12" spans="2:24">
      <c r="B12" s="103">
        <f t="shared" ref="B12:B21" si="0">B11+1</f>
        <v>3</v>
      </c>
      <c r="C12" s="102" t="s">
        <v>603</v>
      </c>
      <c r="D12" s="345">
        <f>'F4'!D14*30%</f>
        <v>31.096576529999997</v>
      </c>
      <c r="E12" s="315">
        <f>'F4'!E14*30%</f>
        <v>3.8422077981</v>
      </c>
      <c r="F12" s="313">
        <f>E12-D12</f>
        <v>-27.254368731899998</v>
      </c>
      <c r="G12" s="313">
        <f>'F4'!G14*30%</f>
        <v>2.2709999999999999</v>
      </c>
      <c r="H12" s="313">
        <f>'F4'!H14*30%</f>
        <v>23.650126053899999</v>
      </c>
      <c r="I12" s="313"/>
      <c r="J12" s="326">
        <f>'F4'!J14*30%</f>
        <v>26.772000000000002</v>
      </c>
      <c r="K12" s="313">
        <f>'F4'!M14*30%</f>
        <v>5.133</v>
      </c>
      <c r="L12" s="313">
        <f>K12-J12</f>
        <v>-21.639000000000003</v>
      </c>
      <c r="V12" s="333"/>
      <c r="W12" s="333"/>
      <c r="X12" s="333"/>
    </row>
    <row r="13" spans="2:24">
      <c r="B13" s="254">
        <f t="shared" si="0"/>
        <v>4</v>
      </c>
      <c r="C13" s="29" t="s">
        <v>37</v>
      </c>
      <c r="D13" s="514"/>
      <c r="E13" s="825">
        <f>'F5'!F31*E10/'F5'!D31</f>
        <v>0</v>
      </c>
      <c r="F13" s="326">
        <f>E13-D13</f>
        <v>0</v>
      </c>
      <c r="G13" s="326"/>
      <c r="H13" s="710">
        <f>'F5'!K31*H10/'F5'!I31</f>
        <v>0</v>
      </c>
      <c r="I13" s="326">
        <f>H13-G13</f>
        <v>0</v>
      </c>
      <c r="J13" s="326"/>
      <c r="K13" s="326">
        <f>'F5'!P31*'F7'!K10/'F5'!N31</f>
        <v>0</v>
      </c>
      <c r="L13" s="313">
        <f>K13-J13</f>
        <v>0</v>
      </c>
      <c r="V13" s="333"/>
      <c r="W13" s="333"/>
      <c r="X13" s="333"/>
    </row>
    <row r="14" spans="2:24">
      <c r="B14" s="103">
        <f t="shared" si="0"/>
        <v>5</v>
      </c>
      <c r="C14" s="102" t="s">
        <v>38</v>
      </c>
      <c r="D14" s="313">
        <f>D10+D12-D13</f>
        <v>421.75796895451901</v>
      </c>
      <c r="E14" s="326">
        <f>E10+E12-E13</f>
        <v>394.80091966261904</v>
      </c>
      <c r="F14" s="313">
        <f>E14-D14</f>
        <v>-26.957049291899978</v>
      </c>
      <c r="G14" s="313">
        <f>G10+G12-G13</f>
        <v>424.02896895451903</v>
      </c>
      <c r="H14" s="313">
        <f>H10+H12-H13</f>
        <v>418.45104571651905</v>
      </c>
      <c r="I14" s="313">
        <f>H14-G14</f>
        <v>-5.5779232379999826</v>
      </c>
      <c r="J14" s="313">
        <f>J10+J12-J13</f>
        <v>450.80096895451902</v>
      </c>
      <c r="K14" s="313">
        <f>K10+K12-K13</f>
        <v>423.58404571651903</v>
      </c>
      <c r="L14" s="313">
        <f>K14-J14</f>
        <v>-27.216923237999993</v>
      </c>
      <c r="V14" s="333"/>
      <c r="W14" s="333"/>
      <c r="X14" s="333"/>
    </row>
    <row r="15" spans="2:24">
      <c r="B15" s="103"/>
      <c r="C15" s="102"/>
      <c r="D15" s="24"/>
      <c r="E15" s="24"/>
      <c r="F15" s="313"/>
      <c r="G15" s="313"/>
      <c r="H15" s="313"/>
      <c r="I15" s="313"/>
      <c r="J15" s="313"/>
      <c r="K15" s="326"/>
      <c r="L15" s="313"/>
      <c r="V15" s="333"/>
      <c r="W15" s="333"/>
      <c r="X15" s="333"/>
    </row>
    <row r="16" spans="2:24">
      <c r="B16" s="103"/>
      <c r="C16" s="104" t="s">
        <v>405</v>
      </c>
      <c r="D16" s="24"/>
      <c r="E16" s="24"/>
      <c r="F16" s="313"/>
      <c r="G16" s="313"/>
      <c r="H16" s="313"/>
      <c r="I16" s="313"/>
      <c r="J16" s="313"/>
      <c r="K16" s="326"/>
      <c r="L16" s="313"/>
      <c r="V16" s="333"/>
      <c r="W16" s="333"/>
      <c r="X16" s="333"/>
    </row>
    <row r="17" spans="2:24">
      <c r="B17" s="103">
        <v>6</v>
      </c>
      <c r="C17" s="102" t="s">
        <v>551</v>
      </c>
      <c r="D17" s="335">
        <v>0.14000000000000001</v>
      </c>
      <c r="E17" s="335">
        <v>0.14000000000000001</v>
      </c>
      <c r="F17" s="336">
        <f>E17-D17</f>
        <v>0</v>
      </c>
      <c r="G17" s="335">
        <v>0.14000000000000001</v>
      </c>
      <c r="H17" s="335">
        <v>0.14000000000000001</v>
      </c>
      <c r="I17" s="877">
        <f>H17-G17</f>
        <v>0</v>
      </c>
      <c r="J17" s="335">
        <v>0.14000000000000001</v>
      </c>
      <c r="K17" s="335">
        <v>0.14000000000000001</v>
      </c>
      <c r="L17" s="336">
        <f>K17-J17</f>
        <v>0</v>
      </c>
      <c r="V17" s="333"/>
      <c r="W17" s="333"/>
      <c r="X17" s="333"/>
    </row>
    <row r="18" spans="2:24">
      <c r="B18" s="103">
        <v>7</v>
      </c>
      <c r="C18" s="102" t="s">
        <v>585</v>
      </c>
      <c r="D18" s="336">
        <f>D17/(1-D23)</f>
        <v>0.14000000000000001</v>
      </c>
      <c r="E18" s="336">
        <f>E17/(1-E23)</f>
        <v>0.14000000000000001</v>
      </c>
      <c r="F18" s="336">
        <f>E18-D18</f>
        <v>0</v>
      </c>
      <c r="G18" s="336">
        <f>G17/(1-G23)</f>
        <v>0.14000000000000001</v>
      </c>
      <c r="H18" s="336">
        <f>H17/(1-H23)</f>
        <v>0.14000000000000001</v>
      </c>
      <c r="I18" s="336">
        <f>H18-G18</f>
        <v>0</v>
      </c>
      <c r="J18" s="336">
        <f>J17/(1-J23)</f>
        <v>0.14000000000000001</v>
      </c>
      <c r="K18" s="336">
        <f>K17/(1-K23)</f>
        <v>0.14000000000000001</v>
      </c>
      <c r="L18" s="336">
        <f>K18-J18</f>
        <v>0</v>
      </c>
      <c r="V18" s="333"/>
      <c r="W18" s="333"/>
      <c r="X18" s="333"/>
    </row>
    <row r="19" spans="2:24">
      <c r="B19" s="103">
        <v>8</v>
      </c>
      <c r="C19" s="102" t="s">
        <v>552</v>
      </c>
      <c r="D19" s="313">
        <f>D10*D18</f>
        <v>54.692594939432666</v>
      </c>
      <c r="E19" s="313">
        <f>E10*E18</f>
        <v>54.734219661032668</v>
      </c>
      <c r="F19" s="313">
        <f>E19-D19</f>
        <v>4.1624721600001635E-2</v>
      </c>
      <c r="G19" s="313">
        <f>G10*G18</f>
        <v>59.046115653632668</v>
      </c>
      <c r="H19" s="313">
        <f>H10*H18</f>
        <v>55.272128752766669</v>
      </c>
      <c r="I19" s="313">
        <f>H19-G19</f>
        <v>-3.7739869008659994</v>
      </c>
      <c r="J19" s="313">
        <f>J10*J18</f>
        <v>59.364055653632668</v>
      </c>
      <c r="K19" s="313">
        <f>K10*K18</f>
        <v>58.583146400312671</v>
      </c>
      <c r="L19" s="313">
        <f>K19-J19</f>
        <v>-0.78090925331999728</v>
      </c>
      <c r="V19" s="333"/>
      <c r="W19" s="333"/>
      <c r="X19" s="333"/>
    </row>
    <row r="20" spans="2:24">
      <c r="B20" s="103">
        <f t="shared" si="0"/>
        <v>9</v>
      </c>
      <c r="C20" s="102" t="s">
        <v>553</v>
      </c>
      <c r="D20" s="313">
        <f>(D12-D13)*D18/2</f>
        <v>2.1767603571</v>
      </c>
      <c r="E20" s="313">
        <f>(E12-E13)*E18/2</f>
        <v>0.26895454586700002</v>
      </c>
      <c r="F20" s="313">
        <f>E20-D20</f>
        <v>-1.9078058112330001</v>
      </c>
      <c r="G20" s="313">
        <f>(G12-G13)*G18/2</f>
        <v>0.15897</v>
      </c>
      <c r="H20" s="313">
        <f>(H12-H13)*H18/2</f>
        <v>1.655508823773</v>
      </c>
      <c r="I20" s="313">
        <f>H20-G20</f>
        <v>1.496538823773</v>
      </c>
      <c r="J20" s="313">
        <f>(J12-J13)*J18/2</f>
        <v>1.8740400000000004</v>
      </c>
      <c r="K20" s="313">
        <f>(K12-K13)*K18/2</f>
        <v>0.35931000000000002</v>
      </c>
      <c r="L20" s="313">
        <f>K20-J20</f>
        <v>-1.5147300000000004</v>
      </c>
      <c r="V20" s="333"/>
      <c r="W20" s="333"/>
      <c r="X20" s="333"/>
    </row>
    <row r="21" spans="2:24">
      <c r="B21" s="118">
        <f t="shared" si="0"/>
        <v>10</v>
      </c>
      <c r="C21" s="104" t="s">
        <v>406</v>
      </c>
      <c r="D21" s="332">
        <f>SUM(D19:D20)</f>
        <v>56.869355296532667</v>
      </c>
      <c r="E21" s="332">
        <f>SUM(E19:E20)</f>
        <v>55.003174206899665</v>
      </c>
      <c r="F21" s="368">
        <f>E21-D21</f>
        <v>-1.8661810896330024</v>
      </c>
      <c r="G21" s="332">
        <f>SUM(G19:G20)</f>
        <v>59.205085653632665</v>
      </c>
      <c r="H21" s="332">
        <f>SUM(H19:H20)</f>
        <v>56.927637576539666</v>
      </c>
      <c r="I21" s="368">
        <f>H21-G21</f>
        <v>-2.2774480770929983</v>
      </c>
      <c r="J21" s="332">
        <f>SUM(J19:J20)</f>
        <v>61.238095653632669</v>
      </c>
      <c r="K21" s="332">
        <f>SUM(K19:K20)</f>
        <v>58.942456400312672</v>
      </c>
      <c r="L21" s="368">
        <f>K21-J21</f>
        <v>-2.2956392533199974</v>
      </c>
      <c r="V21" s="333"/>
      <c r="W21" s="333"/>
      <c r="X21" s="333"/>
    </row>
    <row r="22" spans="2:24">
      <c r="B22" s="24"/>
      <c r="C22" s="24"/>
      <c r="D22" s="24"/>
      <c r="E22" s="24"/>
      <c r="F22" s="313"/>
      <c r="G22" s="313"/>
      <c r="H22" s="313"/>
      <c r="I22" s="313"/>
      <c r="J22" s="313"/>
      <c r="K22" s="326"/>
      <c r="L22" s="313"/>
      <c r="V22" s="333"/>
      <c r="W22" s="333"/>
      <c r="X22" s="333"/>
    </row>
    <row r="23" spans="2:24">
      <c r="B23" s="103"/>
      <c r="C23" s="104" t="s">
        <v>777</v>
      </c>
      <c r="D23" s="24"/>
      <c r="E23" s="632"/>
      <c r="F23" s="326"/>
      <c r="G23" s="326"/>
      <c r="H23" s="326"/>
      <c r="I23" s="326"/>
      <c r="J23" s="119"/>
      <c r="K23" s="632"/>
      <c r="L23" s="119"/>
    </row>
    <row r="27" spans="2:24">
      <c r="C27" s="308" t="s">
        <v>717</v>
      </c>
    </row>
    <row r="29" spans="2:24">
      <c r="B29" s="1778" t="s">
        <v>340</v>
      </c>
      <c r="C29" s="1781" t="s">
        <v>36</v>
      </c>
      <c r="D29" s="1959" t="s">
        <v>138</v>
      </c>
      <c r="E29" s="298" t="s">
        <v>508</v>
      </c>
      <c r="F29" s="750" t="s">
        <v>509</v>
      </c>
    </row>
    <row r="30" spans="2:24" ht="28">
      <c r="B30" s="1779"/>
      <c r="C30" s="1781"/>
      <c r="D30" s="1960"/>
      <c r="E30" s="297" t="s">
        <v>78</v>
      </c>
      <c r="F30" s="751" t="s">
        <v>78</v>
      </c>
    </row>
    <row r="31" spans="2:24">
      <c r="B31" s="99">
        <v>1</v>
      </c>
      <c r="C31" s="102" t="s">
        <v>723</v>
      </c>
      <c r="D31" s="103" t="s">
        <v>98</v>
      </c>
      <c r="E31" s="119"/>
      <c r="F31" s="119"/>
    </row>
    <row r="32" spans="2:24">
      <c r="B32" s="103">
        <f>B31+1</f>
        <v>2</v>
      </c>
      <c r="C32" s="102" t="s">
        <v>718</v>
      </c>
      <c r="D32" s="103" t="s">
        <v>98</v>
      </c>
      <c r="E32" s="366">
        <v>0</v>
      </c>
      <c r="F32" s="366">
        <v>0</v>
      </c>
    </row>
    <row r="33" spans="2:14">
      <c r="B33" s="103"/>
      <c r="C33" s="102"/>
      <c r="D33" s="102"/>
      <c r="E33" s="119"/>
      <c r="F33" s="119"/>
    </row>
    <row r="34" spans="2:14">
      <c r="B34" s="103">
        <v>3</v>
      </c>
      <c r="C34" s="29" t="s">
        <v>724</v>
      </c>
      <c r="D34" s="309" t="s">
        <v>719</v>
      </c>
      <c r="E34" s="119"/>
      <c r="F34" s="119"/>
    </row>
    <row r="35" spans="2:14">
      <c r="B35" s="103">
        <f>B34+1</f>
        <v>4</v>
      </c>
      <c r="C35" s="102" t="s">
        <v>720</v>
      </c>
      <c r="D35" s="103" t="s">
        <v>98</v>
      </c>
      <c r="E35" s="366">
        <v>0</v>
      </c>
      <c r="F35" s="366">
        <v>0</v>
      </c>
    </row>
    <row r="36" spans="2:14">
      <c r="B36" s="103"/>
      <c r="C36" s="102"/>
      <c r="D36" s="102"/>
      <c r="E36" s="119"/>
      <c r="F36" s="119"/>
    </row>
    <row r="37" spans="2:14">
      <c r="B37" s="103">
        <v>5</v>
      </c>
      <c r="C37" s="102" t="s">
        <v>725</v>
      </c>
      <c r="D37" s="103" t="s">
        <v>98</v>
      </c>
      <c r="E37" s="595">
        <f>E32+E35</f>
        <v>0</v>
      </c>
      <c r="F37" s="595">
        <f>F32+F35</f>
        <v>0</v>
      </c>
    </row>
    <row r="38" spans="2:14">
      <c r="B38" s="103"/>
      <c r="C38" s="102"/>
      <c r="D38" s="102"/>
      <c r="E38" s="119"/>
      <c r="F38" s="119"/>
    </row>
    <row r="39" spans="2:14">
      <c r="B39" s="103"/>
      <c r="C39" s="104" t="s">
        <v>722</v>
      </c>
      <c r="D39" s="102"/>
      <c r="E39" s="119"/>
      <c r="F39" s="119"/>
    </row>
    <row r="40" spans="2:14">
      <c r="B40" s="103">
        <v>6</v>
      </c>
      <c r="C40" s="102" t="s">
        <v>604</v>
      </c>
      <c r="D40" s="103" t="s">
        <v>442</v>
      </c>
      <c r="E40" s="345">
        <f>E10*E37</f>
        <v>0</v>
      </c>
      <c r="F40" s="345">
        <f>H10*F37</f>
        <v>0</v>
      </c>
    </row>
    <row r="41" spans="2:14">
      <c r="B41" s="103">
        <v>7</v>
      </c>
      <c r="C41" s="102" t="s">
        <v>605</v>
      </c>
      <c r="D41" s="103" t="s">
        <v>442</v>
      </c>
      <c r="E41" s="345">
        <f>(E12-E13)*E37/2</f>
        <v>0</v>
      </c>
      <c r="F41" s="791">
        <f>(H12-H13)*F37/2</f>
        <v>0</v>
      </c>
    </row>
    <row r="42" spans="2:14">
      <c r="B42" s="118">
        <v>8</v>
      </c>
      <c r="C42" s="104" t="s">
        <v>721</v>
      </c>
      <c r="D42" s="104"/>
      <c r="E42" s="512">
        <f>SUM(E40:E41)</f>
        <v>0</v>
      </c>
      <c r="F42" s="512">
        <f>SUM(F40:F41)</f>
        <v>0</v>
      </c>
    </row>
    <row r="43" spans="2:14">
      <c r="E43" s="322"/>
      <c r="F43" s="322"/>
    </row>
    <row r="44" spans="2:14">
      <c r="C44" s="1957"/>
      <c r="D44" s="1957"/>
      <c r="E44" s="1957"/>
      <c r="F44" s="1957"/>
      <c r="G44" s="1957"/>
      <c r="H44" s="1957"/>
      <c r="I44" s="1957"/>
      <c r="J44" s="1957"/>
      <c r="K44" s="1957"/>
      <c r="L44" s="1957"/>
      <c r="M44" s="1957"/>
      <c r="N44" s="1957"/>
    </row>
    <row r="51" spans="2:9" ht="15">
      <c r="B51" s="1778" t="s">
        <v>343</v>
      </c>
      <c r="C51" s="1778" t="s">
        <v>36</v>
      </c>
      <c r="D51" s="1775" t="s">
        <v>957</v>
      </c>
      <c r="E51" s="1775"/>
      <c r="F51" s="1775"/>
      <c r="G51" s="1775"/>
      <c r="H51" s="1775"/>
      <c r="I51" s="1895" t="s">
        <v>26</v>
      </c>
    </row>
    <row r="52" spans="2:9" ht="15">
      <c r="B52" s="1779"/>
      <c r="C52" s="1779"/>
      <c r="D52" s="709" t="s">
        <v>958</v>
      </c>
      <c r="E52" s="709" t="s">
        <v>959</v>
      </c>
      <c r="F52" s="709" t="s">
        <v>960</v>
      </c>
      <c r="G52" s="709" t="s">
        <v>961</v>
      </c>
      <c r="H52" s="709" t="s">
        <v>962</v>
      </c>
      <c r="I52" s="1896"/>
    </row>
    <row r="53" spans="2:9">
      <c r="B53" s="1807"/>
      <c r="C53" s="1807"/>
      <c r="D53" s="698" t="s">
        <v>21</v>
      </c>
      <c r="E53" s="698" t="s">
        <v>21</v>
      </c>
      <c r="F53" s="698" t="s">
        <v>21</v>
      </c>
      <c r="G53" s="698" t="s">
        <v>21</v>
      </c>
      <c r="H53" s="698" t="s">
        <v>21</v>
      </c>
      <c r="I53" s="1897"/>
    </row>
    <row r="54" spans="2:9">
      <c r="B54" s="103">
        <v>1</v>
      </c>
      <c r="C54" s="102" t="s">
        <v>602</v>
      </c>
      <c r="D54" s="313">
        <f>K14</f>
        <v>423.58404571651903</v>
      </c>
      <c r="E54" s="313">
        <f>D58</f>
        <v>454.51204571651903</v>
      </c>
      <c r="F54" s="313">
        <f t="shared" ref="F54:H54" si="1">E58</f>
        <v>469.76479571651902</v>
      </c>
      <c r="G54" s="313">
        <f t="shared" si="1"/>
        <v>493.99579571651901</v>
      </c>
      <c r="H54" s="313">
        <f t="shared" si="1"/>
        <v>496.35379571651902</v>
      </c>
      <c r="I54" s="313"/>
    </row>
    <row r="55" spans="2:9">
      <c r="B55" s="103">
        <f>B54+1</f>
        <v>2</v>
      </c>
      <c r="C55" s="102" t="s">
        <v>549</v>
      </c>
      <c r="D55" s="313"/>
      <c r="E55" s="313"/>
      <c r="F55" s="313"/>
      <c r="G55" s="313"/>
      <c r="H55" s="313"/>
      <c r="I55" s="313"/>
    </row>
    <row r="56" spans="2:9">
      <c r="B56" s="103">
        <f t="shared" ref="B56:B65" si="2">B55+1</f>
        <v>3</v>
      </c>
      <c r="C56" s="102" t="s">
        <v>603</v>
      </c>
      <c r="D56" s="313">
        <f>'F4'!O14*30%</f>
        <v>30.92799999999999</v>
      </c>
      <c r="E56" s="313">
        <f>'F4'!P14*30%</f>
        <v>15.252749999999997</v>
      </c>
      <c r="F56" s="313">
        <f>'F4'!Q14*30%</f>
        <v>24.230999999999998</v>
      </c>
      <c r="G56" s="313">
        <f>'F4'!R14*30%</f>
        <v>2.3580000000000001</v>
      </c>
      <c r="H56" s="313">
        <f>'F4'!S14*30%</f>
        <v>19.586999999999996</v>
      </c>
      <c r="I56" s="313"/>
    </row>
    <row r="57" spans="2:9">
      <c r="B57" s="254">
        <f t="shared" si="2"/>
        <v>4</v>
      </c>
      <c r="C57" s="29" t="s">
        <v>37</v>
      </c>
      <c r="D57" s="313">
        <f>'F5'!U31*'F7'!D54/'F5'!S31</f>
        <v>0</v>
      </c>
      <c r="E57" s="313">
        <f>'F5'!F57*'F7'!E54/'F5'!D57</f>
        <v>0</v>
      </c>
      <c r="F57" s="313">
        <f>'F5'!K57*'F7'!F54/'F5'!I57</f>
        <v>0</v>
      </c>
      <c r="G57" s="313">
        <f>'F5'!P57*'F7'!G54/'F5'!N57</f>
        <v>0</v>
      </c>
      <c r="H57" s="313">
        <f>'F5'!U57*'F7'!H54/'F5'!S57</f>
        <v>0</v>
      </c>
      <c r="I57" s="313"/>
    </row>
    <row r="58" spans="2:9">
      <c r="B58" s="103">
        <f t="shared" si="2"/>
        <v>5</v>
      </c>
      <c r="C58" s="102" t="s">
        <v>38</v>
      </c>
      <c r="D58" s="313">
        <f>D54+D56-D57</f>
        <v>454.51204571651903</v>
      </c>
      <c r="E58" s="313">
        <f>E54+E56-E57</f>
        <v>469.76479571651902</v>
      </c>
      <c r="F58" s="313">
        <f t="shared" ref="F58:H58" si="3">F54+F56-F57</f>
        <v>493.99579571651901</v>
      </c>
      <c r="G58" s="313">
        <f t="shared" si="3"/>
        <v>496.35379571651902</v>
      </c>
      <c r="H58" s="313">
        <f t="shared" si="3"/>
        <v>515.94079571651901</v>
      </c>
      <c r="I58" s="313"/>
    </row>
    <row r="59" spans="2:9">
      <c r="B59" s="103"/>
      <c r="C59" s="102"/>
      <c r="D59" s="313"/>
      <c r="E59" s="313"/>
      <c r="F59" s="313"/>
      <c r="G59" s="313"/>
      <c r="H59" s="313"/>
      <c r="I59" s="313"/>
    </row>
    <row r="60" spans="2:9">
      <c r="B60" s="103"/>
      <c r="C60" s="104" t="s">
        <v>405</v>
      </c>
      <c r="D60" s="313"/>
      <c r="E60" s="313"/>
      <c r="F60" s="313"/>
      <c r="G60" s="313"/>
      <c r="H60" s="313"/>
      <c r="I60" s="313"/>
    </row>
    <row r="61" spans="2:9">
      <c r="B61" s="103">
        <v>6</v>
      </c>
      <c r="C61" s="102" t="s">
        <v>551</v>
      </c>
      <c r="D61" s="335">
        <v>0.14000000000000001</v>
      </c>
      <c r="E61" s="335">
        <v>0.14000000000000001</v>
      </c>
      <c r="F61" s="335">
        <v>0.14000000000000001</v>
      </c>
      <c r="G61" s="335">
        <v>0.14000000000000001</v>
      </c>
      <c r="H61" s="335">
        <v>0.14000000000000001</v>
      </c>
      <c r="I61" s="313"/>
    </row>
    <row r="62" spans="2:9">
      <c r="B62" s="103">
        <v>7</v>
      </c>
      <c r="C62" s="102" t="s">
        <v>585</v>
      </c>
      <c r="D62" s="1228">
        <v>0.15500000000000003</v>
      </c>
      <c r="E62" s="1228">
        <v>0.15500000000000003</v>
      </c>
      <c r="F62" s="1228">
        <v>0.15500000000000003</v>
      </c>
      <c r="G62" s="1228">
        <v>0.15500000000000003</v>
      </c>
      <c r="H62" s="1228">
        <v>0.15500000000000003</v>
      </c>
      <c r="I62" s="313"/>
    </row>
    <row r="63" spans="2:9">
      <c r="B63" s="103">
        <v>8</v>
      </c>
      <c r="C63" s="102" t="s">
        <v>552</v>
      </c>
      <c r="D63" s="313">
        <f>D54*D62</f>
        <v>65.655527086060459</v>
      </c>
      <c r="E63" s="313">
        <f>E54*E62</f>
        <v>70.449367086060462</v>
      </c>
      <c r="F63" s="313">
        <f t="shared" ref="F63:H63" si="4">F54*F62</f>
        <v>72.813543336060462</v>
      </c>
      <c r="G63" s="313">
        <f t="shared" si="4"/>
        <v>76.569348336060457</v>
      </c>
      <c r="H63" s="313">
        <f t="shared" si="4"/>
        <v>76.934838336060466</v>
      </c>
      <c r="I63" s="313"/>
    </row>
    <row r="64" spans="2:9">
      <c r="B64" s="103">
        <f t="shared" si="2"/>
        <v>9</v>
      </c>
      <c r="C64" s="102" t="s">
        <v>553</v>
      </c>
      <c r="D64" s="313">
        <f>D56*D62/2</f>
        <v>2.3969199999999997</v>
      </c>
      <c r="E64" s="313">
        <f>E56*E62/2</f>
        <v>1.1820881249999999</v>
      </c>
      <c r="F64" s="313">
        <f t="shared" ref="F64:H64" si="5">F56*F62/2</f>
        <v>1.8779025000000003</v>
      </c>
      <c r="G64" s="313">
        <f t="shared" si="5"/>
        <v>0.18274500000000005</v>
      </c>
      <c r="H64" s="313">
        <f t="shared" si="5"/>
        <v>1.5179924999999999</v>
      </c>
      <c r="I64" s="313"/>
    </row>
    <row r="65" spans="2:9">
      <c r="B65" s="118">
        <f t="shared" si="2"/>
        <v>10</v>
      </c>
      <c r="C65" s="104" t="s">
        <v>406</v>
      </c>
      <c r="D65" s="313">
        <f>SUM(D63:D64)</f>
        <v>68.052447086060454</v>
      </c>
      <c r="E65" s="313">
        <f>SUM(E63:E64)</f>
        <v>71.631455211060455</v>
      </c>
      <c r="F65" s="313">
        <f t="shared" ref="F65:H65" si="6">SUM(F63:F64)</f>
        <v>74.691445836060467</v>
      </c>
      <c r="G65" s="313">
        <f t="shared" si="6"/>
        <v>76.752093336060454</v>
      </c>
      <c r="H65" s="313">
        <f t="shared" si="6"/>
        <v>78.452830836060471</v>
      </c>
      <c r="I65" s="313"/>
    </row>
  </sheetData>
  <mergeCells count="16">
    <mergeCell ref="B2:N2"/>
    <mergeCell ref="C44:N44"/>
    <mergeCell ref="B4:N4"/>
    <mergeCell ref="D51:H51"/>
    <mergeCell ref="G7:I7"/>
    <mergeCell ref="B51:B53"/>
    <mergeCell ref="C51:C53"/>
    <mergeCell ref="I51:I53"/>
    <mergeCell ref="B7:B9"/>
    <mergeCell ref="C7:C9"/>
    <mergeCell ref="D7:F7"/>
    <mergeCell ref="J7:L7"/>
    <mergeCell ref="B3:N3"/>
    <mergeCell ref="B29:B30"/>
    <mergeCell ref="C29:C30"/>
    <mergeCell ref="D29:D30"/>
  </mergeCells>
  <pageMargins left="1.02" right="0.25" top="1" bottom="1" header="0.25" footer="0.25"/>
  <pageSetup paperSize="9" scale="38" orientation="landscape" r:id="rId1"/>
  <headerFooter alignWithMargins="0">
    <oddHeader>&amp;F</oddHead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Q66"/>
  <sheetViews>
    <sheetView showGridLines="0" view="pageBreakPreview" topLeftCell="A21" zoomScale="60" zoomScaleNormal="75" workbookViewId="0">
      <selection activeCell="N56" sqref="N56"/>
    </sheetView>
  </sheetViews>
  <sheetFormatPr defaultColWidth="9.36328125" defaultRowHeight="14"/>
  <cols>
    <col min="1" max="1" width="4.36328125" style="5" customWidth="1"/>
    <col min="2" max="2" width="30.453125" style="5" customWidth="1"/>
    <col min="3" max="14" width="10.6328125" style="5" customWidth="1"/>
    <col min="15" max="15" width="12.6328125" style="5" customWidth="1"/>
    <col min="16" max="16384" width="9.36328125" style="5"/>
  </cols>
  <sheetData>
    <row r="1" spans="2:15">
      <c r="B1" s="71"/>
    </row>
    <row r="2" spans="2:15">
      <c r="B2" s="1776" t="str">
        <f>Index!B2</f>
        <v xml:space="preserve">      Maharashtra State Power Generation Company Ltd.</v>
      </c>
      <c r="C2" s="1814"/>
      <c r="D2" s="1814"/>
      <c r="E2" s="1814"/>
      <c r="F2" s="1814"/>
      <c r="G2" s="1814"/>
      <c r="H2" s="1814"/>
      <c r="I2" s="1814"/>
      <c r="J2" s="1814"/>
      <c r="K2" s="1814"/>
      <c r="L2" s="1814"/>
      <c r="M2" s="1814"/>
      <c r="N2" s="1814"/>
      <c r="O2" s="1814"/>
    </row>
    <row r="3" spans="2:15">
      <c r="B3" s="1776" t="str">
        <f>Index!B3</f>
        <v>MYT Petition Formats for Parli 8</v>
      </c>
      <c r="C3" s="1814"/>
      <c r="D3" s="1814"/>
      <c r="E3" s="1814"/>
      <c r="F3" s="1814"/>
      <c r="G3" s="1814"/>
      <c r="H3" s="1814"/>
      <c r="I3" s="1814"/>
      <c r="J3" s="1814"/>
      <c r="K3" s="1814"/>
      <c r="L3" s="1814"/>
      <c r="M3" s="1814"/>
      <c r="N3" s="1814"/>
      <c r="O3" s="1814"/>
    </row>
    <row r="4" spans="2:15">
      <c r="B4" s="1832" t="s">
        <v>276</v>
      </c>
      <c r="C4" s="1961"/>
      <c r="D4" s="1961"/>
      <c r="E4" s="1961"/>
      <c r="F4" s="1961"/>
      <c r="G4" s="1961"/>
      <c r="H4" s="1961"/>
      <c r="I4" s="1961"/>
      <c r="J4" s="1961"/>
      <c r="K4" s="1961"/>
      <c r="L4" s="1961"/>
      <c r="M4" s="1961"/>
      <c r="N4" s="1961"/>
      <c r="O4" s="1961"/>
    </row>
    <row r="5" spans="2:15">
      <c r="B5" s="17"/>
      <c r="C5" s="19"/>
      <c r="D5" s="19"/>
      <c r="E5" s="19"/>
      <c r="F5" s="19"/>
      <c r="G5" s="19"/>
      <c r="H5" s="19"/>
      <c r="I5" s="72"/>
    </row>
    <row r="6" spans="2:15">
      <c r="B6" s="53" t="s">
        <v>726</v>
      </c>
      <c r="C6" s="19"/>
      <c r="D6" s="19"/>
      <c r="E6" s="19"/>
      <c r="F6" s="19"/>
      <c r="G6" s="19"/>
      <c r="H6" s="19"/>
      <c r="I6" s="72"/>
    </row>
    <row r="7" spans="2:15">
      <c r="B7" s="53" t="s">
        <v>27</v>
      </c>
      <c r="C7" s="63"/>
      <c r="D7" s="63"/>
      <c r="O7" s="63" t="s">
        <v>277</v>
      </c>
    </row>
    <row r="8" spans="2:15">
      <c r="B8" s="105" t="s">
        <v>278</v>
      </c>
      <c r="C8" s="236" t="s">
        <v>279</v>
      </c>
      <c r="D8" s="236" t="s">
        <v>280</v>
      </c>
      <c r="E8" s="106" t="s">
        <v>281</v>
      </c>
      <c r="F8" s="106" t="s">
        <v>282</v>
      </c>
      <c r="G8" s="106" t="s">
        <v>283</v>
      </c>
      <c r="H8" s="106" t="s">
        <v>284</v>
      </c>
      <c r="I8" s="106" t="s">
        <v>285</v>
      </c>
      <c r="J8" s="106" t="s">
        <v>286</v>
      </c>
      <c r="K8" s="106" t="s">
        <v>287</v>
      </c>
      <c r="L8" s="106" t="s">
        <v>288</v>
      </c>
      <c r="M8" s="106" t="s">
        <v>289</v>
      </c>
      <c r="N8" s="106" t="s">
        <v>290</v>
      </c>
      <c r="O8" s="106" t="s">
        <v>271</v>
      </c>
    </row>
    <row r="9" spans="2:15">
      <c r="B9" s="148" t="s">
        <v>778</v>
      </c>
      <c r="C9" s="324">
        <f>'F9.1'!E16</f>
        <v>85.541022999999996</v>
      </c>
      <c r="D9" s="324">
        <f>'F9.1'!F16</f>
        <v>72.957314999999994</v>
      </c>
      <c r="E9" s="324">
        <f>'F9.1'!G16</f>
        <v>64.08</v>
      </c>
      <c r="F9" s="324">
        <f>'F9.1'!H16</f>
        <v>65.543279999999996</v>
      </c>
      <c r="G9" s="324">
        <f>'F9.1'!I16</f>
        <v>98.460667000000001</v>
      </c>
      <c r="H9" s="324">
        <f>'F9.1'!J16</f>
        <v>96.523302000000001</v>
      </c>
      <c r="I9" s="324">
        <f>'F9.1'!K16</f>
        <v>66.373064999999997</v>
      </c>
      <c r="J9" s="324">
        <f>'F9.1'!L16</f>
        <v>91.113116000000005</v>
      </c>
      <c r="K9" s="324">
        <f>'F9.1'!M16</f>
        <v>93.951015999999996</v>
      </c>
      <c r="L9" s="324">
        <f>'F9.1'!N16</f>
        <v>83.108407999999997</v>
      </c>
      <c r="M9" s="324">
        <f>'F9.1'!O16</f>
        <v>83.350587000000004</v>
      </c>
      <c r="N9" s="324">
        <f>'F9.1'!P16</f>
        <v>99.389283000000006</v>
      </c>
      <c r="O9" s="324">
        <f>SUM(C9:N9)</f>
        <v>1000.391062</v>
      </c>
    </row>
    <row r="10" spans="2:15">
      <c r="B10" s="107"/>
      <c r="C10" s="324"/>
      <c r="D10" s="324"/>
      <c r="E10" s="324"/>
      <c r="F10" s="324"/>
      <c r="G10" s="324"/>
      <c r="H10" s="324"/>
      <c r="I10" s="324"/>
      <c r="J10" s="324"/>
      <c r="K10" s="324"/>
      <c r="L10" s="324"/>
      <c r="M10" s="324"/>
      <c r="N10" s="324"/>
      <c r="O10" s="324">
        <f>SUM(C10:N10)</f>
        <v>0</v>
      </c>
    </row>
    <row r="11" spans="2:15">
      <c r="B11" s="73" t="s">
        <v>271</v>
      </c>
      <c r="C11" s="353">
        <f>SUM(C9:C10)</f>
        <v>85.541022999999996</v>
      </c>
      <c r="D11" s="353">
        <f t="shared" ref="D11:O11" si="0">SUM(D9:D10)</f>
        <v>72.957314999999994</v>
      </c>
      <c r="E11" s="353">
        <f t="shared" si="0"/>
        <v>64.08</v>
      </c>
      <c r="F11" s="353">
        <f t="shared" si="0"/>
        <v>65.543279999999996</v>
      </c>
      <c r="G11" s="353">
        <f t="shared" si="0"/>
        <v>98.460667000000001</v>
      </c>
      <c r="H11" s="353">
        <f t="shared" si="0"/>
        <v>96.523302000000001</v>
      </c>
      <c r="I11" s="353">
        <f t="shared" si="0"/>
        <v>66.373064999999997</v>
      </c>
      <c r="J11" s="353">
        <f t="shared" si="0"/>
        <v>91.113116000000005</v>
      </c>
      <c r="K11" s="353">
        <f t="shared" si="0"/>
        <v>93.951015999999996</v>
      </c>
      <c r="L11" s="353">
        <f t="shared" si="0"/>
        <v>83.108407999999997</v>
      </c>
      <c r="M11" s="353">
        <f t="shared" si="0"/>
        <v>83.350587000000004</v>
      </c>
      <c r="N11" s="353">
        <f t="shared" si="0"/>
        <v>99.389283000000006</v>
      </c>
      <c r="O11" s="353">
        <f t="shared" si="0"/>
        <v>1000.391062</v>
      </c>
    </row>
    <row r="12" spans="2:15">
      <c r="B12" s="230"/>
      <c r="E12" s="238"/>
      <c r="F12" s="239"/>
      <c r="G12" s="238"/>
      <c r="H12" s="238"/>
    </row>
    <row r="13" spans="2:15">
      <c r="B13" s="53" t="s">
        <v>967</v>
      </c>
      <c r="C13" s="19"/>
      <c r="D13" s="19"/>
      <c r="E13" s="19"/>
      <c r="F13" s="19"/>
      <c r="G13" s="19"/>
      <c r="H13" s="19"/>
      <c r="I13" s="72"/>
    </row>
    <row r="14" spans="2:15">
      <c r="B14" s="53" t="s">
        <v>27</v>
      </c>
      <c r="C14" s="63"/>
      <c r="D14" s="63"/>
      <c r="O14" s="63" t="s">
        <v>277</v>
      </c>
    </row>
    <row r="15" spans="2:15" s="6" customFormat="1" ht="15" customHeight="1">
      <c r="B15" s="105" t="s">
        <v>278</v>
      </c>
      <c r="C15" s="86" t="s">
        <v>279</v>
      </c>
      <c r="D15" s="86" t="s">
        <v>280</v>
      </c>
      <c r="E15" s="106" t="s">
        <v>281</v>
      </c>
      <c r="F15" s="106" t="s">
        <v>282</v>
      </c>
      <c r="G15" s="106" t="s">
        <v>283</v>
      </c>
      <c r="H15" s="106" t="s">
        <v>284</v>
      </c>
      <c r="I15" s="106" t="s">
        <v>285</v>
      </c>
      <c r="J15" s="106" t="s">
        <v>286</v>
      </c>
      <c r="K15" s="106" t="s">
        <v>287</v>
      </c>
      <c r="L15" s="106" t="s">
        <v>288</v>
      </c>
      <c r="M15" s="106" t="s">
        <v>289</v>
      </c>
      <c r="N15" s="106" t="s">
        <v>290</v>
      </c>
      <c r="O15" s="106" t="s">
        <v>271</v>
      </c>
    </row>
    <row r="16" spans="2:15" s="6" customFormat="1">
      <c r="B16" s="148" t="s">
        <v>778</v>
      </c>
      <c r="C16" s="324">
        <f>'F9.1'!E43</f>
        <v>107.91043000000001</v>
      </c>
      <c r="D16" s="324">
        <f>'F9.1'!F43</f>
        <v>124.061048</v>
      </c>
      <c r="E16" s="324">
        <f>'F9.1'!G43</f>
        <v>62.267961999999997</v>
      </c>
      <c r="F16" s="324">
        <f>'F9.1'!H43</f>
        <v>35.573959000000002</v>
      </c>
      <c r="G16" s="324">
        <f>'F9.1'!I43</f>
        <v>90.699624</v>
      </c>
      <c r="H16" s="324">
        <f>'F9.1'!J43</f>
        <v>100.79895500000001</v>
      </c>
      <c r="I16" s="324">
        <f>'F9.1'!K43</f>
        <v>118.925881</v>
      </c>
      <c r="J16" s="324">
        <f>'F9.1'!L43</f>
        <v>127.06632999999999</v>
      </c>
      <c r="K16" s="324">
        <f>'F9.1'!M43</f>
        <v>69.264497000000006</v>
      </c>
      <c r="L16" s="324">
        <f>'F9.1'!N43</f>
        <v>101.93982</v>
      </c>
      <c r="M16" s="324">
        <f>'F9.1'!O43</f>
        <v>101.883904</v>
      </c>
      <c r="N16" s="324">
        <f>'F9.1'!P43</f>
        <v>95.770612999999997</v>
      </c>
      <c r="O16" s="324">
        <f>SUM(C16:N16)</f>
        <v>1136.1630229999998</v>
      </c>
    </row>
    <row r="17" spans="1:17" s="6" customFormat="1">
      <c r="B17" s="107"/>
      <c r="C17" s="324"/>
      <c r="D17" s="324"/>
      <c r="E17" s="324"/>
      <c r="F17" s="324"/>
      <c r="G17" s="324"/>
      <c r="H17" s="324"/>
      <c r="I17" s="324"/>
      <c r="J17" s="324"/>
      <c r="K17" s="324"/>
      <c r="L17" s="324"/>
      <c r="M17" s="324"/>
      <c r="N17" s="324"/>
      <c r="O17" s="324">
        <f>SUM(C17:N17)</f>
        <v>0</v>
      </c>
    </row>
    <row r="18" spans="1:17" s="1" customFormat="1">
      <c r="B18" s="73" t="s">
        <v>271</v>
      </c>
      <c r="C18" s="353">
        <f t="shared" ref="C18:O18" si="1">SUM(C16:C17)</f>
        <v>107.91043000000001</v>
      </c>
      <c r="D18" s="353">
        <f t="shared" si="1"/>
        <v>124.061048</v>
      </c>
      <c r="E18" s="353">
        <f t="shared" si="1"/>
        <v>62.267961999999997</v>
      </c>
      <c r="F18" s="353">
        <f t="shared" si="1"/>
        <v>35.573959000000002</v>
      </c>
      <c r="G18" s="353">
        <f t="shared" si="1"/>
        <v>90.699624</v>
      </c>
      <c r="H18" s="353">
        <f t="shared" si="1"/>
        <v>100.79895500000001</v>
      </c>
      <c r="I18" s="353">
        <f t="shared" si="1"/>
        <v>118.925881</v>
      </c>
      <c r="J18" s="353">
        <f t="shared" si="1"/>
        <v>127.06632999999999</v>
      </c>
      <c r="K18" s="353">
        <f t="shared" si="1"/>
        <v>69.264497000000006</v>
      </c>
      <c r="L18" s="353">
        <f t="shared" si="1"/>
        <v>101.93982</v>
      </c>
      <c r="M18" s="353">
        <f t="shared" si="1"/>
        <v>101.883904</v>
      </c>
      <c r="N18" s="353">
        <f t="shared" si="1"/>
        <v>95.770612999999997</v>
      </c>
      <c r="O18" s="353">
        <f t="shared" si="1"/>
        <v>1136.1630229999998</v>
      </c>
    </row>
    <row r="19" spans="1:17" s="1" customFormat="1" ht="16">
      <c r="B19" s="53"/>
      <c r="C19" s="19"/>
      <c r="D19" s="19"/>
      <c r="E19" s="19"/>
      <c r="F19" s="19"/>
      <c r="G19" s="19"/>
      <c r="H19" s="19"/>
      <c r="I19" s="45"/>
      <c r="J19" s="69"/>
    </row>
    <row r="20" spans="1:17" s="1" customFormat="1" ht="16">
      <c r="B20" s="53" t="s">
        <v>968</v>
      </c>
      <c r="C20" s="19"/>
      <c r="D20" s="19"/>
      <c r="E20" s="19"/>
      <c r="F20" s="19"/>
      <c r="G20" s="19"/>
      <c r="H20" s="19"/>
      <c r="I20" s="19"/>
      <c r="J20" s="19"/>
      <c r="K20" s="19"/>
      <c r="L20" s="19"/>
      <c r="M20" s="19"/>
      <c r="N20" s="19"/>
      <c r="O20" s="72"/>
      <c r="P20" s="45"/>
      <c r="Q20" s="69"/>
    </row>
    <row r="21" spans="1:17" s="1" customFormat="1" ht="16">
      <c r="A21" s="1" t="s">
        <v>291</v>
      </c>
      <c r="B21" s="53" t="s">
        <v>12</v>
      </c>
      <c r="C21" s="63"/>
      <c r="D21" s="63"/>
      <c r="E21" s="5"/>
      <c r="F21" s="5"/>
      <c r="G21" s="5"/>
      <c r="H21" s="5"/>
      <c r="I21" s="5"/>
      <c r="J21" s="5"/>
      <c r="K21" s="5"/>
      <c r="L21" s="5"/>
      <c r="M21" s="5"/>
      <c r="N21" s="5"/>
      <c r="O21" s="63" t="s">
        <v>277</v>
      </c>
      <c r="P21" s="45"/>
    </row>
    <row r="22" spans="1:17" s="1" customFormat="1" ht="18.75" customHeight="1">
      <c r="B22" s="1804" t="s">
        <v>278</v>
      </c>
      <c r="C22" s="1962" t="s">
        <v>292</v>
      </c>
      <c r="D22" s="1962"/>
      <c r="E22" s="1962"/>
      <c r="F22" s="1962"/>
      <c r="G22" s="1962"/>
      <c r="H22" s="1962"/>
      <c r="I22" s="1962"/>
      <c r="J22" s="1962"/>
      <c r="K22" s="1806" t="s">
        <v>12</v>
      </c>
      <c r="L22" s="1806"/>
      <c r="M22" s="1806"/>
      <c r="N22" s="1806"/>
      <c r="O22" s="86" t="s">
        <v>293</v>
      </c>
      <c r="P22" s="45"/>
      <c r="Q22" s="45"/>
    </row>
    <row r="23" spans="1:17" s="35" customFormat="1">
      <c r="B23" s="1804"/>
      <c r="C23" s="86" t="s">
        <v>279</v>
      </c>
      <c r="D23" s="86" t="s">
        <v>280</v>
      </c>
      <c r="E23" s="106" t="s">
        <v>281</v>
      </c>
      <c r="F23" s="106" t="s">
        <v>282</v>
      </c>
      <c r="G23" s="106" t="s">
        <v>283</v>
      </c>
      <c r="H23" s="106" t="s">
        <v>284</v>
      </c>
      <c r="I23" s="106" t="s">
        <v>285</v>
      </c>
      <c r="J23" s="106" t="s">
        <v>286</v>
      </c>
      <c r="K23" s="106" t="s">
        <v>287</v>
      </c>
      <c r="L23" s="106" t="s">
        <v>288</v>
      </c>
      <c r="M23" s="106" t="s">
        <v>289</v>
      </c>
      <c r="N23" s="106" t="s">
        <v>290</v>
      </c>
      <c r="O23" s="108"/>
    </row>
    <row r="24" spans="1:17" s="6" customFormat="1">
      <c r="B24" s="148" t="s">
        <v>778</v>
      </c>
      <c r="C24" s="452">
        <f>'F2.2'!$Q$37*30/365</f>
        <v>116.60801843165076</v>
      </c>
      <c r="D24" s="452">
        <f>'F2.2'!$Q$37*31/365</f>
        <v>120.49495237937244</v>
      </c>
      <c r="E24" s="452">
        <f>'F2.2'!$Q$37*30/365</f>
        <v>116.60801843165076</v>
      </c>
      <c r="F24" s="452">
        <f>'F2.2'!$Q$37*31/365</f>
        <v>120.49495237937244</v>
      </c>
      <c r="G24" s="452">
        <f>'F2.2'!$Q$37*31/365</f>
        <v>120.49495237937244</v>
      </c>
      <c r="H24" s="452">
        <f>'F2.2'!$Q$37*30/365</f>
        <v>116.60801843165076</v>
      </c>
      <c r="I24" s="782">
        <v>144.18601602819555</v>
      </c>
      <c r="J24" s="782">
        <v>139.5348542208344</v>
      </c>
      <c r="K24" s="782">
        <v>144.18601602819555</v>
      </c>
      <c r="L24" s="782">
        <v>144.18601602819555</v>
      </c>
      <c r="M24" s="782">
        <v>130.23253060611211</v>
      </c>
      <c r="N24" s="782">
        <v>144.18601602819555</v>
      </c>
      <c r="O24" s="324">
        <f>SUM(C24:N24)</f>
        <v>1557.8203613727983</v>
      </c>
    </row>
    <row r="25" spans="1:17" s="6" customFormat="1">
      <c r="B25" s="107"/>
      <c r="C25" s="324"/>
      <c r="D25" s="324"/>
      <c r="E25" s="324"/>
      <c r="F25" s="324"/>
      <c r="G25" s="324"/>
      <c r="H25" s="324"/>
      <c r="I25" s="324"/>
      <c r="J25" s="324"/>
      <c r="K25" s="324"/>
      <c r="L25" s="324"/>
      <c r="M25" s="324"/>
      <c r="N25" s="324"/>
      <c r="O25" s="324">
        <f>SUM(C25:N25)</f>
        <v>0</v>
      </c>
    </row>
    <row r="26" spans="1:17" s="1" customFormat="1">
      <c r="B26" s="73" t="s">
        <v>271</v>
      </c>
      <c r="C26" s="353">
        <f t="shared" ref="C26:O26" si="2">SUM(C24:C25)</f>
        <v>116.60801843165076</v>
      </c>
      <c r="D26" s="353">
        <f t="shared" si="2"/>
        <v>120.49495237937244</v>
      </c>
      <c r="E26" s="353">
        <f t="shared" si="2"/>
        <v>116.60801843165076</v>
      </c>
      <c r="F26" s="353">
        <f t="shared" si="2"/>
        <v>120.49495237937244</v>
      </c>
      <c r="G26" s="353">
        <f t="shared" si="2"/>
        <v>120.49495237937244</v>
      </c>
      <c r="H26" s="353">
        <f t="shared" si="2"/>
        <v>116.60801843165076</v>
      </c>
      <c r="I26" s="353">
        <f t="shared" si="2"/>
        <v>144.18601602819555</v>
      </c>
      <c r="J26" s="353">
        <f t="shared" si="2"/>
        <v>139.5348542208344</v>
      </c>
      <c r="K26" s="353">
        <f t="shared" si="2"/>
        <v>144.18601602819555</v>
      </c>
      <c r="L26" s="353">
        <f t="shared" si="2"/>
        <v>144.18601602819555</v>
      </c>
      <c r="M26" s="353">
        <f t="shared" si="2"/>
        <v>130.23253060611211</v>
      </c>
      <c r="N26" s="353">
        <f t="shared" si="2"/>
        <v>144.18601602819555</v>
      </c>
      <c r="O26" s="353">
        <f t="shared" si="2"/>
        <v>1557.8203613727983</v>
      </c>
    </row>
    <row r="28" spans="1:17" s="1" customFormat="1" ht="16">
      <c r="B28" s="53"/>
      <c r="C28" s="19"/>
      <c r="D28" s="19"/>
      <c r="E28" s="19"/>
      <c r="F28" s="19"/>
      <c r="G28" s="19"/>
      <c r="H28" s="19"/>
      <c r="I28" s="19"/>
      <c r="J28" s="19"/>
      <c r="K28" s="19"/>
      <c r="L28" s="19"/>
      <c r="M28" s="19"/>
      <c r="N28" s="19"/>
      <c r="O28" s="72"/>
      <c r="P28" s="45"/>
      <c r="Q28" s="69"/>
    </row>
    <row r="29" spans="1:17">
      <c r="B29" s="53" t="s">
        <v>969</v>
      </c>
      <c r="C29" s="19"/>
      <c r="D29" s="19"/>
      <c r="E29" s="19"/>
      <c r="F29" s="19"/>
      <c r="G29" s="19"/>
      <c r="H29" s="19"/>
      <c r="I29" s="72"/>
    </row>
    <row r="30" spans="1:17">
      <c r="B30" s="53" t="s">
        <v>712</v>
      </c>
      <c r="C30" s="63"/>
      <c r="D30" s="63"/>
      <c r="O30" s="63" t="s">
        <v>277</v>
      </c>
    </row>
    <row r="31" spans="1:17">
      <c r="B31" s="105" t="s">
        <v>278</v>
      </c>
      <c r="C31" s="236" t="s">
        <v>279</v>
      </c>
      <c r="D31" s="236" t="s">
        <v>280</v>
      </c>
      <c r="E31" s="106" t="s">
        <v>281</v>
      </c>
      <c r="F31" s="106" t="s">
        <v>282</v>
      </c>
      <c r="G31" s="106" t="s">
        <v>283</v>
      </c>
      <c r="H31" s="106" t="s">
        <v>284</v>
      </c>
      <c r="I31" s="106" t="s">
        <v>285</v>
      </c>
      <c r="J31" s="106" t="s">
        <v>286</v>
      </c>
      <c r="K31" s="106" t="s">
        <v>287</v>
      </c>
      <c r="L31" s="106" t="s">
        <v>288</v>
      </c>
      <c r="M31" s="106" t="s">
        <v>289</v>
      </c>
      <c r="N31" s="106" t="s">
        <v>290</v>
      </c>
      <c r="O31" s="106" t="s">
        <v>271</v>
      </c>
    </row>
    <row r="32" spans="1:17">
      <c r="B32" s="148" t="s">
        <v>778</v>
      </c>
      <c r="C32" s="452">
        <f>'F2.2'!$S$37*30/365</f>
        <v>138.7034351769457</v>
      </c>
      <c r="D32" s="452">
        <f>'F2.2'!$S$37*31/365</f>
        <v>143.32688301617722</v>
      </c>
      <c r="E32" s="452">
        <f>'F2.2'!$S$37*30/365</f>
        <v>138.7034351769457</v>
      </c>
      <c r="F32" s="452">
        <f>'F2.2'!$S$37*31/365</f>
        <v>143.32688301617722</v>
      </c>
      <c r="G32" s="452">
        <f>'F2.2'!$S$37*31/365</f>
        <v>143.32688301617722</v>
      </c>
      <c r="H32" s="452">
        <f>'F2.2'!$S$37*30/365</f>
        <v>138.7034351769457</v>
      </c>
      <c r="I32" s="452">
        <f>'F2.2'!$S$37*31/365</f>
        <v>143.32688301617722</v>
      </c>
      <c r="J32" s="452">
        <f>'F2.2'!$S$37*30/365</f>
        <v>138.7034351769457</v>
      </c>
      <c r="K32" s="452">
        <f>'F2.2'!$S$37*31/365</f>
        <v>143.32688301617722</v>
      </c>
      <c r="L32" s="452">
        <f>'F2.2'!$S$37*31/365</f>
        <v>143.32688301617722</v>
      </c>
      <c r="M32" s="452">
        <f>'F2.2'!$S$37*28/365</f>
        <v>129.45653949848264</v>
      </c>
      <c r="N32" s="452">
        <f>'F2.2'!$S$37*31/365</f>
        <v>143.32688301617722</v>
      </c>
      <c r="O32" s="452">
        <f>SUM(C32:N32)</f>
        <v>1687.5584613195058</v>
      </c>
    </row>
    <row r="33" spans="2:15">
      <c r="B33" s="107"/>
      <c r="C33" s="324"/>
      <c r="D33" s="324"/>
      <c r="E33" s="324"/>
      <c r="F33" s="324"/>
      <c r="G33" s="324"/>
      <c r="H33" s="324"/>
      <c r="I33" s="324"/>
      <c r="J33" s="324"/>
      <c r="K33" s="324"/>
      <c r="L33" s="324"/>
      <c r="M33" s="324"/>
      <c r="N33" s="324"/>
      <c r="O33" s="324">
        <f>SUM(C33:N33)</f>
        <v>0</v>
      </c>
    </row>
    <row r="34" spans="2:15">
      <c r="B34" s="73" t="s">
        <v>271</v>
      </c>
      <c r="C34" s="353">
        <f t="shared" ref="C34:O34" si="3">SUM(C32:C33)</f>
        <v>138.7034351769457</v>
      </c>
      <c r="D34" s="353">
        <f t="shared" si="3"/>
        <v>143.32688301617722</v>
      </c>
      <c r="E34" s="353">
        <f t="shared" si="3"/>
        <v>138.7034351769457</v>
      </c>
      <c r="F34" s="353">
        <f t="shared" si="3"/>
        <v>143.32688301617722</v>
      </c>
      <c r="G34" s="353">
        <f t="shared" si="3"/>
        <v>143.32688301617722</v>
      </c>
      <c r="H34" s="353">
        <f t="shared" si="3"/>
        <v>138.7034351769457</v>
      </c>
      <c r="I34" s="353">
        <f t="shared" si="3"/>
        <v>143.32688301617722</v>
      </c>
      <c r="J34" s="353">
        <f t="shared" si="3"/>
        <v>138.7034351769457</v>
      </c>
      <c r="K34" s="353">
        <f t="shared" si="3"/>
        <v>143.32688301617722</v>
      </c>
      <c r="L34" s="353">
        <f t="shared" si="3"/>
        <v>143.32688301617722</v>
      </c>
      <c r="M34" s="353">
        <f t="shared" si="3"/>
        <v>129.45653949848264</v>
      </c>
      <c r="N34" s="353">
        <f t="shared" si="3"/>
        <v>143.32688301617722</v>
      </c>
      <c r="O34" s="353">
        <f t="shared" si="3"/>
        <v>1687.5584613195058</v>
      </c>
    </row>
    <row r="37" spans="2:15">
      <c r="B37" s="53" t="s">
        <v>970</v>
      </c>
      <c r="C37" s="19"/>
      <c r="D37" s="19"/>
      <c r="E37" s="19"/>
      <c r="F37" s="19"/>
      <c r="G37" s="19"/>
      <c r="H37" s="19"/>
      <c r="I37" s="72"/>
    </row>
    <row r="38" spans="2:15">
      <c r="B38" s="53" t="s">
        <v>712</v>
      </c>
      <c r="C38" s="63"/>
      <c r="D38" s="63"/>
      <c r="O38" s="63" t="s">
        <v>277</v>
      </c>
    </row>
    <row r="39" spans="2:15">
      <c r="B39" s="105" t="s">
        <v>278</v>
      </c>
      <c r="C39" s="86" t="s">
        <v>279</v>
      </c>
      <c r="D39" s="86" t="s">
        <v>280</v>
      </c>
      <c r="E39" s="106" t="s">
        <v>281</v>
      </c>
      <c r="F39" s="106" t="s">
        <v>282</v>
      </c>
      <c r="G39" s="106" t="s">
        <v>283</v>
      </c>
      <c r="H39" s="106" t="s">
        <v>284</v>
      </c>
      <c r="I39" s="106" t="s">
        <v>285</v>
      </c>
      <c r="J39" s="106" t="s">
        <v>286</v>
      </c>
      <c r="K39" s="106" t="s">
        <v>287</v>
      </c>
      <c r="L39" s="106" t="s">
        <v>288</v>
      </c>
      <c r="M39" s="106" t="s">
        <v>289</v>
      </c>
      <c r="N39" s="106" t="s">
        <v>290</v>
      </c>
      <c r="O39" s="106" t="s">
        <v>271</v>
      </c>
    </row>
    <row r="40" spans="2:15">
      <c r="B40" s="148" t="s">
        <v>778</v>
      </c>
      <c r="C40" s="452">
        <f>'F2.2'!$T$37*30/365</f>
        <v>138.7034351769457</v>
      </c>
      <c r="D40" s="452">
        <f>'F2.2'!$T$37*31/365</f>
        <v>143.32688301617722</v>
      </c>
      <c r="E40" s="452">
        <f>'F2.2'!$T$37*30/365</f>
        <v>138.7034351769457</v>
      </c>
      <c r="F40" s="452">
        <f>'F2.2'!$T$37*31/365</f>
        <v>143.32688301617722</v>
      </c>
      <c r="G40" s="452">
        <f>'F2.2'!$T$37*31/365</f>
        <v>143.32688301617722</v>
      </c>
      <c r="H40" s="452">
        <f>'F2.2'!$T$37*30/365</f>
        <v>138.7034351769457</v>
      </c>
      <c r="I40" s="452">
        <f>'F2.2'!$T$37*31/365</f>
        <v>143.32688301617722</v>
      </c>
      <c r="J40" s="452">
        <f>'F2.2'!$T$37*30/365</f>
        <v>138.7034351769457</v>
      </c>
      <c r="K40" s="452">
        <f>'F2.2'!$T$37*31/365</f>
        <v>143.32688301617722</v>
      </c>
      <c r="L40" s="452">
        <f>'F2.2'!$T$37*31/365</f>
        <v>143.32688301617722</v>
      </c>
      <c r="M40" s="452">
        <f>'F2.2'!$T$37*28/365</f>
        <v>129.45653949848264</v>
      </c>
      <c r="N40" s="452">
        <f>'F2.2'!$T$37*31/365</f>
        <v>143.32688301617722</v>
      </c>
      <c r="O40" s="452">
        <f>SUM(C40:N40)</f>
        <v>1687.5584613195058</v>
      </c>
    </row>
    <row r="41" spans="2:15">
      <c r="B41" s="107"/>
      <c r="C41" s="324"/>
      <c r="D41" s="324"/>
      <c r="E41" s="324"/>
      <c r="F41" s="324"/>
      <c r="G41" s="324"/>
      <c r="H41" s="324"/>
      <c r="I41" s="324"/>
      <c r="J41" s="324"/>
      <c r="K41" s="324"/>
      <c r="L41" s="324"/>
      <c r="M41" s="324"/>
      <c r="N41" s="324"/>
      <c r="O41" s="324">
        <f>SUM(C41:N41)</f>
        <v>0</v>
      </c>
    </row>
    <row r="42" spans="2:15">
      <c r="B42" s="73" t="s">
        <v>271</v>
      </c>
      <c r="C42" s="353">
        <f>SUM(C40:C41)</f>
        <v>138.7034351769457</v>
      </c>
      <c r="D42" s="353">
        <f t="shared" ref="D42:O42" si="4">SUM(D40:D41)</f>
        <v>143.32688301617722</v>
      </c>
      <c r="E42" s="353">
        <f t="shared" si="4"/>
        <v>138.7034351769457</v>
      </c>
      <c r="F42" s="353">
        <f t="shared" si="4"/>
        <v>143.32688301617722</v>
      </c>
      <c r="G42" s="353">
        <f t="shared" si="4"/>
        <v>143.32688301617722</v>
      </c>
      <c r="H42" s="353">
        <f t="shared" si="4"/>
        <v>138.7034351769457</v>
      </c>
      <c r="I42" s="353">
        <f t="shared" si="4"/>
        <v>143.32688301617722</v>
      </c>
      <c r="J42" s="353">
        <f t="shared" si="4"/>
        <v>138.7034351769457</v>
      </c>
      <c r="K42" s="353">
        <f t="shared" si="4"/>
        <v>143.32688301617722</v>
      </c>
      <c r="L42" s="353">
        <f t="shared" si="4"/>
        <v>143.32688301617722</v>
      </c>
      <c r="M42" s="353">
        <f t="shared" si="4"/>
        <v>129.45653949848264</v>
      </c>
      <c r="N42" s="353">
        <f t="shared" si="4"/>
        <v>143.32688301617722</v>
      </c>
      <c r="O42" s="353">
        <f t="shared" si="4"/>
        <v>1687.5584613195058</v>
      </c>
    </row>
    <row r="45" spans="2:15">
      <c r="B45" s="53" t="s">
        <v>971</v>
      </c>
      <c r="C45" s="19"/>
      <c r="D45" s="19"/>
      <c r="E45" s="19"/>
      <c r="F45" s="19"/>
      <c r="G45" s="19"/>
      <c r="H45" s="19"/>
      <c r="I45" s="72"/>
    </row>
    <row r="46" spans="2:15">
      <c r="B46" s="53" t="s">
        <v>712</v>
      </c>
      <c r="C46" s="63"/>
      <c r="D46" s="63"/>
      <c r="O46" s="63" t="s">
        <v>277</v>
      </c>
    </row>
    <row r="47" spans="2:15">
      <c r="B47" s="105" t="s">
        <v>278</v>
      </c>
      <c r="C47" s="703" t="s">
        <v>279</v>
      </c>
      <c r="D47" s="703" t="s">
        <v>280</v>
      </c>
      <c r="E47" s="106" t="s">
        <v>281</v>
      </c>
      <c r="F47" s="106" t="s">
        <v>282</v>
      </c>
      <c r="G47" s="106" t="s">
        <v>283</v>
      </c>
      <c r="H47" s="106" t="s">
        <v>284</v>
      </c>
      <c r="I47" s="106" t="s">
        <v>285</v>
      </c>
      <c r="J47" s="106" t="s">
        <v>286</v>
      </c>
      <c r="K47" s="106" t="s">
        <v>287</v>
      </c>
      <c r="L47" s="106" t="s">
        <v>288</v>
      </c>
      <c r="M47" s="106" t="s">
        <v>289</v>
      </c>
      <c r="N47" s="106" t="s">
        <v>290</v>
      </c>
      <c r="O47" s="106" t="s">
        <v>271</v>
      </c>
    </row>
    <row r="48" spans="2:15">
      <c r="B48" s="148" t="s">
        <v>778</v>
      </c>
      <c r="C48" s="452">
        <f>'F2.2'!$U$37*30/366</f>
        <v>138.33038220629126</v>
      </c>
      <c r="D48" s="452">
        <f>'F2.2'!$U$37*31/366</f>
        <v>142.94139494650096</v>
      </c>
      <c r="E48" s="452">
        <f>'F2.2'!$U$37*30/366</f>
        <v>138.33038220629126</v>
      </c>
      <c r="F48" s="452">
        <f>'F2.2'!$U$37*31/366</f>
        <v>142.94139494650096</v>
      </c>
      <c r="G48" s="452">
        <f>'F2.2'!$U$37*31/366</f>
        <v>142.94139494650096</v>
      </c>
      <c r="H48" s="452">
        <f>'F2.2'!$U$37*30/366</f>
        <v>138.33038220629126</v>
      </c>
      <c r="I48" s="452">
        <f>'F2.2'!$U$37*31/366</f>
        <v>142.94139494650096</v>
      </c>
      <c r="J48" s="452">
        <f>'F2.2'!$U$37*30/366</f>
        <v>138.33038220629126</v>
      </c>
      <c r="K48" s="452">
        <f>'F2.2'!$U$37*31/366</f>
        <v>142.94139494650096</v>
      </c>
      <c r="L48" s="452">
        <f>'F2.2'!$U$37*31/366</f>
        <v>142.94139494650096</v>
      </c>
      <c r="M48" s="452">
        <f>'F2.2'!$U$37*29/366</f>
        <v>133.71936946608156</v>
      </c>
      <c r="N48" s="452">
        <f>'F2.2'!$U$37*31/366</f>
        <v>142.94139494650096</v>
      </c>
      <c r="O48" s="452">
        <f>SUM(C48:N48)</f>
        <v>1687.6306629167534</v>
      </c>
    </row>
    <row r="49" spans="2:15">
      <c r="B49" s="107"/>
      <c r="C49" s="324"/>
      <c r="D49" s="324"/>
      <c r="E49" s="324"/>
      <c r="F49" s="324"/>
      <c r="G49" s="324"/>
      <c r="H49" s="324"/>
      <c r="I49" s="324"/>
      <c r="J49" s="324"/>
      <c r="K49" s="324"/>
      <c r="L49" s="324"/>
      <c r="M49" s="324"/>
      <c r="N49" s="324"/>
      <c r="O49" s="324">
        <f>SUM(C49:N49)</f>
        <v>0</v>
      </c>
    </row>
    <row r="50" spans="2:15">
      <c r="B50" s="73" t="s">
        <v>271</v>
      </c>
      <c r="C50" s="353">
        <f>SUM(C48:C49)</f>
        <v>138.33038220629126</v>
      </c>
      <c r="D50" s="353">
        <f t="shared" ref="D50:O50" si="5">SUM(D48:D49)</f>
        <v>142.94139494650096</v>
      </c>
      <c r="E50" s="353">
        <f t="shared" si="5"/>
        <v>138.33038220629126</v>
      </c>
      <c r="F50" s="353">
        <f t="shared" si="5"/>
        <v>142.94139494650096</v>
      </c>
      <c r="G50" s="353">
        <f t="shared" si="5"/>
        <v>142.94139494650096</v>
      </c>
      <c r="H50" s="353">
        <f t="shared" si="5"/>
        <v>138.33038220629126</v>
      </c>
      <c r="I50" s="353">
        <f t="shared" si="5"/>
        <v>142.94139494650096</v>
      </c>
      <c r="J50" s="353">
        <f t="shared" si="5"/>
        <v>138.33038220629126</v>
      </c>
      <c r="K50" s="353">
        <f t="shared" si="5"/>
        <v>142.94139494650096</v>
      </c>
      <c r="L50" s="353">
        <f t="shared" si="5"/>
        <v>142.94139494650096</v>
      </c>
      <c r="M50" s="353">
        <f t="shared" si="5"/>
        <v>133.71936946608156</v>
      </c>
      <c r="N50" s="353">
        <f t="shared" si="5"/>
        <v>142.94139494650096</v>
      </c>
      <c r="O50" s="353">
        <f t="shared" si="5"/>
        <v>1687.6306629167534</v>
      </c>
    </row>
    <row r="53" spans="2:15">
      <c r="B53" s="53" t="s">
        <v>972</v>
      </c>
      <c r="C53" s="19"/>
      <c r="D53" s="19"/>
      <c r="E53" s="19"/>
      <c r="F53" s="19"/>
      <c r="G53" s="19"/>
      <c r="H53" s="19"/>
      <c r="I53" s="72"/>
    </row>
    <row r="54" spans="2:15">
      <c r="B54" s="53" t="s">
        <v>712</v>
      </c>
      <c r="C54" s="63"/>
      <c r="D54" s="63"/>
      <c r="O54" s="63" t="s">
        <v>277</v>
      </c>
    </row>
    <row r="55" spans="2:15">
      <c r="B55" s="105" t="s">
        <v>278</v>
      </c>
      <c r="C55" s="703" t="s">
        <v>279</v>
      </c>
      <c r="D55" s="703" t="s">
        <v>280</v>
      </c>
      <c r="E55" s="106" t="s">
        <v>281</v>
      </c>
      <c r="F55" s="106" t="s">
        <v>282</v>
      </c>
      <c r="G55" s="106" t="s">
        <v>283</v>
      </c>
      <c r="H55" s="106" t="s">
        <v>284</v>
      </c>
      <c r="I55" s="106" t="s">
        <v>285</v>
      </c>
      <c r="J55" s="106" t="s">
        <v>286</v>
      </c>
      <c r="K55" s="106" t="s">
        <v>287</v>
      </c>
      <c r="L55" s="106" t="s">
        <v>288</v>
      </c>
      <c r="M55" s="106" t="s">
        <v>289</v>
      </c>
      <c r="N55" s="106" t="s">
        <v>290</v>
      </c>
      <c r="O55" s="106" t="s">
        <v>271</v>
      </c>
    </row>
    <row r="56" spans="2:15">
      <c r="B56" s="148" t="s">
        <v>778</v>
      </c>
      <c r="C56" s="452">
        <f>'F2.2'!$V$37*30/365</f>
        <v>138.70936955480167</v>
      </c>
      <c r="D56" s="452">
        <f>'F2.2'!$V$37*31/365</f>
        <v>143.33301520662837</v>
      </c>
      <c r="E56" s="452">
        <f>'F2.2'!$V$37*30/365</f>
        <v>138.70936955480167</v>
      </c>
      <c r="F56" s="452">
        <f>'F2.2'!$V$37*31/365</f>
        <v>143.33301520662837</v>
      </c>
      <c r="G56" s="452">
        <f>'F2.2'!$V$37*31/365</f>
        <v>143.33301520662837</v>
      </c>
      <c r="H56" s="452">
        <f>'F2.2'!$V$37*30/365</f>
        <v>138.70936955480167</v>
      </c>
      <c r="I56" s="452">
        <f>'F2.2'!$V$37*31/365</f>
        <v>143.33301520662837</v>
      </c>
      <c r="J56" s="452">
        <f>'F2.2'!$V$37*30/365</f>
        <v>138.70936955480167</v>
      </c>
      <c r="K56" s="452">
        <f>'F2.2'!$V$37*31/365</f>
        <v>143.33301520662837</v>
      </c>
      <c r="L56" s="452">
        <f>'F2.2'!$V$37*31/365</f>
        <v>143.33301520662837</v>
      </c>
      <c r="M56" s="452">
        <f>'F2.2'!$V$37*28/365</f>
        <v>129.4620782511482</v>
      </c>
      <c r="N56" s="452">
        <f>'F2.2'!$V$37*31/365</f>
        <v>143.33301520662837</v>
      </c>
      <c r="O56" s="452">
        <f>SUM(C56:N56)</f>
        <v>1687.6306629167534</v>
      </c>
    </row>
    <row r="57" spans="2:15">
      <c r="B57" s="107"/>
      <c r="C57" s="324"/>
      <c r="D57" s="324"/>
      <c r="E57" s="324"/>
      <c r="F57" s="324"/>
      <c r="G57" s="324"/>
      <c r="H57" s="324"/>
      <c r="I57" s="324"/>
      <c r="J57" s="324"/>
      <c r="K57" s="324"/>
      <c r="L57" s="324"/>
      <c r="M57" s="324"/>
      <c r="N57" s="324"/>
      <c r="O57" s="324">
        <f>SUM(C57:N57)</f>
        <v>0</v>
      </c>
    </row>
    <row r="58" spans="2:15">
      <c r="B58" s="73" t="s">
        <v>271</v>
      </c>
      <c r="C58" s="353">
        <f>SUM(C56:C57)</f>
        <v>138.70936955480167</v>
      </c>
      <c r="D58" s="353">
        <f t="shared" ref="D58:O58" si="6">SUM(D56:D57)</f>
        <v>143.33301520662837</v>
      </c>
      <c r="E58" s="353">
        <f t="shared" si="6"/>
        <v>138.70936955480167</v>
      </c>
      <c r="F58" s="353">
        <f t="shared" si="6"/>
        <v>143.33301520662837</v>
      </c>
      <c r="G58" s="353">
        <f t="shared" si="6"/>
        <v>143.33301520662837</v>
      </c>
      <c r="H58" s="353">
        <f t="shared" si="6"/>
        <v>138.70936955480167</v>
      </c>
      <c r="I58" s="353">
        <f t="shared" si="6"/>
        <v>143.33301520662837</v>
      </c>
      <c r="J58" s="353">
        <f t="shared" si="6"/>
        <v>138.70936955480167</v>
      </c>
      <c r="K58" s="353">
        <f t="shared" si="6"/>
        <v>143.33301520662837</v>
      </c>
      <c r="L58" s="353">
        <f t="shared" si="6"/>
        <v>143.33301520662837</v>
      </c>
      <c r="M58" s="353">
        <f t="shared" si="6"/>
        <v>129.4620782511482</v>
      </c>
      <c r="N58" s="353">
        <f t="shared" si="6"/>
        <v>143.33301520662837</v>
      </c>
      <c r="O58" s="353">
        <f t="shared" si="6"/>
        <v>1687.6306629167534</v>
      </c>
    </row>
    <row r="61" spans="2:15">
      <c r="B61" s="53" t="s">
        <v>973</v>
      </c>
      <c r="C61" s="19"/>
      <c r="D61" s="19"/>
      <c r="E61" s="19"/>
      <c r="F61" s="19"/>
      <c r="G61" s="19"/>
      <c r="H61" s="19"/>
      <c r="I61" s="72"/>
    </row>
    <row r="62" spans="2:15">
      <c r="B62" s="53" t="s">
        <v>712</v>
      </c>
      <c r="C62" s="63"/>
      <c r="D62" s="63"/>
      <c r="O62" s="63" t="s">
        <v>277</v>
      </c>
    </row>
    <row r="63" spans="2:15">
      <c r="B63" s="105" t="s">
        <v>278</v>
      </c>
      <c r="C63" s="703" t="s">
        <v>279</v>
      </c>
      <c r="D63" s="703" t="s">
        <v>280</v>
      </c>
      <c r="E63" s="106" t="s">
        <v>281</v>
      </c>
      <c r="F63" s="106" t="s">
        <v>282</v>
      </c>
      <c r="G63" s="106" t="s">
        <v>283</v>
      </c>
      <c r="H63" s="106" t="s">
        <v>284</v>
      </c>
      <c r="I63" s="106" t="s">
        <v>285</v>
      </c>
      <c r="J63" s="106" t="s">
        <v>286</v>
      </c>
      <c r="K63" s="106" t="s">
        <v>287</v>
      </c>
      <c r="L63" s="106" t="s">
        <v>288</v>
      </c>
      <c r="M63" s="106" t="s">
        <v>289</v>
      </c>
      <c r="N63" s="106" t="s">
        <v>290</v>
      </c>
      <c r="O63" s="106" t="s">
        <v>271</v>
      </c>
    </row>
    <row r="64" spans="2:15">
      <c r="B64" s="148" t="s">
        <v>778</v>
      </c>
      <c r="C64" s="452">
        <f>'F2.2'!$W$37*30/365</f>
        <v>138.70936955480167</v>
      </c>
      <c r="D64" s="452">
        <f>'F2.2'!$V$37*31/365</f>
        <v>143.33301520662837</v>
      </c>
      <c r="E64" s="452">
        <f>'F2.2'!$V$37*30/365</f>
        <v>138.70936955480167</v>
      </c>
      <c r="F64" s="452">
        <f>'F2.2'!$V$37*31/365</f>
        <v>143.33301520662837</v>
      </c>
      <c r="G64" s="452">
        <f>'F2.2'!$V$37*31/365</f>
        <v>143.33301520662837</v>
      </c>
      <c r="H64" s="452">
        <f>'F2.2'!$V$37*30/365</f>
        <v>138.70936955480167</v>
      </c>
      <c r="I64" s="452">
        <f>'F2.2'!$V$37*31/365</f>
        <v>143.33301520662837</v>
      </c>
      <c r="J64" s="452">
        <f>'F2.2'!$V$37*30/365</f>
        <v>138.70936955480167</v>
      </c>
      <c r="K64" s="452">
        <f>'F2.2'!$V$37*31/365</f>
        <v>143.33301520662837</v>
      </c>
      <c r="L64" s="452">
        <f>'F2.2'!$V$37*31/365</f>
        <v>143.33301520662837</v>
      </c>
      <c r="M64" s="452">
        <f>'F2.2'!$V$37*28/365</f>
        <v>129.4620782511482</v>
      </c>
      <c r="N64" s="452">
        <f>'F2.2'!$V$37*31/365</f>
        <v>143.33301520662837</v>
      </c>
      <c r="O64" s="452">
        <f>SUM(C64:N64)</f>
        <v>1687.6306629167534</v>
      </c>
    </row>
    <row r="65" spans="2:15">
      <c r="B65" s="107"/>
      <c r="C65" s="324"/>
      <c r="D65" s="324"/>
      <c r="E65" s="324"/>
      <c r="F65" s="324"/>
      <c r="G65" s="324"/>
      <c r="H65" s="324"/>
      <c r="I65" s="324"/>
      <c r="J65" s="324"/>
      <c r="K65" s="324"/>
      <c r="L65" s="324"/>
      <c r="M65" s="324"/>
      <c r="N65" s="324"/>
      <c r="O65" s="324">
        <f>SUM(C65:N65)</f>
        <v>0</v>
      </c>
    </row>
    <row r="66" spans="2:15">
      <c r="B66" s="73" t="s">
        <v>271</v>
      </c>
      <c r="C66" s="353">
        <f>SUM(C64:C65)</f>
        <v>138.70936955480167</v>
      </c>
      <c r="D66" s="353">
        <f t="shared" ref="D66:O66" si="7">SUM(D64:D65)</f>
        <v>143.33301520662837</v>
      </c>
      <c r="E66" s="353">
        <f t="shared" si="7"/>
        <v>138.70936955480167</v>
      </c>
      <c r="F66" s="353">
        <f t="shared" si="7"/>
        <v>143.33301520662837</v>
      </c>
      <c r="G66" s="353">
        <f t="shared" si="7"/>
        <v>143.33301520662837</v>
      </c>
      <c r="H66" s="353">
        <f t="shared" si="7"/>
        <v>138.70936955480167</v>
      </c>
      <c r="I66" s="353">
        <f t="shared" si="7"/>
        <v>143.33301520662837</v>
      </c>
      <c r="J66" s="353">
        <f t="shared" si="7"/>
        <v>138.70936955480167</v>
      </c>
      <c r="K66" s="353">
        <f t="shared" si="7"/>
        <v>143.33301520662837</v>
      </c>
      <c r="L66" s="353">
        <f t="shared" si="7"/>
        <v>143.33301520662837</v>
      </c>
      <c r="M66" s="353">
        <f t="shared" si="7"/>
        <v>129.4620782511482</v>
      </c>
      <c r="N66" s="353">
        <f t="shared" si="7"/>
        <v>143.33301520662837</v>
      </c>
      <c r="O66" s="353">
        <f t="shared" si="7"/>
        <v>1687.6306629167534</v>
      </c>
    </row>
  </sheetData>
  <mergeCells count="6">
    <mergeCell ref="B2:O2"/>
    <mergeCell ref="B3:O3"/>
    <mergeCell ref="B4:O4"/>
    <mergeCell ref="B22:B23"/>
    <mergeCell ref="K22:N22"/>
    <mergeCell ref="C22:J22"/>
  </mergeCells>
  <pageMargins left="1.63" right="1.33" top="1" bottom="0.37" header="0.5" footer="0.5"/>
  <pageSetup paperSize="9" scale="53"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fitToPage="1"/>
  </sheetPr>
  <dimension ref="B1:N37"/>
  <sheetViews>
    <sheetView showGridLines="0" view="pageBreakPreview" topLeftCell="A16" zoomScale="70" zoomScaleNormal="75" zoomScaleSheetLayoutView="70" workbookViewId="0">
      <selection activeCell="K32" sqref="K32"/>
    </sheetView>
  </sheetViews>
  <sheetFormatPr defaultColWidth="9.36328125" defaultRowHeight="13"/>
  <cols>
    <col min="1" max="1" width="9.36328125" style="74"/>
    <col min="2" max="2" width="29.453125" style="74" customWidth="1"/>
    <col min="3" max="6" width="12.36328125" style="74" customWidth="1"/>
    <col min="7" max="9" width="10.36328125" style="74" customWidth="1"/>
    <col min="10" max="14" width="11.6328125" style="74" customWidth="1"/>
    <col min="15" max="16384" width="9.36328125" style="74"/>
  </cols>
  <sheetData>
    <row r="1" spans="2:14" s="5" customFormat="1" ht="14">
      <c r="B1" s="71"/>
    </row>
    <row r="2" spans="2:14" s="5" customFormat="1" ht="14">
      <c r="B2" s="15" t="str">
        <f>Index!B2</f>
        <v xml:space="preserve">      Maharashtra State Power Generation Company Ltd.</v>
      </c>
      <c r="C2" s="18"/>
      <c r="D2" s="18"/>
      <c r="E2" s="18"/>
      <c r="F2" s="18"/>
      <c r="G2" s="18"/>
      <c r="H2" s="18"/>
      <c r="I2" s="18"/>
      <c r="J2" s="18"/>
      <c r="K2" s="18"/>
      <c r="L2" s="18"/>
      <c r="M2" s="18"/>
      <c r="N2" s="18"/>
    </row>
    <row r="3" spans="2:14" s="5" customFormat="1" ht="14">
      <c r="B3" s="15" t="str">
        <f>Index!B3</f>
        <v>MYT Petition Formats for Parli 8</v>
      </c>
      <c r="C3" s="70"/>
      <c r="D3" s="70"/>
      <c r="E3" s="70"/>
      <c r="F3" s="70"/>
      <c r="G3" s="70"/>
      <c r="H3" s="70"/>
      <c r="I3" s="70"/>
      <c r="J3" s="70"/>
      <c r="K3" s="70"/>
      <c r="L3" s="70"/>
      <c r="M3" s="70"/>
      <c r="N3" s="18"/>
    </row>
    <row r="4" spans="2:14" s="5" customFormat="1" ht="14">
      <c r="B4" s="17" t="s">
        <v>344</v>
      </c>
      <c r="C4" s="19"/>
      <c r="D4" s="19"/>
      <c r="E4" s="19"/>
      <c r="F4" s="19"/>
      <c r="G4" s="19"/>
      <c r="H4" s="19"/>
      <c r="I4" s="19"/>
      <c r="J4" s="19"/>
      <c r="K4" s="19"/>
      <c r="L4" s="19"/>
      <c r="M4" s="19"/>
      <c r="N4" s="19"/>
    </row>
    <row r="6" spans="2:14" ht="14">
      <c r="B6" s="53" t="s">
        <v>508</v>
      </c>
    </row>
    <row r="7" spans="2:14" ht="14">
      <c r="B7" s="53" t="s">
        <v>27</v>
      </c>
      <c r="N7" s="75" t="s">
        <v>10</v>
      </c>
    </row>
    <row r="8" spans="2:14" ht="13.25" customHeight="1">
      <c r="B8" s="1963" t="s">
        <v>278</v>
      </c>
      <c r="C8" s="1806" t="s">
        <v>294</v>
      </c>
      <c r="D8" s="1806"/>
      <c r="E8" s="1806"/>
      <c r="F8" s="1806"/>
      <c r="G8" s="1804" t="s">
        <v>295</v>
      </c>
      <c r="H8" s="1804"/>
      <c r="I8" s="1804"/>
      <c r="J8" s="1804" t="s">
        <v>296</v>
      </c>
      <c r="K8" s="1804"/>
      <c r="L8" s="1804"/>
      <c r="M8" s="1804"/>
      <c r="N8" s="1804"/>
    </row>
    <row r="9" spans="2:14" ht="84">
      <c r="B9" s="1965"/>
      <c r="C9" s="310" t="s">
        <v>347</v>
      </c>
      <c r="D9" s="310" t="s">
        <v>345</v>
      </c>
      <c r="E9" s="310" t="s">
        <v>740</v>
      </c>
      <c r="F9" s="310" t="s">
        <v>346</v>
      </c>
      <c r="G9" s="310" t="s">
        <v>297</v>
      </c>
      <c r="H9" s="310" t="s">
        <v>741</v>
      </c>
      <c r="I9" s="310" t="s">
        <v>298</v>
      </c>
      <c r="J9" s="310" t="s">
        <v>299</v>
      </c>
      <c r="K9" s="310" t="s">
        <v>300</v>
      </c>
      <c r="L9" s="310" t="s">
        <v>742</v>
      </c>
      <c r="M9" s="310" t="s">
        <v>743</v>
      </c>
      <c r="N9" s="311" t="s">
        <v>271</v>
      </c>
    </row>
    <row r="10" spans="2:14">
      <c r="B10" s="110"/>
      <c r="C10" s="111"/>
      <c r="D10" s="111"/>
      <c r="E10" s="111"/>
      <c r="F10" s="111"/>
      <c r="G10" s="111"/>
      <c r="H10" s="111"/>
      <c r="I10" s="111"/>
      <c r="J10" s="111"/>
      <c r="K10" s="111"/>
      <c r="L10" s="111"/>
      <c r="M10" s="111"/>
      <c r="N10" s="112"/>
    </row>
    <row r="11" spans="2:14" ht="14">
      <c r="B11" s="148" t="s">
        <v>778</v>
      </c>
      <c r="C11" s="337">
        <f>'F9.1'!Q21</f>
        <v>255.02946029999998</v>
      </c>
      <c r="D11" s="337">
        <f>'F9.1'!$Q$18</f>
        <v>4.0599999992802811</v>
      </c>
      <c r="E11" s="337">
        <f>'F9.1'!Q29</f>
        <v>0</v>
      </c>
      <c r="F11" s="337">
        <f>'F9.1'!Q20</f>
        <v>0.67911092339007773</v>
      </c>
      <c r="G11" s="337">
        <f>'F9.1'!Q16</f>
        <v>1000.391062</v>
      </c>
      <c r="H11" s="337"/>
      <c r="I11" s="337"/>
      <c r="J11" s="337">
        <f>C11</f>
        <v>255.02946029999998</v>
      </c>
      <c r="K11" s="337">
        <f>'F9.1'!Q22</f>
        <v>406.15877109999997</v>
      </c>
      <c r="L11" s="340">
        <f>SUM('F9.1'!Q24:Q26)</f>
        <v>0</v>
      </c>
      <c r="M11" s="337">
        <f>'F9.1'!Q23</f>
        <v>67.937649786600048</v>
      </c>
      <c r="N11" s="337">
        <f>SUM(J11:M11)</f>
        <v>729.12588118660005</v>
      </c>
    </row>
    <row r="12" spans="2:14" ht="14">
      <c r="B12" s="107"/>
      <c r="C12" s="113"/>
      <c r="D12" s="113"/>
      <c r="E12" s="113"/>
      <c r="F12" s="113"/>
      <c r="G12" s="113"/>
      <c r="H12" s="113"/>
      <c r="I12" s="113"/>
      <c r="J12" s="113"/>
      <c r="K12" s="113"/>
      <c r="L12" s="113"/>
      <c r="M12" s="113"/>
      <c r="N12" s="113"/>
    </row>
    <row r="13" spans="2:14" ht="14">
      <c r="B13" s="107" t="s">
        <v>271</v>
      </c>
      <c r="C13" s="360"/>
      <c r="D13" s="360"/>
      <c r="E13" s="360"/>
      <c r="F13" s="360"/>
      <c r="G13" s="360">
        <f t="shared" ref="G13:N13" si="0">SUM(G10:G12)</f>
        <v>1000.391062</v>
      </c>
      <c r="H13" s="360"/>
      <c r="I13" s="360"/>
      <c r="J13" s="360">
        <f t="shared" si="0"/>
        <v>255.02946029999998</v>
      </c>
      <c r="K13" s="360">
        <f t="shared" si="0"/>
        <v>406.15877109999997</v>
      </c>
      <c r="L13" s="360">
        <f t="shared" si="0"/>
        <v>0</v>
      </c>
      <c r="M13" s="360">
        <f t="shared" si="0"/>
        <v>67.937649786600048</v>
      </c>
      <c r="N13" s="360">
        <f t="shared" si="0"/>
        <v>729.12588118660005</v>
      </c>
    </row>
    <row r="14" spans="2:14">
      <c r="B14" s="77"/>
      <c r="C14" s="78"/>
      <c r="D14" s="78"/>
      <c r="E14" s="78"/>
      <c r="F14" s="78"/>
      <c r="G14" s="78"/>
      <c r="H14" s="78"/>
      <c r="I14" s="78"/>
      <c r="J14" s="78"/>
      <c r="K14" s="78"/>
      <c r="L14" s="78"/>
      <c r="M14" s="78"/>
      <c r="N14" s="78"/>
    </row>
    <row r="15" spans="2:14" ht="14">
      <c r="B15" s="53" t="s">
        <v>509</v>
      </c>
    </row>
    <row r="16" spans="2:14" ht="14">
      <c r="B16" s="53" t="s">
        <v>27</v>
      </c>
      <c r="N16" s="75" t="s">
        <v>10</v>
      </c>
    </row>
    <row r="17" spans="2:14" s="114" customFormat="1" ht="45.75" customHeight="1">
      <c r="B17" s="1963" t="s">
        <v>278</v>
      </c>
      <c r="C17" s="1806" t="s">
        <v>294</v>
      </c>
      <c r="D17" s="1806"/>
      <c r="E17" s="1806"/>
      <c r="F17" s="1806"/>
      <c r="G17" s="1804" t="s">
        <v>295</v>
      </c>
      <c r="H17" s="1804"/>
      <c r="I17" s="1804"/>
      <c r="J17" s="1804" t="s">
        <v>296</v>
      </c>
      <c r="K17" s="1804"/>
      <c r="L17" s="1804"/>
      <c r="M17" s="1804"/>
      <c r="N17" s="1804"/>
    </row>
    <row r="18" spans="2:14" ht="73.25" customHeight="1">
      <c r="B18" s="1965"/>
      <c r="C18" s="310" t="s">
        <v>347</v>
      </c>
      <c r="D18" s="310" t="s">
        <v>345</v>
      </c>
      <c r="E18" s="310" t="s">
        <v>740</v>
      </c>
      <c r="F18" s="310" t="s">
        <v>346</v>
      </c>
      <c r="G18" s="310" t="s">
        <v>297</v>
      </c>
      <c r="H18" s="310" t="s">
        <v>741</v>
      </c>
      <c r="I18" s="310" t="s">
        <v>298</v>
      </c>
      <c r="J18" s="310" t="s">
        <v>299</v>
      </c>
      <c r="K18" s="310" t="s">
        <v>300</v>
      </c>
      <c r="L18" s="310" t="s">
        <v>742</v>
      </c>
      <c r="M18" s="310" t="s">
        <v>743</v>
      </c>
      <c r="N18" s="311" t="s">
        <v>271</v>
      </c>
    </row>
    <row r="19" spans="2:14" s="76" customFormat="1">
      <c r="B19" s="110"/>
      <c r="C19" s="361"/>
      <c r="D19" s="361"/>
      <c r="E19" s="361"/>
      <c r="F19" s="361"/>
      <c r="G19" s="361"/>
      <c r="H19" s="361"/>
      <c r="I19" s="361"/>
      <c r="J19" s="361"/>
      <c r="K19" s="361"/>
      <c r="L19" s="361"/>
      <c r="M19" s="361"/>
      <c r="N19" s="362"/>
    </row>
    <row r="20" spans="2:14" ht="14">
      <c r="B20" s="148" t="s">
        <v>778</v>
      </c>
      <c r="C20" s="337">
        <f>'F9.1'!Q48</f>
        <v>335.86438360000005</v>
      </c>
      <c r="D20" s="337">
        <f>'F9.1'!Q45</f>
        <v>5.015999998795948</v>
      </c>
      <c r="E20" s="337">
        <f>'F9.1'!Q55</f>
        <v>0</v>
      </c>
      <c r="F20" s="337">
        <f>'F9.1'!Q47</f>
        <v>0.31836831784834457</v>
      </c>
      <c r="G20" s="337">
        <f>'F9.1'!Q43</f>
        <v>1136.1630229999998</v>
      </c>
      <c r="H20" s="337"/>
      <c r="I20" s="337"/>
      <c r="J20" s="337">
        <f>C20</f>
        <v>335.86438360000005</v>
      </c>
      <c r="K20" s="337">
        <f>'F9.1'!Q49</f>
        <v>569.89937220000002</v>
      </c>
      <c r="L20" s="340">
        <f>SUM('F9.1'!Q51:Q53)</f>
        <v>-3.2594735999999993</v>
      </c>
      <c r="M20" s="337">
        <f>'F9.1'!Q50</f>
        <v>36.171831043399997</v>
      </c>
      <c r="N20" s="337">
        <f>SUM(J20:M20)</f>
        <v>938.6761132434001</v>
      </c>
    </row>
    <row r="21" spans="2:14" ht="14">
      <c r="B21" s="107"/>
      <c r="C21" s="337"/>
      <c r="D21" s="337"/>
      <c r="E21" s="337"/>
      <c r="F21" s="337"/>
      <c r="G21" s="337"/>
      <c r="H21" s="337"/>
      <c r="I21" s="337"/>
      <c r="J21" s="337"/>
      <c r="K21" s="337"/>
      <c r="L21" s="337"/>
      <c r="M21" s="337"/>
      <c r="N21" s="337"/>
    </row>
    <row r="22" spans="2:14" ht="14">
      <c r="B22" s="107" t="s">
        <v>271</v>
      </c>
      <c r="C22" s="360"/>
      <c r="D22" s="360"/>
      <c r="E22" s="360"/>
      <c r="F22" s="360"/>
      <c r="G22" s="360">
        <f>SUM(G19:G21)</f>
        <v>1136.1630229999998</v>
      </c>
      <c r="H22" s="360"/>
      <c r="I22" s="360"/>
      <c r="J22" s="360">
        <f>SUM(J19:J21)</f>
        <v>335.86438360000005</v>
      </c>
      <c r="K22" s="360">
        <f>SUM(K19:K21)</f>
        <v>569.89937220000002</v>
      </c>
      <c r="L22" s="360">
        <f>SUM(L19:L21)</f>
        <v>-3.2594735999999993</v>
      </c>
      <c r="M22" s="360">
        <f>SUM(M19:M21)</f>
        <v>36.171831043399997</v>
      </c>
      <c r="N22" s="360">
        <f>SUM(N19:N21)</f>
        <v>938.6761132434001</v>
      </c>
    </row>
    <row r="23" spans="2:14">
      <c r="B23" s="77"/>
      <c r="C23" s="78"/>
      <c r="D23" s="78"/>
      <c r="E23" s="78"/>
      <c r="F23" s="78"/>
      <c r="G23" s="78"/>
      <c r="H23" s="78"/>
      <c r="I23" s="78"/>
      <c r="J23" s="78"/>
      <c r="K23" s="78"/>
      <c r="L23" s="78"/>
      <c r="M23" s="78"/>
      <c r="N23" s="78"/>
    </row>
    <row r="24" spans="2:14" ht="14">
      <c r="B24" s="792" t="s">
        <v>968</v>
      </c>
    </row>
    <row r="25" spans="2:14" ht="14">
      <c r="B25" s="53" t="s">
        <v>12</v>
      </c>
      <c r="N25" s="75" t="s">
        <v>10</v>
      </c>
    </row>
    <row r="26" spans="2:14" ht="30.75" customHeight="1">
      <c r="B26" s="1963" t="s">
        <v>278</v>
      </c>
      <c r="C26" s="1806" t="s">
        <v>294</v>
      </c>
      <c r="D26" s="1806"/>
      <c r="E26" s="1806"/>
      <c r="F26" s="1806"/>
      <c r="G26" s="1804" t="s">
        <v>295</v>
      </c>
      <c r="H26" s="1804"/>
      <c r="I26" s="1804"/>
      <c r="J26" s="1964" t="s">
        <v>296</v>
      </c>
      <c r="K26" s="1964"/>
      <c r="L26" s="1964"/>
      <c r="M26" s="1964"/>
      <c r="N26" s="1964"/>
    </row>
    <row r="27" spans="2:14" ht="70.25" customHeight="1">
      <c r="B27" s="1963"/>
      <c r="C27" s="310" t="s">
        <v>347</v>
      </c>
      <c r="D27" s="310" t="s">
        <v>345</v>
      </c>
      <c r="E27" s="310" t="s">
        <v>740</v>
      </c>
      <c r="F27" s="310" t="s">
        <v>346</v>
      </c>
      <c r="G27" s="310" t="s">
        <v>297</v>
      </c>
      <c r="H27" s="310" t="s">
        <v>741</v>
      </c>
      <c r="I27" s="310" t="s">
        <v>298</v>
      </c>
      <c r="J27" s="310" t="s">
        <v>299</v>
      </c>
      <c r="K27" s="310" t="s">
        <v>300</v>
      </c>
      <c r="L27" s="310" t="s">
        <v>742</v>
      </c>
      <c r="M27" s="310" t="s">
        <v>743</v>
      </c>
      <c r="N27" s="311" t="s">
        <v>271</v>
      </c>
    </row>
    <row r="28" spans="2:14">
      <c r="B28" s="110"/>
      <c r="C28" s="111"/>
      <c r="D28" s="111"/>
      <c r="E28" s="111"/>
      <c r="F28" s="111"/>
      <c r="G28" s="111"/>
      <c r="H28" s="111"/>
      <c r="I28" s="111"/>
      <c r="J28" s="111"/>
      <c r="K28" s="111"/>
      <c r="L28" s="111"/>
      <c r="M28" s="111"/>
      <c r="N28" s="112"/>
    </row>
    <row r="29" spans="2:14" ht="14">
      <c r="B29" s="148" t="s">
        <v>1542</v>
      </c>
      <c r="C29" s="1284">
        <v>190.6087067</v>
      </c>
      <c r="D29" s="1284">
        <f>K29/G29*10</f>
        <v>4.0725538550489855</v>
      </c>
      <c r="E29" s="113"/>
      <c r="F29" s="1285">
        <f>M29/G29*10</f>
        <v>5.8619085027875953E-2</v>
      </c>
      <c r="G29" s="1286">
        <f>SUM('F8'!C26:H26)</f>
        <v>711.30891243306962</v>
      </c>
      <c r="H29" s="113"/>
      <c r="I29" s="113"/>
      <c r="J29" s="339">
        <f>C29</f>
        <v>190.6087067</v>
      </c>
      <c r="K29" s="339">
        <v>289.68438534599994</v>
      </c>
      <c r="L29" s="113"/>
      <c r="M29" s="338">
        <v>4.1696277619000082</v>
      </c>
      <c r="N29" s="339">
        <f>SUM(J29:M29)</f>
        <v>484.46271980789999</v>
      </c>
    </row>
    <row r="30" spans="2:14" ht="14">
      <c r="B30" s="148" t="s">
        <v>1543</v>
      </c>
      <c r="C30" s="1284">
        <v>192.33072231983382</v>
      </c>
      <c r="D30" s="1284">
        <v>5.0518799317948355</v>
      </c>
      <c r="E30" s="113"/>
      <c r="F30" s="113"/>
      <c r="G30" s="1284">
        <f>SUM('F8'!I26:N26)</f>
        <v>846.51144893972878</v>
      </c>
      <c r="H30" s="113"/>
      <c r="I30" s="113"/>
      <c r="J30" s="339">
        <f>C30</f>
        <v>192.33072231983382</v>
      </c>
      <c r="K30" s="1284">
        <f>D30*G30/10</f>
        <v>427.64742009331837</v>
      </c>
      <c r="L30" s="113"/>
      <c r="M30" s="113"/>
      <c r="N30" s="339">
        <f>SUM(J30:M30)</f>
        <v>619.97814241315223</v>
      </c>
    </row>
    <row r="31" spans="2:14" ht="14">
      <c r="B31" s="148" t="s">
        <v>271</v>
      </c>
      <c r="C31" s="1287">
        <f>SUM(C29:C30)</f>
        <v>382.93942901983382</v>
      </c>
      <c r="D31" s="1287"/>
      <c r="E31" s="1287"/>
      <c r="F31" s="1287"/>
      <c r="G31" s="1287">
        <f>SUM(G28:G30)</f>
        <v>1557.8203613727983</v>
      </c>
      <c r="H31" s="1287"/>
      <c r="I31" s="1287"/>
      <c r="J31" s="1287">
        <f t="shared" ref="J31:N31" si="1">SUM(J29:J30)</f>
        <v>382.93942901983382</v>
      </c>
      <c r="K31" s="1287">
        <f t="shared" si="1"/>
        <v>717.33180543931826</v>
      </c>
      <c r="L31" s="1287">
        <f t="shared" si="1"/>
        <v>0</v>
      </c>
      <c r="M31" s="1287">
        <f t="shared" si="1"/>
        <v>4.1696277619000082</v>
      </c>
      <c r="N31" s="1287">
        <f t="shared" si="1"/>
        <v>1104.4408622210522</v>
      </c>
    </row>
    <row r="32" spans="2:14">
      <c r="K32" s="620"/>
    </row>
    <row r="37" spans="6:6">
      <c r="F37" s="74" t="s">
        <v>947</v>
      </c>
    </row>
  </sheetData>
  <mergeCells count="12">
    <mergeCell ref="B26:B27"/>
    <mergeCell ref="C26:F26"/>
    <mergeCell ref="G26:I26"/>
    <mergeCell ref="J26:N26"/>
    <mergeCell ref="B8:B9"/>
    <mergeCell ref="C8:F8"/>
    <mergeCell ref="G8:I8"/>
    <mergeCell ref="J8:N8"/>
    <mergeCell ref="B17:B18"/>
    <mergeCell ref="C17:F17"/>
    <mergeCell ref="G17:I17"/>
    <mergeCell ref="J17:N17"/>
  </mergeCells>
  <pageMargins left="2.2000000000000002" right="0.93" top="0.77" bottom="1" header="0.5" footer="0.5"/>
  <pageSetup paperSize="9" scale="62"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B1:S58"/>
  <sheetViews>
    <sheetView showGridLines="0" view="pageBreakPreview" zoomScale="70" zoomScaleNormal="80" zoomScaleSheetLayoutView="70" workbookViewId="0">
      <pane xSplit="4" ySplit="4" topLeftCell="E5" activePane="bottomRight" state="frozen"/>
      <selection activeCell="N56" sqref="N56"/>
      <selection pane="topRight" activeCell="N56" sqref="N56"/>
      <selection pane="bottomLeft" activeCell="N56" sqref="N56"/>
      <selection pane="bottomRight" activeCell="N56" sqref="N56"/>
    </sheetView>
  </sheetViews>
  <sheetFormatPr defaultColWidth="9.36328125" defaultRowHeight="13"/>
  <cols>
    <col min="1" max="1" width="9.36328125" style="76"/>
    <col min="2" max="2" width="5" style="76" customWidth="1"/>
    <col min="3" max="3" width="38.36328125" style="76" customWidth="1"/>
    <col min="4" max="4" width="16.36328125" style="76" customWidth="1"/>
    <col min="5" max="17" width="15.453125" style="76" customWidth="1"/>
    <col min="18" max="16384" width="9.36328125" style="76"/>
  </cols>
  <sheetData>
    <row r="1" spans="2:19" s="194" customFormat="1">
      <c r="B1" s="193"/>
    </row>
    <row r="2" spans="2:19" s="194" customFormat="1" ht="14">
      <c r="C2" s="207"/>
      <c r="D2" s="195"/>
      <c r="E2" s="195"/>
      <c r="F2" s="15" t="str">
        <f>Index!B2</f>
        <v xml:space="preserve">      Maharashtra State Power Generation Company Ltd.</v>
      </c>
      <c r="G2" s="195"/>
      <c r="H2" s="195"/>
      <c r="I2" s="195"/>
      <c r="J2" s="195"/>
      <c r="K2" s="195"/>
      <c r="L2" s="195"/>
      <c r="M2" s="195"/>
    </row>
    <row r="3" spans="2:19" s="194" customFormat="1" ht="14">
      <c r="C3" s="208"/>
      <c r="D3" s="196"/>
      <c r="E3" s="196"/>
      <c r="F3" s="15" t="str">
        <f>Index!B3</f>
        <v>MYT Petition Formats for Parli 8</v>
      </c>
      <c r="G3" s="196"/>
      <c r="H3" s="196"/>
      <c r="I3" s="196"/>
      <c r="J3" s="196"/>
      <c r="K3" s="196"/>
      <c r="L3" s="196"/>
      <c r="M3" s="195"/>
    </row>
    <row r="4" spans="2:19" s="194" customFormat="1" ht="14">
      <c r="C4" s="209"/>
      <c r="D4" s="197"/>
      <c r="E4" s="197"/>
      <c r="F4" s="17" t="s">
        <v>438</v>
      </c>
      <c r="G4" s="197"/>
      <c r="H4" s="197"/>
      <c r="I4" s="197"/>
      <c r="J4" s="197"/>
      <c r="K4" s="197"/>
      <c r="L4" s="197"/>
      <c r="M4" s="197"/>
    </row>
    <row r="6" spans="2:19">
      <c r="B6" s="291" t="s">
        <v>998</v>
      </c>
      <c r="C6" s="291" t="s">
        <v>508</v>
      </c>
    </row>
    <row r="7" spans="2:19" ht="26">
      <c r="B7" s="198" t="s">
        <v>425</v>
      </c>
      <c r="C7" s="198" t="s">
        <v>36</v>
      </c>
      <c r="D7" s="198" t="s">
        <v>93</v>
      </c>
      <c r="E7" s="753" t="s">
        <v>279</v>
      </c>
      <c r="F7" s="753" t="s">
        <v>280</v>
      </c>
      <c r="G7" s="106" t="s">
        <v>281</v>
      </c>
      <c r="H7" s="106" t="s">
        <v>282</v>
      </c>
      <c r="I7" s="106" t="s">
        <v>283</v>
      </c>
      <c r="J7" s="106" t="s">
        <v>284</v>
      </c>
      <c r="K7" s="106" t="s">
        <v>285</v>
      </c>
      <c r="L7" s="106" t="s">
        <v>286</v>
      </c>
      <c r="M7" s="106" t="s">
        <v>287</v>
      </c>
      <c r="N7" s="106" t="s">
        <v>288</v>
      </c>
      <c r="O7" s="106" t="s">
        <v>289</v>
      </c>
      <c r="P7" s="106" t="s">
        <v>290</v>
      </c>
      <c r="Q7" s="199" t="s">
        <v>271</v>
      </c>
      <c r="R7" s="318"/>
    </row>
    <row r="8" spans="2:19">
      <c r="B8" s="200">
        <v>1</v>
      </c>
      <c r="C8" s="201" t="s">
        <v>362</v>
      </c>
      <c r="D8" s="200" t="s">
        <v>98</v>
      </c>
      <c r="E8" s="824">
        <v>0.85</v>
      </c>
      <c r="F8" s="824">
        <v>0.85</v>
      </c>
      <c r="G8" s="824">
        <v>0.85</v>
      </c>
      <c r="H8" s="824">
        <v>0.85</v>
      </c>
      <c r="I8" s="824">
        <v>0.85</v>
      </c>
      <c r="J8" s="824">
        <v>0.85</v>
      </c>
      <c r="K8" s="824">
        <v>0.85</v>
      </c>
      <c r="L8" s="824">
        <v>0.85</v>
      </c>
      <c r="M8" s="824">
        <v>0.85</v>
      </c>
      <c r="N8" s="824">
        <v>0.85</v>
      </c>
      <c r="O8" s="824">
        <v>0.85</v>
      </c>
      <c r="P8" s="824">
        <v>0.85</v>
      </c>
      <c r="Q8" s="599">
        <f>AVERAGE(E8:P8)</f>
        <v>0.84999999999999976</v>
      </c>
      <c r="R8" s="318"/>
      <c r="S8" s="319"/>
    </row>
    <row r="9" spans="2:19">
      <c r="B9" s="200">
        <f>B8+1</f>
        <v>2</v>
      </c>
      <c r="C9" s="201" t="s">
        <v>426</v>
      </c>
      <c r="D9" s="200" t="s">
        <v>98</v>
      </c>
      <c r="E9" s="600"/>
      <c r="F9" s="600"/>
      <c r="G9" s="600"/>
      <c r="H9" s="600"/>
      <c r="I9" s="600"/>
      <c r="J9" s="600"/>
      <c r="K9" s="600"/>
      <c r="L9" s="600"/>
      <c r="M9" s="600"/>
      <c r="N9" s="600"/>
      <c r="O9" s="600"/>
      <c r="P9" s="600"/>
      <c r="Q9" s="601"/>
    </row>
    <row r="10" spans="2:19">
      <c r="B10" s="200">
        <f>B9+1</f>
        <v>3</v>
      </c>
      <c r="C10" s="201" t="s">
        <v>427</v>
      </c>
      <c r="D10" s="200" t="s">
        <v>98</v>
      </c>
      <c r="E10" s="599"/>
      <c r="F10" s="599"/>
      <c r="G10" s="599"/>
      <c r="H10" s="599"/>
      <c r="I10" s="599"/>
      <c r="J10" s="599"/>
      <c r="K10" s="599"/>
      <c r="L10" s="599"/>
      <c r="M10" s="599"/>
      <c r="N10" s="599"/>
      <c r="O10" s="599"/>
      <c r="P10" s="599"/>
      <c r="Q10" s="599"/>
    </row>
    <row r="11" spans="2:19">
      <c r="B11" s="200">
        <f t="shared" ref="B11:B28" si="0">B10+1</f>
        <v>4</v>
      </c>
      <c r="C11" s="201" t="s">
        <v>99</v>
      </c>
      <c r="D11" s="200" t="s">
        <v>98</v>
      </c>
      <c r="E11" s="824">
        <v>0.85</v>
      </c>
      <c r="F11" s="824">
        <v>0.85</v>
      </c>
      <c r="G11" s="824">
        <v>0.85</v>
      </c>
      <c r="H11" s="824">
        <v>0.85</v>
      </c>
      <c r="I11" s="824">
        <v>0.85</v>
      </c>
      <c r="J11" s="824">
        <v>0.85</v>
      </c>
      <c r="K11" s="824">
        <v>0.85</v>
      </c>
      <c r="L11" s="824">
        <v>0.85</v>
      </c>
      <c r="M11" s="824">
        <v>0.85</v>
      </c>
      <c r="N11" s="824">
        <v>0.85</v>
      </c>
      <c r="O11" s="824">
        <v>0.85</v>
      </c>
      <c r="P11" s="824">
        <v>0.85</v>
      </c>
      <c r="Q11" s="599">
        <f>AVERAGE(E11:P11)</f>
        <v>0.84999999999999976</v>
      </c>
    </row>
    <row r="12" spans="2:19">
      <c r="B12" s="200">
        <f t="shared" si="0"/>
        <v>5</v>
      </c>
      <c r="C12" s="201" t="s">
        <v>428</v>
      </c>
      <c r="D12" s="200" t="s">
        <v>98</v>
      </c>
      <c r="E12" s="599"/>
      <c r="F12" s="599"/>
      <c r="G12" s="599"/>
      <c r="H12" s="599"/>
      <c r="I12" s="599"/>
      <c r="J12" s="599"/>
      <c r="K12" s="599"/>
      <c r="L12" s="599"/>
      <c r="M12" s="599"/>
      <c r="N12" s="599"/>
      <c r="O12" s="599"/>
      <c r="P12" s="599"/>
      <c r="Q12" s="599"/>
    </row>
    <row r="13" spans="2:19">
      <c r="B13" s="200">
        <v>7</v>
      </c>
      <c r="C13" s="201" t="s">
        <v>429</v>
      </c>
      <c r="D13" s="200" t="s">
        <v>98</v>
      </c>
      <c r="E13" s="599"/>
      <c r="F13" s="599"/>
      <c r="G13" s="599"/>
      <c r="H13" s="599"/>
      <c r="I13" s="599"/>
      <c r="J13" s="599"/>
      <c r="K13" s="599"/>
      <c r="L13" s="599"/>
      <c r="M13" s="599"/>
      <c r="N13" s="599"/>
      <c r="O13" s="599"/>
      <c r="P13" s="599"/>
      <c r="Q13" s="599"/>
    </row>
    <row r="14" spans="2:19">
      <c r="B14" s="200">
        <f t="shared" si="0"/>
        <v>8</v>
      </c>
      <c r="C14" s="202" t="s">
        <v>430</v>
      </c>
      <c r="D14" s="205" t="s">
        <v>100</v>
      </c>
      <c r="E14" s="500">
        <v>99.9</v>
      </c>
      <c r="F14" s="500">
        <v>85.828000000000003</v>
      </c>
      <c r="G14" s="500">
        <v>74.900000000000006</v>
      </c>
      <c r="H14" s="500">
        <v>73.638999999999996</v>
      </c>
      <c r="I14" s="500">
        <v>112.82</v>
      </c>
      <c r="J14" s="500">
        <v>108.747</v>
      </c>
      <c r="K14" s="500">
        <v>74.563000000000002</v>
      </c>
      <c r="L14" s="500">
        <v>102.435</v>
      </c>
      <c r="M14" s="500">
        <v>105.929</v>
      </c>
      <c r="N14" s="500">
        <v>93.164000000000001</v>
      </c>
      <c r="O14" s="500">
        <v>91.335999999999999</v>
      </c>
      <c r="P14" s="500">
        <v>109.82</v>
      </c>
      <c r="Q14" s="500">
        <f>SUM(E14:P14)</f>
        <v>1133.0810000000001</v>
      </c>
    </row>
    <row r="15" spans="2:19">
      <c r="B15" s="200">
        <f t="shared" si="0"/>
        <v>9</v>
      </c>
      <c r="C15" s="202" t="s">
        <v>431</v>
      </c>
      <c r="D15" s="205" t="s">
        <v>100</v>
      </c>
      <c r="E15" s="500">
        <v>12.85</v>
      </c>
      <c r="F15" s="500">
        <v>11.98</v>
      </c>
      <c r="G15" s="500">
        <v>11.23</v>
      </c>
      <c r="H15" s="500">
        <v>10.25</v>
      </c>
      <c r="I15" s="500">
        <v>15.03</v>
      </c>
      <c r="J15" s="500">
        <v>14.259</v>
      </c>
      <c r="K15" s="500">
        <v>11.443</v>
      </c>
      <c r="L15" s="500">
        <v>13.632</v>
      </c>
      <c r="M15" s="500">
        <v>14.114000000000001</v>
      </c>
      <c r="N15" s="500">
        <v>12.239000000000001</v>
      </c>
      <c r="O15" s="500">
        <v>12.459</v>
      </c>
      <c r="P15" s="500">
        <v>14.551</v>
      </c>
      <c r="Q15" s="500">
        <f>SUM(E15:P15)</f>
        <v>154.03700000000001</v>
      </c>
    </row>
    <row r="16" spans="2:19">
      <c r="B16" s="200">
        <f t="shared" si="0"/>
        <v>10</v>
      </c>
      <c r="C16" s="202" t="s">
        <v>473</v>
      </c>
      <c r="D16" s="205" t="s">
        <v>100</v>
      </c>
      <c r="E16" s="500">
        <v>85.541022999999996</v>
      </c>
      <c r="F16" s="500">
        <v>72.957314999999994</v>
      </c>
      <c r="G16" s="500">
        <v>64.08</v>
      </c>
      <c r="H16" s="500">
        <v>65.543279999999996</v>
      </c>
      <c r="I16" s="500">
        <v>98.460667000000001</v>
      </c>
      <c r="J16" s="500">
        <v>96.523302000000001</v>
      </c>
      <c r="K16" s="500">
        <v>66.373064999999997</v>
      </c>
      <c r="L16" s="500">
        <v>91.113116000000005</v>
      </c>
      <c r="M16" s="500">
        <v>93.951015999999996</v>
      </c>
      <c r="N16" s="500">
        <v>83.108407999999997</v>
      </c>
      <c r="O16" s="500">
        <v>83.350587000000004</v>
      </c>
      <c r="P16" s="500">
        <v>99.389283000000006</v>
      </c>
      <c r="Q16" s="500">
        <f>SUM(E16:P16)</f>
        <v>1000.391062</v>
      </c>
    </row>
    <row r="17" spans="2:19">
      <c r="B17" s="200">
        <f t="shared" si="0"/>
        <v>11</v>
      </c>
      <c r="C17" s="202" t="s">
        <v>478</v>
      </c>
      <c r="D17" s="205" t="s">
        <v>100</v>
      </c>
      <c r="E17" s="500"/>
      <c r="F17" s="500"/>
      <c r="G17" s="500"/>
      <c r="H17" s="500"/>
      <c r="I17" s="500"/>
      <c r="J17" s="500"/>
      <c r="K17" s="500"/>
      <c r="L17" s="500"/>
      <c r="M17" s="500"/>
      <c r="N17" s="500"/>
      <c r="O17" s="500"/>
      <c r="P17" s="500"/>
      <c r="Q17" s="500">
        <f>SUM(E17:P17)</f>
        <v>0</v>
      </c>
    </row>
    <row r="18" spans="2:19">
      <c r="B18" s="200">
        <f t="shared" si="0"/>
        <v>12</v>
      </c>
      <c r="C18" s="202" t="s">
        <v>432</v>
      </c>
      <c r="D18" s="205" t="s">
        <v>441</v>
      </c>
      <c r="E18" s="500">
        <f>E22/E16*10</f>
        <v>4.0599999955576873</v>
      </c>
      <c r="F18" s="500">
        <f t="shared" ref="F18:P18" si="1">F22/F16*10</f>
        <v>4.060000001370665</v>
      </c>
      <c r="G18" s="500">
        <f t="shared" si="1"/>
        <v>4.0600000000000005</v>
      </c>
      <c r="H18" s="500">
        <f t="shared" si="1"/>
        <v>4.0600000030514192</v>
      </c>
      <c r="I18" s="500">
        <f t="shared" si="1"/>
        <v>4.0599999997968732</v>
      </c>
      <c r="J18" s="500">
        <f t="shared" si="1"/>
        <v>4.0599999987567772</v>
      </c>
      <c r="K18" s="500">
        <f t="shared" si="1"/>
        <v>4.0600000015066353</v>
      </c>
      <c r="L18" s="500">
        <f t="shared" si="1"/>
        <v>4.0600000004390138</v>
      </c>
      <c r="M18" s="500">
        <f t="shared" si="1"/>
        <v>4.0600000004257533</v>
      </c>
      <c r="N18" s="500">
        <f t="shared" si="1"/>
        <v>4.0599999942244116</v>
      </c>
      <c r="O18" s="500">
        <f t="shared" si="1"/>
        <v>4.0599999973605456</v>
      </c>
      <c r="P18" s="500">
        <f t="shared" si="1"/>
        <v>4.0600000002012289</v>
      </c>
      <c r="Q18" s="500">
        <f>Q22/Q16*10</f>
        <v>4.0599999992802811</v>
      </c>
    </row>
    <row r="19" spans="2:19">
      <c r="B19" s="200">
        <f t="shared" si="0"/>
        <v>13</v>
      </c>
      <c r="C19" s="202" t="s">
        <v>479</v>
      </c>
      <c r="D19" s="205" t="s">
        <v>442</v>
      </c>
      <c r="E19" s="500">
        <v>28.033928799999998</v>
      </c>
      <c r="F19" s="500">
        <v>28.033928799999998</v>
      </c>
      <c r="G19" s="500">
        <v>28.033928799999998</v>
      </c>
      <c r="H19" s="500">
        <v>28.033928799999998</v>
      </c>
      <c r="I19" s="500">
        <v>28.033928799999998</v>
      </c>
      <c r="J19" s="500">
        <v>28.033928799999998</v>
      </c>
      <c r="K19" s="500">
        <v>28.033928799999998</v>
      </c>
      <c r="L19" s="500">
        <v>28.033928799999998</v>
      </c>
      <c r="M19" s="500">
        <v>28.033928799999998</v>
      </c>
      <c r="N19" s="500">
        <v>28.033928799999998</v>
      </c>
      <c r="O19" s="500">
        <v>28.033928799999998</v>
      </c>
      <c r="P19" s="500">
        <v>28.033928799999998</v>
      </c>
      <c r="Q19" s="500"/>
    </row>
    <row r="20" spans="2:19">
      <c r="B20" s="200">
        <f t="shared" si="0"/>
        <v>14</v>
      </c>
      <c r="C20" s="202" t="s">
        <v>480</v>
      </c>
      <c r="D20" s="205" t="s">
        <v>441</v>
      </c>
      <c r="E20" s="500">
        <f>E23*10/E16</f>
        <v>-0.21899999999999947</v>
      </c>
      <c r="F20" s="500">
        <f t="shared" ref="F20:P20" si="2">F23*10/F16</f>
        <v>0.17100000000000026</v>
      </c>
      <c r="G20" s="500">
        <f t="shared" si="2"/>
        <v>9.2999999999999972E-2</v>
      </c>
      <c r="H20" s="500">
        <f t="shared" si="2"/>
        <v>0.20700000000000074</v>
      </c>
      <c r="I20" s="500">
        <f t="shared" si="2"/>
        <v>0.91100000000000048</v>
      </c>
      <c r="J20" s="500">
        <f t="shared" si="2"/>
        <v>1.3160000000000007</v>
      </c>
      <c r="K20" s="500">
        <f t="shared" si="2"/>
        <v>1.234</v>
      </c>
      <c r="L20" s="500">
        <f t="shared" si="2"/>
        <v>1.0870000000000006</v>
      </c>
      <c r="M20" s="500">
        <f t="shared" si="2"/>
        <v>0.73399999999999999</v>
      </c>
      <c r="N20" s="500">
        <f t="shared" si="2"/>
        <v>0.66600000000000048</v>
      </c>
      <c r="O20" s="500">
        <f t="shared" si="2"/>
        <v>0.78600000000000059</v>
      </c>
      <c r="P20" s="500">
        <f t="shared" si="2"/>
        <v>0.79100000000000004</v>
      </c>
      <c r="Q20" s="500">
        <f>Q23*10/Q16</f>
        <v>0.67911092339007773</v>
      </c>
    </row>
    <row r="21" spans="2:19">
      <c r="B21" s="200">
        <f t="shared" si="0"/>
        <v>15</v>
      </c>
      <c r="C21" s="202" t="s">
        <v>433</v>
      </c>
      <c r="D21" s="205" t="s">
        <v>442</v>
      </c>
      <c r="E21" s="500">
        <v>20.173937200000001</v>
      </c>
      <c r="F21" s="500">
        <v>16.843007799999999</v>
      </c>
      <c r="G21" s="500">
        <v>15.4823279</v>
      </c>
      <c r="H21" s="500">
        <v>16.511832799999997</v>
      </c>
      <c r="I21" s="500">
        <v>23.275574999999993</v>
      </c>
      <c r="J21" s="500">
        <v>23.825297999999997</v>
      </c>
      <c r="K21" s="500">
        <v>21.926431800000003</v>
      </c>
      <c r="L21" s="500">
        <v>24.727827399999992</v>
      </c>
      <c r="M21" s="500">
        <v>23.060415799999998</v>
      </c>
      <c r="N21" s="500">
        <v>22.277219099999996</v>
      </c>
      <c r="O21" s="500">
        <v>22.687636700000006</v>
      </c>
      <c r="P21" s="500">
        <v>24.237950799999993</v>
      </c>
      <c r="Q21" s="500">
        <f>SUM(E21:P21)</f>
        <v>255.02946029999998</v>
      </c>
    </row>
    <row r="22" spans="2:19">
      <c r="B22" s="200">
        <f t="shared" si="0"/>
        <v>16</v>
      </c>
      <c r="C22" s="202" t="s">
        <v>434</v>
      </c>
      <c r="D22" s="205" t="s">
        <v>442</v>
      </c>
      <c r="E22" s="500">
        <v>34.729655299999997</v>
      </c>
      <c r="F22" s="500">
        <v>29.620669899999999</v>
      </c>
      <c r="G22" s="500">
        <v>26.016480000000001</v>
      </c>
      <c r="H22" s="500">
        <v>26.610571700000001</v>
      </c>
      <c r="I22" s="500">
        <v>39.975030799999999</v>
      </c>
      <c r="J22" s="500">
        <v>39.188460599999999</v>
      </c>
      <c r="K22" s="500">
        <v>26.947464399999998</v>
      </c>
      <c r="L22" s="500">
        <v>36.991925099999996</v>
      </c>
      <c r="M22" s="500">
        <v>38.144112499999999</v>
      </c>
      <c r="N22" s="500">
        <v>33.7420136</v>
      </c>
      <c r="O22" s="500">
        <v>33.840338299999999</v>
      </c>
      <c r="P22" s="500">
        <v>40.3520489</v>
      </c>
      <c r="Q22" s="500">
        <f t="shared" ref="Q22:Q28" si="3">SUM(E22:P22)</f>
        <v>406.15877109999997</v>
      </c>
    </row>
    <row r="23" spans="2:19">
      <c r="B23" s="200">
        <f t="shared" si="0"/>
        <v>17</v>
      </c>
      <c r="C23" s="202" t="s">
        <v>481</v>
      </c>
      <c r="D23" s="205" t="s">
        <v>442</v>
      </c>
      <c r="E23" s="500">
        <v>-1.8733484036999952</v>
      </c>
      <c r="F23" s="500">
        <v>1.2475700865000019</v>
      </c>
      <c r="G23" s="500">
        <v>0.59594399999999981</v>
      </c>
      <c r="H23" s="500">
        <v>1.3567458960000047</v>
      </c>
      <c r="I23" s="500">
        <v>8.9697667637000045</v>
      </c>
      <c r="J23" s="500">
        <v>12.702466543200007</v>
      </c>
      <c r="K23" s="500">
        <v>8.1904362210000006</v>
      </c>
      <c r="L23" s="500">
        <v>9.9039957092000073</v>
      </c>
      <c r="M23" s="500">
        <v>6.8960045744</v>
      </c>
      <c r="N23" s="500">
        <v>5.5350199728000034</v>
      </c>
      <c r="O23" s="500">
        <v>6.5513561382000045</v>
      </c>
      <c r="P23" s="500">
        <v>7.8616922853000002</v>
      </c>
      <c r="Q23" s="500">
        <f t="shared" si="3"/>
        <v>67.937649786600048</v>
      </c>
    </row>
    <row r="24" spans="2:19">
      <c r="B24" s="200">
        <f t="shared" si="0"/>
        <v>18</v>
      </c>
      <c r="C24" s="202" t="s">
        <v>435</v>
      </c>
      <c r="D24" s="205" t="s">
        <v>442</v>
      </c>
      <c r="E24" s="500"/>
      <c r="F24" s="500"/>
      <c r="G24" s="500"/>
      <c r="H24" s="500"/>
      <c r="I24" s="500"/>
      <c r="J24" s="500"/>
      <c r="K24" s="500"/>
      <c r="L24" s="500"/>
      <c r="M24" s="500"/>
      <c r="N24" s="500"/>
      <c r="O24" s="500"/>
      <c r="P24" s="500"/>
      <c r="Q24" s="500">
        <f t="shared" si="3"/>
        <v>0</v>
      </c>
    </row>
    <row r="25" spans="2:19">
      <c r="B25" s="200">
        <f t="shared" si="0"/>
        <v>19</v>
      </c>
      <c r="C25" s="202" t="s">
        <v>852</v>
      </c>
      <c r="D25" s="205" t="s">
        <v>442</v>
      </c>
      <c r="E25" s="500"/>
      <c r="F25" s="500"/>
      <c r="G25" s="500"/>
      <c r="H25" s="500"/>
      <c r="I25" s="500"/>
      <c r="J25" s="500"/>
      <c r="K25" s="500"/>
      <c r="L25" s="500"/>
      <c r="M25" s="500"/>
      <c r="N25" s="500"/>
      <c r="O25" s="500"/>
      <c r="P25" s="500"/>
      <c r="Q25" s="500">
        <f t="shared" si="3"/>
        <v>0</v>
      </c>
    </row>
    <row r="26" spans="2:19">
      <c r="B26" s="200">
        <f t="shared" si="0"/>
        <v>20</v>
      </c>
      <c r="C26" s="501" t="s">
        <v>1010</v>
      </c>
      <c r="D26" s="502" t="s">
        <v>442</v>
      </c>
      <c r="E26" s="500"/>
      <c r="F26" s="500"/>
      <c r="G26" s="500"/>
      <c r="H26" s="500"/>
      <c r="I26" s="500"/>
      <c r="J26" s="500"/>
      <c r="K26" s="500"/>
      <c r="L26" s="500"/>
      <c r="M26" s="500"/>
      <c r="N26" s="500"/>
      <c r="O26" s="500"/>
      <c r="P26" s="500"/>
      <c r="Q26" s="500">
        <f t="shared" si="3"/>
        <v>0</v>
      </c>
    </row>
    <row r="27" spans="2:19">
      <c r="B27" s="200">
        <f t="shared" si="0"/>
        <v>21</v>
      </c>
      <c r="C27" s="203" t="s">
        <v>436</v>
      </c>
      <c r="D27" s="205" t="s">
        <v>442</v>
      </c>
      <c r="E27" s="362">
        <f t="shared" ref="E27:Q27" si="4">SUM(E21:E26)</f>
        <v>53.030244096300009</v>
      </c>
      <c r="F27" s="362">
        <f t="shared" si="4"/>
        <v>47.711247786500003</v>
      </c>
      <c r="G27" s="362">
        <f t="shared" si="4"/>
        <v>42.094751900000006</v>
      </c>
      <c r="H27" s="362">
        <f t="shared" si="4"/>
        <v>44.479150396000009</v>
      </c>
      <c r="I27" s="362">
        <f t="shared" si="4"/>
        <v>72.220372563699996</v>
      </c>
      <c r="J27" s="362">
        <f t="shared" si="4"/>
        <v>75.716225143200006</v>
      </c>
      <c r="K27" s="362">
        <f t="shared" si="4"/>
        <v>57.064332421000003</v>
      </c>
      <c r="L27" s="362">
        <f t="shared" si="4"/>
        <v>71.623748209199988</v>
      </c>
      <c r="M27" s="362">
        <f t="shared" si="4"/>
        <v>68.100532874399988</v>
      </c>
      <c r="N27" s="362">
        <f t="shared" si="4"/>
        <v>61.554252672799997</v>
      </c>
      <c r="O27" s="362">
        <f t="shared" si="4"/>
        <v>63.079331138200011</v>
      </c>
      <c r="P27" s="362">
        <f t="shared" si="4"/>
        <v>72.451691985299988</v>
      </c>
      <c r="Q27" s="362">
        <f t="shared" si="4"/>
        <v>729.12588118660005</v>
      </c>
    </row>
    <row r="28" spans="2:19">
      <c r="B28" s="200">
        <f t="shared" si="0"/>
        <v>22</v>
      </c>
      <c r="C28" s="204" t="s">
        <v>437</v>
      </c>
      <c r="D28" s="205"/>
      <c r="E28" s="500"/>
      <c r="F28" s="500"/>
      <c r="G28" s="500"/>
      <c r="H28" s="500"/>
      <c r="I28" s="500"/>
      <c r="J28" s="500"/>
      <c r="K28" s="500"/>
      <c r="L28" s="500"/>
      <c r="M28" s="500"/>
      <c r="N28" s="500"/>
      <c r="O28" s="500"/>
      <c r="P28" s="500"/>
      <c r="Q28" s="500">
        <f t="shared" si="3"/>
        <v>0</v>
      </c>
    </row>
    <row r="29" spans="2:19">
      <c r="B29" s="200"/>
      <c r="C29" s="202" t="s">
        <v>420</v>
      </c>
      <c r="D29" s="205" t="s">
        <v>442</v>
      </c>
      <c r="E29" s="500"/>
      <c r="F29" s="500"/>
      <c r="G29" s="500"/>
      <c r="H29" s="500"/>
      <c r="I29" s="500"/>
      <c r="J29" s="500"/>
      <c r="K29" s="500"/>
      <c r="L29" s="500"/>
      <c r="M29" s="500"/>
      <c r="N29" s="500"/>
      <c r="O29" s="500"/>
      <c r="P29" s="500"/>
      <c r="Q29" s="500">
        <f t="shared" ref="Q29" si="5">SUM(E29:P29)</f>
        <v>0</v>
      </c>
    </row>
    <row r="30" spans="2:19">
      <c r="B30" s="205">
        <f>B28+1</f>
        <v>23</v>
      </c>
      <c r="C30" s="206" t="s">
        <v>351</v>
      </c>
      <c r="D30" s="205" t="s">
        <v>442</v>
      </c>
      <c r="E30" s="500">
        <f t="shared" ref="E30:P30" si="6">SUM(E27:E29)</f>
        <v>53.030244096300009</v>
      </c>
      <c r="F30" s="500">
        <f t="shared" si="6"/>
        <v>47.711247786500003</v>
      </c>
      <c r="G30" s="500">
        <f t="shared" si="6"/>
        <v>42.094751900000006</v>
      </c>
      <c r="H30" s="500">
        <f t="shared" si="6"/>
        <v>44.479150396000009</v>
      </c>
      <c r="I30" s="500">
        <f t="shared" si="6"/>
        <v>72.220372563699996</v>
      </c>
      <c r="J30" s="500">
        <f t="shared" si="6"/>
        <v>75.716225143200006</v>
      </c>
      <c r="K30" s="500">
        <f t="shared" si="6"/>
        <v>57.064332421000003</v>
      </c>
      <c r="L30" s="500">
        <f t="shared" si="6"/>
        <v>71.623748209199988</v>
      </c>
      <c r="M30" s="500">
        <f t="shared" si="6"/>
        <v>68.100532874399988</v>
      </c>
      <c r="N30" s="500">
        <f t="shared" si="6"/>
        <v>61.554252672799997</v>
      </c>
      <c r="O30" s="500">
        <f t="shared" si="6"/>
        <v>63.079331138200011</v>
      </c>
      <c r="P30" s="500">
        <f t="shared" si="6"/>
        <v>72.451691985299988</v>
      </c>
      <c r="Q30" s="362">
        <f>SUM(Q27:Q29)</f>
        <v>729.12588118660005</v>
      </c>
      <c r="R30" s="479">
        <f>Q30-'F9'!N13</f>
        <v>0</v>
      </c>
      <c r="S30" s="479"/>
    </row>
    <row r="31" spans="2:19">
      <c r="B31" s="205">
        <f>B30+1</f>
        <v>24</v>
      </c>
      <c r="C31" s="206" t="s">
        <v>443</v>
      </c>
      <c r="D31" s="205" t="s">
        <v>442</v>
      </c>
      <c r="E31" s="500">
        <f t="shared" ref="E31:P31" si="7">E30</f>
        <v>53.030244096300009</v>
      </c>
      <c r="F31" s="500">
        <f t="shared" si="7"/>
        <v>47.711247786500003</v>
      </c>
      <c r="G31" s="500">
        <f t="shared" si="7"/>
        <v>42.094751900000006</v>
      </c>
      <c r="H31" s="500">
        <f t="shared" si="7"/>
        <v>44.479150396000009</v>
      </c>
      <c r="I31" s="500">
        <f t="shared" si="7"/>
        <v>72.220372563699996</v>
      </c>
      <c r="J31" s="500">
        <f t="shared" si="7"/>
        <v>75.716225143200006</v>
      </c>
      <c r="K31" s="500">
        <f t="shared" si="7"/>
        <v>57.064332421000003</v>
      </c>
      <c r="L31" s="500">
        <f t="shared" si="7"/>
        <v>71.623748209199988</v>
      </c>
      <c r="M31" s="500">
        <f t="shared" si="7"/>
        <v>68.100532874399988</v>
      </c>
      <c r="N31" s="500">
        <f t="shared" si="7"/>
        <v>61.554252672799997</v>
      </c>
      <c r="O31" s="500">
        <f t="shared" si="7"/>
        <v>63.079331138200011</v>
      </c>
      <c r="P31" s="500">
        <f t="shared" si="7"/>
        <v>72.451691985299988</v>
      </c>
      <c r="Q31" s="362">
        <f>Q30</f>
        <v>729.12588118660005</v>
      </c>
    </row>
    <row r="32" spans="2:19">
      <c r="B32" s="778"/>
      <c r="C32" s="779"/>
      <c r="D32" s="778"/>
      <c r="E32" s="780"/>
      <c r="F32" s="780"/>
      <c r="G32" s="780"/>
      <c r="H32" s="780"/>
      <c r="I32" s="780"/>
      <c r="J32" s="780"/>
      <c r="K32" s="780"/>
      <c r="L32" s="780"/>
      <c r="M32" s="780"/>
      <c r="N32" s="780"/>
      <c r="O32" s="780"/>
      <c r="P32" s="780"/>
      <c r="Q32" s="781"/>
    </row>
    <row r="33" spans="2:17">
      <c r="B33" s="210" t="s">
        <v>998</v>
      </c>
      <c r="C33" s="210" t="s">
        <v>509</v>
      </c>
    </row>
    <row r="34" spans="2:17" ht="26">
      <c r="B34" s="198" t="s">
        <v>425</v>
      </c>
      <c r="C34" s="198" t="s">
        <v>36</v>
      </c>
      <c r="D34" s="198" t="s">
        <v>93</v>
      </c>
      <c r="E34" s="218" t="s">
        <v>279</v>
      </c>
      <c r="F34" s="218" t="s">
        <v>280</v>
      </c>
      <c r="G34" s="106" t="s">
        <v>281</v>
      </c>
      <c r="H34" s="106" t="s">
        <v>282</v>
      </c>
      <c r="I34" s="106" t="s">
        <v>283</v>
      </c>
      <c r="J34" s="106" t="s">
        <v>284</v>
      </c>
      <c r="K34" s="106" t="s">
        <v>285</v>
      </c>
      <c r="L34" s="106" t="s">
        <v>286</v>
      </c>
      <c r="M34" s="106" t="s">
        <v>287</v>
      </c>
      <c r="N34" s="106" t="s">
        <v>288</v>
      </c>
      <c r="O34" s="106" t="s">
        <v>289</v>
      </c>
      <c r="P34" s="106" t="s">
        <v>290</v>
      </c>
      <c r="Q34" s="199" t="s">
        <v>271</v>
      </c>
    </row>
    <row r="35" spans="2:17">
      <c r="B35" s="200">
        <v>1</v>
      </c>
      <c r="C35" s="201" t="s">
        <v>362</v>
      </c>
      <c r="D35" s="200" t="s">
        <v>98</v>
      </c>
      <c r="E35" s="1149">
        <v>0.85</v>
      </c>
      <c r="F35" s="1149">
        <v>0.85</v>
      </c>
      <c r="G35" s="1149">
        <v>0.85</v>
      </c>
      <c r="H35" s="1149">
        <v>0.85</v>
      </c>
      <c r="I35" s="1149">
        <v>0.85</v>
      </c>
      <c r="J35" s="1149">
        <v>0.85</v>
      </c>
      <c r="K35" s="1149">
        <v>0.85</v>
      </c>
      <c r="L35" s="1149">
        <v>0.85</v>
      </c>
      <c r="M35" s="1149">
        <v>0.85</v>
      </c>
      <c r="N35" s="1149">
        <v>0.85</v>
      </c>
      <c r="O35" s="1149">
        <v>0.85</v>
      </c>
      <c r="P35" s="1149">
        <v>0.85</v>
      </c>
      <c r="Q35" s="599">
        <f>AVERAGE(E35:P35)</f>
        <v>0.84999999999999976</v>
      </c>
    </row>
    <row r="36" spans="2:17">
      <c r="B36" s="200">
        <f>B35+1</f>
        <v>2</v>
      </c>
      <c r="C36" s="201" t="s">
        <v>426</v>
      </c>
      <c r="D36" s="200" t="s">
        <v>98</v>
      </c>
      <c r="E36" s="1150"/>
      <c r="F36" s="1150"/>
      <c r="G36" s="1150"/>
      <c r="H36" s="1150"/>
      <c r="I36" s="1150"/>
      <c r="J36" s="1150"/>
      <c r="K36" s="1150"/>
      <c r="L36" s="1150"/>
      <c r="M36" s="1150"/>
      <c r="N36" s="1150"/>
      <c r="O36" s="1150"/>
      <c r="P36" s="1150"/>
      <c r="Q36" s="601"/>
    </row>
    <row r="37" spans="2:17">
      <c r="B37" s="200">
        <f>B36+1</f>
        <v>3</v>
      </c>
      <c r="C37" s="201" t="s">
        <v>427</v>
      </c>
      <c r="D37" s="200" t="s">
        <v>98</v>
      </c>
      <c r="E37" s="1149"/>
      <c r="F37" s="1149"/>
      <c r="G37" s="1149"/>
      <c r="H37" s="1149"/>
      <c r="I37" s="1149"/>
      <c r="J37" s="1149"/>
      <c r="K37" s="1149"/>
      <c r="L37" s="1149"/>
      <c r="M37" s="1149"/>
      <c r="N37" s="1149"/>
      <c r="O37" s="1149"/>
      <c r="P37" s="1149"/>
      <c r="Q37" s="599"/>
    </row>
    <row r="38" spans="2:17">
      <c r="B38" s="200">
        <f t="shared" ref="B38:B55" si="8">B37+1</f>
        <v>4</v>
      </c>
      <c r="C38" s="201" t="s">
        <v>99</v>
      </c>
      <c r="D38" s="200" t="s">
        <v>98</v>
      </c>
      <c r="E38" s="1149">
        <v>0.85</v>
      </c>
      <c r="F38" s="1149">
        <v>0.85</v>
      </c>
      <c r="G38" s="1149">
        <v>0.85</v>
      </c>
      <c r="H38" s="1149">
        <v>0.85</v>
      </c>
      <c r="I38" s="1149">
        <v>0.85</v>
      </c>
      <c r="J38" s="1149">
        <v>0.85</v>
      </c>
      <c r="K38" s="1149">
        <v>0.85</v>
      </c>
      <c r="L38" s="1149">
        <v>0.85</v>
      </c>
      <c r="M38" s="1149">
        <v>0.85</v>
      </c>
      <c r="N38" s="1149">
        <v>0.85</v>
      </c>
      <c r="O38" s="1149">
        <v>0.85</v>
      </c>
      <c r="P38" s="1149">
        <v>0.85</v>
      </c>
      <c r="Q38" s="599">
        <f>AVERAGE(E38:P38)</f>
        <v>0.84999999999999976</v>
      </c>
    </row>
    <row r="39" spans="2:17">
      <c r="B39" s="200">
        <f t="shared" si="8"/>
        <v>5</v>
      </c>
      <c r="C39" s="201" t="s">
        <v>428</v>
      </c>
      <c r="D39" s="200" t="s">
        <v>98</v>
      </c>
      <c r="E39" s="1149"/>
      <c r="F39" s="1149"/>
      <c r="G39" s="1149"/>
      <c r="H39" s="1149"/>
      <c r="I39" s="1149"/>
      <c r="J39" s="1149"/>
      <c r="K39" s="1149"/>
      <c r="L39" s="1149"/>
      <c r="M39" s="1149"/>
      <c r="N39" s="1149"/>
      <c r="O39" s="1149"/>
      <c r="P39" s="1149"/>
      <c r="Q39" s="599"/>
    </row>
    <row r="40" spans="2:17">
      <c r="B40" s="200">
        <v>7</v>
      </c>
      <c r="C40" s="201" t="s">
        <v>429</v>
      </c>
      <c r="D40" s="200" t="s">
        <v>98</v>
      </c>
      <c r="E40" s="1149"/>
      <c r="F40" s="1149"/>
      <c r="G40" s="1149"/>
      <c r="H40" s="1149"/>
      <c r="I40" s="1149"/>
      <c r="J40" s="1149"/>
      <c r="K40" s="1149"/>
      <c r="L40" s="1149"/>
      <c r="M40" s="1149"/>
      <c r="N40" s="1149"/>
      <c r="O40" s="1149"/>
      <c r="P40" s="1149"/>
      <c r="Q40" s="599"/>
    </row>
    <row r="41" spans="2:17">
      <c r="B41" s="200">
        <f t="shared" si="8"/>
        <v>8</v>
      </c>
      <c r="C41" s="202" t="s">
        <v>430</v>
      </c>
      <c r="D41" s="205" t="s">
        <v>100</v>
      </c>
      <c r="E41" s="1151">
        <v>117.72</v>
      </c>
      <c r="F41" s="1151">
        <v>139.49</v>
      </c>
      <c r="G41" s="1151">
        <v>71.84</v>
      </c>
      <c r="H41" s="1151">
        <v>40.950000000000003</v>
      </c>
      <c r="I41" s="1151">
        <v>103.54</v>
      </c>
      <c r="J41" s="1151">
        <v>117.08</v>
      </c>
      <c r="K41" s="1151">
        <v>137.43</v>
      </c>
      <c r="L41" s="1151">
        <v>145.97</v>
      </c>
      <c r="M41" s="1151">
        <v>79.37</v>
      </c>
      <c r="N41" s="1151">
        <v>115.19</v>
      </c>
      <c r="O41" s="1151">
        <v>118.29</v>
      </c>
      <c r="P41" s="1151">
        <v>108.12</v>
      </c>
      <c r="Q41" s="500">
        <f>SUM(E41:P41)</f>
        <v>1294.9900000000002</v>
      </c>
    </row>
    <row r="42" spans="2:17">
      <c r="B42" s="200">
        <f t="shared" si="8"/>
        <v>9</v>
      </c>
      <c r="C42" s="202" t="s">
        <v>431</v>
      </c>
      <c r="D42" s="205" t="s">
        <v>100</v>
      </c>
      <c r="E42" s="1151">
        <v>14.27</v>
      </c>
      <c r="F42" s="1151">
        <v>15.98</v>
      </c>
      <c r="G42" s="1151">
        <v>10.07</v>
      </c>
      <c r="H42" s="1151">
        <v>7.4</v>
      </c>
      <c r="I42" s="1151">
        <v>12.39</v>
      </c>
      <c r="J42" s="1151">
        <v>14.49</v>
      </c>
      <c r="K42" s="1151">
        <v>14.49</v>
      </c>
      <c r="L42" s="1151">
        <v>15.81</v>
      </c>
      <c r="M42" s="1151">
        <v>15.65</v>
      </c>
      <c r="N42" s="1151">
        <v>10.25</v>
      </c>
      <c r="O42" s="1151">
        <v>13.67</v>
      </c>
      <c r="P42" s="1151">
        <v>14.06</v>
      </c>
      <c r="Q42" s="500">
        <f>SUM(E42:P42)</f>
        <v>158.53</v>
      </c>
    </row>
    <row r="43" spans="2:17">
      <c r="B43" s="200">
        <f t="shared" si="8"/>
        <v>10</v>
      </c>
      <c r="C43" s="202" t="s">
        <v>473</v>
      </c>
      <c r="D43" s="205" t="s">
        <v>100</v>
      </c>
      <c r="E43" s="1151">
        <v>107.91043000000001</v>
      </c>
      <c r="F43" s="1151">
        <v>124.061048</v>
      </c>
      <c r="G43" s="1151">
        <v>62.267961999999997</v>
      </c>
      <c r="H43" s="1151">
        <v>35.573959000000002</v>
      </c>
      <c r="I43" s="1151">
        <v>90.699624</v>
      </c>
      <c r="J43" s="1151">
        <v>100.79895500000001</v>
      </c>
      <c r="K43" s="1151">
        <v>118.925881</v>
      </c>
      <c r="L43" s="1151">
        <v>127.06632999999999</v>
      </c>
      <c r="M43" s="1151">
        <v>69.264497000000006</v>
      </c>
      <c r="N43" s="1151">
        <v>101.93982</v>
      </c>
      <c r="O43" s="1151">
        <v>101.883904</v>
      </c>
      <c r="P43" s="1151">
        <v>95.770612999999997</v>
      </c>
      <c r="Q43" s="500">
        <f>SUM(E43:P43)</f>
        <v>1136.1630229999998</v>
      </c>
    </row>
    <row r="44" spans="2:17">
      <c r="B44" s="200">
        <f t="shared" si="8"/>
        <v>11</v>
      </c>
      <c r="C44" s="202" t="s">
        <v>478</v>
      </c>
      <c r="D44" s="205" t="s">
        <v>100</v>
      </c>
      <c r="E44" s="1151"/>
      <c r="F44" s="1151"/>
      <c r="G44" s="1151"/>
      <c r="H44" s="1151"/>
      <c r="I44" s="1151"/>
      <c r="J44" s="1151"/>
      <c r="K44" s="1151"/>
      <c r="L44" s="1151"/>
      <c r="M44" s="1151"/>
      <c r="N44" s="1151"/>
      <c r="O44" s="1151"/>
      <c r="P44" s="1151"/>
      <c r="Q44" s="500">
        <f>SUM(E44:P44)</f>
        <v>0</v>
      </c>
    </row>
    <row r="45" spans="2:17">
      <c r="B45" s="200">
        <f t="shared" si="8"/>
        <v>12</v>
      </c>
      <c r="C45" s="202" t="s">
        <v>432</v>
      </c>
      <c r="D45" s="205" t="s">
        <v>441</v>
      </c>
      <c r="E45" s="1151">
        <f t="shared" ref="E45:P45" si="9">E49/E43*10</f>
        <v>5.0160000011120323</v>
      </c>
      <c r="F45" s="1151">
        <f t="shared" si="9"/>
        <v>5.0160000018700481</v>
      </c>
      <c r="G45" s="1151">
        <f t="shared" si="9"/>
        <v>5.0159999937046287</v>
      </c>
      <c r="H45" s="1151">
        <f t="shared" si="9"/>
        <v>5.0159999903300045</v>
      </c>
      <c r="I45" s="1151">
        <f t="shared" si="9"/>
        <v>5.0160000001764065</v>
      </c>
      <c r="J45" s="1151">
        <f t="shared" si="9"/>
        <v>5.0159999972221927</v>
      </c>
      <c r="K45" s="1151">
        <f t="shared" si="9"/>
        <v>5.0159999991927737</v>
      </c>
      <c r="L45" s="1151">
        <f t="shared" si="9"/>
        <v>5.0159999977964267</v>
      </c>
      <c r="M45" s="1151">
        <f t="shared" si="9"/>
        <v>5.016000000692995</v>
      </c>
      <c r="N45" s="1151">
        <f t="shared" si="9"/>
        <v>5.015999998822835</v>
      </c>
      <c r="O45" s="1151">
        <f t="shared" si="9"/>
        <v>5.0159999954457968</v>
      </c>
      <c r="P45" s="1151">
        <f t="shared" si="9"/>
        <v>5.0160000020047901</v>
      </c>
      <c r="Q45" s="500">
        <f>Q49/Q43*10</f>
        <v>5.015999998795948</v>
      </c>
    </row>
    <row r="46" spans="2:17">
      <c r="B46" s="200">
        <f t="shared" si="8"/>
        <v>13</v>
      </c>
      <c r="C46" s="202" t="s">
        <v>479</v>
      </c>
      <c r="D46" s="205" t="s">
        <v>442</v>
      </c>
      <c r="E46" s="1151">
        <v>0</v>
      </c>
      <c r="F46" s="1151">
        <v>0</v>
      </c>
      <c r="G46" s="1151">
        <v>0</v>
      </c>
      <c r="H46" s="1151">
        <v>0</v>
      </c>
      <c r="I46" s="1151">
        <v>0</v>
      </c>
      <c r="J46" s="1151">
        <v>0</v>
      </c>
      <c r="K46" s="1151">
        <v>0</v>
      </c>
      <c r="L46" s="1151">
        <v>0</v>
      </c>
      <c r="M46" s="1151">
        <v>0</v>
      </c>
      <c r="N46" s="1151">
        <v>0</v>
      </c>
      <c r="O46" s="1151">
        <v>0</v>
      </c>
      <c r="P46" s="1151">
        <v>0</v>
      </c>
      <c r="Q46" s="500"/>
    </row>
    <row r="47" spans="2:17">
      <c r="B47" s="200">
        <f t="shared" si="8"/>
        <v>14</v>
      </c>
      <c r="C47" s="202" t="s">
        <v>480</v>
      </c>
      <c r="D47" s="205" t="s">
        <v>441</v>
      </c>
      <c r="E47" s="1151">
        <f t="shared" ref="E47:P47" si="10">E50*10/E43</f>
        <v>-0.16799999999999998</v>
      </c>
      <c r="F47" s="1151">
        <f t="shared" si="10"/>
        <v>0.23199999890376552</v>
      </c>
      <c r="G47" s="1151">
        <f t="shared" si="10"/>
        <v>0.31600000012847695</v>
      </c>
      <c r="H47" s="1151">
        <f t="shared" si="10"/>
        <v>0.3670000013211912</v>
      </c>
      <c r="I47" s="1151">
        <f t="shared" si="10"/>
        <v>0.43299999788312249</v>
      </c>
      <c r="J47" s="1151">
        <f t="shared" si="10"/>
        <v>0.71499999999999997</v>
      </c>
      <c r="K47" s="1151">
        <f t="shared" si="10"/>
        <v>0.35799999999999998</v>
      </c>
      <c r="L47" s="1151">
        <f t="shared" si="10"/>
        <v>0.47100000000000003</v>
      </c>
      <c r="M47" s="1151">
        <f t="shared" si="10"/>
        <v>1.4999999999999998E-2</v>
      </c>
      <c r="N47" s="1151">
        <f t="shared" si="10"/>
        <v>0.14200000000000002</v>
      </c>
      <c r="O47" s="1151">
        <f t="shared" si="10"/>
        <v>0.34200000000000003</v>
      </c>
      <c r="P47" s="1151">
        <f t="shared" si="10"/>
        <v>0.56599999999999995</v>
      </c>
      <c r="Q47" s="500">
        <f>Q50*10/Q43</f>
        <v>0.31836831784834457</v>
      </c>
    </row>
    <row r="48" spans="2:17">
      <c r="B48" s="200">
        <f t="shared" si="8"/>
        <v>15</v>
      </c>
      <c r="C48" s="202" t="s">
        <v>433</v>
      </c>
      <c r="D48" s="205" t="s">
        <v>442</v>
      </c>
      <c r="E48" s="1151">
        <v>26.638548</v>
      </c>
      <c r="F48" s="1151">
        <v>29.872208000000001</v>
      </c>
      <c r="G48" s="1151">
        <v>15.563832800000002</v>
      </c>
      <c r="H48" s="1151">
        <v>11.013879200000005</v>
      </c>
      <c r="I48" s="1151">
        <v>27.343236999999998</v>
      </c>
      <c r="J48" s="1151">
        <v>25.248096200000006</v>
      </c>
      <c r="K48" s="1151">
        <v>28.075247400000002</v>
      </c>
      <c r="L48" s="1151">
        <v>35.518483599999996</v>
      </c>
      <c r="M48" s="1151">
        <v>36.88028820000001</v>
      </c>
      <c r="N48" s="1151">
        <v>31.4528058</v>
      </c>
      <c r="O48" s="1151">
        <v>36.405659700000001</v>
      </c>
      <c r="P48" s="1151">
        <v>31.852097700000005</v>
      </c>
      <c r="Q48" s="500">
        <f>SUM(E48:P48)</f>
        <v>335.86438360000005</v>
      </c>
    </row>
    <row r="49" spans="2:19">
      <c r="B49" s="200">
        <f t="shared" si="8"/>
        <v>16</v>
      </c>
      <c r="C49" s="202" t="s">
        <v>434</v>
      </c>
      <c r="D49" s="205" t="s">
        <v>442</v>
      </c>
      <c r="E49" s="1151">
        <v>54.127871699999993</v>
      </c>
      <c r="F49" s="1151">
        <v>62.229021700000004</v>
      </c>
      <c r="G49" s="1151">
        <v>31.233609700000002</v>
      </c>
      <c r="H49" s="1151">
        <v>17.843897800000001</v>
      </c>
      <c r="I49" s="1151">
        <v>45.494931399999999</v>
      </c>
      <c r="J49" s="1151">
        <v>50.560755799999995</v>
      </c>
      <c r="K49" s="1151">
        <v>59.653221899999998</v>
      </c>
      <c r="L49" s="1151">
        <v>63.736471099999996</v>
      </c>
      <c r="M49" s="1151">
        <v>34.743071700000002</v>
      </c>
      <c r="N49" s="1151">
        <v>51.133013699999999</v>
      </c>
      <c r="O49" s="1151">
        <v>51.1049662</v>
      </c>
      <c r="P49" s="1151">
        <v>48.038539499999999</v>
      </c>
      <c r="Q49" s="500">
        <f>SUM(E49:P49)</f>
        <v>569.89937220000002</v>
      </c>
    </row>
    <row r="50" spans="2:19">
      <c r="B50" s="200">
        <f t="shared" si="8"/>
        <v>17</v>
      </c>
      <c r="C50" s="202" t="s">
        <v>481</v>
      </c>
      <c r="D50" s="205" t="s">
        <v>442</v>
      </c>
      <c r="E50" s="1151">
        <v>-1.812895224</v>
      </c>
      <c r="F50" s="1151">
        <v>2.8782163000000001</v>
      </c>
      <c r="G50" s="1151">
        <v>1.9676675999999997</v>
      </c>
      <c r="H50" s="1151">
        <v>1.3055643000000001</v>
      </c>
      <c r="I50" s="1151">
        <v>3.9272937000000003</v>
      </c>
      <c r="J50" s="1151">
        <v>7.2071252824999998</v>
      </c>
      <c r="K50" s="1151">
        <v>4.2575465397999999</v>
      </c>
      <c r="L50" s="1151">
        <v>5.984824143</v>
      </c>
      <c r="M50" s="1151">
        <v>0.1038967455</v>
      </c>
      <c r="N50" s="1151">
        <v>1.447545444</v>
      </c>
      <c r="O50" s="1151">
        <v>3.4844295168000001</v>
      </c>
      <c r="P50" s="1151">
        <v>5.4206166957999997</v>
      </c>
      <c r="Q50" s="500">
        <f>SUM(E50:P50)</f>
        <v>36.171831043399997</v>
      </c>
    </row>
    <row r="51" spans="2:19">
      <c r="B51" s="200">
        <f t="shared" si="8"/>
        <v>18</v>
      </c>
      <c r="C51" s="202" t="s">
        <v>435</v>
      </c>
      <c r="D51" s="205" t="s">
        <v>442</v>
      </c>
      <c r="E51" s="500"/>
      <c r="F51" s="500"/>
      <c r="G51" s="500"/>
      <c r="H51" s="500"/>
      <c r="I51" s="500"/>
      <c r="J51" s="500"/>
      <c r="K51" s="500"/>
      <c r="L51" s="500"/>
      <c r="M51" s="500"/>
      <c r="N51" s="500"/>
      <c r="O51" s="500"/>
      <c r="P51" s="500"/>
      <c r="Q51" s="500"/>
    </row>
    <row r="52" spans="2:19">
      <c r="B52" s="200">
        <f t="shared" si="8"/>
        <v>19</v>
      </c>
      <c r="C52" s="202" t="s">
        <v>852</v>
      </c>
      <c r="D52" s="205" t="s">
        <v>442</v>
      </c>
      <c r="E52" s="500"/>
      <c r="F52" s="500"/>
      <c r="G52" s="500"/>
      <c r="H52" s="500"/>
      <c r="I52" s="500"/>
      <c r="J52" s="500"/>
      <c r="K52" s="500"/>
      <c r="L52" s="500"/>
      <c r="M52" s="500"/>
      <c r="N52" s="500"/>
      <c r="O52" s="500"/>
      <c r="P52" s="500"/>
      <c r="Q52" s="500"/>
    </row>
    <row r="53" spans="2:19">
      <c r="B53" s="200">
        <f t="shared" si="8"/>
        <v>20</v>
      </c>
      <c r="C53" s="501" t="s">
        <v>805</v>
      </c>
      <c r="D53" s="502" t="s">
        <v>442</v>
      </c>
      <c r="E53" s="500">
        <v>-0.2716228</v>
      </c>
      <c r="F53" s="500">
        <v>-0.2716228</v>
      </c>
      <c r="G53" s="500">
        <v>-0.2716228</v>
      </c>
      <c r="H53" s="500">
        <v>-0.2716228</v>
      </c>
      <c r="I53" s="500">
        <v>-0.2716228</v>
      </c>
      <c r="J53" s="500">
        <v>-0.2716228</v>
      </c>
      <c r="K53" s="500">
        <v>-0.2716228</v>
      </c>
      <c r="L53" s="500">
        <v>-0.2716228</v>
      </c>
      <c r="M53" s="500">
        <v>-0.2716228</v>
      </c>
      <c r="N53" s="500">
        <v>-0.2716228</v>
      </c>
      <c r="O53" s="500">
        <v>-0.2716228</v>
      </c>
      <c r="P53" s="500">
        <v>-0.2716228</v>
      </c>
      <c r="Q53" s="500">
        <f>SUM(E53:P53)</f>
        <v>-3.2594735999999993</v>
      </c>
    </row>
    <row r="54" spans="2:19">
      <c r="B54" s="200">
        <f t="shared" si="8"/>
        <v>21</v>
      </c>
      <c r="C54" s="203" t="s">
        <v>436</v>
      </c>
      <c r="D54" s="205" t="s">
        <v>442</v>
      </c>
      <c r="E54" s="362">
        <f t="shared" ref="E54:Q54" si="11">SUM(E48:E53)</f>
        <v>78.681901675999995</v>
      </c>
      <c r="F54" s="362">
        <f t="shared" si="11"/>
        <v>94.707823200000007</v>
      </c>
      <c r="G54" s="362">
        <f t="shared" si="11"/>
        <v>48.493487299999998</v>
      </c>
      <c r="H54" s="362">
        <f t="shared" si="11"/>
        <v>29.891718500000007</v>
      </c>
      <c r="I54" s="362">
        <f t="shared" si="11"/>
        <v>76.493839300000005</v>
      </c>
      <c r="J54" s="362">
        <f t="shared" si="11"/>
        <v>82.7443544825</v>
      </c>
      <c r="K54" s="362">
        <f t="shared" si="11"/>
        <v>91.714393039800001</v>
      </c>
      <c r="L54" s="362">
        <f t="shared" si="11"/>
        <v>104.96815604299998</v>
      </c>
      <c r="M54" s="362">
        <f t="shared" si="11"/>
        <v>71.455633845500003</v>
      </c>
      <c r="N54" s="362">
        <f t="shared" si="11"/>
        <v>83.761742143999996</v>
      </c>
      <c r="O54" s="362">
        <f t="shared" si="11"/>
        <v>90.723432616800011</v>
      </c>
      <c r="P54" s="362">
        <f t="shared" si="11"/>
        <v>85.039631095800004</v>
      </c>
      <c r="Q54" s="362">
        <f t="shared" si="11"/>
        <v>938.6761132434001</v>
      </c>
    </row>
    <row r="55" spans="2:19">
      <c r="B55" s="200">
        <f t="shared" si="8"/>
        <v>22</v>
      </c>
      <c r="C55" s="204" t="s">
        <v>437</v>
      </c>
      <c r="D55" s="205"/>
      <c r="E55" s="500"/>
      <c r="F55" s="500"/>
      <c r="G55" s="500"/>
      <c r="H55" s="500"/>
      <c r="I55" s="500"/>
      <c r="J55" s="500"/>
      <c r="K55" s="500"/>
      <c r="L55" s="500"/>
      <c r="M55" s="500"/>
      <c r="N55" s="500"/>
      <c r="O55" s="500"/>
      <c r="P55" s="500"/>
      <c r="Q55" s="500"/>
    </row>
    <row r="56" spans="2:19">
      <c r="B56" s="200"/>
      <c r="C56" s="202" t="s">
        <v>420</v>
      </c>
      <c r="D56" s="205" t="s">
        <v>442</v>
      </c>
      <c r="E56" s="500"/>
      <c r="F56" s="500"/>
      <c r="G56" s="500"/>
      <c r="H56" s="500"/>
      <c r="I56" s="500"/>
      <c r="J56" s="500"/>
      <c r="K56" s="500"/>
      <c r="L56" s="500"/>
      <c r="M56" s="500"/>
      <c r="N56" s="500"/>
      <c r="O56" s="500"/>
      <c r="P56" s="500"/>
      <c r="Q56" s="500">
        <f t="shared" ref="Q56" si="12">SUM(E56:P56)</f>
        <v>0</v>
      </c>
    </row>
    <row r="57" spans="2:19">
      <c r="B57" s="205">
        <f>B55+1</f>
        <v>23</v>
      </c>
      <c r="C57" s="206" t="s">
        <v>351</v>
      </c>
      <c r="D57" s="205" t="s">
        <v>442</v>
      </c>
      <c r="E57" s="500">
        <f t="shared" ref="E57:P57" si="13">SUM(E54:E56)</f>
        <v>78.681901675999995</v>
      </c>
      <c r="F57" s="500">
        <f t="shared" si="13"/>
        <v>94.707823200000007</v>
      </c>
      <c r="G57" s="500">
        <f t="shared" si="13"/>
        <v>48.493487299999998</v>
      </c>
      <c r="H57" s="500">
        <f t="shared" si="13"/>
        <v>29.891718500000007</v>
      </c>
      <c r="I57" s="500">
        <f t="shared" si="13"/>
        <v>76.493839300000005</v>
      </c>
      <c r="J57" s="500">
        <f t="shared" si="13"/>
        <v>82.7443544825</v>
      </c>
      <c r="K57" s="500">
        <f t="shared" si="13"/>
        <v>91.714393039800001</v>
      </c>
      <c r="L57" s="500">
        <f t="shared" si="13"/>
        <v>104.96815604299998</v>
      </c>
      <c r="M57" s="500">
        <f t="shared" si="13"/>
        <v>71.455633845500003</v>
      </c>
      <c r="N57" s="500">
        <f t="shared" si="13"/>
        <v>83.761742143999996</v>
      </c>
      <c r="O57" s="500">
        <f t="shared" si="13"/>
        <v>90.723432616800011</v>
      </c>
      <c r="P57" s="500">
        <f t="shared" si="13"/>
        <v>85.039631095800004</v>
      </c>
      <c r="Q57" s="362">
        <f>SUM(E57:P57)</f>
        <v>938.67611324339998</v>
      </c>
    </row>
    <row r="58" spans="2:19">
      <c r="B58" s="205">
        <f>B57+1</f>
        <v>24</v>
      </c>
      <c r="C58" s="206" t="s">
        <v>443</v>
      </c>
      <c r="D58" s="205" t="s">
        <v>442</v>
      </c>
      <c r="E58" s="500">
        <f t="shared" ref="E58:P58" si="14">E57</f>
        <v>78.681901675999995</v>
      </c>
      <c r="F58" s="500">
        <f t="shared" si="14"/>
        <v>94.707823200000007</v>
      </c>
      <c r="G58" s="500">
        <f t="shared" si="14"/>
        <v>48.493487299999998</v>
      </c>
      <c r="H58" s="500">
        <f t="shared" si="14"/>
        <v>29.891718500000007</v>
      </c>
      <c r="I58" s="500">
        <f t="shared" si="14"/>
        <v>76.493839300000005</v>
      </c>
      <c r="J58" s="500">
        <f t="shared" si="14"/>
        <v>82.7443544825</v>
      </c>
      <c r="K58" s="500">
        <f t="shared" si="14"/>
        <v>91.714393039800001</v>
      </c>
      <c r="L58" s="500">
        <f t="shared" si="14"/>
        <v>104.96815604299998</v>
      </c>
      <c r="M58" s="500">
        <f t="shared" si="14"/>
        <v>71.455633845500003</v>
      </c>
      <c r="N58" s="500">
        <f t="shared" si="14"/>
        <v>83.761742143999996</v>
      </c>
      <c r="O58" s="500">
        <f t="shared" si="14"/>
        <v>90.723432616800011</v>
      </c>
      <c r="P58" s="500">
        <f t="shared" si="14"/>
        <v>85.039631095800004</v>
      </c>
      <c r="Q58" s="362">
        <f>SUM(E58:P58)</f>
        <v>938.67611324339998</v>
      </c>
      <c r="R58" s="479">
        <f>'F9'!N22-Q58</f>
        <v>0</v>
      </c>
      <c r="S58" s="479"/>
    </row>
  </sheetData>
  <pageMargins left="0.7" right="0.7" top="0.75" bottom="0.75" header="0.3" footer="0.3"/>
  <pageSetup paperSize="9" scale="4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Z33"/>
  <sheetViews>
    <sheetView showGridLines="0" zoomScale="80" zoomScaleNormal="80" zoomScaleSheetLayoutView="78" workbookViewId="0">
      <pane xSplit="3" ySplit="9" topLeftCell="D10" activePane="bottomRight" state="frozen"/>
      <selection activeCell="I25" sqref="I25"/>
      <selection pane="topRight" activeCell="I25" sqref="I25"/>
      <selection pane="bottomLeft" activeCell="I25" sqref="I25"/>
      <selection pane="bottomRight" activeCell="A21" sqref="A21"/>
    </sheetView>
  </sheetViews>
  <sheetFormatPr defaultColWidth="9.36328125" defaultRowHeight="14"/>
  <cols>
    <col min="1" max="1" width="6.6328125" style="14" customWidth="1"/>
    <col min="2" max="2" width="6.36328125" style="14" customWidth="1"/>
    <col min="3" max="3" width="33.36328125" style="14" customWidth="1"/>
    <col min="4" max="6" width="12.54296875" style="14" customWidth="1"/>
    <col min="7" max="7" width="14.6328125" style="14" customWidth="1"/>
    <col min="8" max="13" width="12.54296875" style="14" customWidth="1"/>
    <col min="14" max="14" width="10.6328125" style="14" customWidth="1"/>
    <col min="15" max="15" width="14" style="14" bestFit="1" customWidth="1"/>
    <col min="16" max="16" width="13" style="14" customWidth="1"/>
    <col min="17" max="17" width="15.54296875" style="14" customWidth="1"/>
    <col min="18" max="23" width="19.90625" style="14" customWidth="1"/>
    <col min="24" max="24" width="15.6328125" style="14" customWidth="1"/>
    <col min="25" max="16384" width="9.36328125" style="14"/>
  </cols>
  <sheetData>
    <row r="2" spans="2:26">
      <c r="B2" s="1776" t="str">
        <f>Index!B2</f>
        <v xml:space="preserve">      Maharashtra State Power Generation Company Ltd.</v>
      </c>
      <c r="C2" s="1776"/>
      <c r="D2" s="1776"/>
      <c r="E2" s="1776"/>
      <c r="F2" s="1776"/>
      <c r="G2" s="1776"/>
      <c r="H2" s="1776"/>
      <c r="I2" s="1776"/>
      <c r="J2" s="1776"/>
      <c r="K2" s="1776"/>
      <c r="L2" s="1776"/>
      <c r="M2" s="635"/>
      <c r="N2" s="1776" t="s">
        <v>776</v>
      </c>
      <c r="O2" s="1776"/>
      <c r="P2" s="1776"/>
      <c r="Q2" s="1776"/>
      <c r="R2" s="1776"/>
      <c r="S2" s="1776"/>
      <c r="T2" s="1776"/>
      <c r="U2" s="1776"/>
      <c r="V2" s="1776"/>
      <c r="W2" s="1776"/>
      <c r="X2" s="1776"/>
      <c r="Y2" s="191"/>
      <c r="Z2" s="191"/>
    </row>
    <row r="3" spans="2:26" s="5" customFormat="1">
      <c r="B3" s="1777" t="str">
        <f>Index!B3</f>
        <v>MYT Petition Formats for Parli 8</v>
      </c>
      <c r="C3" s="1777"/>
      <c r="D3" s="1777"/>
      <c r="E3" s="1777"/>
      <c r="F3" s="1777"/>
      <c r="G3" s="1777"/>
      <c r="H3" s="1777"/>
      <c r="I3" s="1777"/>
      <c r="J3" s="1777"/>
      <c r="K3" s="1777"/>
      <c r="L3" s="1777"/>
      <c r="M3" s="634"/>
      <c r="N3" s="1777" t="str">
        <f>Index!B3</f>
        <v>MYT Petition Formats for Parli 8</v>
      </c>
      <c r="O3" s="1777"/>
      <c r="P3" s="1777"/>
      <c r="Q3" s="1777"/>
      <c r="R3" s="1777"/>
      <c r="S3" s="1777"/>
      <c r="T3" s="1777"/>
      <c r="U3" s="1777"/>
      <c r="V3" s="1777"/>
      <c r="W3" s="1777"/>
      <c r="X3" s="1777"/>
      <c r="Y3" s="65"/>
      <c r="Z3" s="65"/>
    </row>
    <row r="4" spans="2:26" s="5" customFormat="1">
      <c r="B4" s="1777" t="s">
        <v>77</v>
      </c>
      <c r="C4" s="1777"/>
      <c r="D4" s="1777"/>
      <c r="E4" s="1777"/>
      <c r="F4" s="1777"/>
      <c r="G4" s="1777"/>
      <c r="H4" s="1777"/>
      <c r="I4" s="1777"/>
      <c r="J4" s="1777"/>
      <c r="K4" s="1777"/>
      <c r="L4" s="1777"/>
      <c r="M4" s="634"/>
      <c r="N4" s="1777" t="s">
        <v>77</v>
      </c>
      <c r="O4" s="1777"/>
      <c r="P4" s="1777"/>
      <c r="Q4" s="1777"/>
      <c r="R4" s="1777"/>
      <c r="S4" s="1777"/>
      <c r="T4" s="1777"/>
      <c r="U4" s="1777"/>
      <c r="V4" s="1777"/>
      <c r="W4" s="1777"/>
      <c r="X4" s="1777"/>
      <c r="Y4" s="65"/>
      <c r="Z4" s="65"/>
    </row>
    <row r="7" spans="2:26" ht="12.75" customHeight="1">
      <c r="B7" s="1778" t="s">
        <v>340</v>
      </c>
      <c r="C7" s="1781" t="s">
        <v>36</v>
      </c>
      <c r="D7" s="1781" t="s">
        <v>5</v>
      </c>
      <c r="E7" s="1772" t="s">
        <v>508</v>
      </c>
      <c r="F7" s="1773"/>
      <c r="G7" s="1773"/>
      <c r="H7" s="1774"/>
      <c r="I7" s="1772" t="s">
        <v>509</v>
      </c>
      <c r="J7" s="1773"/>
      <c r="K7" s="1773"/>
      <c r="L7" s="1774"/>
      <c r="M7" s="1772" t="s">
        <v>510</v>
      </c>
      <c r="N7" s="1773"/>
      <c r="O7" s="1773"/>
      <c r="P7" s="1773"/>
      <c r="Q7" s="1773"/>
      <c r="R7" s="1774"/>
      <c r="S7" s="1775" t="s">
        <v>957</v>
      </c>
      <c r="T7" s="1775"/>
      <c r="U7" s="1775"/>
      <c r="V7" s="1775"/>
      <c r="W7" s="1775"/>
      <c r="X7" s="1770" t="s">
        <v>26</v>
      </c>
    </row>
    <row r="8" spans="2:26" ht="28" customHeight="1">
      <c r="B8" s="1779"/>
      <c r="C8" s="1781"/>
      <c r="D8" s="1781"/>
      <c r="E8" s="1300" t="s">
        <v>1545</v>
      </c>
      <c r="F8" s="1300" t="s">
        <v>914</v>
      </c>
      <c r="G8" s="1300" t="s">
        <v>78</v>
      </c>
      <c r="H8" s="1300" t="s">
        <v>451</v>
      </c>
      <c r="I8" s="1300" t="s">
        <v>1545</v>
      </c>
      <c r="J8" s="1300" t="s">
        <v>914</v>
      </c>
      <c r="K8" s="1300" t="s">
        <v>78</v>
      </c>
      <c r="L8" s="1300" t="s">
        <v>451</v>
      </c>
      <c r="M8" s="1300" t="s">
        <v>1545</v>
      </c>
      <c r="N8" s="1300" t="s">
        <v>914</v>
      </c>
      <c r="O8" s="1300" t="s">
        <v>444</v>
      </c>
      <c r="P8" s="1300" t="s">
        <v>448</v>
      </c>
      <c r="Q8" s="1300" t="s">
        <v>79</v>
      </c>
      <c r="R8" s="1300" t="s">
        <v>452</v>
      </c>
      <c r="S8" s="709" t="s">
        <v>958</v>
      </c>
      <c r="T8" s="709" t="s">
        <v>959</v>
      </c>
      <c r="U8" s="709" t="s">
        <v>960</v>
      </c>
      <c r="V8" s="709" t="s">
        <v>961</v>
      </c>
      <c r="W8" s="709" t="s">
        <v>962</v>
      </c>
      <c r="X8" s="1770"/>
    </row>
    <row r="9" spans="2:26" ht="15">
      <c r="B9" s="1780"/>
      <c r="C9" s="1782"/>
      <c r="D9" s="1782"/>
      <c r="E9" s="1300" t="s">
        <v>80</v>
      </c>
      <c r="F9" s="1300" t="s">
        <v>81</v>
      </c>
      <c r="G9" s="1300" t="s">
        <v>1546</v>
      </c>
      <c r="H9" s="1300" t="s">
        <v>1547</v>
      </c>
      <c r="I9" s="1300" t="s">
        <v>1508</v>
      </c>
      <c r="J9" s="1300" t="s">
        <v>511</v>
      </c>
      <c r="K9" s="1300" t="s">
        <v>410</v>
      </c>
      <c r="L9" s="1300" t="s">
        <v>1548</v>
      </c>
      <c r="M9" s="1300" t="s">
        <v>591</v>
      </c>
      <c r="N9" s="1300" t="s">
        <v>655</v>
      </c>
      <c r="O9" s="1300" t="s">
        <v>592</v>
      </c>
      <c r="P9" s="1300" t="s">
        <v>593</v>
      </c>
      <c r="Q9" s="1300" t="s">
        <v>678</v>
      </c>
      <c r="R9" s="1300" t="s">
        <v>679</v>
      </c>
      <c r="S9" s="709" t="s">
        <v>21</v>
      </c>
      <c r="T9" s="709" t="s">
        <v>21</v>
      </c>
      <c r="U9" s="709" t="s">
        <v>21</v>
      </c>
      <c r="V9" s="709" t="s">
        <v>21</v>
      </c>
      <c r="W9" s="709" t="s">
        <v>21</v>
      </c>
      <c r="X9" s="1771"/>
    </row>
    <row r="10" spans="2:26">
      <c r="B10" s="24"/>
      <c r="C10" s="24"/>
      <c r="D10" s="127"/>
      <c r="E10" s="127"/>
      <c r="F10" s="127"/>
      <c r="G10" s="127"/>
      <c r="H10" s="127"/>
      <c r="I10" s="127"/>
      <c r="J10" s="127"/>
      <c r="K10" s="127"/>
      <c r="L10" s="127"/>
      <c r="M10" s="127"/>
      <c r="N10" s="127"/>
      <c r="O10" s="24"/>
      <c r="P10" s="24"/>
      <c r="Q10" s="24"/>
      <c r="R10" s="24"/>
      <c r="S10" s="24"/>
      <c r="T10" s="24"/>
      <c r="U10" s="24"/>
      <c r="V10" s="24"/>
      <c r="W10" s="24"/>
      <c r="X10" s="24"/>
    </row>
    <row r="11" spans="2:26" s="322" customFormat="1">
      <c r="B11" s="243">
        <v>1</v>
      </c>
      <c r="C11" s="119" t="s">
        <v>82</v>
      </c>
      <c r="D11" s="128" t="s">
        <v>55</v>
      </c>
      <c r="E11" s="666">
        <f>'F2.2'!E155</f>
        <v>585.07062678073476</v>
      </c>
      <c r="F11" s="640">
        <f>'F2.2'!F155</f>
        <v>492.96416003429948</v>
      </c>
      <c r="G11" s="640">
        <f>'F2.2'!G155</f>
        <v>543.6420050301665</v>
      </c>
      <c r="H11" s="640">
        <f t="shared" ref="H11:H22" si="0">G11-F11</f>
        <v>50.677844995867019</v>
      </c>
      <c r="I11" s="640">
        <f>'F2.2'!$I$155</f>
        <v>856.74485267652744</v>
      </c>
      <c r="J11" s="640">
        <f>'F2.2'!J155</f>
        <v>637.71507525122615</v>
      </c>
      <c r="K11" s="640">
        <f>'F2.2'!K155</f>
        <v>625.9894820076687</v>
      </c>
      <c r="L11" s="640">
        <f t="shared" ref="L11:L22" si="1">K11-J11</f>
        <v>-11.725593243557455</v>
      </c>
      <c r="M11" s="640">
        <f>'F2.2'!$M$155</f>
        <v>860.47281611280198</v>
      </c>
      <c r="N11" s="640">
        <f>'F2.2'!N155</f>
        <v>780.39169213483751</v>
      </c>
      <c r="O11" s="640">
        <f>'F2.2'!O155</f>
        <v>317.18402133905641</v>
      </c>
      <c r="P11" s="640">
        <f>'F2.2'!P155</f>
        <v>473.88889960308836</v>
      </c>
      <c r="Q11" s="640">
        <f t="shared" ref="Q11:Q16" si="2">O11+P11</f>
        <v>791.07292094214472</v>
      </c>
      <c r="R11" s="640">
        <f t="shared" ref="R11:R20" si="3">Q11-N11</f>
        <v>10.681228807307207</v>
      </c>
      <c r="S11" s="591">
        <f>'F2.2'!S155</f>
        <v>970.74268897091065</v>
      </c>
      <c r="T11" s="591">
        <f>'F2.2'!T155</f>
        <v>1019.2798234194563</v>
      </c>
      <c r="U11" s="591">
        <f>'F2.2'!U155</f>
        <v>1046.6293675317329</v>
      </c>
      <c r="V11" s="591">
        <f>'F2.2'!V155</f>
        <v>1097.5408411278343</v>
      </c>
      <c r="W11" s="591">
        <f>'F2.2'!W155</f>
        <v>1150.9978884037405</v>
      </c>
      <c r="X11" s="326"/>
    </row>
    <row r="12" spans="2:26" s="322" customFormat="1">
      <c r="B12" s="243">
        <f>B11+1</f>
        <v>2</v>
      </c>
      <c r="C12" s="119" t="s">
        <v>1490</v>
      </c>
      <c r="D12" s="128"/>
      <c r="E12" s="666"/>
      <c r="F12" s="1165"/>
      <c r="G12" s="1165"/>
      <c r="H12" s="1165"/>
      <c r="I12" s="1165"/>
      <c r="J12" s="1165"/>
      <c r="K12" s="1165"/>
      <c r="L12" s="1165"/>
      <c r="M12" s="1165"/>
      <c r="N12" s="1165">
        <f>Q12</f>
        <v>0</v>
      </c>
      <c r="O12" s="1165"/>
      <c r="P12" s="1165">
        <f>'F2.2'!$D$198</f>
        <v>0</v>
      </c>
      <c r="Q12" s="1165">
        <f t="shared" si="2"/>
        <v>0</v>
      </c>
      <c r="R12" s="1165"/>
      <c r="S12" s="591">
        <f>'F2.2'!E198</f>
        <v>88.575493591944408</v>
      </c>
      <c r="T12" s="591">
        <f>'F2.2'!F198</f>
        <v>117.99290204766319</v>
      </c>
      <c r="U12" s="591">
        <f>'F2.2'!G198</f>
        <v>117.99795033261863</v>
      </c>
      <c r="V12" s="591">
        <f>'F2.2'!H198</f>
        <v>117.99795033261863</v>
      </c>
      <c r="W12" s="591">
        <f>'F2.2'!I198</f>
        <v>117.99795033261863</v>
      </c>
      <c r="X12" s="326"/>
    </row>
    <row r="13" spans="2:26" s="322" customFormat="1">
      <c r="B13" s="243">
        <f t="shared" ref="B13:B27" si="4">B12+1</f>
        <v>3</v>
      </c>
      <c r="C13" s="119" t="s">
        <v>83</v>
      </c>
      <c r="D13" s="128" t="s">
        <v>39</v>
      </c>
      <c r="E13" s="666">
        <f>'F3'!E17+'F3.1'!D27</f>
        <v>88.552651488781649</v>
      </c>
      <c r="F13" s="542">
        <f>'F3'!F17+'F3.1'!E27</f>
        <v>88.885401520219375</v>
      </c>
      <c r="G13" s="640">
        <f>'F3'!G17+'F3.1'!E27</f>
        <v>109.75381412184409</v>
      </c>
      <c r="H13" s="640">
        <f t="shared" si="0"/>
        <v>20.868412601624712</v>
      </c>
      <c r="I13" s="640">
        <f>'F3'!$I$17+'F3.1'!F27</f>
        <v>91.460457147537724</v>
      </c>
      <c r="J13" s="640">
        <f>'F3'!J17+'F3.1'!G27</f>
        <v>111.39662831006876</v>
      </c>
      <c r="K13" s="640">
        <f>'F3'!K17+'F3.1'!G27</f>
        <v>159.86280161008216</v>
      </c>
      <c r="L13" s="640">
        <f t="shared" si="1"/>
        <v>48.466173300013395</v>
      </c>
      <c r="M13" s="640">
        <f>'F3'!$M$17+'F3.1'!H27</f>
        <v>94.476445080531278</v>
      </c>
      <c r="N13" s="640">
        <f>'F3'!N17+'F3.1'!I27</f>
        <v>114.79972306064239</v>
      </c>
      <c r="O13" s="640">
        <f>'F3'!O17+'F3.1'!I27/2</f>
        <v>61.471873278396473</v>
      </c>
      <c r="P13" s="640">
        <f>'F3'!P17+'F3.1'!I27/2</f>
        <v>94.430923658491366</v>
      </c>
      <c r="Q13" s="640">
        <f t="shared" si="2"/>
        <v>155.90279693688785</v>
      </c>
      <c r="R13" s="640">
        <f t="shared" si="3"/>
        <v>41.10307387624546</v>
      </c>
      <c r="S13" s="591">
        <f>'F3'!S17+'F3.1'!J27</f>
        <v>149.51477471537368</v>
      </c>
      <c r="T13" s="591">
        <f>'F3'!T17+'F3.1'!K27</f>
        <v>154.38287762599501</v>
      </c>
      <c r="U13" s="591">
        <f>'F3'!U17+'F3.1'!L27</f>
        <v>159.46810655322886</v>
      </c>
      <c r="V13" s="591">
        <f>'F3'!V17+'F3.1'!M27</f>
        <v>164.7712076132629</v>
      </c>
      <c r="W13" s="591">
        <f>'F3'!W17+'F3.1'!N27</f>
        <v>170.29295942776324</v>
      </c>
      <c r="X13" s="326"/>
    </row>
    <row r="14" spans="2:26" s="322" customFormat="1">
      <c r="B14" s="243">
        <f t="shared" si="4"/>
        <v>4</v>
      </c>
      <c r="C14" s="119" t="s">
        <v>1491</v>
      </c>
      <c r="D14" s="128"/>
      <c r="E14" s="128"/>
      <c r="F14" s="542"/>
      <c r="G14" s="688"/>
      <c r="H14" s="688">
        <f t="shared" si="0"/>
        <v>0</v>
      </c>
      <c r="I14" s="688"/>
      <c r="J14" s="688"/>
      <c r="K14" s="688"/>
      <c r="L14" s="688">
        <f t="shared" si="1"/>
        <v>0</v>
      </c>
      <c r="M14" s="688"/>
      <c r="N14" s="688"/>
      <c r="O14" s="688"/>
      <c r="P14" s="688">
        <f>'F3'!D24</f>
        <v>0</v>
      </c>
      <c r="Q14" s="1165">
        <f t="shared" si="2"/>
        <v>0</v>
      </c>
      <c r="R14" s="688">
        <f t="shared" si="3"/>
        <v>0</v>
      </c>
      <c r="S14" s="591">
        <f>'F3'!E24</f>
        <v>2.0556000000000001</v>
      </c>
      <c r="T14" s="591">
        <f>'F3'!F24</f>
        <v>2.1446074799999999</v>
      </c>
      <c r="U14" s="591">
        <f>'F3'!G24</f>
        <v>2.2374689838839998</v>
      </c>
      <c r="V14" s="591">
        <f>'F3'!H24</f>
        <v>2.3343513908861766</v>
      </c>
      <c r="W14" s="591">
        <f>'F3'!I24</f>
        <v>2.4354288061115481</v>
      </c>
      <c r="X14" s="326"/>
    </row>
    <row r="15" spans="2:26" s="322" customFormat="1">
      <c r="B15" s="243">
        <f t="shared" si="4"/>
        <v>5</v>
      </c>
      <c r="C15" s="120" t="s">
        <v>337</v>
      </c>
      <c r="D15" s="128" t="s">
        <v>69</v>
      </c>
      <c r="E15" s="667">
        <v>97.019041678994213</v>
      </c>
      <c r="F15" s="688">
        <f>G15</f>
        <v>94.816840550722148</v>
      </c>
      <c r="G15" s="542">
        <f>'F5 (T)'!E85</f>
        <v>94.816840550722148</v>
      </c>
      <c r="H15" s="688">
        <f t="shared" si="0"/>
        <v>0</v>
      </c>
      <c r="I15" s="667">
        <v>99.955388413634211</v>
      </c>
      <c r="J15" s="688">
        <f>K15</f>
        <v>96.803105455899214</v>
      </c>
      <c r="K15" s="688">
        <f>'F5 (T)'!J85</f>
        <v>96.803105455899214</v>
      </c>
      <c r="L15" s="688">
        <f t="shared" si="1"/>
        <v>0</v>
      </c>
      <c r="M15" s="667">
        <v>102.5111724136342</v>
      </c>
      <c r="N15" s="688">
        <f>Q15</f>
        <v>98.85802518974829</v>
      </c>
      <c r="O15" s="688">
        <f>('F5 (T)'!O85)/2</f>
        <v>49.429012594874145</v>
      </c>
      <c r="P15" s="688">
        <f>O15</f>
        <v>49.429012594874145</v>
      </c>
      <c r="Q15" s="688">
        <f t="shared" si="2"/>
        <v>98.85802518974829</v>
      </c>
      <c r="R15" s="688">
        <f t="shared" si="3"/>
        <v>0</v>
      </c>
      <c r="S15" s="591">
        <f>'F5 (T)'!T85</f>
        <v>101.66190652308164</v>
      </c>
      <c r="T15" s="591">
        <f>'F5 (T)'!$E$112</f>
        <v>105.09740835641497</v>
      </c>
      <c r="U15" s="591">
        <f>'F5 (T)'!$J$112</f>
        <v>107.87170835641498</v>
      </c>
      <c r="V15" s="591">
        <f>'F5 (T)'!$O$112</f>
        <v>109.63801539141181</v>
      </c>
      <c r="W15" s="591">
        <f>'F5 (T)'!$T$112</f>
        <v>106.49786534803044</v>
      </c>
      <c r="X15" s="326"/>
    </row>
    <row r="16" spans="2:26" s="322" customFormat="1">
      <c r="B16" s="243">
        <f t="shared" si="4"/>
        <v>6</v>
      </c>
      <c r="C16" s="120" t="s">
        <v>895</v>
      </c>
      <c r="D16" s="128"/>
      <c r="E16" s="854">
        <v>1.2064429922167272</v>
      </c>
      <c r="F16" s="858">
        <f t="shared" ref="F16:F17" si="5">G16</f>
        <v>0.25926625381589807</v>
      </c>
      <c r="G16" s="542">
        <v>0.25926625381589807</v>
      </c>
      <c r="H16" s="688">
        <f t="shared" si="0"/>
        <v>0</v>
      </c>
      <c r="I16" s="591">
        <v>1.1986387425584371</v>
      </c>
      <c r="J16" s="858">
        <f t="shared" ref="J16:J17" si="6">K16</f>
        <v>0.29048799593513147</v>
      </c>
      <c r="K16" s="542">
        <v>0.29048799593513147</v>
      </c>
      <c r="L16" s="688">
        <f t="shared" si="1"/>
        <v>0</v>
      </c>
      <c r="M16" s="591">
        <v>1.1986387425584371</v>
      </c>
      <c r="N16" s="858">
        <f t="shared" ref="N16:N17" si="7">Q16</f>
        <v>0.2963166599849153</v>
      </c>
      <c r="O16" s="655">
        <v>0.14951711350113592</v>
      </c>
      <c r="P16" s="655">
        <v>0.14679954648377938</v>
      </c>
      <c r="Q16" s="688">
        <f t="shared" si="2"/>
        <v>0.2963166599849153</v>
      </c>
      <c r="R16" s="688">
        <f t="shared" si="3"/>
        <v>0</v>
      </c>
      <c r="S16" s="591">
        <v>0.29048799593513147</v>
      </c>
      <c r="T16" s="591">
        <v>0.29048799593513147</v>
      </c>
      <c r="U16" s="591">
        <v>0.29048799593513147</v>
      </c>
      <c r="V16" s="591">
        <v>0.29048799593513147</v>
      </c>
      <c r="W16" s="591">
        <v>0.29048799593513147</v>
      </c>
      <c r="X16" s="326"/>
    </row>
    <row r="17" spans="2:24" s="322" customFormat="1">
      <c r="B17" s="243">
        <f t="shared" si="4"/>
        <v>7</v>
      </c>
      <c r="C17" s="119" t="s">
        <v>336</v>
      </c>
      <c r="D17" s="128" t="s">
        <v>70</v>
      </c>
      <c r="E17" s="667">
        <f>'F6'!D25</f>
        <v>104.53040242260579</v>
      </c>
      <c r="F17" s="858">
        <f t="shared" si="5"/>
        <v>101.16264099990116</v>
      </c>
      <c r="G17" s="841">
        <f>'F6'!E25</f>
        <v>101.16264099990116</v>
      </c>
      <c r="H17" s="688">
        <f t="shared" si="0"/>
        <v>0</v>
      </c>
      <c r="I17" s="667">
        <f>'F6'!$G$25</f>
        <v>98.174884015368036</v>
      </c>
      <c r="J17" s="858">
        <f t="shared" si="6"/>
        <v>89.548153147288119</v>
      </c>
      <c r="K17" s="688">
        <f>'F6'!$H$25</f>
        <v>89.548153147288119</v>
      </c>
      <c r="L17" s="688">
        <f t="shared" si="1"/>
        <v>0</v>
      </c>
      <c r="M17" s="667">
        <f>'F6'!J25</f>
        <v>90.987939044643952</v>
      </c>
      <c r="N17" s="858">
        <f t="shared" si="7"/>
        <v>83.129081970926819</v>
      </c>
      <c r="O17" s="688">
        <f>'F6'!$K$25/2</f>
        <v>41.56454098546341</v>
      </c>
      <c r="P17" s="688">
        <f>O17</f>
        <v>41.56454098546341</v>
      </c>
      <c r="Q17" s="688">
        <f t="shared" ref="Q17:Q21" si="8">O17+P17</f>
        <v>83.129081970926819</v>
      </c>
      <c r="R17" s="688">
        <f t="shared" si="3"/>
        <v>0</v>
      </c>
      <c r="S17" s="591">
        <f>'F6'!M25</f>
        <v>77.315594328411635</v>
      </c>
      <c r="T17" s="591">
        <f>'F6'!N25</f>
        <v>72.369970044488156</v>
      </c>
      <c r="U17" s="591">
        <f>'F6'!O25</f>
        <v>66.333550764626054</v>
      </c>
      <c r="V17" s="591">
        <f>'F6'!P25</f>
        <v>58.567318114263728</v>
      </c>
      <c r="W17" s="591">
        <f>'F6'!Q25</f>
        <v>50.328416036896066</v>
      </c>
      <c r="X17" s="326"/>
    </row>
    <row r="18" spans="2:24" s="322" customFormat="1">
      <c r="B18" s="243">
        <f t="shared" si="4"/>
        <v>8</v>
      </c>
      <c r="C18" s="24" t="s">
        <v>1539</v>
      </c>
      <c r="D18" s="128"/>
      <c r="E18" s="667"/>
      <c r="F18" s="655">
        <f>G18</f>
        <v>3.2121945330279365E-2</v>
      </c>
      <c r="G18" s="1230">
        <v>3.2121945330279365E-2</v>
      </c>
      <c r="H18" s="1230"/>
      <c r="I18" s="667"/>
      <c r="J18" s="655">
        <f>K18</f>
        <v>3.4706879844573685E-2</v>
      </c>
      <c r="K18" s="1230">
        <v>3.4706879844573685E-2</v>
      </c>
      <c r="L18" s="1230"/>
      <c r="M18" s="667"/>
      <c r="N18" s="1230">
        <f>Q18</f>
        <v>3.7143935355137124E-2</v>
      </c>
      <c r="O18" s="1230">
        <v>1.8571967677568562E-2</v>
      </c>
      <c r="P18" s="1230">
        <v>1.8571967677568562E-2</v>
      </c>
      <c r="Q18" s="1230">
        <v>3.7143935355137124E-2</v>
      </c>
      <c r="R18" s="1230"/>
      <c r="S18" s="1230">
        <v>3.2678669486363068E-2</v>
      </c>
      <c r="T18" s="1230">
        <v>2.8111678697354411E-2</v>
      </c>
      <c r="U18" s="1230">
        <v>2.4048007799565847E-2</v>
      </c>
      <c r="V18" s="1230">
        <v>2.0512862733640721E-2</v>
      </c>
      <c r="W18" s="1230">
        <v>1.7290539236530501E-2</v>
      </c>
      <c r="X18" s="326"/>
    </row>
    <row r="19" spans="2:24" s="322" customFormat="1">
      <c r="B19" s="243">
        <f t="shared" si="4"/>
        <v>9</v>
      </c>
      <c r="C19" s="120" t="s">
        <v>86</v>
      </c>
      <c r="D19" s="128" t="s">
        <v>59</v>
      </c>
      <c r="E19" s="666">
        <f>'F2.4'!E34</f>
        <v>22.76011032477841</v>
      </c>
      <c r="F19" s="666">
        <f>'F2.4'!F34</f>
        <v>20.157819477656513</v>
      </c>
      <c r="G19" s="841">
        <f>'F2.4'!F35</f>
        <v>38.636869183029766</v>
      </c>
      <c r="H19" s="688">
        <f t="shared" si="0"/>
        <v>18.479049705373253</v>
      </c>
      <c r="I19" s="688">
        <f>'F2.4'!$G$34</f>
        <v>30.281523246866328</v>
      </c>
      <c r="J19" s="688">
        <f>'F2.4'!$H$34</f>
        <v>33.672480183966023</v>
      </c>
      <c r="K19" s="688">
        <f>'F2.4'!$H$35</f>
        <v>61.016329775455574</v>
      </c>
      <c r="L19" s="688">
        <f t="shared" si="1"/>
        <v>27.343849591489551</v>
      </c>
      <c r="M19" s="688">
        <f>'F2.4'!I34</f>
        <v>30.496295765230879</v>
      </c>
      <c r="N19" s="688">
        <f ca="1">'F2.4'!J34</f>
        <v>42.287279479811964</v>
      </c>
      <c r="O19" s="688">
        <f ca="1">Q19/2</f>
        <v>21.143639739905982</v>
      </c>
      <c r="P19" s="688">
        <f ca="1">O19</f>
        <v>21.143639739905982</v>
      </c>
      <c r="Q19" s="1165">
        <f ca="1">N19</f>
        <v>42.287279479811964</v>
      </c>
      <c r="R19" s="688">
        <f t="shared" ca="1" si="3"/>
        <v>0</v>
      </c>
      <c r="S19" s="591">
        <f ca="1">'F2.4'!E73</f>
        <v>36.799828758640551</v>
      </c>
      <c r="T19" s="591">
        <f ca="1">'F2.4'!F73</f>
        <v>38.768470641668344</v>
      </c>
      <c r="U19" s="591">
        <f ca="1">'F2.4'!G73</f>
        <v>39.584268823299269</v>
      </c>
      <c r="V19" s="591">
        <f ca="1">'F2.4'!H73</f>
        <v>41.235409751346943</v>
      </c>
      <c r="W19" s="591">
        <f ca="1">'F2.4'!I73</f>
        <v>42.710189628834357</v>
      </c>
      <c r="X19" s="326"/>
    </row>
    <row r="20" spans="2:24" s="322" customFormat="1">
      <c r="B20" s="243">
        <f t="shared" si="4"/>
        <v>10</v>
      </c>
      <c r="C20" s="120" t="s">
        <v>1492</v>
      </c>
      <c r="D20" s="128"/>
      <c r="E20" s="666"/>
      <c r="F20" s="666"/>
      <c r="G20" s="1165"/>
      <c r="H20" s="1165"/>
      <c r="I20" s="1165"/>
      <c r="J20" s="1165"/>
      <c r="K20" s="1165"/>
      <c r="L20" s="1165"/>
      <c r="M20" s="1165"/>
      <c r="N20" s="1165">
        <f>Q20</f>
        <v>0</v>
      </c>
      <c r="O20" s="1165"/>
      <c r="P20" s="1165">
        <f>'F2.4'!$E$85</f>
        <v>0</v>
      </c>
      <c r="Q20" s="1165">
        <f>SUM(O20:P20)</f>
        <v>0</v>
      </c>
      <c r="R20" s="1165">
        <f t="shared" si="3"/>
        <v>0</v>
      </c>
      <c r="S20" s="591">
        <f>'F2.4'!F85</f>
        <v>1.3932702075833137</v>
      </c>
      <c r="T20" s="591">
        <f>'F2.4'!G85</f>
        <v>1.8151575313229185</v>
      </c>
      <c r="U20" s="591">
        <f>'F2.4'!H85</f>
        <v>1.8114233063027774</v>
      </c>
      <c r="V20" s="591">
        <f>'F2.4'!I85</f>
        <v>1.8168821510917954</v>
      </c>
      <c r="W20" s="591">
        <f>'F2.4'!J85</f>
        <v>1.8177623669160499</v>
      </c>
      <c r="X20" s="326"/>
    </row>
    <row r="21" spans="2:24" s="322" customFormat="1">
      <c r="B21" s="243">
        <f t="shared" si="4"/>
        <v>11</v>
      </c>
      <c r="C21" s="120" t="s">
        <v>87</v>
      </c>
      <c r="D21" s="128" t="s">
        <v>75</v>
      </c>
      <c r="E21" s="667">
        <f>'F10'!D27</f>
        <v>5.8942368882456275</v>
      </c>
      <c r="F21" s="542">
        <f>G21</f>
        <v>14.27213680099999</v>
      </c>
      <c r="G21" s="688">
        <f>'F10'!E27</f>
        <v>14.27213680099999</v>
      </c>
      <c r="H21" s="688">
        <f t="shared" si="0"/>
        <v>0</v>
      </c>
      <c r="I21" s="667">
        <f>'F10'!G27</f>
        <v>5.8942368882456275</v>
      </c>
      <c r="J21" s="542">
        <f>K21</f>
        <v>15.159466003</v>
      </c>
      <c r="K21" s="688">
        <f>'F10'!H27</f>
        <v>15.159466003</v>
      </c>
      <c r="L21" s="688">
        <f t="shared" si="1"/>
        <v>0</v>
      </c>
      <c r="M21" s="667">
        <f>'F10'!J27</f>
        <v>5.8942368882456275</v>
      </c>
      <c r="N21" s="688">
        <f>Q21</f>
        <v>20.677771409789191</v>
      </c>
      <c r="O21" s="688">
        <f>'F10'!K27</f>
        <v>10.338885704894595</v>
      </c>
      <c r="P21" s="688">
        <f>'F10'!L27</f>
        <v>10.338885704894595</v>
      </c>
      <c r="Q21" s="1165">
        <f t="shared" si="8"/>
        <v>20.677771409789191</v>
      </c>
      <c r="R21" s="688">
        <f t="shared" ref="R21:R26" si="9">Q21-N21</f>
        <v>0</v>
      </c>
      <c r="S21" s="591">
        <f>'F10'!O27</f>
        <v>15.159466003</v>
      </c>
      <c r="T21" s="591">
        <f>'F10'!P27</f>
        <v>15.159466003</v>
      </c>
      <c r="U21" s="591">
        <f>'F10'!Q27</f>
        <v>15.159466003</v>
      </c>
      <c r="V21" s="591">
        <f>'F10'!R27</f>
        <v>15.159466003</v>
      </c>
      <c r="W21" s="591">
        <f>'F10'!S27</f>
        <v>15.159466003</v>
      </c>
      <c r="X21" s="326"/>
    </row>
    <row r="22" spans="2:24" s="322" customFormat="1">
      <c r="B22" s="243">
        <f t="shared" si="4"/>
        <v>12</v>
      </c>
      <c r="C22" s="119" t="s">
        <v>88</v>
      </c>
      <c r="D22" s="128" t="s">
        <v>323</v>
      </c>
      <c r="E22" s="667"/>
      <c r="F22" s="542">
        <f>E22</f>
        <v>0</v>
      </c>
      <c r="G22" s="755">
        <f>'F12'!E10</f>
        <v>0</v>
      </c>
      <c r="H22" s="755">
        <f t="shared" si="0"/>
        <v>0</v>
      </c>
      <c r="I22" s="667"/>
      <c r="J22" s="755">
        <f>I22</f>
        <v>0</v>
      </c>
      <c r="K22" s="755">
        <f>'F12'!F10</f>
        <v>0</v>
      </c>
      <c r="L22" s="755">
        <f t="shared" si="1"/>
        <v>0</v>
      </c>
      <c r="M22" s="667"/>
      <c r="N22" s="755">
        <f>M22</f>
        <v>0</v>
      </c>
      <c r="O22" s="326">
        <f>'F12'!$G$10/2</f>
        <v>0</v>
      </c>
      <c r="P22" s="326">
        <f>O22</f>
        <v>0</v>
      </c>
      <c r="Q22" s="1165">
        <f>SUM(O22:P22)</f>
        <v>0</v>
      </c>
      <c r="R22" s="755">
        <f t="shared" si="9"/>
        <v>0</v>
      </c>
      <c r="S22" s="591">
        <f>'F12'!H10</f>
        <v>0</v>
      </c>
      <c r="T22" s="591">
        <f>'F12'!I10</f>
        <v>0</v>
      </c>
      <c r="U22" s="591">
        <f>'F12'!J10</f>
        <v>0</v>
      </c>
      <c r="V22" s="591">
        <f>'F12'!K10</f>
        <v>0</v>
      </c>
      <c r="W22" s="591">
        <f>'F12'!L10</f>
        <v>0</v>
      </c>
      <c r="X22" s="326"/>
    </row>
    <row r="23" spans="2:24" s="322" customFormat="1">
      <c r="B23" s="243">
        <f t="shared" si="4"/>
        <v>13</v>
      </c>
      <c r="C23" s="246" t="s">
        <v>89</v>
      </c>
      <c r="D23" s="539"/>
      <c r="E23" s="464">
        <f>SUM(E11:E22)</f>
        <v>905.03351257635711</v>
      </c>
      <c r="F23" s="464">
        <f t="shared" ref="F23:P23" si="10">SUM(F11:F22)</f>
        <v>812.55038758294495</v>
      </c>
      <c r="G23" s="464">
        <f>SUM(G11:G22)</f>
        <v>902.57569488580975</v>
      </c>
      <c r="H23" s="464">
        <f t="shared" si="10"/>
        <v>90.025307302864988</v>
      </c>
      <c r="I23" s="464">
        <f>SUM(I11:I22)</f>
        <v>1183.7099811307376</v>
      </c>
      <c r="J23" s="464">
        <f t="shared" si="10"/>
        <v>984.6201032272279</v>
      </c>
      <c r="K23" s="464">
        <f>SUM(K11:K22)</f>
        <v>1048.7045328751733</v>
      </c>
      <c r="L23" s="464">
        <f t="shared" si="10"/>
        <v>64.084429647945484</v>
      </c>
      <c r="M23" s="464">
        <f t="shared" ref="M23" si="11">SUM(M11:M22)</f>
        <v>1186.0375440476462</v>
      </c>
      <c r="N23" s="464">
        <f t="shared" ca="1" si="10"/>
        <v>1140.477033841096</v>
      </c>
      <c r="O23" s="464">
        <f t="shared" ca="1" si="10"/>
        <v>501.30006272376977</v>
      </c>
      <c r="P23" s="464">
        <f t="shared" ca="1" si="10"/>
        <v>690.9612738008791</v>
      </c>
      <c r="Q23" s="464">
        <f ca="1">SUM(Q11:Q22)</f>
        <v>1192.2613365246489</v>
      </c>
      <c r="R23" s="464">
        <f ca="1">SUM(R11:R22)</f>
        <v>51.784302683552667</v>
      </c>
      <c r="S23" s="464">
        <f t="shared" ref="S23:W23" ca="1" si="12">SUM(S11:S22)</f>
        <v>1443.5417897643674</v>
      </c>
      <c r="T23" s="464">
        <f t="shared" ca="1" si="12"/>
        <v>1527.3292828246413</v>
      </c>
      <c r="U23" s="464">
        <f t="shared" ca="1" si="12"/>
        <v>1557.4078466588419</v>
      </c>
      <c r="V23" s="464">
        <f ca="1">SUM(V11:V22)</f>
        <v>1609.3724427343848</v>
      </c>
      <c r="W23" s="464">
        <f t="shared" ca="1" si="12"/>
        <v>1658.5457048890821</v>
      </c>
      <c r="X23" s="326"/>
    </row>
    <row r="24" spans="2:24" s="322" customFormat="1">
      <c r="B24" s="243">
        <f t="shared" si="4"/>
        <v>14</v>
      </c>
      <c r="C24" s="119" t="s">
        <v>90</v>
      </c>
      <c r="D24" s="128" t="s">
        <v>72</v>
      </c>
      <c r="E24" s="667">
        <f>'F7'!D21</f>
        <v>56.869355296532667</v>
      </c>
      <c r="F24" s="542">
        <f>G24</f>
        <v>55.003174206899665</v>
      </c>
      <c r="G24" s="542">
        <f>'F7'!E21+'F7'!E42</f>
        <v>55.003174206899665</v>
      </c>
      <c r="H24" s="688">
        <f>G24-F24</f>
        <v>0</v>
      </c>
      <c r="I24" s="667">
        <f>'F7'!G21</f>
        <v>59.205085653632665</v>
      </c>
      <c r="J24" s="688">
        <f>K24</f>
        <v>56.927637576539666</v>
      </c>
      <c r="K24" s="688">
        <f>'F7'!H21+'F7'!F42</f>
        <v>56.927637576539666</v>
      </c>
      <c r="L24" s="688">
        <f>K24-J24</f>
        <v>0</v>
      </c>
      <c r="M24" s="667">
        <f>'F7'!$J$21</f>
        <v>61.238095653632669</v>
      </c>
      <c r="N24" s="688">
        <f>Q24</f>
        <v>58.942456400312672</v>
      </c>
      <c r="O24" s="688">
        <f>'F7'!K21/2</f>
        <v>29.471228200156336</v>
      </c>
      <c r="P24" s="688">
        <f>O24</f>
        <v>29.471228200156336</v>
      </c>
      <c r="Q24" s="1165">
        <f t="shared" ref="Q24:Q26" si="13">O24+P24</f>
        <v>58.942456400312672</v>
      </c>
      <c r="R24" s="688">
        <f t="shared" si="9"/>
        <v>0</v>
      </c>
      <c r="S24" s="706">
        <f>'F7'!D65</f>
        <v>68.052447086060454</v>
      </c>
      <c r="T24" s="706">
        <f>'F7'!E65</f>
        <v>71.631455211060455</v>
      </c>
      <c r="U24" s="706">
        <f>'F7'!F65</f>
        <v>74.691445836060467</v>
      </c>
      <c r="V24" s="706">
        <f>'F7'!G65</f>
        <v>76.752093336060454</v>
      </c>
      <c r="W24" s="706">
        <f>'F7'!H65</f>
        <v>78.452830836060471</v>
      </c>
      <c r="X24" s="326"/>
    </row>
    <row r="25" spans="2:24" s="322" customFormat="1">
      <c r="B25" s="243">
        <f t="shared" si="4"/>
        <v>15</v>
      </c>
      <c r="C25" s="24" t="s">
        <v>1540</v>
      </c>
      <c r="D25" s="128"/>
      <c r="E25" s="667"/>
      <c r="F25" s="655">
        <f>G25</f>
        <v>1.0156597926590434E-2</v>
      </c>
      <c r="G25" s="655">
        <v>1.0156597926590434E-2</v>
      </c>
      <c r="H25" s="1230"/>
      <c r="I25" s="667"/>
      <c r="J25" s="655">
        <f>K25</f>
        <v>1.1990981909947449E-2</v>
      </c>
      <c r="K25" s="655">
        <v>1.1990981909947449E-2</v>
      </c>
      <c r="L25" s="1230"/>
      <c r="M25" s="667"/>
      <c r="N25" s="1230">
        <f>Q25</f>
        <v>1.368482361400864E-2</v>
      </c>
      <c r="O25" s="655">
        <v>6.8424118070043198E-3</v>
      </c>
      <c r="P25" s="655">
        <v>6.8424118070043198E-3</v>
      </c>
      <c r="Q25" s="655">
        <v>1.368482361400864E-2</v>
      </c>
      <c r="R25" s="1230"/>
      <c r="S25" s="655">
        <v>1.3403697955741513E-2</v>
      </c>
      <c r="T25" s="655">
        <v>1.3212989430780002E-2</v>
      </c>
      <c r="U25" s="655">
        <v>1.3077008378896927E-2</v>
      </c>
      <c r="V25" s="655">
        <v>1.2925579262478617E-2</v>
      </c>
      <c r="W25" s="655">
        <v>1.2802519796165163E-2</v>
      </c>
      <c r="X25" s="326"/>
    </row>
    <row r="26" spans="2:24" s="322" customFormat="1">
      <c r="B26" s="243">
        <f t="shared" si="4"/>
        <v>16</v>
      </c>
      <c r="C26" s="119" t="s">
        <v>91</v>
      </c>
      <c r="D26" s="128" t="s">
        <v>76</v>
      </c>
      <c r="E26" s="667">
        <f>'F11'!D26</f>
        <v>1.631604741666667</v>
      </c>
      <c r="F26" s="542">
        <f>G26</f>
        <v>4.4321700599464542</v>
      </c>
      <c r="G26" s="688">
        <f>'F11'!E26</f>
        <v>4.4321700599464542</v>
      </c>
      <c r="H26" s="688">
        <f>G26-F26</f>
        <v>0</v>
      </c>
      <c r="I26" s="667">
        <f>'F11'!G26</f>
        <v>2.1413789488093924</v>
      </c>
      <c r="J26" s="858">
        <f>K26</f>
        <v>2.8395662192414965</v>
      </c>
      <c r="K26" s="688">
        <f>'F11'!H26</f>
        <v>2.8395662192414965</v>
      </c>
      <c r="L26" s="688">
        <f>K26-J26</f>
        <v>0</v>
      </c>
      <c r="M26" s="667">
        <f>'F11'!J26</f>
        <v>2.1413789488093924</v>
      </c>
      <c r="N26" s="858">
        <f>Q26</f>
        <v>2.8395662192414965</v>
      </c>
      <c r="O26" s="688">
        <f>'F11'!K26</f>
        <v>1.4197831096207483</v>
      </c>
      <c r="P26" s="688">
        <f>'F11'!L26</f>
        <v>1.4197831096207483</v>
      </c>
      <c r="Q26" s="1165">
        <f t="shared" si="13"/>
        <v>2.8395662192414965</v>
      </c>
      <c r="R26" s="688">
        <f t="shared" si="9"/>
        <v>0</v>
      </c>
      <c r="S26" s="706">
        <f>'F11'!O26</f>
        <v>2.839566219241497</v>
      </c>
      <c r="T26" s="706">
        <f>'F11'!P26</f>
        <v>2.839566219241497</v>
      </c>
      <c r="U26" s="706">
        <f>'F11'!Q26</f>
        <v>2.839566219241497</v>
      </c>
      <c r="V26" s="706">
        <f>'F11'!R26</f>
        <v>2.839566219241497</v>
      </c>
      <c r="W26" s="706">
        <f>'F11'!S26</f>
        <v>2.839566219241497</v>
      </c>
      <c r="X26" s="326"/>
    </row>
    <row r="27" spans="2:24" s="322" customFormat="1">
      <c r="B27" s="243">
        <f t="shared" si="4"/>
        <v>17</v>
      </c>
      <c r="C27" s="246" t="s">
        <v>92</v>
      </c>
      <c r="D27" s="128"/>
      <c r="E27" s="464">
        <f>E23+E24-E26+E25</f>
        <v>960.27126313122312</v>
      </c>
      <c r="F27" s="464">
        <f t="shared" ref="F27:R27" si="14">F23+F24-F26+F25</f>
        <v>863.1315483278247</v>
      </c>
      <c r="G27" s="464">
        <f t="shared" si="14"/>
        <v>953.15685563068951</v>
      </c>
      <c r="H27" s="464">
        <f t="shared" si="14"/>
        <v>90.025307302864988</v>
      </c>
      <c r="I27" s="464">
        <f t="shared" si="14"/>
        <v>1240.7736878355608</v>
      </c>
      <c r="J27" s="464">
        <f t="shared" si="14"/>
        <v>1038.720165566436</v>
      </c>
      <c r="K27" s="464">
        <f t="shared" si="14"/>
        <v>1102.8045952143814</v>
      </c>
      <c r="L27" s="464">
        <f t="shared" si="14"/>
        <v>64.084429647945484</v>
      </c>
      <c r="M27" s="464">
        <f t="shared" si="14"/>
        <v>1245.1342607524693</v>
      </c>
      <c r="N27" s="464">
        <f t="shared" ca="1" si="14"/>
        <v>1196.5936088457813</v>
      </c>
      <c r="O27" s="464">
        <f t="shared" ca="1" si="14"/>
        <v>529.35835022611241</v>
      </c>
      <c r="P27" s="464">
        <f t="shared" ca="1" si="14"/>
        <v>719.01956130322174</v>
      </c>
      <c r="Q27" s="464">
        <f t="shared" ca="1" si="14"/>
        <v>1248.3779115293341</v>
      </c>
      <c r="R27" s="464">
        <f t="shared" ca="1" si="14"/>
        <v>51.784302683552667</v>
      </c>
      <c r="S27" s="464">
        <f ca="1">S23+S24-S26+S25</f>
        <v>1508.7680743291421</v>
      </c>
      <c r="T27" s="464">
        <f t="shared" ref="T27:W27" ca="1" si="15">T23+T24-T26+T25</f>
        <v>1596.1343848058909</v>
      </c>
      <c r="U27" s="464">
        <f t="shared" ca="1" si="15"/>
        <v>1629.2728032840396</v>
      </c>
      <c r="V27" s="464">
        <f t="shared" ca="1" si="15"/>
        <v>1683.297895430466</v>
      </c>
      <c r="W27" s="464">
        <f t="shared" ca="1" si="15"/>
        <v>1734.1717720256972</v>
      </c>
      <c r="X27" s="326"/>
    </row>
    <row r="28" spans="2:24" s="668" customFormat="1">
      <c r="B28" s="694"/>
      <c r="E28" s="669"/>
      <c r="F28" s="670"/>
      <c r="G28" s="1472"/>
      <c r="H28" s="518"/>
      <c r="I28" s="1443"/>
      <c r="J28" s="369"/>
      <c r="K28" s="1472"/>
      <c r="L28" s="518"/>
      <c r="M28" s="1443"/>
      <c r="N28" s="1473"/>
      <c r="O28" s="1443"/>
      <c r="P28" s="1443"/>
      <c r="Q28" s="1472"/>
      <c r="S28" s="669"/>
      <c r="T28" s="669"/>
      <c r="U28" s="669"/>
      <c r="V28" s="669"/>
      <c r="W28" s="669"/>
    </row>
    <row r="29" spans="2:24">
      <c r="F29" s="369"/>
      <c r="J29" s="369"/>
      <c r="N29" s="369"/>
      <c r="S29" s="518"/>
      <c r="T29" s="518"/>
      <c r="U29" s="518"/>
      <c r="V29" s="518"/>
      <c r="W29" s="518"/>
    </row>
    <row r="31" spans="2:24">
      <c r="B31" s="14" t="s">
        <v>1549</v>
      </c>
    </row>
    <row r="33" spans="7:16">
      <c r="G33" s="1443"/>
      <c r="H33" s="1444"/>
      <c r="I33" s="1444"/>
      <c r="J33" s="1444"/>
      <c r="K33" s="1443"/>
      <c r="L33" s="1444"/>
      <c r="M33" s="1444"/>
      <c r="N33" s="1444"/>
      <c r="O33" s="1443"/>
      <c r="P33" s="1443"/>
    </row>
  </sheetData>
  <mergeCells count="14">
    <mergeCell ref="X7:X9"/>
    <mergeCell ref="M7:R7"/>
    <mergeCell ref="S7:W7"/>
    <mergeCell ref="B2:L2"/>
    <mergeCell ref="B3:L3"/>
    <mergeCell ref="B4:L4"/>
    <mergeCell ref="N2:X2"/>
    <mergeCell ref="N3:X3"/>
    <mergeCell ref="N4:X4"/>
    <mergeCell ref="B7:B9"/>
    <mergeCell ref="C7:C9"/>
    <mergeCell ref="D7:D9"/>
    <mergeCell ref="E7:H7"/>
    <mergeCell ref="I7:L7"/>
  </mergeCells>
  <printOptions horizontalCentered="1" verticalCentered="1" headings="1"/>
  <pageMargins left="0.82677165354330717" right="0.86614173228346458" top="2.93" bottom="1.6" header="0.51181102362204722" footer="0.51181102362204722"/>
  <pageSetup paperSize="9" scale="60" orientation="landscape" r:id="rId1"/>
  <headerFooter alignWithMargins="0"/>
  <colBreaks count="1" manualBreakCount="1">
    <brk id="13" max="2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B2:O56"/>
  <sheetViews>
    <sheetView showGridLines="0" view="pageBreakPreview" topLeftCell="A31" zoomScale="70" zoomScaleNormal="80" zoomScaleSheetLayoutView="70" workbookViewId="0">
      <selection activeCell="N56" sqref="N56"/>
    </sheetView>
  </sheetViews>
  <sheetFormatPr defaultColWidth="8.6328125" defaultRowHeight="13"/>
  <cols>
    <col min="1" max="1" width="8.6328125" style="94"/>
    <col min="2" max="2" width="13.6328125" style="94" customWidth="1"/>
    <col min="3" max="3" width="14" style="94" customWidth="1"/>
    <col min="4" max="4" width="10.54296875" style="94" customWidth="1"/>
    <col min="5" max="5" width="12.36328125" style="94" customWidth="1"/>
    <col min="6" max="6" width="13.36328125" style="94" customWidth="1"/>
    <col min="7" max="9" width="10" style="94" customWidth="1"/>
    <col min="10" max="11" width="11.453125" style="94" customWidth="1"/>
    <col min="12" max="12" width="14.54296875" style="94" customWidth="1"/>
    <col min="13" max="13" width="11.453125" style="94" customWidth="1"/>
    <col min="14" max="14" width="10" style="94" customWidth="1"/>
    <col min="15" max="16384" width="8.6328125" style="94"/>
  </cols>
  <sheetData>
    <row r="2" spans="2:15" ht="14">
      <c r="B2" s="1776" t="str">
        <f>Index!B2</f>
        <v xml:space="preserve">      Maharashtra State Power Generation Company Ltd.</v>
      </c>
      <c r="C2" s="1776"/>
      <c r="D2" s="1776"/>
      <c r="E2" s="1776"/>
      <c r="F2" s="1776"/>
      <c r="G2" s="1776"/>
      <c r="H2" s="1776"/>
      <c r="I2" s="1776"/>
      <c r="J2" s="1776"/>
      <c r="K2" s="1776"/>
      <c r="L2" s="1776"/>
      <c r="M2" s="1776"/>
      <c r="N2" s="1776"/>
    </row>
    <row r="3" spans="2:15" ht="14">
      <c r="B3" s="1776" t="str">
        <f>Index!B3</f>
        <v>MYT Petition Formats for Parli 8</v>
      </c>
      <c r="C3" s="1776"/>
      <c r="D3" s="1776"/>
      <c r="E3" s="1776"/>
      <c r="F3" s="1776"/>
      <c r="G3" s="1776"/>
      <c r="H3" s="1776"/>
      <c r="I3" s="1776"/>
      <c r="J3" s="1776"/>
      <c r="K3" s="1776"/>
      <c r="L3" s="1776"/>
      <c r="M3" s="1776"/>
      <c r="N3" s="1776"/>
    </row>
    <row r="4" spans="2:15" ht="14">
      <c r="B4" s="1966" t="s">
        <v>423</v>
      </c>
      <c r="C4" s="1966"/>
      <c r="D4" s="1966"/>
      <c r="E4" s="1966"/>
      <c r="F4" s="1966"/>
      <c r="G4" s="1966"/>
      <c r="H4" s="1966"/>
      <c r="I4" s="1966"/>
      <c r="J4" s="1966"/>
      <c r="K4" s="1966"/>
      <c r="L4" s="1966"/>
      <c r="M4" s="1966"/>
      <c r="N4" s="1966"/>
    </row>
    <row r="5" spans="2:15" ht="14">
      <c r="B5" s="88"/>
      <c r="C5" s="88"/>
      <c r="D5" s="88"/>
      <c r="E5" s="88"/>
      <c r="F5" s="88"/>
      <c r="G5" s="88"/>
      <c r="H5" s="88"/>
      <c r="I5" s="88"/>
      <c r="J5" s="88"/>
      <c r="K5" s="88"/>
      <c r="L5" s="88"/>
      <c r="M5" s="88"/>
      <c r="N5" s="88"/>
    </row>
    <row r="6" spans="2:15" ht="14">
      <c r="B6" s="88"/>
      <c r="C6" s="88"/>
      <c r="D6" s="88"/>
      <c r="E6" s="88"/>
      <c r="F6" s="88"/>
      <c r="G6" s="88"/>
      <c r="H6" s="88"/>
      <c r="I6" s="88"/>
      <c r="J6" s="88"/>
      <c r="K6" s="88"/>
      <c r="L6" s="88"/>
      <c r="M6" s="88"/>
      <c r="N6" s="88"/>
    </row>
    <row r="7" spans="2:15" ht="14">
      <c r="B7" s="68" t="s">
        <v>999</v>
      </c>
      <c r="N7" s="115"/>
    </row>
    <row r="8" spans="2:15" ht="14">
      <c r="B8" s="68"/>
      <c r="N8" s="115" t="s">
        <v>10</v>
      </c>
    </row>
    <row r="9" spans="2:15" s="116" customFormat="1" ht="33" customHeight="1">
      <c r="B9" s="1963" t="s">
        <v>278</v>
      </c>
      <c r="C9" s="1806" t="s">
        <v>294</v>
      </c>
      <c r="D9" s="1806"/>
      <c r="E9" s="1806"/>
      <c r="F9" s="1806"/>
      <c r="G9" s="1804" t="s">
        <v>295</v>
      </c>
      <c r="H9" s="1804"/>
      <c r="I9" s="1804"/>
      <c r="J9" s="1964" t="s">
        <v>296</v>
      </c>
      <c r="K9" s="1964"/>
      <c r="L9" s="1964"/>
      <c r="M9" s="1964"/>
      <c r="N9" s="1964"/>
    </row>
    <row r="10" spans="2:15" ht="72" customHeight="1">
      <c r="B10" s="1963"/>
      <c r="C10" s="310" t="s">
        <v>347</v>
      </c>
      <c r="D10" s="310" t="s">
        <v>345</v>
      </c>
      <c r="E10" s="310" t="s">
        <v>740</v>
      </c>
      <c r="F10" s="310" t="s">
        <v>346</v>
      </c>
      <c r="G10" s="310" t="s">
        <v>297</v>
      </c>
      <c r="H10" s="310" t="s">
        <v>741</v>
      </c>
      <c r="I10" s="310" t="s">
        <v>298</v>
      </c>
      <c r="J10" s="310" t="s">
        <v>299</v>
      </c>
      <c r="K10" s="310" t="s">
        <v>300</v>
      </c>
      <c r="L10" s="310" t="s">
        <v>742</v>
      </c>
      <c r="M10" s="310" t="s">
        <v>743</v>
      </c>
      <c r="N10" s="311" t="s">
        <v>271</v>
      </c>
    </row>
    <row r="11" spans="2:15" ht="14.25" customHeight="1">
      <c r="B11" s="110"/>
      <c r="C11" s="111"/>
      <c r="D11" s="111"/>
      <c r="E11" s="111"/>
      <c r="F11" s="111"/>
      <c r="G11" s="111"/>
      <c r="H11" s="111"/>
      <c r="I11" s="111"/>
      <c r="J11" s="111"/>
      <c r="K11" s="111"/>
      <c r="L11" s="111"/>
      <c r="M11" s="111"/>
      <c r="N11" s="112"/>
    </row>
    <row r="12" spans="2:15" ht="14.25" customHeight="1">
      <c r="B12" s="148" t="s">
        <v>778</v>
      </c>
      <c r="C12" s="339">
        <f ca="1">'F1'!S27-'F1'!S11</f>
        <v>538.02538535823146</v>
      </c>
      <c r="D12" s="339">
        <f>'F2.2'!S157</f>
        <v>5.752349985030353</v>
      </c>
      <c r="E12" s="113"/>
      <c r="F12" s="113"/>
      <c r="G12" s="339">
        <f>'F2.2'!S37</f>
        <v>1687.558461319506</v>
      </c>
      <c r="H12" s="465">
        <v>1</v>
      </c>
      <c r="I12" s="113"/>
      <c r="J12" s="339">
        <f ca="1">C12</f>
        <v>538.02538535823146</v>
      </c>
      <c r="K12" s="339">
        <f>G12*D12/10</f>
        <v>970.74268897091065</v>
      </c>
      <c r="L12" s="339"/>
      <c r="M12" s="339"/>
      <c r="N12" s="337">
        <f ca="1">SUM(J12:M12)</f>
        <v>1508.7680743291421</v>
      </c>
    </row>
    <row r="13" spans="2:15" ht="14.25" customHeight="1">
      <c r="B13" s="107"/>
      <c r="C13" s="113"/>
      <c r="D13" s="113"/>
      <c r="E13" s="113"/>
      <c r="F13" s="113"/>
      <c r="G13" s="113"/>
      <c r="H13" s="113"/>
      <c r="I13" s="113"/>
      <c r="J13" s="113"/>
      <c r="K13" s="113"/>
      <c r="L13" s="113"/>
      <c r="M13" s="113"/>
      <c r="N13" s="337">
        <f>SUM(J13:M13)</f>
        <v>0</v>
      </c>
    </row>
    <row r="14" spans="2:15" ht="14">
      <c r="B14" s="107" t="s">
        <v>271</v>
      </c>
      <c r="C14" s="360"/>
      <c r="D14" s="360"/>
      <c r="E14" s="360"/>
      <c r="F14" s="360"/>
      <c r="G14" s="360">
        <f>SUM(G12:G13)</f>
        <v>1687.558461319506</v>
      </c>
      <c r="H14" s="360"/>
      <c r="I14" s="360"/>
      <c r="J14" s="360">
        <f ca="1">SUM(J12:J13)</f>
        <v>538.02538535823146</v>
      </c>
      <c r="K14" s="360">
        <f>SUM(K12:K13)</f>
        <v>970.74268897091065</v>
      </c>
      <c r="L14" s="360">
        <f>SUM(L12:L13)</f>
        <v>0</v>
      </c>
      <c r="M14" s="360">
        <f>SUM(M12:M13)</f>
        <v>0</v>
      </c>
      <c r="N14" s="360">
        <f ca="1">SUM(N12:N13)</f>
        <v>1508.7680743291421</v>
      </c>
      <c r="O14" s="341"/>
    </row>
    <row r="17" spans="2:14" ht="2.75" customHeight="1"/>
    <row r="18" spans="2:14" ht="14">
      <c r="B18" s="68" t="s">
        <v>1000</v>
      </c>
    </row>
    <row r="19" spans="2:14" ht="14">
      <c r="B19" s="68"/>
      <c r="N19" s="115" t="s">
        <v>10</v>
      </c>
    </row>
    <row r="20" spans="2:14" ht="13.25" customHeight="1">
      <c r="B20" s="1963" t="s">
        <v>278</v>
      </c>
      <c r="C20" s="1806" t="s">
        <v>294</v>
      </c>
      <c r="D20" s="1806"/>
      <c r="E20" s="1806"/>
      <c r="F20" s="1806"/>
      <c r="G20" s="1804" t="s">
        <v>295</v>
      </c>
      <c r="H20" s="1804"/>
      <c r="I20" s="1804"/>
      <c r="J20" s="1964" t="s">
        <v>296</v>
      </c>
      <c r="K20" s="1964"/>
      <c r="L20" s="1964"/>
      <c r="M20" s="1964"/>
      <c r="N20" s="1964"/>
    </row>
    <row r="21" spans="2:14" ht="69" customHeight="1">
      <c r="B21" s="1963"/>
      <c r="C21" s="310" t="s">
        <v>347</v>
      </c>
      <c r="D21" s="310" t="s">
        <v>345</v>
      </c>
      <c r="E21" s="310" t="s">
        <v>740</v>
      </c>
      <c r="F21" s="310" t="s">
        <v>346</v>
      </c>
      <c r="G21" s="310" t="s">
        <v>297</v>
      </c>
      <c r="H21" s="310" t="s">
        <v>741</v>
      </c>
      <c r="I21" s="310" t="s">
        <v>298</v>
      </c>
      <c r="J21" s="310" t="s">
        <v>299</v>
      </c>
      <c r="K21" s="310" t="s">
        <v>300</v>
      </c>
      <c r="L21" s="310" t="s">
        <v>742</v>
      </c>
      <c r="M21" s="310" t="s">
        <v>743</v>
      </c>
      <c r="N21" s="311" t="s">
        <v>271</v>
      </c>
    </row>
    <row r="22" spans="2:14">
      <c r="B22" s="110"/>
      <c r="C22" s="111"/>
      <c r="D22" s="111"/>
      <c r="E22" s="111"/>
      <c r="F22" s="111"/>
      <c r="G22" s="111"/>
      <c r="H22" s="111"/>
      <c r="I22" s="111"/>
      <c r="J22" s="111"/>
      <c r="K22" s="111"/>
      <c r="L22" s="111"/>
      <c r="M22" s="111"/>
      <c r="N22" s="112"/>
    </row>
    <row r="23" spans="2:14" ht="14">
      <c r="B23" s="148" t="s">
        <v>778</v>
      </c>
      <c r="C23" s="338">
        <f ca="1">'F1'!T27-'F1'!T11</f>
        <v>576.85456138643463</v>
      </c>
      <c r="D23" s="338">
        <f>'F2.2'!$T$157</f>
        <v>6.0399674842818722</v>
      </c>
      <c r="E23" s="338"/>
      <c r="F23" s="113"/>
      <c r="G23" s="339">
        <f>'F2.2'!$T$37</f>
        <v>1687.558461319506</v>
      </c>
      <c r="H23" s="465">
        <v>1</v>
      </c>
      <c r="I23" s="113"/>
      <c r="J23" s="339">
        <f ca="1">C23</f>
        <v>576.85456138643463</v>
      </c>
      <c r="K23" s="339">
        <f>G23*D23/10</f>
        <v>1019.2798234194564</v>
      </c>
      <c r="L23" s="339"/>
      <c r="M23" s="339"/>
      <c r="N23" s="337">
        <f ca="1">SUM(J23:M23)</f>
        <v>1596.1343848058909</v>
      </c>
    </row>
    <row r="24" spans="2:14" ht="14">
      <c r="B24" s="107"/>
      <c r="C24" s="113"/>
      <c r="D24" s="113"/>
      <c r="E24" s="113"/>
      <c r="F24" s="113"/>
      <c r="G24" s="113"/>
      <c r="H24" s="113"/>
      <c r="I24" s="113"/>
      <c r="J24" s="113"/>
      <c r="K24" s="113"/>
      <c r="L24" s="113"/>
      <c r="M24" s="113"/>
      <c r="N24" s="337">
        <f>SUM(J24:M24)</f>
        <v>0</v>
      </c>
    </row>
    <row r="25" spans="2:14" ht="14">
      <c r="B25" s="107" t="s">
        <v>271</v>
      </c>
      <c r="C25" s="360"/>
      <c r="D25" s="360"/>
      <c r="E25" s="360"/>
      <c r="F25" s="360"/>
      <c r="G25" s="360">
        <f>SUM(G23:G24)</f>
        <v>1687.558461319506</v>
      </c>
      <c r="H25" s="360"/>
      <c r="I25" s="360"/>
      <c r="J25" s="360">
        <f ca="1">SUM(J23:J24)</f>
        <v>576.85456138643463</v>
      </c>
      <c r="K25" s="360">
        <f>SUM(K23:K24)</f>
        <v>1019.2798234194564</v>
      </c>
      <c r="L25" s="360">
        <f>SUM(L23:L24)</f>
        <v>0</v>
      </c>
      <c r="M25" s="360">
        <f>SUM(M23:M24)</f>
        <v>0</v>
      </c>
      <c r="N25" s="360">
        <f ca="1">SUM(N23:N24)</f>
        <v>1596.1343848058909</v>
      </c>
    </row>
    <row r="29" spans="2:14" ht="14">
      <c r="B29" s="68" t="s">
        <v>1001</v>
      </c>
    </row>
    <row r="30" spans="2:14" ht="14">
      <c r="B30" s="68"/>
      <c r="N30" s="115" t="s">
        <v>10</v>
      </c>
    </row>
    <row r="31" spans="2:14" ht="29.75" customHeight="1">
      <c r="B31" s="1963" t="s">
        <v>278</v>
      </c>
      <c r="C31" s="1806" t="s">
        <v>294</v>
      </c>
      <c r="D31" s="1806"/>
      <c r="E31" s="1806"/>
      <c r="F31" s="1806"/>
      <c r="G31" s="1804" t="s">
        <v>295</v>
      </c>
      <c r="H31" s="1804"/>
      <c r="I31" s="1804"/>
      <c r="J31" s="1964" t="s">
        <v>296</v>
      </c>
      <c r="K31" s="1964"/>
      <c r="L31" s="1964"/>
      <c r="M31" s="1964"/>
      <c r="N31" s="1964"/>
    </row>
    <row r="32" spans="2:14" ht="65.25" customHeight="1">
      <c r="B32" s="1963"/>
      <c r="C32" s="310" t="s">
        <v>347</v>
      </c>
      <c r="D32" s="310" t="s">
        <v>345</v>
      </c>
      <c r="E32" s="310" t="s">
        <v>740</v>
      </c>
      <c r="F32" s="310" t="s">
        <v>346</v>
      </c>
      <c r="G32" s="310" t="s">
        <v>297</v>
      </c>
      <c r="H32" s="310" t="s">
        <v>741</v>
      </c>
      <c r="I32" s="310" t="s">
        <v>298</v>
      </c>
      <c r="J32" s="310" t="s">
        <v>299</v>
      </c>
      <c r="K32" s="310" t="s">
        <v>300</v>
      </c>
      <c r="L32" s="310" t="s">
        <v>742</v>
      </c>
      <c r="M32" s="310" t="s">
        <v>743</v>
      </c>
      <c r="N32" s="311" t="s">
        <v>271</v>
      </c>
    </row>
    <row r="33" spans="2:14">
      <c r="B33" s="110"/>
      <c r="C33" s="111"/>
      <c r="D33" s="111"/>
      <c r="E33" s="111"/>
      <c r="F33" s="111"/>
      <c r="G33" s="111"/>
      <c r="H33" s="111"/>
      <c r="I33" s="111"/>
      <c r="J33" s="111"/>
      <c r="K33" s="111"/>
      <c r="L33" s="111"/>
      <c r="M33" s="111"/>
      <c r="N33" s="112"/>
    </row>
    <row r="34" spans="2:14" ht="14">
      <c r="B34" s="148" t="s">
        <v>778</v>
      </c>
      <c r="C34" s="339">
        <f ca="1">'F1'!U27-'F1'!U11</f>
        <v>582.64343575230669</v>
      </c>
      <c r="D34" s="339">
        <f>'F2.2'!$U$157</f>
        <v>6.2017679017684477</v>
      </c>
      <c r="E34" s="339"/>
      <c r="F34" s="113"/>
      <c r="G34" s="339">
        <f>'F2.2'!$U$37</f>
        <v>1687.6306629167534</v>
      </c>
      <c r="H34" s="465">
        <v>1</v>
      </c>
      <c r="I34" s="113"/>
      <c r="J34" s="339">
        <f ca="1">C34</f>
        <v>582.64343575230669</v>
      </c>
      <c r="K34" s="339">
        <f>G34*D34/10</f>
        <v>1046.6293675317329</v>
      </c>
      <c r="L34" s="339"/>
      <c r="M34" s="339"/>
      <c r="N34" s="337">
        <f ca="1">SUM(J34:M34)</f>
        <v>1629.2728032840396</v>
      </c>
    </row>
    <row r="35" spans="2:14" ht="14">
      <c r="B35" s="107"/>
      <c r="C35" s="113"/>
      <c r="D35" s="113"/>
      <c r="E35" s="113"/>
      <c r="F35" s="113"/>
      <c r="G35" s="113"/>
      <c r="H35" s="113"/>
      <c r="I35" s="113"/>
      <c r="J35" s="113"/>
      <c r="K35" s="113"/>
      <c r="L35" s="113"/>
      <c r="M35" s="113"/>
      <c r="N35" s="337">
        <f>SUM(J35:M35)</f>
        <v>0</v>
      </c>
    </row>
    <row r="36" spans="2:14" ht="14">
      <c r="B36" s="107" t="s">
        <v>271</v>
      </c>
      <c r="C36" s="360"/>
      <c r="D36" s="360"/>
      <c r="E36" s="360"/>
      <c r="F36" s="360"/>
      <c r="G36" s="360">
        <f>SUM(G34:G35)</f>
        <v>1687.6306629167534</v>
      </c>
      <c r="H36" s="360"/>
      <c r="I36" s="360"/>
      <c r="J36" s="360">
        <f ca="1">SUM(J34:J35)</f>
        <v>582.64343575230669</v>
      </c>
      <c r="K36" s="360">
        <f>SUM(K34:K35)</f>
        <v>1046.6293675317329</v>
      </c>
      <c r="L36" s="360">
        <f>SUM(L34:L35)</f>
        <v>0</v>
      </c>
      <c r="M36" s="360">
        <f>SUM(M34:M35)</f>
        <v>0</v>
      </c>
      <c r="N36" s="360">
        <f ca="1">SUM(N34:N35)</f>
        <v>1629.2728032840396</v>
      </c>
    </row>
    <row r="37" spans="2:14" ht="14">
      <c r="B37" s="240"/>
      <c r="C37" s="78"/>
      <c r="D37" s="78"/>
      <c r="E37" s="78"/>
      <c r="F37" s="78"/>
      <c r="G37" s="78"/>
      <c r="H37" s="78"/>
      <c r="I37" s="78"/>
      <c r="J37" s="78"/>
      <c r="K37" s="78"/>
      <c r="L37" s="78"/>
      <c r="M37" s="78"/>
      <c r="N37" s="78"/>
    </row>
    <row r="38" spans="2:14" ht="14">
      <c r="B38" s="240"/>
      <c r="C38" s="78"/>
      <c r="D38" s="78"/>
      <c r="E38" s="78"/>
      <c r="F38" s="78"/>
      <c r="G38" s="78"/>
      <c r="H38" s="78"/>
      <c r="I38" s="78"/>
      <c r="J38" s="78"/>
      <c r="K38" s="78"/>
      <c r="L38" s="78"/>
      <c r="M38" s="78"/>
      <c r="N38" s="78"/>
    </row>
    <row r="39" spans="2:14" ht="14">
      <c r="B39" s="68" t="s">
        <v>1002</v>
      </c>
    </row>
    <row r="40" spans="2:14" ht="14">
      <c r="B40" s="68"/>
      <c r="N40" s="115" t="s">
        <v>10</v>
      </c>
    </row>
    <row r="41" spans="2:14" ht="14">
      <c r="B41" s="1963" t="s">
        <v>278</v>
      </c>
      <c r="C41" s="1806" t="s">
        <v>294</v>
      </c>
      <c r="D41" s="1806"/>
      <c r="E41" s="1806"/>
      <c r="F41" s="1806"/>
      <c r="G41" s="1804" t="s">
        <v>295</v>
      </c>
      <c r="H41" s="1804"/>
      <c r="I41" s="1804"/>
      <c r="J41" s="1964" t="s">
        <v>296</v>
      </c>
      <c r="K41" s="1964"/>
      <c r="L41" s="1964"/>
      <c r="M41" s="1964"/>
      <c r="N41" s="1964"/>
    </row>
    <row r="42" spans="2:14" ht="70">
      <c r="B42" s="1963"/>
      <c r="C42" s="753" t="s">
        <v>347</v>
      </c>
      <c r="D42" s="753" t="s">
        <v>345</v>
      </c>
      <c r="E42" s="753" t="s">
        <v>740</v>
      </c>
      <c r="F42" s="753" t="s">
        <v>346</v>
      </c>
      <c r="G42" s="753" t="s">
        <v>297</v>
      </c>
      <c r="H42" s="753" t="s">
        <v>741</v>
      </c>
      <c r="I42" s="753" t="s">
        <v>298</v>
      </c>
      <c r="J42" s="753" t="s">
        <v>299</v>
      </c>
      <c r="K42" s="753" t="s">
        <v>300</v>
      </c>
      <c r="L42" s="753" t="s">
        <v>742</v>
      </c>
      <c r="M42" s="753" t="s">
        <v>743</v>
      </c>
      <c r="N42" s="754" t="s">
        <v>271</v>
      </c>
    </row>
    <row r="43" spans="2:14">
      <c r="B43" s="110"/>
      <c r="C43" s="111"/>
      <c r="D43" s="111"/>
      <c r="E43" s="111"/>
      <c r="F43" s="111"/>
      <c r="G43" s="111"/>
      <c r="H43" s="111"/>
      <c r="I43" s="111"/>
      <c r="J43" s="111"/>
      <c r="K43" s="111"/>
      <c r="L43" s="111"/>
      <c r="M43" s="111"/>
      <c r="N43" s="112"/>
    </row>
    <row r="44" spans="2:14" ht="14">
      <c r="B44" s="148" t="s">
        <v>778</v>
      </c>
      <c r="C44" s="339">
        <f ca="1">'F1'!V27-'F1'!V11</f>
        <v>585.75705430263179</v>
      </c>
      <c r="D44" s="339">
        <f>'F2.2'!$V$157</f>
        <v>6.5034421644777449</v>
      </c>
      <c r="E44" s="339"/>
      <c r="F44" s="113"/>
      <c r="G44" s="339">
        <f>'F2.2'!$V$37</f>
        <v>1687.6306629167534</v>
      </c>
      <c r="H44" s="465">
        <v>1</v>
      </c>
      <c r="I44" s="113"/>
      <c r="J44" s="339">
        <f ca="1">C44</f>
        <v>585.75705430263179</v>
      </c>
      <c r="K44" s="339">
        <f>G44*D44/10</f>
        <v>1097.5408411278343</v>
      </c>
      <c r="L44" s="339"/>
      <c r="M44" s="339"/>
      <c r="N44" s="337">
        <f ca="1">SUM(J44:M44)</f>
        <v>1683.297895430466</v>
      </c>
    </row>
    <row r="45" spans="2:14" ht="14">
      <c r="B45" s="107"/>
      <c r="C45" s="113"/>
      <c r="D45" s="113"/>
      <c r="E45" s="113"/>
      <c r="F45" s="113"/>
      <c r="G45" s="113"/>
      <c r="H45" s="113"/>
      <c r="I45" s="113"/>
      <c r="J45" s="113"/>
      <c r="K45" s="113"/>
      <c r="L45" s="113"/>
      <c r="M45" s="113"/>
      <c r="N45" s="337">
        <f>SUM(J45:M45)</f>
        <v>0</v>
      </c>
    </row>
    <row r="46" spans="2:14" ht="14">
      <c r="B46" s="107" t="s">
        <v>271</v>
      </c>
      <c r="C46" s="360"/>
      <c r="D46" s="360"/>
      <c r="E46" s="360"/>
      <c r="F46" s="360"/>
      <c r="G46" s="360">
        <f>SUM(G44:G45)</f>
        <v>1687.6306629167534</v>
      </c>
      <c r="H46" s="360"/>
      <c r="I46" s="360"/>
      <c r="J46" s="360">
        <f ca="1">SUM(J44:J45)</f>
        <v>585.75705430263179</v>
      </c>
      <c r="K46" s="360">
        <f>SUM(K44:K45)</f>
        <v>1097.5408411278343</v>
      </c>
      <c r="L46" s="360">
        <f>SUM(L44:L45)</f>
        <v>0</v>
      </c>
      <c r="M46" s="360">
        <f>SUM(M44:M45)</f>
        <v>0</v>
      </c>
      <c r="N46" s="360">
        <f ca="1">SUM(N44:N45)</f>
        <v>1683.297895430466</v>
      </c>
    </row>
    <row r="49" spans="2:14" ht="14">
      <c r="B49" s="68" t="s">
        <v>1003</v>
      </c>
    </row>
    <row r="50" spans="2:14" ht="14">
      <c r="B50" s="68"/>
      <c r="N50" s="115" t="s">
        <v>10</v>
      </c>
    </row>
    <row r="51" spans="2:14" ht="14">
      <c r="B51" s="1963" t="s">
        <v>278</v>
      </c>
      <c r="C51" s="1806" t="s">
        <v>294</v>
      </c>
      <c r="D51" s="1806"/>
      <c r="E51" s="1806"/>
      <c r="F51" s="1806"/>
      <c r="G51" s="1804" t="s">
        <v>295</v>
      </c>
      <c r="H51" s="1804"/>
      <c r="I51" s="1804"/>
      <c r="J51" s="1964" t="s">
        <v>296</v>
      </c>
      <c r="K51" s="1964"/>
      <c r="L51" s="1964"/>
      <c r="M51" s="1964"/>
      <c r="N51" s="1964"/>
    </row>
    <row r="52" spans="2:14" ht="70">
      <c r="B52" s="1963"/>
      <c r="C52" s="753" t="s">
        <v>347</v>
      </c>
      <c r="D52" s="753" t="s">
        <v>345</v>
      </c>
      <c r="E52" s="753" t="s">
        <v>740</v>
      </c>
      <c r="F52" s="753" t="s">
        <v>346</v>
      </c>
      <c r="G52" s="753" t="s">
        <v>297</v>
      </c>
      <c r="H52" s="753" t="s">
        <v>741</v>
      </c>
      <c r="I52" s="753" t="s">
        <v>298</v>
      </c>
      <c r="J52" s="753" t="s">
        <v>299</v>
      </c>
      <c r="K52" s="753" t="s">
        <v>300</v>
      </c>
      <c r="L52" s="753" t="s">
        <v>742</v>
      </c>
      <c r="M52" s="753" t="s">
        <v>743</v>
      </c>
      <c r="N52" s="754" t="s">
        <v>271</v>
      </c>
    </row>
    <row r="53" spans="2:14">
      <c r="B53" s="110"/>
      <c r="C53" s="111"/>
      <c r="D53" s="111"/>
      <c r="E53" s="111"/>
      <c r="F53" s="111"/>
      <c r="G53" s="111"/>
      <c r="H53" s="111"/>
      <c r="I53" s="111"/>
      <c r="J53" s="111"/>
      <c r="K53" s="111"/>
      <c r="L53" s="111"/>
      <c r="M53" s="111"/>
      <c r="N53" s="112"/>
    </row>
    <row r="54" spans="2:14" ht="14">
      <c r="B54" s="148" t="s">
        <v>778</v>
      </c>
      <c r="C54" s="339">
        <f ca="1">'F1'!W27-'F1'!W11</f>
        <v>583.17388362195675</v>
      </c>
      <c r="D54" s="339">
        <f>'F2.2'!$W$157</f>
        <v>6.8202001403225054</v>
      </c>
      <c r="E54" s="339"/>
      <c r="F54" s="113"/>
      <c r="G54" s="339">
        <f>'F2.2'!$W$37</f>
        <v>1687.6306629167534</v>
      </c>
      <c r="H54" s="465">
        <v>1</v>
      </c>
      <c r="I54" s="113"/>
      <c r="J54" s="339">
        <f ca="1">C54</f>
        <v>583.17388362195675</v>
      </c>
      <c r="K54" s="339">
        <f>G54*D54/10</f>
        <v>1150.9978884037405</v>
      </c>
      <c r="L54" s="339"/>
      <c r="M54" s="339"/>
      <c r="N54" s="337">
        <f ca="1">SUM(J54:M54)</f>
        <v>1734.1717720256972</v>
      </c>
    </row>
    <row r="55" spans="2:14" ht="14">
      <c r="B55" s="107"/>
      <c r="C55" s="113"/>
      <c r="D55" s="113"/>
      <c r="E55" s="113"/>
      <c r="F55" s="113"/>
      <c r="G55" s="113"/>
      <c r="H55" s="113"/>
      <c r="I55" s="113"/>
      <c r="J55" s="113"/>
      <c r="K55" s="113"/>
      <c r="L55" s="113"/>
      <c r="M55" s="113"/>
      <c r="N55" s="337">
        <f>SUM(J55:M55)</f>
        <v>0</v>
      </c>
    </row>
    <row r="56" spans="2:14" ht="14">
      <c r="B56" s="107" t="s">
        <v>271</v>
      </c>
      <c r="C56" s="360"/>
      <c r="D56" s="360"/>
      <c r="E56" s="360"/>
      <c r="F56" s="360"/>
      <c r="G56" s="360">
        <f>SUM(G54:G55)</f>
        <v>1687.6306629167534</v>
      </c>
      <c r="H56" s="360"/>
      <c r="I56" s="360"/>
      <c r="J56" s="360">
        <f ca="1">SUM(J54:J55)</f>
        <v>583.17388362195675</v>
      </c>
      <c r="K56" s="360">
        <f>SUM(K54:K55)</f>
        <v>1150.9978884037405</v>
      </c>
      <c r="L56" s="360">
        <f>SUM(L54:L55)</f>
        <v>0</v>
      </c>
      <c r="M56" s="360">
        <f>SUM(M54:M55)</f>
        <v>0</v>
      </c>
      <c r="N56" s="360">
        <f ca="1">SUM(N54:N55)</f>
        <v>1734.1717720256972</v>
      </c>
    </row>
  </sheetData>
  <mergeCells count="23">
    <mergeCell ref="B20:B21"/>
    <mergeCell ref="C20:F20"/>
    <mergeCell ref="G20:I20"/>
    <mergeCell ref="J20:N20"/>
    <mergeCell ref="B31:B32"/>
    <mergeCell ref="C31:F31"/>
    <mergeCell ref="G31:I31"/>
    <mergeCell ref="J31:N31"/>
    <mergeCell ref="B2:N2"/>
    <mergeCell ref="B3:N3"/>
    <mergeCell ref="B4:N4"/>
    <mergeCell ref="B9:B10"/>
    <mergeCell ref="C9:F9"/>
    <mergeCell ref="G9:I9"/>
    <mergeCell ref="J9:N9"/>
    <mergeCell ref="B41:B42"/>
    <mergeCell ref="C41:F41"/>
    <mergeCell ref="G41:I41"/>
    <mergeCell ref="J41:N41"/>
    <mergeCell ref="B51:B52"/>
    <mergeCell ref="C51:F51"/>
    <mergeCell ref="G51:I51"/>
    <mergeCell ref="J51:N51"/>
  </mergeCells>
  <pageMargins left="0.70866141732283472" right="0.70866141732283472" top="0.74803149606299213" bottom="0.74803149606299213" header="0.31496062992125984" footer="0.31496062992125984"/>
  <pageSetup paperSize="9" scale="4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B2:N51"/>
  <sheetViews>
    <sheetView showGridLines="0" view="pageBreakPreview" topLeftCell="A27" zoomScale="80" zoomScaleNormal="80" zoomScaleSheetLayoutView="80" workbookViewId="0">
      <selection activeCell="N56" sqref="N56"/>
    </sheetView>
  </sheetViews>
  <sheetFormatPr defaultColWidth="8.6328125" defaultRowHeight="14"/>
  <cols>
    <col min="1" max="1" width="8.6328125" style="241"/>
    <col min="2" max="2" width="13.453125" style="241" customWidth="1"/>
    <col min="3" max="11" width="12.36328125" style="241" customWidth="1"/>
    <col min="12" max="12" width="14.6328125" style="241" customWidth="1"/>
    <col min="13" max="14" width="12.36328125" style="241" customWidth="1"/>
    <col min="15" max="16384" width="8.6328125" style="241"/>
  </cols>
  <sheetData>
    <row r="2" spans="2:14">
      <c r="B2" s="1776" t="str">
        <f>Index!B2</f>
        <v xml:space="preserve">      Maharashtra State Power Generation Company Ltd.</v>
      </c>
      <c r="C2" s="1776"/>
      <c r="D2" s="1776"/>
      <c r="E2" s="1776"/>
      <c r="F2" s="1776"/>
      <c r="G2" s="1776"/>
      <c r="H2" s="1776"/>
      <c r="I2" s="1776"/>
      <c r="J2" s="1776"/>
      <c r="K2" s="1776"/>
      <c r="L2" s="1776"/>
      <c r="M2" s="1776"/>
      <c r="N2" s="1776"/>
    </row>
    <row r="3" spans="2:14">
      <c r="B3" s="1776" t="str">
        <f>Index!B3</f>
        <v>MYT Petition Formats for Parli 8</v>
      </c>
      <c r="C3" s="1776"/>
      <c r="D3" s="1776"/>
      <c r="E3" s="1776"/>
      <c r="F3" s="1776"/>
      <c r="G3" s="1776"/>
      <c r="H3" s="1776"/>
      <c r="I3" s="1776"/>
      <c r="J3" s="1776"/>
      <c r="K3" s="1776"/>
      <c r="L3" s="1776"/>
      <c r="M3" s="1776"/>
      <c r="N3" s="1776"/>
    </row>
    <row r="4" spans="2:14">
      <c r="B4" s="1966" t="s">
        <v>424</v>
      </c>
      <c r="C4" s="1966"/>
      <c r="D4" s="1966"/>
      <c r="E4" s="1966"/>
      <c r="F4" s="1966"/>
      <c r="G4" s="1966"/>
      <c r="H4" s="1966"/>
      <c r="I4" s="1966"/>
      <c r="J4" s="1966"/>
      <c r="K4" s="1966"/>
      <c r="L4" s="1966"/>
      <c r="M4" s="1966"/>
      <c r="N4" s="1966"/>
    </row>
    <row r="5" spans="2:14">
      <c r="B5" s="237"/>
      <c r="C5" s="237"/>
      <c r="D5" s="237"/>
      <c r="E5" s="237"/>
      <c r="F5" s="237"/>
      <c r="G5" s="237"/>
      <c r="H5" s="237"/>
      <c r="I5" s="237"/>
      <c r="J5" s="237"/>
      <c r="K5" s="237"/>
      <c r="L5" s="237"/>
      <c r="M5" s="237"/>
      <c r="N5" s="237"/>
    </row>
    <row r="6" spans="2:14">
      <c r="B6" s="68" t="s">
        <v>958</v>
      </c>
    </row>
    <row r="7" spans="2:14">
      <c r="B7" s="68"/>
      <c r="N7" s="44" t="s">
        <v>10</v>
      </c>
    </row>
    <row r="8" spans="2:14" s="247" customFormat="1" ht="35.75" customHeight="1">
      <c r="B8" s="1781" t="s">
        <v>278</v>
      </c>
      <c r="C8" s="1806" t="s">
        <v>294</v>
      </c>
      <c r="D8" s="1806"/>
      <c r="E8" s="1806"/>
      <c r="F8" s="1806"/>
      <c r="G8" s="1804" t="s">
        <v>295</v>
      </c>
      <c r="H8" s="1804"/>
      <c r="I8" s="1804"/>
      <c r="J8" s="1964" t="s">
        <v>296</v>
      </c>
      <c r="K8" s="1964"/>
      <c r="L8" s="1964"/>
      <c r="M8" s="1964"/>
      <c r="N8" s="1964"/>
    </row>
    <row r="9" spans="2:14" ht="72" customHeight="1">
      <c r="B9" s="1781"/>
      <c r="C9" s="310" t="s">
        <v>347</v>
      </c>
      <c r="D9" s="310" t="s">
        <v>345</v>
      </c>
      <c r="E9" s="310" t="s">
        <v>740</v>
      </c>
      <c r="F9" s="310" t="s">
        <v>346</v>
      </c>
      <c r="G9" s="310" t="s">
        <v>297</v>
      </c>
      <c r="H9" s="310" t="s">
        <v>741</v>
      </c>
      <c r="I9" s="310" t="s">
        <v>298</v>
      </c>
      <c r="J9" s="310" t="s">
        <v>299</v>
      </c>
      <c r="K9" s="310" t="s">
        <v>300</v>
      </c>
      <c r="L9" s="310" t="s">
        <v>742</v>
      </c>
      <c r="M9" s="310" t="s">
        <v>743</v>
      </c>
      <c r="N9" s="311" t="s">
        <v>271</v>
      </c>
    </row>
    <row r="10" spans="2:14">
      <c r="B10" s="243"/>
      <c r="C10" s="244"/>
      <c r="D10" s="244"/>
      <c r="E10" s="244"/>
      <c r="F10" s="244"/>
      <c r="G10" s="244"/>
      <c r="H10" s="244"/>
      <c r="I10" s="244"/>
      <c r="J10" s="244"/>
      <c r="K10" s="244"/>
      <c r="L10" s="244"/>
      <c r="M10" s="244"/>
      <c r="N10" s="245"/>
    </row>
    <row r="11" spans="2:14">
      <c r="B11" s="148" t="s">
        <v>778</v>
      </c>
      <c r="C11" s="597">
        <f ca="1">'F9.2'!C12</f>
        <v>538.02538535823146</v>
      </c>
      <c r="D11" s="597">
        <f>'F9.2'!D12</f>
        <v>5.752349985030353</v>
      </c>
      <c r="E11" s="597">
        <f>'F9.2'!E12</f>
        <v>0</v>
      </c>
      <c r="F11" s="597">
        <f>'F9.2'!F12</f>
        <v>0</v>
      </c>
      <c r="G11" s="597">
        <f>'F9.2'!G12</f>
        <v>1687.558461319506</v>
      </c>
      <c r="H11" s="597">
        <f>'F9.2'!H12</f>
        <v>1</v>
      </c>
      <c r="I11" s="597">
        <f>'F9.2'!I12</f>
        <v>0</v>
      </c>
      <c r="J11" s="597">
        <f ca="1">'F9.2'!J12</f>
        <v>538.02538535823146</v>
      </c>
      <c r="K11" s="597">
        <f>'F9.2'!K12</f>
        <v>970.74268897091065</v>
      </c>
      <c r="L11" s="597">
        <f>'F9.2'!L12</f>
        <v>0</v>
      </c>
      <c r="M11" s="597">
        <f>'F9.2'!M12</f>
        <v>0</v>
      </c>
      <c r="N11" s="313">
        <f ca="1">SUM(J11:M11)</f>
        <v>1508.7680743291421</v>
      </c>
    </row>
    <row r="12" spans="2:14">
      <c r="B12" s="107"/>
      <c r="C12" s="24"/>
      <c r="D12" s="24"/>
      <c r="E12" s="24"/>
      <c r="F12" s="24"/>
      <c r="G12" s="24"/>
      <c r="H12" s="24"/>
      <c r="I12" s="24"/>
      <c r="J12" s="24"/>
      <c r="K12" s="24"/>
      <c r="L12" s="24"/>
      <c r="M12" s="24"/>
      <c r="N12" s="24"/>
    </row>
    <row r="13" spans="2:14">
      <c r="B13" s="246" t="s">
        <v>271</v>
      </c>
      <c r="C13" s="340"/>
      <c r="D13" s="340"/>
      <c r="E13" s="340"/>
      <c r="F13" s="340"/>
      <c r="G13" s="340">
        <f>SUM(G11:G12)</f>
        <v>1687.558461319506</v>
      </c>
      <c r="H13" s="340"/>
      <c r="I13" s="340"/>
      <c r="J13" s="340">
        <f ca="1">SUM(J11:J12)</f>
        <v>538.02538535823146</v>
      </c>
      <c r="K13" s="340">
        <f>SUM(K11:K12)</f>
        <v>970.74268897091065</v>
      </c>
      <c r="L13" s="340">
        <f>SUM(L11:L12)</f>
        <v>0</v>
      </c>
      <c r="M13" s="340">
        <f>SUM(M11:M12)</f>
        <v>0</v>
      </c>
      <c r="N13" s="340">
        <f ca="1">SUM(N11:N12)</f>
        <v>1508.7680743291421</v>
      </c>
    </row>
    <row r="17" spans="2:14">
      <c r="B17" s="68" t="s">
        <v>959</v>
      </c>
      <c r="N17" s="242"/>
    </row>
    <row r="18" spans="2:14">
      <c r="B18" s="68"/>
      <c r="N18" s="44" t="s">
        <v>10</v>
      </c>
    </row>
    <row r="19" spans="2:14" ht="32" customHeight="1">
      <c r="B19" s="1781" t="s">
        <v>278</v>
      </c>
      <c r="C19" s="1806" t="s">
        <v>294</v>
      </c>
      <c r="D19" s="1806"/>
      <c r="E19" s="1806"/>
      <c r="F19" s="1806"/>
      <c r="G19" s="1804" t="s">
        <v>295</v>
      </c>
      <c r="H19" s="1804"/>
      <c r="I19" s="1804"/>
      <c r="J19" s="1964" t="s">
        <v>296</v>
      </c>
      <c r="K19" s="1964"/>
      <c r="L19" s="1964"/>
      <c r="M19" s="1964"/>
      <c r="N19" s="1964"/>
    </row>
    <row r="20" spans="2:14" ht="68.25" customHeight="1">
      <c r="B20" s="1781"/>
      <c r="C20" s="310" t="s">
        <v>347</v>
      </c>
      <c r="D20" s="310" t="s">
        <v>345</v>
      </c>
      <c r="E20" s="310" t="s">
        <v>740</v>
      </c>
      <c r="F20" s="310" t="s">
        <v>346</v>
      </c>
      <c r="G20" s="310" t="s">
        <v>297</v>
      </c>
      <c r="H20" s="310" t="s">
        <v>741</v>
      </c>
      <c r="I20" s="310" t="s">
        <v>298</v>
      </c>
      <c r="J20" s="310" t="s">
        <v>299</v>
      </c>
      <c r="K20" s="310" t="s">
        <v>300</v>
      </c>
      <c r="L20" s="310" t="s">
        <v>742</v>
      </c>
      <c r="M20" s="310" t="s">
        <v>743</v>
      </c>
      <c r="N20" s="311" t="s">
        <v>271</v>
      </c>
    </row>
    <row r="21" spans="2:14">
      <c r="B21" s="243"/>
      <c r="C21" s="244"/>
      <c r="D21" s="244"/>
      <c r="E21" s="244"/>
      <c r="F21" s="244"/>
      <c r="G21" s="244"/>
      <c r="H21" s="244"/>
      <c r="I21" s="244"/>
      <c r="J21" s="244"/>
      <c r="K21" s="244"/>
      <c r="L21" s="244"/>
      <c r="M21" s="244"/>
      <c r="N21" s="245"/>
    </row>
    <row r="22" spans="2:14">
      <c r="B22" s="148" t="s">
        <v>778</v>
      </c>
      <c r="C22" s="313">
        <f ca="1">'F9.2'!C23</f>
        <v>576.85456138643463</v>
      </c>
      <c r="D22" s="313">
        <f>'F9.2'!D23</f>
        <v>6.0399674842818722</v>
      </c>
      <c r="E22" s="313">
        <f>'F9.2'!E23</f>
        <v>0</v>
      </c>
      <c r="F22" s="313">
        <f>'F9.2'!F23</f>
        <v>0</v>
      </c>
      <c r="G22" s="313">
        <f>'F9.2'!G23</f>
        <v>1687.558461319506</v>
      </c>
      <c r="H22" s="598">
        <f>'F9.2'!H23</f>
        <v>1</v>
      </c>
      <c r="I22" s="313">
        <f>'F9.2'!I23</f>
        <v>0</v>
      </c>
      <c r="J22" s="313">
        <f ca="1">'F9.2'!J23</f>
        <v>576.85456138643463</v>
      </c>
      <c r="K22" s="313">
        <f>'F9.2'!K23</f>
        <v>1019.2798234194564</v>
      </c>
      <c r="L22" s="313">
        <f>'F9.2'!L23</f>
        <v>0</v>
      </c>
      <c r="M22" s="313">
        <f>'F9.2'!M23</f>
        <v>0</v>
      </c>
      <c r="N22" s="313">
        <f ca="1">SUM(J22:M22)</f>
        <v>1596.1343848058909</v>
      </c>
    </row>
    <row r="23" spans="2:14">
      <c r="B23" s="107"/>
      <c r="C23" s="24"/>
      <c r="D23" s="24"/>
      <c r="E23" s="24"/>
      <c r="F23" s="24"/>
      <c r="G23" s="24"/>
      <c r="H23" s="24"/>
      <c r="I23" s="24"/>
      <c r="J23" s="24"/>
      <c r="K23" s="24"/>
      <c r="L23" s="24"/>
      <c r="M23" s="24"/>
      <c r="N23" s="24"/>
    </row>
    <row r="24" spans="2:14">
      <c r="B24" s="246" t="s">
        <v>271</v>
      </c>
      <c r="C24" s="340"/>
      <c r="D24" s="340"/>
      <c r="E24" s="340"/>
      <c r="F24" s="340"/>
      <c r="G24" s="340">
        <f>SUM(G22:G23)</f>
        <v>1687.558461319506</v>
      </c>
      <c r="H24" s="340"/>
      <c r="I24" s="340"/>
      <c r="J24" s="340">
        <f ca="1">SUM(J22:J23)</f>
        <v>576.85456138643463</v>
      </c>
      <c r="K24" s="340">
        <f>SUM(K22:K23)</f>
        <v>1019.2798234194564</v>
      </c>
      <c r="L24" s="340">
        <f>SUM(L22:L23)</f>
        <v>0</v>
      </c>
      <c r="M24" s="340">
        <f>SUM(M22:M23)</f>
        <v>0</v>
      </c>
      <c r="N24" s="340">
        <f ca="1">SUM(N22:N23)</f>
        <v>1596.1343848058909</v>
      </c>
    </row>
    <row r="26" spans="2:14">
      <c r="B26" s="68" t="s">
        <v>960</v>
      </c>
      <c r="N26" s="242"/>
    </row>
    <row r="27" spans="2:14">
      <c r="B27" s="68"/>
      <c r="N27" s="44" t="s">
        <v>10</v>
      </c>
    </row>
    <row r="28" spans="2:14">
      <c r="B28" s="1781" t="s">
        <v>278</v>
      </c>
      <c r="C28" s="1806" t="s">
        <v>294</v>
      </c>
      <c r="D28" s="1806"/>
      <c r="E28" s="1806"/>
      <c r="F28" s="1806"/>
      <c r="G28" s="1804" t="s">
        <v>295</v>
      </c>
      <c r="H28" s="1804"/>
      <c r="I28" s="1804"/>
      <c r="J28" s="1964" t="s">
        <v>296</v>
      </c>
      <c r="K28" s="1964"/>
      <c r="L28" s="1964"/>
      <c r="M28" s="1964"/>
      <c r="N28" s="1964"/>
    </row>
    <row r="29" spans="2:14" ht="70">
      <c r="B29" s="1781"/>
      <c r="C29" s="753" t="s">
        <v>347</v>
      </c>
      <c r="D29" s="753" t="s">
        <v>345</v>
      </c>
      <c r="E29" s="753" t="s">
        <v>740</v>
      </c>
      <c r="F29" s="753" t="s">
        <v>346</v>
      </c>
      <c r="G29" s="753" t="s">
        <v>297</v>
      </c>
      <c r="H29" s="753" t="s">
        <v>741</v>
      </c>
      <c r="I29" s="753" t="s">
        <v>298</v>
      </c>
      <c r="J29" s="753" t="s">
        <v>299</v>
      </c>
      <c r="K29" s="753" t="s">
        <v>300</v>
      </c>
      <c r="L29" s="753" t="s">
        <v>742</v>
      </c>
      <c r="M29" s="753" t="s">
        <v>743</v>
      </c>
      <c r="N29" s="754" t="s">
        <v>271</v>
      </c>
    </row>
    <row r="30" spans="2:14">
      <c r="B30" s="243"/>
      <c r="C30" s="244"/>
      <c r="D30" s="244"/>
      <c r="E30" s="244"/>
      <c r="F30" s="244"/>
      <c r="G30" s="244"/>
      <c r="H30" s="244"/>
      <c r="I30" s="244"/>
      <c r="J30" s="244"/>
      <c r="K30" s="244"/>
      <c r="L30" s="244"/>
      <c r="M30" s="244"/>
      <c r="N30" s="245"/>
    </row>
    <row r="31" spans="2:14">
      <c r="B31" s="148" t="s">
        <v>778</v>
      </c>
      <c r="C31" s="313">
        <f ca="1">'F9.2'!C34</f>
        <v>582.64343575230669</v>
      </c>
      <c r="D31" s="313">
        <f>'F9.2'!D34</f>
        <v>6.2017679017684477</v>
      </c>
      <c r="E31" s="313">
        <f>'F9.2'!E34</f>
        <v>0</v>
      </c>
      <c r="F31" s="313">
        <f>'F9.2'!F34</f>
        <v>0</v>
      </c>
      <c r="G31" s="313">
        <f>'F9.2'!G34</f>
        <v>1687.6306629167534</v>
      </c>
      <c r="H31" s="598">
        <f>'F9.2'!H34</f>
        <v>1</v>
      </c>
      <c r="I31" s="313">
        <f>'F9.2'!I34</f>
        <v>0</v>
      </c>
      <c r="J31" s="313">
        <f ca="1">'F9.2'!J34</f>
        <v>582.64343575230669</v>
      </c>
      <c r="K31" s="313">
        <f>'F9.2'!K34</f>
        <v>1046.6293675317329</v>
      </c>
      <c r="L31" s="313">
        <f>'F9.2'!L34</f>
        <v>0</v>
      </c>
      <c r="M31" s="313">
        <f>'F9.2'!M34</f>
        <v>0</v>
      </c>
      <c r="N31" s="313">
        <f ca="1">SUM(J31:M31)</f>
        <v>1629.2728032840396</v>
      </c>
    </row>
    <row r="32" spans="2:14">
      <c r="B32" s="107"/>
      <c r="C32" s="24"/>
      <c r="D32" s="24"/>
      <c r="E32" s="24"/>
      <c r="F32" s="24"/>
      <c r="G32" s="24"/>
      <c r="H32" s="24"/>
      <c r="I32" s="24"/>
      <c r="J32" s="24"/>
      <c r="K32" s="24"/>
      <c r="L32" s="24"/>
      <c r="M32" s="24"/>
      <c r="N32" s="24"/>
    </row>
    <row r="33" spans="2:14">
      <c r="B33" s="246" t="s">
        <v>271</v>
      </c>
      <c r="C33" s="340"/>
      <c r="D33" s="340"/>
      <c r="E33" s="340"/>
      <c r="F33" s="340"/>
      <c r="G33" s="340">
        <f>SUM(G31:G32)</f>
        <v>1687.6306629167534</v>
      </c>
      <c r="H33" s="340"/>
      <c r="I33" s="340"/>
      <c r="J33" s="340">
        <f ca="1">SUM(J31:J32)</f>
        <v>582.64343575230669</v>
      </c>
      <c r="K33" s="340">
        <f>SUM(K31:K32)</f>
        <v>1046.6293675317329</v>
      </c>
      <c r="L33" s="340">
        <f>SUM(L31:L32)</f>
        <v>0</v>
      </c>
      <c r="M33" s="340">
        <f>SUM(M31:M32)</f>
        <v>0</v>
      </c>
      <c r="N33" s="340">
        <f ca="1">SUM(N31:N32)</f>
        <v>1629.2728032840396</v>
      </c>
    </row>
    <row r="35" spans="2:14">
      <c r="B35" s="68" t="s">
        <v>961</v>
      </c>
      <c r="N35" s="242"/>
    </row>
    <row r="36" spans="2:14">
      <c r="B36" s="68"/>
      <c r="N36" s="44" t="s">
        <v>10</v>
      </c>
    </row>
    <row r="37" spans="2:14">
      <c r="B37" s="1781" t="s">
        <v>278</v>
      </c>
      <c r="C37" s="1806" t="s">
        <v>294</v>
      </c>
      <c r="D37" s="1806"/>
      <c r="E37" s="1806"/>
      <c r="F37" s="1806"/>
      <c r="G37" s="1804" t="s">
        <v>295</v>
      </c>
      <c r="H37" s="1804"/>
      <c r="I37" s="1804"/>
      <c r="J37" s="1964" t="s">
        <v>296</v>
      </c>
      <c r="K37" s="1964"/>
      <c r="L37" s="1964"/>
      <c r="M37" s="1964"/>
      <c r="N37" s="1964"/>
    </row>
    <row r="38" spans="2:14" ht="70">
      <c r="B38" s="1781"/>
      <c r="C38" s="753" t="s">
        <v>347</v>
      </c>
      <c r="D38" s="753" t="s">
        <v>345</v>
      </c>
      <c r="E38" s="753" t="s">
        <v>740</v>
      </c>
      <c r="F38" s="753" t="s">
        <v>346</v>
      </c>
      <c r="G38" s="753" t="s">
        <v>297</v>
      </c>
      <c r="H38" s="753" t="s">
        <v>741</v>
      </c>
      <c r="I38" s="753" t="s">
        <v>298</v>
      </c>
      <c r="J38" s="753" t="s">
        <v>299</v>
      </c>
      <c r="K38" s="753" t="s">
        <v>300</v>
      </c>
      <c r="L38" s="753" t="s">
        <v>742</v>
      </c>
      <c r="M38" s="753" t="s">
        <v>743</v>
      </c>
      <c r="N38" s="754" t="s">
        <v>271</v>
      </c>
    </row>
    <row r="39" spans="2:14">
      <c r="B39" s="243"/>
      <c r="C39" s="244"/>
      <c r="D39" s="244"/>
      <c r="E39" s="244"/>
      <c r="F39" s="244"/>
      <c r="G39" s="244"/>
      <c r="H39" s="244"/>
      <c r="I39" s="244"/>
      <c r="J39" s="244"/>
      <c r="K39" s="244"/>
      <c r="L39" s="244"/>
      <c r="M39" s="244"/>
      <c r="N39" s="245"/>
    </row>
    <row r="40" spans="2:14">
      <c r="B40" s="148" t="s">
        <v>778</v>
      </c>
      <c r="C40" s="313">
        <f ca="1">'F9.2'!C44</f>
        <v>585.75705430263179</v>
      </c>
      <c r="D40" s="313">
        <f>'F9.2'!D44</f>
        <v>6.5034421644777449</v>
      </c>
      <c r="E40" s="313">
        <f>'F9.2'!E44</f>
        <v>0</v>
      </c>
      <c r="F40" s="313">
        <f>'F9.2'!F44</f>
        <v>0</v>
      </c>
      <c r="G40" s="313">
        <f>'F9.2'!G44</f>
        <v>1687.6306629167534</v>
      </c>
      <c r="H40" s="598">
        <f>'F9.2'!H44</f>
        <v>1</v>
      </c>
      <c r="I40" s="313">
        <f>'F9.2'!I44</f>
        <v>0</v>
      </c>
      <c r="J40" s="313">
        <f ca="1">'F9.2'!J44</f>
        <v>585.75705430263179</v>
      </c>
      <c r="K40" s="313">
        <f>'F9.2'!K44</f>
        <v>1097.5408411278343</v>
      </c>
      <c r="L40" s="313">
        <f>'F9.2'!L44</f>
        <v>0</v>
      </c>
      <c r="M40" s="313">
        <f>'F9.2'!M44</f>
        <v>0</v>
      </c>
      <c r="N40" s="313">
        <f ca="1">SUM(J40:M40)</f>
        <v>1683.297895430466</v>
      </c>
    </row>
    <row r="41" spans="2:14">
      <c r="B41" s="107"/>
      <c r="C41" s="24"/>
      <c r="D41" s="24"/>
      <c r="E41" s="24"/>
      <c r="F41" s="24"/>
      <c r="G41" s="24"/>
      <c r="H41" s="24"/>
      <c r="I41" s="24"/>
      <c r="J41" s="24"/>
      <c r="K41" s="24"/>
      <c r="L41" s="24"/>
      <c r="M41" s="24"/>
      <c r="N41" s="24"/>
    </row>
    <row r="42" spans="2:14">
      <c r="B42" s="246" t="s">
        <v>271</v>
      </c>
      <c r="C42" s="340"/>
      <c r="D42" s="340"/>
      <c r="E42" s="340"/>
      <c r="F42" s="340"/>
      <c r="G42" s="340">
        <f>SUM(G40:G41)</f>
        <v>1687.6306629167534</v>
      </c>
      <c r="H42" s="340"/>
      <c r="I42" s="340"/>
      <c r="J42" s="340">
        <f ca="1">SUM(J40:J41)</f>
        <v>585.75705430263179</v>
      </c>
      <c r="K42" s="340">
        <f>SUM(K40:K41)</f>
        <v>1097.5408411278343</v>
      </c>
      <c r="L42" s="340">
        <f>SUM(L40:L41)</f>
        <v>0</v>
      </c>
      <c r="M42" s="340">
        <f>SUM(M40:M41)</f>
        <v>0</v>
      </c>
      <c r="N42" s="340">
        <f ca="1">SUM(N40:N41)</f>
        <v>1683.297895430466</v>
      </c>
    </row>
    <row r="44" spans="2:14">
      <c r="B44" s="68" t="s">
        <v>962</v>
      </c>
      <c r="N44" s="242"/>
    </row>
    <row r="45" spans="2:14">
      <c r="B45" s="68"/>
      <c r="N45" s="44" t="s">
        <v>10</v>
      </c>
    </row>
    <row r="46" spans="2:14">
      <c r="B46" s="1781" t="s">
        <v>278</v>
      </c>
      <c r="C46" s="1806" t="s">
        <v>294</v>
      </c>
      <c r="D46" s="1806"/>
      <c r="E46" s="1806"/>
      <c r="F46" s="1806"/>
      <c r="G46" s="1804" t="s">
        <v>295</v>
      </c>
      <c r="H46" s="1804"/>
      <c r="I46" s="1804"/>
      <c r="J46" s="1964" t="s">
        <v>296</v>
      </c>
      <c r="K46" s="1964"/>
      <c r="L46" s="1964"/>
      <c r="M46" s="1964"/>
      <c r="N46" s="1964"/>
    </row>
    <row r="47" spans="2:14" ht="70">
      <c r="B47" s="1781"/>
      <c r="C47" s="753" t="s">
        <v>347</v>
      </c>
      <c r="D47" s="753" t="s">
        <v>345</v>
      </c>
      <c r="E47" s="753" t="s">
        <v>740</v>
      </c>
      <c r="F47" s="753" t="s">
        <v>346</v>
      </c>
      <c r="G47" s="753" t="s">
        <v>297</v>
      </c>
      <c r="H47" s="753" t="s">
        <v>741</v>
      </c>
      <c r="I47" s="753" t="s">
        <v>298</v>
      </c>
      <c r="J47" s="753" t="s">
        <v>299</v>
      </c>
      <c r="K47" s="753" t="s">
        <v>300</v>
      </c>
      <c r="L47" s="753" t="s">
        <v>742</v>
      </c>
      <c r="M47" s="753" t="s">
        <v>743</v>
      </c>
      <c r="N47" s="754" t="s">
        <v>271</v>
      </c>
    </row>
    <row r="48" spans="2:14">
      <c r="B48" s="243"/>
      <c r="C48" s="244"/>
      <c r="D48" s="244"/>
      <c r="E48" s="244"/>
      <c r="F48" s="244"/>
      <c r="G48" s="244"/>
      <c r="H48" s="244"/>
      <c r="I48" s="244"/>
      <c r="J48" s="244"/>
      <c r="K48" s="244"/>
      <c r="L48" s="244"/>
      <c r="M48" s="244"/>
      <c r="N48" s="245"/>
    </row>
    <row r="49" spans="2:14">
      <c r="B49" s="148" t="s">
        <v>778</v>
      </c>
      <c r="C49" s="313">
        <f ca="1">'F9.2'!C54</f>
        <v>583.17388362195675</v>
      </c>
      <c r="D49" s="313">
        <f>'F9.2'!D54</f>
        <v>6.8202001403225054</v>
      </c>
      <c r="E49" s="313">
        <f>'F9.2'!E54</f>
        <v>0</v>
      </c>
      <c r="F49" s="313">
        <f>'F9.2'!F54</f>
        <v>0</v>
      </c>
      <c r="G49" s="313">
        <f>'F9.2'!G54</f>
        <v>1687.6306629167534</v>
      </c>
      <c r="H49" s="598">
        <f>'F9.2'!H54</f>
        <v>1</v>
      </c>
      <c r="I49" s="313">
        <f>'F9.2'!I54</f>
        <v>0</v>
      </c>
      <c r="J49" s="313">
        <f ca="1">'F9.2'!J54</f>
        <v>583.17388362195675</v>
      </c>
      <c r="K49" s="313">
        <f>'F9.2'!K54</f>
        <v>1150.9978884037405</v>
      </c>
      <c r="L49" s="313">
        <f>'F9.2'!L54</f>
        <v>0</v>
      </c>
      <c r="M49" s="313">
        <f>'F9.2'!M54</f>
        <v>0</v>
      </c>
      <c r="N49" s="313">
        <f ca="1">'F9.2'!N54</f>
        <v>1734.1717720256972</v>
      </c>
    </row>
    <row r="50" spans="2:14">
      <c r="B50" s="107"/>
      <c r="C50" s="24"/>
      <c r="D50" s="24"/>
      <c r="E50" s="24"/>
      <c r="F50" s="24"/>
      <c r="G50" s="24"/>
      <c r="H50" s="24"/>
      <c r="I50" s="24"/>
      <c r="J50" s="24"/>
      <c r="K50" s="24"/>
      <c r="L50" s="24"/>
      <c r="M50" s="24"/>
      <c r="N50" s="24"/>
    </row>
    <row r="51" spans="2:14">
      <c r="B51" s="246" t="s">
        <v>271</v>
      </c>
      <c r="C51" s="340"/>
      <c r="D51" s="340"/>
      <c r="E51" s="340"/>
      <c r="F51" s="340"/>
      <c r="G51" s="340">
        <f>SUM(G49:G50)</f>
        <v>1687.6306629167534</v>
      </c>
      <c r="H51" s="340"/>
      <c r="I51" s="340"/>
      <c r="J51" s="340">
        <f ca="1">SUM(J49:J50)</f>
        <v>583.17388362195675</v>
      </c>
      <c r="K51" s="340">
        <f>SUM(K49:K50)</f>
        <v>1150.9978884037405</v>
      </c>
      <c r="L51" s="340">
        <f>SUM(L49:L50)</f>
        <v>0</v>
      </c>
      <c r="M51" s="340">
        <f>SUM(M49:M50)</f>
        <v>0</v>
      </c>
      <c r="N51" s="340">
        <f ca="1">SUM(N49:N50)</f>
        <v>1734.1717720256972</v>
      </c>
    </row>
  </sheetData>
  <mergeCells count="23">
    <mergeCell ref="B19:B20"/>
    <mergeCell ref="C19:F19"/>
    <mergeCell ref="G19:I19"/>
    <mergeCell ref="J19:N19"/>
    <mergeCell ref="B2:N2"/>
    <mergeCell ref="B3:N3"/>
    <mergeCell ref="B4:N4"/>
    <mergeCell ref="B8:B9"/>
    <mergeCell ref="C8:F8"/>
    <mergeCell ref="G8:I8"/>
    <mergeCell ref="J8:N8"/>
    <mergeCell ref="B46:B47"/>
    <mergeCell ref="C46:F46"/>
    <mergeCell ref="G46:I46"/>
    <mergeCell ref="J46:N46"/>
    <mergeCell ref="B28:B29"/>
    <mergeCell ref="C28:F28"/>
    <mergeCell ref="G28:I28"/>
    <mergeCell ref="J28:N28"/>
    <mergeCell ref="B37:B38"/>
    <mergeCell ref="C37:F37"/>
    <mergeCell ref="G37:I37"/>
    <mergeCell ref="J37:N37"/>
  </mergeCells>
  <pageMargins left="0.7" right="0.7" top="0.75" bottom="0.75" header="0.3" footer="0.3"/>
  <pageSetup paperSize="9" scale="47" orientation="landscape"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B2:X29"/>
  <sheetViews>
    <sheetView showGridLines="0" view="pageBreakPreview" zoomScale="60" zoomScaleNormal="75" workbookViewId="0">
      <selection activeCell="L40" sqref="L40"/>
    </sheetView>
  </sheetViews>
  <sheetFormatPr defaultColWidth="9.36328125" defaultRowHeight="14"/>
  <cols>
    <col min="1" max="2" width="6.36328125" style="14" customWidth="1"/>
    <col min="3" max="3" width="53.6328125" style="14" bestFit="1" customWidth="1"/>
    <col min="4" max="4" width="14.6328125" style="14" bestFit="1" customWidth="1"/>
    <col min="5" max="5" width="15.36328125" style="14" bestFit="1" customWidth="1"/>
    <col min="6" max="9" width="18.6328125" style="14" customWidth="1"/>
    <col min="10" max="10" width="14.6328125" style="14" bestFit="1" customWidth="1"/>
    <col min="11" max="11" width="14.453125" style="14" customWidth="1"/>
    <col min="12" max="12" width="17.36328125" style="14" customWidth="1"/>
    <col min="13" max="18" width="15.6328125" style="14" customWidth="1"/>
    <col min="19" max="23" width="18.54296875" style="14" customWidth="1"/>
    <col min="24" max="24" width="15.6328125" style="14" customWidth="1"/>
    <col min="25" max="16384" width="9.36328125" style="14"/>
  </cols>
  <sheetData>
    <row r="2" spans="2:24">
      <c r="C2" s="117"/>
      <c r="D2" s="117"/>
      <c r="E2" s="117"/>
      <c r="F2" s="117"/>
      <c r="G2" s="117"/>
      <c r="H2" s="117"/>
      <c r="I2" s="117"/>
      <c r="J2" s="117"/>
      <c r="K2" s="84" t="str">
        <f>Index!B2</f>
        <v xml:space="preserve">      Maharashtra State Power Generation Company Ltd.</v>
      </c>
      <c r="L2" s="213"/>
      <c r="M2" s="117"/>
      <c r="N2" s="117"/>
      <c r="O2" s="117"/>
      <c r="P2" s="117"/>
      <c r="Q2" s="117"/>
      <c r="R2" s="117"/>
      <c r="S2" s="117"/>
      <c r="T2" s="117"/>
      <c r="U2" s="117"/>
      <c r="V2" s="117"/>
      <c r="W2" s="117"/>
      <c r="X2" s="117"/>
    </row>
    <row r="3" spans="2:24" s="5" customFormat="1">
      <c r="C3" s="117"/>
      <c r="D3" s="117"/>
      <c r="E3" s="117"/>
      <c r="F3" s="117"/>
      <c r="G3" s="117"/>
      <c r="H3" s="117"/>
      <c r="I3" s="117"/>
      <c r="J3" s="117"/>
      <c r="K3" s="346" t="str">
        <f>Index!B3</f>
        <v>MYT Petition Formats for Parli 8</v>
      </c>
      <c r="L3" s="89"/>
      <c r="M3" s="117"/>
      <c r="N3" s="117"/>
      <c r="O3" s="117"/>
      <c r="P3" s="117"/>
      <c r="Q3" s="117"/>
      <c r="R3" s="117"/>
      <c r="S3" s="117"/>
      <c r="T3" s="117"/>
      <c r="U3" s="117"/>
      <c r="V3" s="117"/>
      <c r="W3" s="117"/>
      <c r="X3" s="117"/>
    </row>
    <row r="4" spans="2:24" s="5" customFormat="1">
      <c r="C4" s="117"/>
      <c r="D4" s="117"/>
      <c r="E4" s="117"/>
      <c r="F4" s="117"/>
      <c r="G4" s="117"/>
      <c r="H4" s="117"/>
      <c r="I4" s="117"/>
      <c r="J4" s="117"/>
      <c r="K4" s="85" t="s">
        <v>324</v>
      </c>
      <c r="L4" s="214"/>
      <c r="M4" s="117"/>
      <c r="N4" s="117"/>
      <c r="O4" s="117"/>
      <c r="P4" s="117"/>
      <c r="Q4" s="117"/>
      <c r="R4" s="117"/>
      <c r="S4" s="117"/>
      <c r="T4" s="117"/>
      <c r="U4" s="117"/>
      <c r="V4" s="117"/>
      <c r="W4" s="117"/>
      <c r="X4" s="117"/>
    </row>
    <row r="6" spans="2:24">
      <c r="S6" s="22" t="s">
        <v>10</v>
      </c>
    </row>
    <row r="7" spans="2:24" ht="15" customHeight="1">
      <c r="B7" s="1770" t="s">
        <v>340</v>
      </c>
      <c r="C7" s="1770" t="s">
        <v>36</v>
      </c>
      <c r="D7" s="1772" t="s">
        <v>508</v>
      </c>
      <c r="E7" s="1773"/>
      <c r="F7" s="1774"/>
      <c r="G7" s="1772" t="s">
        <v>509</v>
      </c>
      <c r="H7" s="1773"/>
      <c r="I7" s="1774"/>
      <c r="J7" s="1772" t="s">
        <v>510</v>
      </c>
      <c r="K7" s="1773"/>
      <c r="L7" s="1773"/>
      <c r="M7" s="1773"/>
      <c r="N7" s="1774"/>
      <c r="O7" s="1775" t="s">
        <v>957</v>
      </c>
      <c r="P7" s="1775"/>
      <c r="Q7" s="1775"/>
      <c r="R7" s="1775"/>
      <c r="S7" s="1775"/>
      <c r="T7" s="1770" t="s">
        <v>26</v>
      </c>
    </row>
    <row r="8" spans="2:24" ht="43.5" customHeight="1">
      <c r="B8" s="1805"/>
      <c r="C8" s="1805"/>
      <c r="D8" s="296" t="s">
        <v>956</v>
      </c>
      <c r="E8" s="297" t="s">
        <v>78</v>
      </c>
      <c r="F8" s="297" t="s">
        <v>451</v>
      </c>
      <c r="G8" s="296" t="s">
        <v>956</v>
      </c>
      <c r="H8" s="297" t="s">
        <v>78</v>
      </c>
      <c r="I8" s="297" t="s">
        <v>451</v>
      </c>
      <c r="J8" s="297" t="s">
        <v>956</v>
      </c>
      <c r="K8" s="297" t="s">
        <v>444</v>
      </c>
      <c r="L8" s="297" t="s">
        <v>448</v>
      </c>
      <c r="M8" s="297" t="s">
        <v>79</v>
      </c>
      <c r="N8" s="297" t="s">
        <v>452</v>
      </c>
      <c r="O8" s="709" t="s">
        <v>958</v>
      </c>
      <c r="P8" s="709" t="s">
        <v>959</v>
      </c>
      <c r="Q8" s="709" t="s">
        <v>960</v>
      </c>
      <c r="R8" s="709" t="s">
        <v>961</v>
      </c>
      <c r="S8" s="709" t="s">
        <v>962</v>
      </c>
      <c r="T8" s="1770"/>
    </row>
    <row r="9" spans="2:24" ht="19.5" customHeight="1">
      <c r="B9" s="1805"/>
      <c r="C9" s="1805"/>
      <c r="D9" s="297" t="s">
        <v>80</v>
      </c>
      <c r="E9" s="297" t="s">
        <v>81</v>
      </c>
      <c r="F9" s="297" t="s">
        <v>676</v>
      </c>
      <c r="G9" s="297" t="s">
        <v>391</v>
      </c>
      <c r="H9" s="297" t="s">
        <v>409</v>
      </c>
      <c r="I9" s="297" t="s">
        <v>456</v>
      </c>
      <c r="J9" s="297" t="s">
        <v>410</v>
      </c>
      <c r="K9" s="297" t="s">
        <v>411</v>
      </c>
      <c r="L9" s="297" t="s">
        <v>591</v>
      </c>
      <c r="M9" s="297" t="s">
        <v>677</v>
      </c>
      <c r="N9" s="297" t="s">
        <v>974</v>
      </c>
      <c r="O9" s="698" t="s">
        <v>21</v>
      </c>
      <c r="P9" s="698" t="s">
        <v>21</v>
      </c>
      <c r="Q9" s="698" t="s">
        <v>21</v>
      </c>
      <c r="R9" s="698" t="s">
        <v>21</v>
      </c>
      <c r="S9" s="698" t="s">
        <v>21</v>
      </c>
      <c r="T9" s="1771"/>
    </row>
    <row r="10" spans="2:24" s="322" customFormat="1">
      <c r="B10" s="243"/>
      <c r="C10" s="120"/>
      <c r="D10" s="120"/>
      <c r="E10" s="120"/>
      <c r="F10" s="120"/>
      <c r="G10" s="120"/>
      <c r="H10" s="120"/>
      <c r="I10" s="120"/>
      <c r="J10" s="119"/>
      <c r="K10" s="119"/>
      <c r="L10" s="119"/>
      <c r="M10" s="119"/>
      <c r="N10" s="119"/>
      <c r="O10" s="119"/>
      <c r="P10" s="119"/>
      <c r="Q10" s="119"/>
      <c r="R10" s="119"/>
      <c r="S10" s="119"/>
      <c r="T10" s="119"/>
    </row>
    <row r="11" spans="2:24" s="322" customFormat="1">
      <c r="B11" s="243">
        <v>1</v>
      </c>
      <c r="C11" s="120" t="s">
        <v>754</v>
      </c>
      <c r="D11" s="367"/>
      <c r="E11" s="367">
        <v>4.5907721993333332</v>
      </c>
      <c r="F11" s="334">
        <f>E11-D11</f>
        <v>4.5907721993333332</v>
      </c>
      <c r="G11" s="367"/>
      <c r="H11" s="367">
        <v>5.15</v>
      </c>
      <c r="I11" s="334">
        <f>H11-G11</f>
        <v>5.15</v>
      </c>
      <c r="J11" s="326"/>
      <c r="K11" s="367">
        <v>4.1940037486666677</v>
      </c>
      <c r="L11" s="367">
        <v>4.1940037486666677</v>
      </c>
      <c r="M11" s="326">
        <f>K11+L11</f>
        <v>8.3880074973333354</v>
      </c>
      <c r="N11" s="326">
        <f>M11-J11</f>
        <v>8.3880074973333354</v>
      </c>
      <c r="O11" s="326"/>
      <c r="P11" s="326"/>
      <c r="Q11" s="326"/>
      <c r="R11" s="326"/>
      <c r="S11" s="326"/>
      <c r="T11" s="326"/>
    </row>
    <row r="12" spans="2:24" s="322" customFormat="1">
      <c r="B12" s="459">
        <v>2</v>
      </c>
      <c r="C12" s="120" t="s">
        <v>755</v>
      </c>
      <c r="D12" s="367"/>
      <c r="E12" s="367">
        <v>0</v>
      </c>
      <c r="F12" s="334">
        <f t="shared" ref="F12:F24" si="0">E12-D12</f>
        <v>0</v>
      </c>
      <c r="G12" s="367"/>
      <c r="H12" s="367">
        <v>0</v>
      </c>
      <c r="I12" s="334">
        <f t="shared" ref="I12:I24" si="1">H12-G12</f>
        <v>0</v>
      </c>
      <c r="J12" s="326"/>
      <c r="K12" s="367">
        <v>0</v>
      </c>
      <c r="L12" s="367">
        <v>0</v>
      </c>
      <c r="M12" s="326">
        <f>K12+L12</f>
        <v>0</v>
      </c>
      <c r="N12" s="326">
        <f>M12-J12</f>
        <v>0</v>
      </c>
      <c r="O12" s="326"/>
      <c r="P12" s="326"/>
      <c r="Q12" s="326"/>
      <c r="R12" s="326"/>
      <c r="S12" s="326"/>
      <c r="T12" s="326"/>
    </row>
    <row r="13" spans="2:24" s="322" customFormat="1">
      <c r="B13" s="459">
        <v>3</v>
      </c>
      <c r="C13" s="120" t="s">
        <v>756</v>
      </c>
      <c r="D13" s="367"/>
      <c r="E13" s="367">
        <v>0</v>
      </c>
      <c r="F13" s="334">
        <f t="shared" si="0"/>
        <v>0</v>
      </c>
      <c r="G13" s="367"/>
      <c r="H13" s="367">
        <v>0</v>
      </c>
      <c r="I13" s="334">
        <f t="shared" si="1"/>
        <v>0</v>
      </c>
      <c r="J13" s="326"/>
      <c r="K13" s="367">
        <v>0</v>
      </c>
      <c r="L13" s="367">
        <v>0</v>
      </c>
      <c r="M13" s="326">
        <f>K13+L13</f>
        <v>0</v>
      </c>
      <c r="N13" s="326">
        <f>M13-J13</f>
        <v>0</v>
      </c>
      <c r="O13" s="326"/>
      <c r="P13" s="326"/>
      <c r="Q13" s="326"/>
      <c r="R13" s="326"/>
      <c r="S13" s="326"/>
      <c r="T13" s="326"/>
    </row>
    <row r="14" spans="2:24" s="322" customFormat="1">
      <c r="B14" s="459">
        <v>4</v>
      </c>
      <c r="C14" s="120" t="s">
        <v>757</v>
      </c>
      <c r="D14" s="367"/>
      <c r="E14" s="367">
        <v>0</v>
      </c>
      <c r="F14" s="717"/>
      <c r="G14" s="367"/>
      <c r="H14" s="367">
        <v>0</v>
      </c>
      <c r="I14" s="334"/>
      <c r="J14" s="326"/>
      <c r="K14" s="367">
        <v>0</v>
      </c>
      <c r="L14" s="367">
        <v>0</v>
      </c>
      <c r="M14" s="326">
        <f>K14+L14</f>
        <v>0</v>
      </c>
      <c r="N14" s="326">
        <f>M14-J14</f>
        <v>0</v>
      </c>
      <c r="O14" s="719"/>
      <c r="P14" s="719"/>
      <c r="Q14" s="719"/>
      <c r="R14" s="719"/>
      <c r="S14" s="719"/>
      <c r="T14" s="326"/>
    </row>
    <row r="15" spans="2:24" s="322" customFormat="1">
      <c r="B15" s="459">
        <v>5</v>
      </c>
      <c r="C15" s="120" t="s">
        <v>758</v>
      </c>
      <c r="D15" s="367"/>
      <c r="E15" s="367">
        <v>8.7643047939999885</v>
      </c>
      <c r="F15" s="717"/>
      <c r="G15" s="367"/>
      <c r="H15" s="367">
        <v>9.25</v>
      </c>
      <c r="I15" s="334"/>
      <c r="J15" s="326"/>
      <c r="K15" s="367">
        <v>5.581279791</v>
      </c>
      <c r="L15" s="367">
        <v>5.581279791</v>
      </c>
      <c r="M15" s="326">
        <f>K15+L15</f>
        <v>11.162559582</v>
      </c>
      <c r="N15" s="326">
        <f>M15-J15</f>
        <v>11.162559582</v>
      </c>
      <c r="O15" s="719"/>
      <c r="P15" s="719"/>
      <c r="Q15" s="719"/>
      <c r="R15" s="719"/>
      <c r="S15" s="719"/>
      <c r="T15" s="326"/>
    </row>
    <row r="16" spans="2:24" s="322" customFormat="1">
      <c r="B16" s="459">
        <v>6</v>
      </c>
      <c r="C16" s="120" t="s">
        <v>759</v>
      </c>
      <c r="D16" s="367"/>
      <c r="E16" s="367">
        <v>0</v>
      </c>
      <c r="F16" s="717"/>
      <c r="G16" s="367"/>
      <c r="H16" s="367">
        <v>0</v>
      </c>
      <c r="I16" s="334"/>
      <c r="J16" s="326"/>
      <c r="K16" s="367">
        <v>0</v>
      </c>
      <c r="L16" s="367">
        <v>0</v>
      </c>
      <c r="M16" s="326"/>
      <c r="N16" s="326"/>
      <c r="O16" s="719"/>
      <c r="P16" s="719"/>
      <c r="Q16" s="719"/>
      <c r="R16" s="719"/>
      <c r="S16" s="719"/>
      <c r="T16" s="326"/>
    </row>
    <row r="17" spans="2:20" s="322" customFormat="1">
      <c r="B17" s="459">
        <v>7</v>
      </c>
      <c r="C17" s="120" t="s">
        <v>760</v>
      </c>
      <c r="D17" s="367"/>
      <c r="E17" s="367">
        <v>0</v>
      </c>
      <c r="F17" s="717"/>
      <c r="G17" s="367"/>
      <c r="H17" s="367">
        <v>0</v>
      </c>
      <c r="I17" s="334"/>
      <c r="J17" s="326"/>
      <c r="K17" s="367">
        <v>0</v>
      </c>
      <c r="L17" s="367">
        <v>0</v>
      </c>
      <c r="M17" s="326"/>
      <c r="N17" s="326"/>
      <c r="O17" s="719"/>
      <c r="P17" s="719"/>
      <c r="Q17" s="719"/>
      <c r="R17" s="719"/>
      <c r="S17" s="719"/>
      <c r="T17" s="326"/>
    </row>
    <row r="18" spans="2:20" s="322" customFormat="1">
      <c r="B18" s="459">
        <v>8</v>
      </c>
      <c r="C18" s="120" t="s">
        <v>761</v>
      </c>
      <c r="D18" s="460"/>
      <c r="E18" s="367"/>
      <c r="F18" s="717"/>
      <c r="G18" s="367"/>
      <c r="H18" s="367"/>
      <c r="I18" s="334"/>
      <c r="J18" s="326"/>
      <c r="K18" s="367"/>
      <c r="L18" s="367"/>
      <c r="M18" s="326">
        <f t="shared" ref="M18:M24" si="2">K18+L18</f>
        <v>0</v>
      </c>
      <c r="N18" s="326">
        <f t="shared" ref="N18:N24" si="3">M18-J18</f>
        <v>0</v>
      </c>
      <c r="O18" s="719"/>
      <c r="P18" s="719"/>
      <c r="Q18" s="719"/>
      <c r="R18" s="719"/>
      <c r="S18" s="719"/>
      <c r="T18" s="326"/>
    </row>
    <row r="19" spans="2:20" s="322" customFormat="1">
      <c r="B19" s="459">
        <v>9</v>
      </c>
      <c r="C19" s="120" t="s">
        <v>762</v>
      </c>
      <c r="D19" s="460"/>
      <c r="E19" s="367">
        <v>0.31787353399999996</v>
      </c>
      <c r="F19" s="717"/>
      <c r="G19" s="367"/>
      <c r="H19" s="367">
        <v>0.55000000000000004</v>
      </c>
      <c r="I19" s="334"/>
      <c r="J19" s="326"/>
      <c r="K19" s="367">
        <v>0.35496457922792879</v>
      </c>
      <c r="L19" s="367">
        <v>0.35496457922792879</v>
      </c>
      <c r="M19" s="326">
        <f t="shared" si="2"/>
        <v>0.70992915845585758</v>
      </c>
      <c r="N19" s="326">
        <f t="shared" si="3"/>
        <v>0.70992915845585758</v>
      </c>
      <c r="O19" s="719"/>
      <c r="P19" s="719"/>
      <c r="Q19" s="719"/>
      <c r="R19" s="719"/>
      <c r="S19" s="719"/>
      <c r="T19" s="326"/>
    </row>
    <row r="20" spans="2:20" s="322" customFormat="1">
      <c r="B20" s="459">
        <v>10</v>
      </c>
      <c r="C20" s="120" t="s">
        <v>763</v>
      </c>
      <c r="D20" s="460"/>
      <c r="E20" s="460">
        <v>0</v>
      </c>
      <c r="F20" s="717"/>
      <c r="G20" s="460"/>
      <c r="H20" s="460">
        <v>0</v>
      </c>
      <c r="I20" s="334"/>
      <c r="J20" s="326"/>
      <c r="K20" s="460">
        <v>0</v>
      </c>
      <c r="L20" s="460">
        <v>0</v>
      </c>
      <c r="M20" s="326">
        <f t="shared" si="2"/>
        <v>0</v>
      </c>
      <c r="N20" s="326">
        <f t="shared" si="3"/>
        <v>0</v>
      </c>
      <c r="O20" s="719"/>
      <c r="P20" s="719"/>
      <c r="Q20" s="719"/>
      <c r="R20" s="719"/>
      <c r="S20" s="719"/>
      <c r="T20" s="326"/>
    </row>
    <row r="21" spans="2:20" s="322" customFormat="1">
      <c r="B21" s="459">
        <v>11</v>
      </c>
      <c r="C21" s="120" t="s">
        <v>764</v>
      </c>
      <c r="D21" s="460"/>
      <c r="E21" s="367">
        <v>0</v>
      </c>
      <c r="F21" s="717">
        <f t="shared" si="0"/>
        <v>0</v>
      </c>
      <c r="G21" s="367"/>
      <c r="H21" s="367">
        <v>0</v>
      </c>
      <c r="I21" s="367">
        <f t="shared" si="1"/>
        <v>0</v>
      </c>
      <c r="J21" s="326"/>
      <c r="K21" s="367">
        <v>0</v>
      </c>
      <c r="L21" s="367">
        <v>0</v>
      </c>
      <c r="M21" s="326">
        <f t="shared" si="2"/>
        <v>0</v>
      </c>
      <c r="N21" s="326">
        <f t="shared" si="3"/>
        <v>0</v>
      </c>
      <c r="O21" s="719"/>
      <c r="P21" s="719"/>
      <c r="Q21" s="719"/>
      <c r="R21" s="719"/>
      <c r="S21" s="719"/>
      <c r="T21" s="326"/>
    </row>
    <row r="22" spans="2:20" s="322" customFormat="1">
      <c r="B22" s="459">
        <v>12</v>
      </c>
      <c r="C22" s="855" t="s">
        <v>896</v>
      </c>
      <c r="D22" s="460"/>
      <c r="E22" s="367"/>
      <c r="F22" s="717">
        <f t="shared" si="0"/>
        <v>0</v>
      </c>
      <c r="G22" s="367"/>
      <c r="H22" s="367">
        <v>3.9466002999999993E-2</v>
      </c>
      <c r="I22" s="367">
        <f t="shared" si="1"/>
        <v>3.9466002999999993E-2</v>
      </c>
      <c r="J22" s="326"/>
      <c r="K22" s="367">
        <v>4.2000000000000003E-2</v>
      </c>
      <c r="L22" s="367">
        <v>4.2000000000000003E-2</v>
      </c>
      <c r="M22" s="326">
        <f t="shared" si="2"/>
        <v>8.4000000000000005E-2</v>
      </c>
      <c r="N22" s="326">
        <f t="shared" si="3"/>
        <v>8.4000000000000005E-2</v>
      </c>
      <c r="O22" s="719"/>
      <c r="P22" s="719"/>
      <c r="Q22" s="719"/>
      <c r="R22" s="719"/>
      <c r="S22" s="719"/>
      <c r="T22" s="326"/>
    </row>
    <row r="23" spans="2:20" s="322" customFormat="1">
      <c r="B23" s="459">
        <v>13</v>
      </c>
      <c r="C23" s="856" t="s">
        <v>1031</v>
      </c>
      <c r="D23" s="367"/>
      <c r="E23" s="367">
        <v>0.56359904699999996</v>
      </c>
      <c r="F23" s="717">
        <f t="shared" si="0"/>
        <v>0.56359904699999996</v>
      </c>
      <c r="G23" s="367"/>
      <c r="H23" s="367">
        <v>0.12</v>
      </c>
      <c r="I23" s="334">
        <f t="shared" si="1"/>
        <v>0.12</v>
      </c>
      <c r="J23" s="326"/>
      <c r="K23" s="367">
        <v>0.126</v>
      </c>
      <c r="L23" s="367">
        <v>0.126</v>
      </c>
      <c r="M23" s="326">
        <f t="shared" si="2"/>
        <v>0.252</v>
      </c>
      <c r="N23" s="326">
        <f t="shared" si="3"/>
        <v>0.252</v>
      </c>
      <c r="O23" s="719"/>
      <c r="P23" s="719"/>
      <c r="Q23" s="719"/>
      <c r="R23" s="719"/>
      <c r="S23" s="719"/>
      <c r="T23" s="326"/>
    </row>
    <row r="24" spans="2:20" s="322" customFormat="1">
      <c r="B24" s="459">
        <v>14</v>
      </c>
      <c r="C24" s="857" t="s">
        <v>1032</v>
      </c>
      <c r="D24" s="367"/>
      <c r="E24" s="367">
        <v>3.5587226666666666E-2</v>
      </c>
      <c r="F24" s="334">
        <f t="shared" si="0"/>
        <v>3.5587226666666666E-2</v>
      </c>
      <c r="G24" s="367"/>
      <c r="H24" s="367">
        <v>0.05</v>
      </c>
      <c r="I24" s="334">
        <f t="shared" si="1"/>
        <v>0.05</v>
      </c>
      <c r="J24" s="326"/>
      <c r="K24" s="367">
        <v>4.0637586000000003E-2</v>
      </c>
      <c r="L24" s="367">
        <v>4.0637586000000003E-2</v>
      </c>
      <c r="M24" s="326">
        <f t="shared" si="2"/>
        <v>8.1275172000000007E-2</v>
      </c>
      <c r="N24" s="326">
        <f t="shared" si="3"/>
        <v>8.1275172000000007E-2</v>
      </c>
      <c r="O24" s="326"/>
      <c r="P24" s="326"/>
      <c r="Q24" s="326"/>
      <c r="R24" s="326"/>
      <c r="S24" s="326"/>
      <c r="T24" s="326"/>
    </row>
    <row r="25" spans="2:20" s="322" customFormat="1">
      <c r="B25" s="459"/>
      <c r="C25" s="857"/>
      <c r="D25" s="367"/>
      <c r="E25" s="367"/>
      <c r="F25" s="334"/>
      <c r="G25" s="367"/>
      <c r="H25" s="367"/>
      <c r="I25" s="334"/>
      <c r="J25" s="326"/>
      <c r="K25" s="367"/>
      <c r="L25" s="367"/>
      <c r="M25" s="326"/>
      <c r="N25" s="326"/>
      <c r="O25" s="326"/>
      <c r="P25" s="326"/>
      <c r="Q25" s="326"/>
      <c r="R25" s="326"/>
      <c r="S25" s="326"/>
      <c r="T25" s="326"/>
    </row>
    <row r="26" spans="2:20" s="322" customFormat="1">
      <c r="B26" s="459"/>
      <c r="C26" s="857"/>
      <c r="D26" s="367"/>
      <c r="E26" s="367"/>
      <c r="F26" s="334"/>
      <c r="G26" s="367"/>
      <c r="H26" s="367"/>
      <c r="I26" s="334"/>
      <c r="J26" s="326"/>
      <c r="K26" s="367"/>
      <c r="L26" s="367"/>
      <c r="M26" s="326"/>
      <c r="N26" s="326"/>
      <c r="O26" s="326"/>
      <c r="P26" s="326"/>
      <c r="Q26" s="326"/>
      <c r="R26" s="326"/>
      <c r="S26" s="326"/>
      <c r="T26" s="326"/>
    </row>
    <row r="27" spans="2:20" s="596" customFormat="1">
      <c r="B27" s="515"/>
      <c r="C27" s="516" t="s">
        <v>3</v>
      </c>
      <c r="D27" s="460">
        <v>5.8942368882456275</v>
      </c>
      <c r="E27" s="460">
        <f>SUM(E11:E24)</f>
        <v>14.27213680099999</v>
      </c>
      <c r="F27" s="460">
        <f>SUM(F11:F24)</f>
        <v>5.1899584729999999</v>
      </c>
      <c r="G27" s="878">
        <v>5.8942368882456275</v>
      </c>
      <c r="H27" s="878">
        <f>SUM(H10:H24)-H13</f>
        <v>15.159466003</v>
      </c>
      <c r="I27" s="878">
        <f t="shared" ref="I27" si="4">SUM(I11:I24)</f>
        <v>5.3594660030000005</v>
      </c>
      <c r="J27" s="878">
        <v>5.8942368882456275</v>
      </c>
      <c r="K27" s="460">
        <f t="shared" ref="K27:N27" si="5">SUM(K11:K24)</f>
        <v>10.338885704894595</v>
      </c>
      <c r="L27" s="460">
        <f>SUM(L10:L24)-L13</f>
        <v>10.338885704894595</v>
      </c>
      <c r="M27" s="460">
        <f t="shared" si="5"/>
        <v>20.677771409789191</v>
      </c>
      <c r="N27" s="460">
        <f t="shared" si="5"/>
        <v>20.677771409789191</v>
      </c>
      <c r="O27" s="878">
        <v>15.159466003</v>
      </c>
      <c r="P27" s="878">
        <v>15.159466003</v>
      </c>
      <c r="Q27" s="878">
        <v>15.159466003</v>
      </c>
      <c r="R27" s="878">
        <v>15.159466003</v>
      </c>
      <c r="S27" s="878">
        <v>15.159466003</v>
      </c>
      <c r="T27" s="368"/>
    </row>
    <row r="29" spans="2:20">
      <c r="B29" s="14" t="s">
        <v>966</v>
      </c>
    </row>
  </sheetData>
  <mergeCells count="7">
    <mergeCell ref="T7:T9"/>
    <mergeCell ref="B7:B9"/>
    <mergeCell ref="C7:C9"/>
    <mergeCell ref="J7:N7"/>
    <mergeCell ref="D7:F7"/>
    <mergeCell ref="G7:I7"/>
    <mergeCell ref="O7:S7"/>
  </mergeCells>
  <pageMargins left="1.02" right="0.25" top="1" bottom="1" header="0.25" footer="0.25"/>
  <pageSetup paperSize="9" scale="39" orientation="landscape" r:id="rId1"/>
  <headerFooter alignWithMargins="0">
    <oddHeader>&amp;F</oddHeader>
  </headerFooter>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B1:T28"/>
  <sheetViews>
    <sheetView showGridLines="0" zoomScale="75" zoomScaleNormal="75" zoomScaleSheetLayoutView="80" workbookViewId="0">
      <pane xSplit="3" ySplit="9" topLeftCell="E24" activePane="bottomRight" state="frozen"/>
      <selection activeCell="N56" sqref="N56"/>
      <selection pane="topRight" activeCell="N56" sqref="N56"/>
      <selection pane="bottomLeft" activeCell="N56" sqref="N56"/>
      <selection pane="bottomRight" activeCell="N56" sqref="N56"/>
    </sheetView>
  </sheetViews>
  <sheetFormatPr defaultColWidth="9.36328125" defaultRowHeight="14"/>
  <cols>
    <col min="1" max="1" width="4.36328125" style="5" customWidth="1"/>
    <col min="2" max="2" width="6.36328125" style="5" customWidth="1"/>
    <col min="3" max="3" width="61.6328125" style="5" customWidth="1"/>
    <col min="4" max="9" width="14.36328125" style="5" customWidth="1"/>
    <col min="10" max="10" width="16.453125" style="5" customWidth="1"/>
    <col min="11" max="20" width="15.6328125" style="5" customWidth="1"/>
    <col min="21" max="16384" width="9.36328125" style="5"/>
  </cols>
  <sheetData>
    <row r="1" spans="2:20">
      <c r="B1" s="53"/>
    </row>
    <row r="2" spans="2:20">
      <c r="B2" s="1777" t="str">
        <f>Index!B2</f>
        <v xml:space="preserve">      Maharashtra State Power Generation Company Ltd.</v>
      </c>
      <c r="C2" s="1967"/>
      <c r="D2" s="1967"/>
      <c r="E2" s="1967"/>
      <c r="F2" s="1967"/>
      <c r="G2" s="1967"/>
      <c r="H2" s="1967"/>
      <c r="I2" s="1967"/>
      <c r="J2" s="1967"/>
      <c r="K2" s="1967"/>
      <c r="L2" s="1967"/>
      <c r="M2" s="1967"/>
      <c r="N2" s="1967"/>
      <c r="O2" s="1967"/>
      <c r="P2" s="1967"/>
      <c r="Q2" s="1967"/>
      <c r="R2" s="1967"/>
      <c r="S2" s="1967"/>
      <c r="T2" s="1967"/>
    </row>
    <row r="3" spans="2:20">
      <c r="B3" s="1777" t="str">
        <f>Index!B3</f>
        <v>MYT Petition Formats for Parli 8</v>
      </c>
      <c r="C3" s="1967"/>
      <c r="D3" s="1967"/>
      <c r="E3" s="1967"/>
      <c r="F3" s="1967"/>
      <c r="G3" s="1967"/>
      <c r="H3" s="1967"/>
      <c r="I3" s="1967"/>
      <c r="J3" s="1967"/>
      <c r="K3" s="1967"/>
      <c r="L3" s="1967"/>
      <c r="M3" s="1967"/>
      <c r="N3" s="1967"/>
      <c r="O3" s="1967"/>
      <c r="P3" s="1967"/>
      <c r="Q3" s="1967"/>
      <c r="R3" s="1967"/>
      <c r="S3" s="1967"/>
      <c r="T3" s="1967"/>
    </row>
    <row r="4" spans="2:20" s="79" customFormat="1">
      <c r="B4" s="1801" t="s">
        <v>321</v>
      </c>
      <c r="C4" s="1968"/>
      <c r="D4" s="1968"/>
      <c r="E4" s="1968"/>
      <c r="F4" s="1968"/>
      <c r="G4" s="1968"/>
      <c r="H4" s="1968"/>
      <c r="I4" s="1968"/>
      <c r="J4" s="1968"/>
      <c r="K4" s="1968"/>
      <c r="L4" s="1968"/>
      <c r="M4" s="1968"/>
      <c r="N4" s="1968"/>
      <c r="O4" s="1968"/>
      <c r="P4" s="1968"/>
      <c r="Q4" s="1968"/>
      <c r="R4" s="1968"/>
      <c r="S4" s="1968"/>
      <c r="T4" s="1968"/>
    </row>
    <row r="5" spans="2:20">
      <c r="B5" s="19"/>
      <c r="C5" s="19"/>
    </row>
    <row r="6" spans="2:20">
      <c r="C6" s="63"/>
      <c r="K6" s="63"/>
      <c r="M6" s="6"/>
      <c r="N6" s="6"/>
      <c r="S6" s="22" t="s">
        <v>10</v>
      </c>
    </row>
    <row r="7" spans="2:20" s="35" customFormat="1" ht="17.25" customHeight="1">
      <c r="B7" s="1873" t="s">
        <v>340</v>
      </c>
      <c r="C7" s="1873" t="s">
        <v>36</v>
      </c>
      <c r="D7" s="1772" t="s">
        <v>508</v>
      </c>
      <c r="E7" s="1773"/>
      <c r="F7" s="1774"/>
      <c r="G7" s="1772" t="s">
        <v>509</v>
      </c>
      <c r="H7" s="1773"/>
      <c r="I7" s="1774"/>
      <c r="J7" s="1772" t="s">
        <v>510</v>
      </c>
      <c r="K7" s="1773"/>
      <c r="L7" s="1773"/>
      <c r="M7" s="1773"/>
      <c r="N7" s="1774"/>
      <c r="O7" s="1775" t="s">
        <v>957</v>
      </c>
      <c r="P7" s="1775"/>
      <c r="Q7" s="1775"/>
      <c r="R7" s="1775"/>
      <c r="S7" s="1775"/>
      <c r="T7" s="1770" t="s">
        <v>26</v>
      </c>
    </row>
    <row r="8" spans="2:20" s="36" customFormat="1" ht="49.25" customHeight="1">
      <c r="B8" s="1969"/>
      <c r="C8" s="1969"/>
      <c r="D8" s="296" t="s">
        <v>956</v>
      </c>
      <c r="E8" s="297" t="s">
        <v>78</v>
      </c>
      <c r="F8" s="297" t="s">
        <v>451</v>
      </c>
      <c r="G8" s="296" t="s">
        <v>956</v>
      </c>
      <c r="H8" s="297" t="s">
        <v>78</v>
      </c>
      <c r="I8" s="297" t="s">
        <v>451</v>
      </c>
      <c r="J8" s="297" t="s">
        <v>956</v>
      </c>
      <c r="K8" s="297" t="s">
        <v>444</v>
      </c>
      <c r="L8" s="297" t="s">
        <v>448</v>
      </c>
      <c r="M8" s="297" t="s">
        <v>79</v>
      </c>
      <c r="N8" s="297" t="s">
        <v>452</v>
      </c>
      <c r="O8" s="709" t="s">
        <v>958</v>
      </c>
      <c r="P8" s="709" t="s">
        <v>959</v>
      </c>
      <c r="Q8" s="709" t="s">
        <v>960</v>
      </c>
      <c r="R8" s="709" t="s">
        <v>961</v>
      </c>
      <c r="S8" s="709" t="s">
        <v>962</v>
      </c>
      <c r="T8" s="1770"/>
    </row>
    <row r="9" spans="2:20" s="6" customFormat="1">
      <c r="B9" s="1969"/>
      <c r="C9" s="1969"/>
      <c r="D9" s="297" t="s">
        <v>80</v>
      </c>
      <c r="E9" s="297" t="s">
        <v>81</v>
      </c>
      <c r="F9" s="297" t="s">
        <v>676</v>
      </c>
      <c r="G9" s="297" t="s">
        <v>391</v>
      </c>
      <c r="H9" s="297" t="s">
        <v>409</v>
      </c>
      <c r="I9" s="297" t="s">
        <v>456</v>
      </c>
      <c r="J9" s="297" t="s">
        <v>410</v>
      </c>
      <c r="K9" s="297" t="s">
        <v>411</v>
      </c>
      <c r="L9" s="297" t="s">
        <v>591</v>
      </c>
      <c r="M9" s="297" t="s">
        <v>677</v>
      </c>
      <c r="N9" s="297" t="s">
        <v>505</v>
      </c>
      <c r="O9" s="698" t="s">
        <v>21</v>
      </c>
      <c r="P9" s="698" t="s">
        <v>21</v>
      </c>
      <c r="Q9" s="698" t="s">
        <v>21</v>
      </c>
      <c r="R9" s="698" t="s">
        <v>21</v>
      </c>
      <c r="S9" s="698" t="s">
        <v>21</v>
      </c>
      <c r="T9" s="1771"/>
    </row>
    <row r="10" spans="2:20" s="6" customFormat="1" ht="15.75" customHeight="1">
      <c r="B10" s="95">
        <v>1</v>
      </c>
      <c r="C10" s="844" t="s">
        <v>475</v>
      </c>
      <c r="D10" s="313"/>
      <c r="E10" s="313"/>
      <c r="F10" s="313"/>
      <c r="G10" s="313"/>
      <c r="H10" s="313"/>
      <c r="I10" s="313"/>
      <c r="J10" s="313"/>
      <c r="K10" s="872"/>
      <c r="L10" s="872"/>
      <c r="M10" s="313">
        <f>K10+L10</f>
        <v>0</v>
      </c>
      <c r="N10" s="313"/>
      <c r="O10" s="872"/>
      <c r="P10" s="872"/>
      <c r="Q10" s="872"/>
      <c r="R10" s="872"/>
      <c r="S10" s="872"/>
      <c r="T10" s="24"/>
    </row>
    <row r="11" spans="2:20" s="6" customFormat="1" ht="15.75" customHeight="1">
      <c r="B11" s="95">
        <f>B10+1</f>
        <v>2</v>
      </c>
      <c r="C11" s="845" t="s">
        <v>474</v>
      </c>
      <c r="D11" s="313"/>
      <c r="E11" s="313">
        <v>2.3708183219999999</v>
      </c>
      <c r="F11" s="313"/>
      <c r="G11" s="313"/>
      <c r="H11" s="313">
        <v>0.155</v>
      </c>
      <c r="I11" s="313"/>
      <c r="J11" s="313"/>
      <c r="K11" s="872">
        <v>7.7499999999999999E-2</v>
      </c>
      <c r="L11" s="872">
        <v>7.7499999999999999E-2</v>
      </c>
      <c r="M11" s="313">
        <f t="shared" ref="M11:M21" si="0">K11+L11</f>
        <v>0.155</v>
      </c>
      <c r="N11" s="313"/>
      <c r="O11" s="872">
        <v>0</v>
      </c>
      <c r="P11" s="872">
        <v>0</v>
      </c>
      <c r="Q11" s="872">
        <v>0</v>
      </c>
      <c r="R11" s="872">
        <v>0</v>
      </c>
      <c r="S11" s="872">
        <v>0</v>
      </c>
      <c r="T11" s="24"/>
    </row>
    <row r="12" spans="2:20" s="6" customFormat="1" ht="15.75" customHeight="1">
      <c r="B12" s="95">
        <f t="shared" ref="B12:B20" si="1">B11+1</f>
        <v>3</v>
      </c>
      <c r="C12" s="846" t="s">
        <v>327</v>
      </c>
      <c r="D12" s="313"/>
      <c r="E12" s="313"/>
      <c r="F12" s="313"/>
      <c r="G12" s="313"/>
      <c r="H12" s="313"/>
      <c r="I12" s="313"/>
      <c r="J12" s="313"/>
      <c r="K12" s="872"/>
      <c r="L12" s="872"/>
      <c r="M12" s="313">
        <f t="shared" si="0"/>
        <v>0</v>
      </c>
      <c r="N12" s="313"/>
      <c r="O12" s="872"/>
      <c r="P12" s="872"/>
      <c r="Q12" s="872"/>
      <c r="R12" s="872"/>
      <c r="S12" s="872"/>
      <c r="T12" s="24"/>
    </row>
    <row r="13" spans="2:20" s="6" customFormat="1" ht="15.75" customHeight="1">
      <c r="B13" s="95">
        <f t="shared" si="1"/>
        <v>4</v>
      </c>
      <c r="C13" s="846" t="s">
        <v>301</v>
      </c>
      <c r="D13" s="313"/>
      <c r="E13" s="313"/>
      <c r="F13" s="313"/>
      <c r="G13" s="313"/>
      <c r="H13" s="313"/>
      <c r="I13" s="313"/>
      <c r="J13" s="313"/>
      <c r="K13" s="872">
        <v>0</v>
      </c>
      <c r="L13" s="872">
        <v>0</v>
      </c>
      <c r="M13" s="313">
        <f t="shared" si="0"/>
        <v>0</v>
      </c>
      <c r="N13" s="313"/>
      <c r="O13" s="872"/>
      <c r="P13" s="872"/>
      <c r="Q13" s="872"/>
      <c r="R13" s="872"/>
      <c r="S13" s="872"/>
      <c r="T13" s="24"/>
    </row>
    <row r="14" spans="2:20" s="6" customFormat="1" ht="15.75" customHeight="1">
      <c r="B14" s="95">
        <f t="shared" si="1"/>
        <v>5</v>
      </c>
      <c r="C14" s="846" t="s">
        <v>476</v>
      </c>
      <c r="D14" s="313"/>
      <c r="E14" s="313"/>
      <c r="F14" s="313"/>
      <c r="G14" s="313"/>
      <c r="H14" s="313"/>
      <c r="I14" s="313"/>
      <c r="J14" s="313"/>
      <c r="K14" s="872"/>
      <c r="L14" s="872"/>
      <c r="M14" s="313">
        <f t="shared" si="0"/>
        <v>0</v>
      </c>
      <c r="N14" s="313"/>
      <c r="O14" s="872"/>
      <c r="P14" s="872"/>
      <c r="Q14" s="872"/>
      <c r="R14" s="872"/>
      <c r="S14" s="872"/>
      <c r="T14" s="24"/>
    </row>
    <row r="15" spans="2:20" s="6" customFormat="1" ht="56">
      <c r="B15" s="95">
        <f t="shared" si="1"/>
        <v>6</v>
      </c>
      <c r="C15" s="846" t="s">
        <v>348</v>
      </c>
      <c r="D15" s="313"/>
      <c r="E15" s="313">
        <v>1.2860558</v>
      </c>
      <c r="F15" s="313"/>
      <c r="G15" s="313"/>
      <c r="H15" s="313">
        <v>0</v>
      </c>
      <c r="I15" s="313"/>
      <c r="J15" s="313"/>
      <c r="K15" s="872">
        <v>0</v>
      </c>
      <c r="L15" s="872">
        <v>0</v>
      </c>
      <c r="M15" s="313">
        <f t="shared" si="0"/>
        <v>0</v>
      </c>
      <c r="N15" s="313"/>
      <c r="O15" s="872"/>
      <c r="P15" s="872"/>
      <c r="Q15" s="872"/>
      <c r="R15" s="872"/>
      <c r="S15" s="872"/>
      <c r="T15" s="24"/>
    </row>
    <row r="16" spans="2:20" s="6" customFormat="1">
      <c r="B16" s="95">
        <f t="shared" si="1"/>
        <v>7</v>
      </c>
      <c r="C16" s="847" t="s">
        <v>814</v>
      </c>
      <c r="D16" s="313"/>
      <c r="E16" s="313">
        <v>0.39506090999999999</v>
      </c>
      <c r="F16" s="313"/>
      <c r="G16" s="313"/>
      <c r="H16" s="313">
        <v>0.23231790066666699</v>
      </c>
      <c r="I16" s="313"/>
      <c r="J16" s="313"/>
      <c r="K16" s="872">
        <v>0.1161589503333335</v>
      </c>
      <c r="L16" s="872">
        <v>0.1161589503333335</v>
      </c>
      <c r="M16" s="313">
        <f t="shared" si="0"/>
        <v>0.23231790066666699</v>
      </c>
      <c r="N16" s="313"/>
      <c r="O16" s="872"/>
      <c r="P16" s="872"/>
      <c r="Q16" s="872"/>
      <c r="R16" s="872"/>
      <c r="S16" s="872"/>
      <c r="T16" s="24"/>
    </row>
    <row r="17" spans="2:20" ht="15.75" customHeight="1">
      <c r="B17" s="95">
        <f>B16+1</f>
        <v>8</v>
      </c>
      <c r="C17" s="847" t="s">
        <v>302</v>
      </c>
      <c r="D17" s="313"/>
      <c r="E17" s="313"/>
      <c r="F17" s="313"/>
      <c r="G17" s="313"/>
      <c r="H17" s="313"/>
      <c r="I17" s="313"/>
      <c r="J17" s="313"/>
      <c r="K17" s="872"/>
      <c r="L17" s="872"/>
      <c r="M17" s="313">
        <f t="shared" si="0"/>
        <v>0</v>
      </c>
      <c r="N17" s="313"/>
      <c r="O17" s="872"/>
      <c r="P17" s="872"/>
      <c r="Q17" s="872"/>
      <c r="R17" s="872"/>
      <c r="S17" s="872"/>
      <c r="T17" s="24"/>
    </row>
    <row r="18" spans="2:20" ht="15.75" customHeight="1">
      <c r="B18" s="95">
        <f t="shared" si="1"/>
        <v>9</v>
      </c>
      <c r="C18" s="847" t="s">
        <v>303</v>
      </c>
      <c r="D18" s="313"/>
      <c r="E18" s="313"/>
      <c r="F18" s="313"/>
      <c r="G18" s="313"/>
      <c r="H18" s="313"/>
      <c r="I18" s="313"/>
      <c r="J18" s="313"/>
      <c r="K18" s="872"/>
      <c r="L18" s="872"/>
      <c r="M18" s="313">
        <f t="shared" si="0"/>
        <v>0</v>
      </c>
      <c r="N18" s="313"/>
      <c r="O18" s="872"/>
      <c r="P18" s="872"/>
      <c r="Q18" s="872"/>
      <c r="R18" s="872"/>
      <c r="S18" s="872"/>
      <c r="T18" s="24"/>
    </row>
    <row r="19" spans="2:20" ht="15.75" customHeight="1">
      <c r="B19" s="95">
        <f t="shared" si="1"/>
        <v>10</v>
      </c>
      <c r="C19" s="846" t="s">
        <v>328</v>
      </c>
      <c r="D19" s="313"/>
      <c r="E19" s="313"/>
      <c r="F19" s="313"/>
      <c r="G19" s="313"/>
      <c r="H19" s="313"/>
      <c r="I19" s="313"/>
      <c r="J19" s="313"/>
      <c r="K19" s="872"/>
      <c r="L19" s="872"/>
      <c r="M19" s="313">
        <f t="shared" si="0"/>
        <v>0</v>
      </c>
      <c r="N19" s="313"/>
      <c r="O19" s="872"/>
      <c r="P19" s="872"/>
      <c r="Q19" s="872"/>
      <c r="R19" s="872"/>
      <c r="S19" s="872"/>
      <c r="T19" s="24"/>
    </row>
    <row r="20" spans="2:20" ht="15.75" customHeight="1">
      <c r="B20" s="95">
        <f t="shared" si="1"/>
        <v>11</v>
      </c>
      <c r="C20" s="847" t="s">
        <v>803</v>
      </c>
      <c r="D20" s="313"/>
      <c r="E20" s="313">
        <v>0</v>
      </c>
      <c r="F20" s="313"/>
      <c r="G20" s="313"/>
      <c r="H20" s="313">
        <v>0</v>
      </c>
      <c r="I20" s="313"/>
      <c r="J20" s="313"/>
      <c r="K20" s="872">
        <v>0</v>
      </c>
      <c r="L20" s="872">
        <v>0</v>
      </c>
      <c r="M20" s="313">
        <f t="shared" si="0"/>
        <v>0</v>
      </c>
      <c r="N20" s="313"/>
      <c r="O20" s="872"/>
      <c r="P20" s="872"/>
      <c r="Q20" s="872"/>
      <c r="R20" s="872"/>
      <c r="S20" s="872"/>
      <c r="T20" s="24"/>
    </row>
    <row r="21" spans="2:20" ht="15.75" customHeight="1">
      <c r="B21" s="95">
        <f t="shared" ref="B21:B26" si="2">+B20+1</f>
        <v>12</v>
      </c>
      <c r="C21" s="847" t="s">
        <v>820</v>
      </c>
      <c r="D21" s="313"/>
      <c r="E21" s="313"/>
      <c r="F21" s="313"/>
      <c r="G21" s="313"/>
      <c r="H21" s="313"/>
      <c r="I21" s="313"/>
      <c r="J21" s="313"/>
      <c r="K21" s="872"/>
      <c r="L21" s="872"/>
      <c r="M21" s="313">
        <f t="shared" si="0"/>
        <v>0</v>
      </c>
      <c r="N21" s="313"/>
      <c r="O21" s="872"/>
      <c r="P21" s="872"/>
      <c r="Q21" s="872"/>
      <c r="R21" s="872"/>
      <c r="S21" s="872"/>
      <c r="T21" s="24"/>
    </row>
    <row r="22" spans="2:20" s="11" customFormat="1" ht="67.5" customHeight="1">
      <c r="B22" s="95">
        <f t="shared" si="2"/>
        <v>13</v>
      </c>
      <c r="C22" s="844" t="s">
        <v>804</v>
      </c>
      <c r="D22" s="313"/>
      <c r="E22" s="313">
        <v>0.207545338</v>
      </c>
      <c r="F22" s="313"/>
      <c r="G22" s="313"/>
      <c r="H22" s="313">
        <v>0.11915685300001599</v>
      </c>
      <c r="I22" s="313"/>
      <c r="J22" s="313"/>
      <c r="K22" s="872">
        <v>5.9578426500007997E-2</v>
      </c>
      <c r="L22" s="872">
        <v>5.9578426500007997E-2</v>
      </c>
      <c r="M22" s="313">
        <f>K22+L22</f>
        <v>0.11915685300001599</v>
      </c>
      <c r="N22" s="313"/>
      <c r="O22" s="872"/>
      <c r="P22" s="872"/>
      <c r="Q22" s="872"/>
      <c r="R22" s="872"/>
      <c r="S22" s="872"/>
      <c r="T22" s="119"/>
    </row>
    <row r="23" spans="2:20" s="11" customFormat="1" ht="15.75" customHeight="1">
      <c r="B23" s="95">
        <f t="shared" si="2"/>
        <v>14</v>
      </c>
      <c r="C23" s="847" t="s">
        <v>801</v>
      </c>
      <c r="D23" s="313"/>
      <c r="E23" s="313">
        <v>0.17268968994645501</v>
      </c>
      <c r="F23" s="313"/>
      <c r="G23" s="313"/>
      <c r="H23" s="313">
        <v>0.17572586557481401</v>
      </c>
      <c r="I23" s="313"/>
      <c r="J23" s="313"/>
      <c r="K23" s="872">
        <v>8.7862932787407005E-2</v>
      </c>
      <c r="L23" s="872">
        <v>8.7862932787407005E-2</v>
      </c>
      <c r="M23" s="313">
        <f t="shared" ref="M23:M25" si="3">K23+L23</f>
        <v>0.17572586557481401</v>
      </c>
      <c r="N23" s="313"/>
      <c r="O23" s="872"/>
      <c r="P23" s="872"/>
      <c r="Q23" s="872"/>
      <c r="R23" s="872"/>
      <c r="S23" s="872"/>
      <c r="T23" s="119"/>
    </row>
    <row r="24" spans="2:20" s="11" customFormat="1" ht="15.75" customHeight="1">
      <c r="B24" s="95">
        <f t="shared" si="2"/>
        <v>15</v>
      </c>
      <c r="C24" s="847" t="s">
        <v>829</v>
      </c>
      <c r="D24" s="313"/>
      <c r="E24" s="313">
        <v>0</v>
      </c>
      <c r="F24" s="313"/>
      <c r="G24" s="313"/>
      <c r="H24" s="313">
        <v>0</v>
      </c>
      <c r="I24" s="313"/>
      <c r="J24" s="313"/>
      <c r="K24" s="872">
        <v>0</v>
      </c>
      <c r="L24" s="872">
        <v>0</v>
      </c>
      <c r="M24" s="313">
        <f t="shared" si="3"/>
        <v>0</v>
      </c>
      <c r="N24" s="313"/>
      <c r="O24" s="872"/>
      <c r="P24" s="872"/>
      <c r="Q24" s="872"/>
      <c r="R24" s="872"/>
      <c r="S24" s="872"/>
      <c r="T24" s="119"/>
    </row>
    <row r="25" spans="2:20" s="11" customFormat="1" ht="15.75" customHeight="1">
      <c r="B25" s="95">
        <f t="shared" si="2"/>
        <v>16</v>
      </c>
      <c r="C25" s="847" t="s">
        <v>830</v>
      </c>
      <c r="D25" s="313"/>
      <c r="E25" s="313">
        <v>0</v>
      </c>
      <c r="F25" s="313"/>
      <c r="G25" s="313"/>
      <c r="H25" s="313">
        <v>2.1573655999999999</v>
      </c>
      <c r="I25" s="313"/>
      <c r="J25" s="313"/>
      <c r="K25" s="872">
        <v>1.0786827999999999</v>
      </c>
      <c r="L25" s="872">
        <v>1.0786827999999999</v>
      </c>
      <c r="M25" s="313">
        <f t="shared" si="3"/>
        <v>2.1573655999999999</v>
      </c>
      <c r="N25" s="313"/>
      <c r="O25" s="872"/>
      <c r="P25" s="872"/>
      <c r="Q25" s="872"/>
      <c r="R25" s="872"/>
      <c r="S25" s="872"/>
      <c r="T25" s="119"/>
    </row>
    <row r="26" spans="2:20" s="1" customFormat="1">
      <c r="B26" s="95">
        <f t="shared" si="2"/>
        <v>17</v>
      </c>
      <c r="C26" s="73" t="s">
        <v>271</v>
      </c>
      <c r="D26" s="332">
        <v>1.631604741666667</v>
      </c>
      <c r="E26" s="332">
        <f>SUM(E10:E25)</f>
        <v>4.4321700599464542</v>
      </c>
      <c r="F26" s="313">
        <f t="shared" ref="F26" si="4">E26-D26</f>
        <v>2.8005653182797872</v>
      </c>
      <c r="G26" s="879">
        <v>2.1413789488093924</v>
      </c>
      <c r="H26" s="879">
        <f>SUM(H10:H25)</f>
        <v>2.8395662192414965</v>
      </c>
      <c r="I26" s="872">
        <f t="shared" ref="I26" si="5">H26-G26</f>
        <v>0.69818727043210416</v>
      </c>
      <c r="J26" s="879">
        <v>2.1413789488093924</v>
      </c>
      <c r="K26" s="332">
        <f>SUM(K10:K25)</f>
        <v>1.4197831096207483</v>
      </c>
      <c r="L26" s="332">
        <f>SUM(L10:L25)</f>
        <v>1.4197831096207483</v>
      </c>
      <c r="M26" s="313">
        <f>K26+L26</f>
        <v>2.8395662192414965</v>
      </c>
      <c r="N26" s="313">
        <f>M26-J26</f>
        <v>0.69818727043210416</v>
      </c>
      <c r="O26" s="879">
        <v>2.839566219241497</v>
      </c>
      <c r="P26" s="879">
        <v>2.839566219241497</v>
      </c>
      <c r="Q26" s="879">
        <v>2.839566219241497</v>
      </c>
      <c r="R26" s="879">
        <v>2.839566219241497</v>
      </c>
      <c r="S26" s="879">
        <v>2.839566219241497</v>
      </c>
      <c r="T26" s="24"/>
    </row>
    <row r="27" spans="2:20" s="1" customFormat="1">
      <c r="B27" s="5"/>
      <c r="C27" s="36"/>
    </row>
    <row r="28" spans="2:20">
      <c r="B28" s="7" t="s">
        <v>710</v>
      </c>
    </row>
  </sheetData>
  <mergeCells count="10">
    <mergeCell ref="B2:T2"/>
    <mergeCell ref="B3:T3"/>
    <mergeCell ref="B4:T4"/>
    <mergeCell ref="B7:B9"/>
    <mergeCell ref="C7:C9"/>
    <mergeCell ref="J7:N7"/>
    <mergeCell ref="D7:F7"/>
    <mergeCell ref="G7:I7"/>
    <mergeCell ref="T7:T9"/>
    <mergeCell ref="O7:S7"/>
  </mergeCells>
  <pageMargins left="0.38" right="0.55000000000000004" top="0.66" bottom="0.66" header="0.5" footer="0.5"/>
  <pageSetup paperSize="9" scale="42"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B1:L31"/>
  <sheetViews>
    <sheetView showGridLines="0" view="pageLayout" zoomScaleNormal="75" zoomScaleSheetLayoutView="70" workbookViewId="0">
      <selection activeCell="F2" sqref="F2:F3"/>
    </sheetView>
  </sheetViews>
  <sheetFormatPr defaultColWidth="8.6328125" defaultRowHeight="14"/>
  <cols>
    <col min="1" max="1" width="6.90625" style="14" customWidth="1"/>
    <col min="2" max="2" width="6.54296875" style="98" customWidth="1"/>
    <col min="3" max="3" width="49" style="14" customWidth="1"/>
    <col min="4" max="5" width="14.08984375" style="14" customWidth="1"/>
    <col min="6" max="7" width="12.90625" style="14" customWidth="1"/>
    <col min="8" max="20" width="13.90625" style="14" customWidth="1"/>
    <col min="21" max="16384" width="8.6328125" style="14"/>
  </cols>
  <sheetData>
    <row r="1" spans="2:11">
      <c r="C1" s="1450"/>
      <c r="D1" s="1450"/>
      <c r="E1" s="1450"/>
    </row>
    <row r="2" spans="2:11">
      <c r="C2" s="1450"/>
      <c r="D2" s="1450"/>
      <c r="E2" s="1450"/>
      <c r="F2" s="1448" t="str">
        <f>Index!B2</f>
        <v xml:space="preserve">      Maharashtra State Power Generation Company Ltd.</v>
      </c>
      <c r="G2" s="1448"/>
    </row>
    <row r="3" spans="2:11">
      <c r="C3" s="1450"/>
      <c r="D3" s="1450"/>
      <c r="E3" s="1450"/>
      <c r="F3" s="1448" t="str">
        <f>Index!B3</f>
        <v>MYT Petition Formats for Parli 8</v>
      </c>
      <c r="G3" s="1449"/>
    </row>
    <row r="4" spans="2:11">
      <c r="C4" s="1450"/>
      <c r="D4" s="1450"/>
      <c r="E4" s="1450"/>
      <c r="F4" s="130" t="s">
        <v>2160</v>
      </c>
      <c r="G4" s="130"/>
    </row>
    <row r="6" spans="2:11" ht="28">
      <c r="B6" s="1446" t="s">
        <v>340</v>
      </c>
      <c r="C6" s="1446" t="s">
        <v>36</v>
      </c>
      <c r="D6" s="1447" t="s">
        <v>607</v>
      </c>
      <c r="E6" s="1447" t="s">
        <v>508</v>
      </c>
      <c r="F6" s="1447" t="s">
        <v>509</v>
      </c>
      <c r="G6" s="1446" t="s">
        <v>2161</v>
      </c>
    </row>
    <row r="7" spans="2:11">
      <c r="B7" s="99">
        <v>1</v>
      </c>
      <c r="C7" s="1451" t="s">
        <v>608</v>
      </c>
      <c r="D7" s="1452" t="s">
        <v>80</v>
      </c>
      <c r="E7" s="24"/>
      <c r="F7" s="24"/>
      <c r="G7" s="24"/>
    </row>
    <row r="8" spans="2:11">
      <c r="B8" s="99">
        <f>B7+1</f>
        <v>2</v>
      </c>
      <c r="C8" s="1451" t="s">
        <v>554</v>
      </c>
      <c r="D8" s="1452" t="s">
        <v>81</v>
      </c>
      <c r="E8" s="24"/>
      <c r="F8" s="24"/>
      <c r="G8" s="24"/>
    </row>
    <row r="9" spans="2:11">
      <c r="B9" s="99">
        <f>B8+1</f>
        <v>3</v>
      </c>
      <c r="C9" s="1451" t="s">
        <v>2162</v>
      </c>
      <c r="D9" s="1452" t="s">
        <v>556</v>
      </c>
      <c r="E9" s="24"/>
      <c r="F9" s="24"/>
      <c r="G9" s="24"/>
    </row>
    <row r="10" spans="2:11">
      <c r="B10" s="99"/>
      <c r="C10" s="1453"/>
      <c r="D10" s="1453"/>
      <c r="E10" s="24"/>
      <c r="F10" s="24"/>
      <c r="G10" s="24"/>
    </row>
    <row r="11" spans="2:11">
      <c r="B11" s="99">
        <v>4</v>
      </c>
      <c r="C11" s="1451" t="s">
        <v>609</v>
      </c>
      <c r="D11" s="1452" t="s">
        <v>391</v>
      </c>
      <c r="E11" s="24"/>
      <c r="F11" s="24"/>
      <c r="G11" s="24"/>
    </row>
    <row r="12" spans="2:11">
      <c r="B12" s="99">
        <v>5</v>
      </c>
      <c r="C12" s="1451" t="s">
        <v>727</v>
      </c>
      <c r="D12" s="1452" t="s">
        <v>392</v>
      </c>
      <c r="E12" s="24"/>
      <c r="F12" s="24"/>
      <c r="G12" s="24"/>
    </row>
    <row r="13" spans="2:11">
      <c r="B13" s="99">
        <v>6</v>
      </c>
      <c r="C13" s="1451" t="s">
        <v>728</v>
      </c>
      <c r="D13" s="1452" t="s">
        <v>729</v>
      </c>
      <c r="E13" s="24"/>
      <c r="F13" s="24"/>
      <c r="G13" s="24"/>
    </row>
    <row r="14" spans="2:11">
      <c r="B14" s="99">
        <v>7</v>
      </c>
      <c r="C14" s="1453" t="s">
        <v>555</v>
      </c>
      <c r="D14" s="1454" t="s">
        <v>730</v>
      </c>
      <c r="E14" s="24"/>
      <c r="F14" s="24"/>
      <c r="G14" s="24"/>
    </row>
    <row r="15" spans="2:11">
      <c r="C15" s="1455"/>
      <c r="D15" s="1456"/>
    </row>
    <row r="16" spans="2:11" ht="49.65" customHeight="1">
      <c r="C16" s="1957" t="s">
        <v>2163</v>
      </c>
      <c r="D16" s="1957"/>
      <c r="E16" s="1957"/>
      <c r="F16" s="1957"/>
      <c r="G16" s="1957"/>
      <c r="H16" s="1957"/>
      <c r="I16" s="1957"/>
      <c r="J16" s="1957"/>
      <c r="K16" s="1957"/>
    </row>
    <row r="17" spans="2:12">
      <c r="C17" s="14" t="s">
        <v>2164</v>
      </c>
    </row>
    <row r="18" spans="2:12">
      <c r="C18" s="14" t="s">
        <v>2165</v>
      </c>
    </row>
    <row r="20" spans="2:12">
      <c r="C20" s="1457"/>
      <c r="D20" s="1457"/>
      <c r="E20" s="1457"/>
      <c r="F20" s="1458"/>
      <c r="G20" s="1458"/>
      <c r="H20" s="1458"/>
      <c r="I20" s="1458"/>
      <c r="J20" s="1458"/>
      <c r="K20" s="1458"/>
      <c r="L20" s="1458"/>
    </row>
    <row r="22" spans="2:12">
      <c r="B22" s="1970" t="s">
        <v>2166</v>
      </c>
      <c r="C22" s="1970"/>
      <c r="D22" s="1970"/>
      <c r="E22" s="1970"/>
      <c r="F22" s="1970"/>
      <c r="G22" s="1970"/>
      <c r="H22" s="1970"/>
      <c r="I22" s="1970"/>
      <c r="J22" s="223"/>
      <c r="K22" s="223"/>
    </row>
    <row r="23" spans="2:12">
      <c r="B23" s="14"/>
    </row>
    <row r="24" spans="2:12" ht="28">
      <c r="B24" s="1446" t="s">
        <v>340</v>
      </c>
      <c r="C24" s="1446" t="s">
        <v>36</v>
      </c>
      <c r="D24" s="1447" t="s">
        <v>607</v>
      </c>
      <c r="E24" s="1447" t="s">
        <v>958</v>
      </c>
      <c r="F24" s="1447" t="s">
        <v>959</v>
      </c>
      <c r="G24" s="1446" t="s">
        <v>960</v>
      </c>
      <c r="H24" s="1446" t="s">
        <v>961</v>
      </c>
      <c r="I24" s="1446" t="s">
        <v>962</v>
      </c>
    </row>
    <row r="25" spans="2:12">
      <c r="B25" s="99">
        <v>1</v>
      </c>
      <c r="C25" s="1451" t="s">
        <v>2167</v>
      </c>
      <c r="D25" s="1452" t="s">
        <v>80</v>
      </c>
      <c r="E25" s="1451"/>
      <c r="F25" s="1459"/>
      <c r="G25" s="1459"/>
      <c r="H25" s="1451"/>
      <c r="I25" s="1459"/>
    </row>
    <row r="26" spans="2:12">
      <c r="B26" s="99"/>
      <c r="C26" s="1453"/>
      <c r="D26" s="1453"/>
      <c r="E26" s="1451"/>
      <c r="F26" s="1459"/>
      <c r="G26" s="1459"/>
      <c r="H26" s="1451"/>
      <c r="I26" s="1459"/>
    </row>
    <row r="27" spans="2:12">
      <c r="B27" s="99">
        <v>2</v>
      </c>
      <c r="C27" s="1451" t="s">
        <v>2168</v>
      </c>
      <c r="D27" s="1452" t="s">
        <v>81</v>
      </c>
      <c r="E27" s="1451"/>
      <c r="F27" s="1459"/>
      <c r="G27" s="1459"/>
      <c r="H27" s="1451"/>
      <c r="I27" s="1459"/>
    </row>
    <row r="28" spans="2:12">
      <c r="B28" s="99">
        <v>3</v>
      </c>
      <c r="C28" s="1453" t="s">
        <v>555</v>
      </c>
      <c r="D28" s="1454" t="s">
        <v>2169</v>
      </c>
      <c r="E28" s="1453"/>
      <c r="F28" s="1460"/>
      <c r="G28" s="1460"/>
      <c r="H28" s="1453"/>
      <c r="I28" s="1460"/>
    </row>
    <row r="29" spans="2:12" ht="29.4" customHeight="1">
      <c r="B29" s="14"/>
      <c r="C29" s="1458"/>
    </row>
    <row r="30" spans="2:12" ht="43.65" customHeight="1">
      <c r="B30" s="14"/>
      <c r="C30" s="1971" t="s">
        <v>2170</v>
      </c>
      <c r="D30" s="1957"/>
      <c r="E30" s="1957"/>
      <c r="F30" s="1957"/>
      <c r="G30" s="1957"/>
      <c r="H30" s="1957"/>
      <c r="I30" s="1957"/>
      <c r="J30" s="1957"/>
      <c r="K30" s="1957"/>
    </row>
    <row r="31" spans="2:12">
      <c r="B31" s="14"/>
      <c r="C31" s="14" t="s">
        <v>2171</v>
      </c>
    </row>
  </sheetData>
  <mergeCells count="3">
    <mergeCell ref="B22:I22"/>
    <mergeCell ref="C30:K30"/>
    <mergeCell ref="C16:K16"/>
  </mergeCells>
  <pageMargins left="1.1023622047244099" right="0.27559055118110198" top="1.2204724409448799" bottom="0.98425196850393704" header="0.511811023622047" footer="0.511811023622047"/>
  <pageSetup paperSize="9" scale="35" fitToHeight="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2">
    <pageSetUpPr fitToPage="1"/>
  </sheetPr>
  <dimension ref="B1:R89"/>
  <sheetViews>
    <sheetView showGridLines="0" view="pageBreakPreview" zoomScale="75" zoomScaleNormal="75" zoomScaleSheetLayoutView="75" workbookViewId="0">
      <selection activeCell="A4" sqref="A4"/>
    </sheetView>
  </sheetViews>
  <sheetFormatPr defaultColWidth="9.36328125" defaultRowHeight="14"/>
  <cols>
    <col min="1" max="1" width="6.6328125" style="14" customWidth="1"/>
    <col min="2" max="2" width="7.36328125" style="14" customWidth="1"/>
    <col min="3" max="3" width="49" style="14" customWidth="1"/>
    <col min="4" max="4" width="10.36328125" style="14" bestFit="1" customWidth="1"/>
    <col min="5" max="5" width="11.6328125" style="14" customWidth="1"/>
    <col min="6" max="8" width="11" style="14" customWidth="1"/>
    <col min="9" max="9" width="14.453125" style="14" customWidth="1"/>
    <col min="10" max="10" width="13.6328125" style="14" customWidth="1"/>
    <col min="11" max="11" width="16" style="14" customWidth="1"/>
    <col min="12" max="12" width="21" style="14" customWidth="1"/>
    <col min="13" max="13" width="11.6328125" style="333" customWidth="1"/>
    <col min="14" max="14" width="11" style="14" customWidth="1"/>
    <col min="15" max="15" width="49.6328125" style="14" customWidth="1"/>
    <col min="16" max="16" width="16" style="14" customWidth="1"/>
    <col min="17" max="16384" width="9.36328125" style="14"/>
  </cols>
  <sheetData>
    <row r="1" spans="2:16">
      <c r="C1" s="80"/>
    </row>
    <row r="2" spans="2:16" ht="15.65" customHeight="1">
      <c r="B2" s="1776" t="str">
        <f>Index!B2</f>
        <v xml:space="preserve">      Maharashtra State Power Generation Company Ltd.</v>
      </c>
      <c r="C2" s="1776"/>
      <c r="D2" s="1776"/>
      <c r="E2" s="1776"/>
      <c r="F2" s="1776"/>
      <c r="G2" s="1776"/>
      <c r="H2" s="1776"/>
      <c r="I2" s="1776"/>
      <c r="J2" s="1776"/>
      <c r="K2" s="1776"/>
      <c r="L2" s="1776"/>
      <c r="N2" s="33"/>
      <c r="O2" s="33"/>
      <c r="P2" s="33"/>
    </row>
    <row r="3" spans="2:16" s="5" customFormat="1" ht="15.65" customHeight="1">
      <c r="B3" s="1776" t="str">
        <f>Index!B3</f>
        <v>MYT Petition Formats for Parli 8</v>
      </c>
      <c r="C3" s="1776"/>
      <c r="D3" s="1776"/>
      <c r="E3" s="1776"/>
      <c r="F3" s="1776"/>
      <c r="G3" s="1776"/>
      <c r="H3" s="1776"/>
      <c r="I3" s="1776"/>
      <c r="J3" s="1776"/>
      <c r="K3" s="1776"/>
      <c r="L3" s="1776"/>
      <c r="M3" s="1467"/>
      <c r="N3" s="36"/>
      <c r="O3" s="36"/>
      <c r="P3" s="35"/>
    </row>
    <row r="4" spans="2:16" s="5" customFormat="1" ht="15.65" customHeight="1">
      <c r="B4" s="1972" t="s">
        <v>350</v>
      </c>
      <c r="C4" s="1972"/>
      <c r="D4" s="1972"/>
      <c r="E4" s="1972"/>
      <c r="F4" s="1972"/>
      <c r="G4" s="1972"/>
      <c r="H4" s="1972"/>
      <c r="I4" s="1972"/>
      <c r="J4" s="1972"/>
      <c r="K4" s="1972"/>
      <c r="L4" s="1972"/>
      <c r="M4" s="1468"/>
      <c r="N4" s="81"/>
      <c r="O4" s="81"/>
      <c r="P4" s="81"/>
    </row>
    <row r="5" spans="2:16">
      <c r="B5" s="33"/>
      <c r="C5" s="33"/>
      <c r="D5" s="33"/>
      <c r="E5" s="33"/>
      <c r="F5" s="33"/>
      <c r="G5" s="33"/>
      <c r="H5" s="33"/>
      <c r="I5" s="33"/>
      <c r="J5" s="33"/>
      <c r="K5" s="33"/>
      <c r="L5" s="33"/>
      <c r="N5" s="33"/>
      <c r="O5" s="33"/>
      <c r="P5" s="33"/>
    </row>
    <row r="6" spans="2:16">
      <c r="B6" s="82" t="s">
        <v>508</v>
      </c>
      <c r="N6" s="33"/>
      <c r="O6" s="33"/>
      <c r="P6" s="33"/>
    </row>
    <row r="7" spans="2:16">
      <c r="K7" s="21"/>
      <c r="L7" s="21" t="s">
        <v>10</v>
      </c>
      <c r="N7" s="33"/>
    </row>
    <row r="8" spans="2:16" ht="42">
      <c r="B8" s="189" t="s">
        <v>340</v>
      </c>
      <c r="C8" s="190" t="s">
        <v>36</v>
      </c>
      <c r="D8" s="312" t="s">
        <v>950</v>
      </c>
      <c r="E8" s="235" t="s">
        <v>798</v>
      </c>
      <c r="F8" s="235" t="s">
        <v>304</v>
      </c>
      <c r="G8" s="312" t="s">
        <v>771</v>
      </c>
      <c r="H8" s="312" t="s">
        <v>772</v>
      </c>
      <c r="I8" s="235" t="s">
        <v>408</v>
      </c>
      <c r="J8" s="235" t="s">
        <v>305</v>
      </c>
      <c r="K8" s="235" t="s">
        <v>306</v>
      </c>
      <c r="L8" s="235" t="s">
        <v>487</v>
      </c>
      <c r="N8" s="33"/>
    </row>
    <row r="9" spans="2:16">
      <c r="B9" s="24"/>
      <c r="C9" s="24"/>
      <c r="D9" s="24" t="s">
        <v>352</v>
      </c>
      <c r="E9" s="24" t="s">
        <v>353</v>
      </c>
      <c r="F9" s="24" t="s">
        <v>773</v>
      </c>
      <c r="G9" s="24" t="s">
        <v>774</v>
      </c>
      <c r="H9" s="24"/>
      <c r="I9" s="24"/>
      <c r="J9" s="24"/>
      <c r="K9" s="24"/>
      <c r="L9" s="24"/>
      <c r="N9" s="33"/>
    </row>
    <row r="10" spans="2:16">
      <c r="B10" s="243">
        <v>1</v>
      </c>
      <c r="C10" s="119" t="s">
        <v>82</v>
      </c>
      <c r="D10" s="512">
        <f>'F1'!F11</f>
        <v>492.96416003429948</v>
      </c>
      <c r="E10" s="513">
        <f>'F1'!G11</f>
        <v>543.6420050301665</v>
      </c>
      <c r="F10" s="512">
        <f>E10-D10</f>
        <v>50.677844995867019</v>
      </c>
      <c r="G10" s="512">
        <f>E10-D10</f>
        <v>50.677844995867019</v>
      </c>
      <c r="H10" s="514">
        <f>IF(G10&lt;0,2/3,1/3)*G10</f>
        <v>16.892614998622339</v>
      </c>
      <c r="I10" s="246"/>
      <c r="J10" s="246"/>
      <c r="K10" s="246"/>
      <c r="L10" s="326">
        <f>D10+H10</f>
        <v>509.8567750329218</v>
      </c>
      <c r="N10" s="33"/>
    </row>
    <row r="11" spans="2:16">
      <c r="B11" s="243">
        <v>2</v>
      </c>
      <c r="C11" s="119" t="s">
        <v>946</v>
      </c>
      <c r="D11" s="345">
        <f>'F3'!F17-D12</f>
        <v>80.150695830193015</v>
      </c>
      <c r="E11" s="504">
        <f>'F3'!G17-E12</f>
        <v>101.01910843181773</v>
      </c>
      <c r="F11" s="512">
        <f>E11-D11</f>
        <v>20.868412601624712</v>
      </c>
      <c r="G11" s="512">
        <f>E11-D11</f>
        <v>20.868412601624712</v>
      </c>
      <c r="H11" s="514">
        <f>IF(G11&lt;0,2/3,1/3)*G11</f>
        <v>6.9561375338749034</v>
      </c>
      <c r="I11" s="119"/>
      <c r="J11" s="119"/>
      <c r="K11" s="119"/>
      <c r="L11" s="326">
        <f>D11+H11</f>
        <v>87.106833364067924</v>
      </c>
      <c r="M11" s="1469"/>
      <c r="N11" s="33"/>
    </row>
    <row r="12" spans="2:16">
      <c r="B12" s="243"/>
      <c r="C12" s="119" t="s">
        <v>903</v>
      </c>
      <c r="D12" s="504">
        <f>'F3'!F14</f>
        <v>0</v>
      </c>
      <c r="E12" s="504">
        <f>'F3'!G14</f>
        <v>0</v>
      </c>
      <c r="F12" s="512">
        <f>E12-D12</f>
        <v>0</v>
      </c>
      <c r="G12" s="512">
        <f>E12-D12</f>
        <v>0</v>
      </c>
      <c r="H12" s="514"/>
      <c r="I12" s="119"/>
      <c r="J12" s="119"/>
      <c r="K12" s="119"/>
      <c r="L12" s="326">
        <f>D12+H12</f>
        <v>0</v>
      </c>
      <c r="M12" s="1469"/>
      <c r="N12" s="33"/>
    </row>
    <row r="13" spans="2:16">
      <c r="B13" s="243"/>
      <c r="C13" s="119" t="s">
        <v>904</v>
      </c>
      <c r="D13" s="345">
        <f>E13</f>
        <v>8.7347056900263649</v>
      </c>
      <c r="E13" s="504">
        <f>'F3.1'!E27</f>
        <v>8.7347056900263649</v>
      </c>
      <c r="F13" s="512"/>
      <c r="G13" s="512"/>
      <c r="H13" s="514"/>
      <c r="I13" s="119"/>
      <c r="J13" s="119"/>
      <c r="K13" s="119"/>
      <c r="L13" s="326">
        <f>E13</f>
        <v>8.7347056900263649</v>
      </c>
      <c r="N13" s="33"/>
      <c r="O13" s="33"/>
      <c r="P13" s="33"/>
    </row>
    <row r="14" spans="2:16">
      <c r="B14" s="243">
        <v>3</v>
      </c>
      <c r="C14" s="120" t="s">
        <v>84</v>
      </c>
      <c r="D14" s="345">
        <f>SUM('F1'!$F$15:$F$16)</f>
        <v>95.076106804538043</v>
      </c>
      <c r="E14" s="345">
        <f>SUM('F1'!$G$15:$G$16)</f>
        <v>95.076106804538043</v>
      </c>
      <c r="F14" s="512">
        <f>E14-D14</f>
        <v>0</v>
      </c>
      <c r="G14" s="512">
        <f t="shared" ref="G14:G23" si="0">E14-D14</f>
        <v>0</v>
      </c>
      <c r="H14" s="119"/>
      <c r="I14" s="119"/>
      <c r="J14" s="119"/>
      <c r="K14" s="119"/>
      <c r="L14" s="326">
        <f>E14</f>
        <v>95.076106804538043</v>
      </c>
      <c r="N14" s="33"/>
      <c r="O14" s="33"/>
      <c r="P14" s="33"/>
    </row>
    <row r="15" spans="2:16">
      <c r="B15" s="243">
        <v>4</v>
      </c>
      <c r="C15" s="119" t="s">
        <v>85</v>
      </c>
      <c r="D15" s="345">
        <f>'F1'!F17+'F1'!F18</f>
        <v>101.19476294523143</v>
      </c>
      <c r="E15" s="504">
        <f>'F1'!G17+'F1'!G18</f>
        <v>101.19476294523143</v>
      </c>
      <c r="F15" s="512">
        <f>E15-D15</f>
        <v>0</v>
      </c>
      <c r="G15" s="512">
        <f t="shared" si="0"/>
        <v>0</v>
      </c>
      <c r="H15" s="119"/>
      <c r="I15" s="119"/>
      <c r="J15" s="119"/>
      <c r="K15" s="119"/>
      <c r="L15" s="326">
        <f>E15</f>
        <v>101.19476294523143</v>
      </c>
      <c r="N15" s="33"/>
      <c r="O15" s="33"/>
      <c r="P15" s="33"/>
    </row>
    <row r="16" spans="2:16">
      <c r="B16" s="243">
        <v>5</v>
      </c>
      <c r="C16" s="517" t="s">
        <v>86</v>
      </c>
      <c r="D16" s="345">
        <f>'F1'!F19</f>
        <v>20.157819477656513</v>
      </c>
      <c r="E16" s="504">
        <f>'F1'!G19</f>
        <v>38.636869183029766</v>
      </c>
      <c r="F16" s="512">
        <f>E16-D16</f>
        <v>18.479049705373253</v>
      </c>
      <c r="G16" s="512">
        <f t="shared" si="0"/>
        <v>18.479049705373253</v>
      </c>
      <c r="H16" s="514">
        <f>IF(G16&lt;0,2/3,1/3)*G16</f>
        <v>6.1596832351244171</v>
      </c>
      <c r="I16" s="119"/>
      <c r="J16" s="119"/>
      <c r="K16" s="119"/>
      <c r="L16" s="326">
        <f>D16+H16</f>
        <v>26.317502712780929</v>
      </c>
      <c r="N16" s="33"/>
      <c r="O16" s="33"/>
      <c r="P16" s="33"/>
    </row>
    <row r="17" spans="2:18">
      <c r="B17" s="243">
        <v>6</v>
      </c>
      <c r="C17" s="120" t="s">
        <v>87</v>
      </c>
      <c r="D17" s="345">
        <f>'F1'!F21</f>
        <v>14.27213680099999</v>
      </c>
      <c r="E17" s="504">
        <f>'F1'!G21</f>
        <v>14.27213680099999</v>
      </c>
      <c r="F17" s="512">
        <f>E17-D17</f>
        <v>0</v>
      </c>
      <c r="G17" s="512">
        <f t="shared" si="0"/>
        <v>0</v>
      </c>
      <c r="H17" s="119"/>
      <c r="I17" s="119"/>
      <c r="J17" s="119"/>
      <c r="K17" s="119"/>
      <c r="L17" s="326">
        <f>E17</f>
        <v>14.27213680099999</v>
      </c>
      <c r="N17" s="33"/>
      <c r="O17" s="33"/>
      <c r="P17" s="33"/>
    </row>
    <row r="18" spans="2:18">
      <c r="B18" s="243">
        <v>7</v>
      </c>
      <c r="C18" s="119" t="s">
        <v>88</v>
      </c>
      <c r="D18" s="345">
        <f>'F1'!F22</f>
        <v>0</v>
      </c>
      <c r="E18" s="504">
        <f>'F1'!G22</f>
        <v>0</v>
      </c>
      <c r="F18" s="512">
        <f>E18-D18</f>
        <v>0</v>
      </c>
      <c r="G18" s="512">
        <f t="shared" si="0"/>
        <v>0</v>
      </c>
      <c r="H18" s="119"/>
      <c r="I18" s="119"/>
      <c r="J18" s="119"/>
      <c r="K18" s="119"/>
      <c r="L18" s="326">
        <f>E18</f>
        <v>0</v>
      </c>
      <c r="N18" s="33"/>
      <c r="O18" s="33"/>
      <c r="P18" s="33"/>
    </row>
    <row r="19" spans="2:18">
      <c r="B19" s="243"/>
      <c r="C19" s="119"/>
      <c r="D19" s="119"/>
      <c r="E19" s="504"/>
      <c r="F19" s="512"/>
      <c r="G19" s="512">
        <f t="shared" si="0"/>
        <v>0</v>
      </c>
      <c r="H19" s="119"/>
      <c r="I19" s="119"/>
      <c r="J19" s="119"/>
      <c r="K19" s="119"/>
      <c r="L19" s="326"/>
      <c r="N19" s="33"/>
      <c r="O19" s="33"/>
      <c r="P19" s="33"/>
      <c r="Q19" s="619"/>
    </row>
    <row r="20" spans="2:18">
      <c r="B20" s="321">
        <v>8</v>
      </c>
      <c r="C20" s="246" t="s">
        <v>89</v>
      </c>
      <c r="D20" s="512">
        <f>SUM(D10:D19)</f>
        <v>812.55038758294484</v>
      </c>
      <c r="E20" s="513">
        <f>SUM(E10:E19)</f>
        <v>902.57569488580975</v>
      </c>
      <c r="F20" s="512">
        <f>E20-D20</f>
        <v>90.025307302864917</v>
      </c>
      <c r="G20" s="512">
        <f t="shared" si="0"/>
        <v>90.025307302864917</v>
      </c>
      <c r="H20" s="246"/>
      <c r="I20" s="246"/>
      <c r="J20" s="246"/>
      <c r="K20" s="246"/>
      <c r="L20" s="368">
        <f>SUM(L10:L19)</f>
        <v>842.5588233505664</v>
      </c>
      <c r="M20" s="1470"/>
      <c r="N20" s="33"/>
      <c r="O20" s="33"/>
      <c r="P20" s="33"/>
    </row>
    <row r="21" spans="2:18">
      <c r="B21" s="243">
        <v>9</v>
      </c>
      <c r="C21" s="119" t="s">
        <v>90</v>
      </c>
      <c r="D21" s="345">
        <f>'F1'!F24+'F1'!F25</f>
        <v>55.013330804826253</v>
      </c>
      <c r="E21" s="504">
        <f>'F1'!G24+'F1'!G25</f>
        <v>55.013330804826253</v>
      </c>
      <c r="F21" s="512">
        <f>E21-D21</f>
        <v>0</v>
      </c>
      <c r="G21" s="512">
        <f t="shared" si="0"/>
        <v>0</v>
      </c>
      <c r="H21" s="246"/>
      <c r="I21" s="246"/>
      <c r="J21" s="246"/>
      <c r="K21" s="246"/>
      <c r="L21" s="326">
        <f>E21</f>
        <v>55.013330804826253</v>
      </c>
      <c r="N21" s="33"/>
      <c r="O21" s="33"/>
      <c r="P21" s="33"/>
    </row>
    <row r="22" spans="2:18">
      <c r="B22" s="243">
        <v>10</v>
      </c>
      <c r="C22" s="119" t="s">
        <v>91</v>
      </c>
      <c r="D22" s="345">
        <f>'F1'!F26</f>
        <v>4.4321700599464542</v>
      </c>
      <c r="E22" s="504">
        <f>'F1'!G26</f>
        <v>4.4321700599464542</v>
      </c>
      <c r="F22" s="512">
        <f>E22-D22</f>
        <v>0</v>
      </c>
      <c r="G22" s="512">
        <f t="shared" si="0"/>
        <v>0</v>
      </c>
      <c r="H22" s="119"/>
      <c r="I22" s="119"/>
      <c r="J22" s="119"/>
      <c r="K22" s="119"/>
      <c r="L22" s="326">
        <f>E22</f>
        <v>4.4321700599464542</v>
      </c>
      <c r="N22" s="33"/>
      <c r="O22" s="33"/>
      <c r="P22" s="33"/>
    </row>
    <row r="23" spans="2:18">
      <c r="B23" s="321">
        <v>11</v>
      </c>
      <c r="C23" s="246" t="s">
        <v>92</v>
      </c>
      <c r="D23" s="512">
        <f>D20+D21-D22</f>
        <v>863.1315483278247</v>
      </c>
      <c r="E23" s="513">
        <f>E20+E21-E22</f>
        <v>953.15685563068962</v>
      </c>
      <c r="F23" s="512">
        <f>E23-D23</f>
        <v>90.025307302864917</v>
      </c>
      <c r="G23" s="512">
        <f t="shared" si="0"/>
        <v>90.025307302864917</v>
      </c>
      <c r="H23" s="246"/>
      <c r="I23" s="246"/>
      <c r="J23" s="246"/>
      <c r="K23" s="246"/>
      <c r="L23" s="368">
        <f>L20+L21-L22</f>
        <v>893.13998409544627</v>
      </c>
      <c r="M23" s="1471">
        <v>0</v>
      </c>
      <c r="N23" s="33"/>
      <c r="O23" s="33"/>
      <c r="P23" s="33"/>
    </row>
    <row r="24" spans="2:18" ht="15.5">
      <c r="B24" s="243">
        <v>12</v>
      </c>
      <c r="C24" s="852" t="s">
        <v>918</v>
      </c>
      <c r="D24" s="345">
        <v>83.880845692615367</v>
      </c>
      <c r="E24" s="504">
        <f>'AFC Reduction and AEC loss'!D8</f>
        <v>127.97034385481729</v>
      </c>
      <c r="F24" s="512"/>
      <c r="G24" s="512"/>
      <c r="H24" s="246"/>
      <c r="I24" s="246"/>
      <c r="J24" s="246"/>
      <c r="K24" s="246"/>
      <c r="L24" s="504">
        <f>E24</f>
        <v>127.97034385481729</v>
      </c>
      <c r="N24" s="33"/>
      <c r="O24" s="33"/>
      <c r="P24" s="33"/>
    </row>
    <row r="25" spans="2:18" ht="15">
      <c r="B25" s="321" t="s">
        <v>171</v>
      </c>
      <c r="C25" s="853" t="s">
        <v>1035</v>
      </c>
      <c r="D25" s="512"/>
      <c r="E25" s="513"/>
      <c r="F25" s="512"/>
      <c r="G25" s="512"/>
      <c r="H25" s="246"/>
      <c r="I25" s="246"/>
      <c r="J25" s="246"/>
      <c r="K25" s="246"/>
      <c r="L25" s="513">
        <f>L23-L24</f>
        <v>765.16964024062895</v>
      </c>
      <c r="N25" s="33"/>
      <c r="O25" s="33"/>
      <c r="P25" s="33"/>
    </row>
    <row r="26" spans="2:18">
      <c r="B26" s="515"/>
      <c r="C26" s="516"/>
      <c r="D26" s="246"/>
      <c r="E26" s="513"/>
      <c r="F26" s="246"/>
      <c r="G26" s="246"/>
      <c r="H26" s="246"/>
      <c r="I26" s="246"/>
      <c r="J26" s="246"/>
      <c r="K26" s="246"/>
      <c r="L26" s="326"/>
      <c r="N26" s="33"/>
      <c r="O26" s="33"/>
      <c r="P26" s="33"/>
    </row>
    <row r="27" spans="2:18">
      <c r="B27" s="515" t="s">
        <v>184</v>
      </c>
      <c r="C27" s="516" t="s">
        <v>307</v>
      </c>
      <c r="D27" s="246"/>
      <c r="E27" s="513"/>
      <c r="F27" s="246"/>
      <c r="G27" s="246"/>
      <c r="H27" s="246"/>
      <c r="I27" s="246"/>
      <c r="J27" s="246"/>
      <c r="K27" s="246"/>
      <c r="L27" s="326"/>
      <c r="N27" s="33"/>
      <c r="O27" s="33"/>
      <c r="P27" s="33"/>
    </row>
    <row r="28" spans="2:18">
      <c r="B28" s="459">
        <v>11</v>
      </c>
      <c r="C28" s="120" t="s">
        <v>308</v>
      </c>
      <c r="D28" s="119"/>
      <c r="E28" s="504">
        <f>'F9'!N13</f>
        <v>729.12588118660005</v>
      </c>
      <c r="F28" s="512">
        <f>E28-D28</f>
        <v>729.12588118660005</v>
      </c>
      <c r="G28" s="512">
        <f>E28-D28</f>
        <v>729.12588118660005</v>
      </c>
      <c r="H28" s="119"/>
      <c r="I28" s="119"/>
      <c r="J28" s="119"/>
      <c r="K28" s="119"/>
      <c r="L28" s="326">
        <f>E28</f>
        <v>729.12588118660005</v>
      </c>
      <c r="N28" s="33"/>
      <c r="O28" s="33"/>
      <c r="P28" s="33"/>
    </row>
    <row r="29" spans="2:18">
      <c r="B29" s="459">
        <f>B28+1</f>
        <v>12</v>
      </c>
      <c r="C29" s="120" t="s">
        <v>901</v>
      </c>
      <c r="D29" s="119"/>
      <c r="E29" s="119"/>
      <c r="F29" s="119"/>
      <c r="G29" s="345">
        <f>'AFC Reduction and AEC loss'!$O$46</f>
        <v>23.783806688381848</v>
      </c>
      <c r="H29" s="514">
        <f>IF(G29&lt;0,2/3,1/3)*G29</f>
        <v>7.927935562793949</v>
      </c>
      <c r="I29" s="119"/>
      <c r="J29" s="119"/>
      <c r="K29" s="119"/>
      <c r="L29" s="326">
        <f>H29</f>
        <v>7.927935562793949</v>
      </c>
      <c r="N29" s="33"/>
      <c r="O29" s="33"/>
      <c r="P29" s="33"/>
    </row>
    <row r="30" spans="2:18">
      <c r="B30" s="459">
        <f>B29+1</f>
        <v>13</v>
      </c>
      <c r="C30" s="516" t="s">
        <v>902</v>
      </c>
      <c r="D30" s="119"/>
      <c r="E30" s="119"/>
      <c r="F30" s="119"/>
      <c r="G30" s="119"/>
      <c r="H30" s="119"/>
      <c r="I30" s="119"/>
      <c r="J30" s="119"/>
      <c r="K30" s="119"/>
      <c r="L30" s="368">
        <f>SUM(L28:L29)</f>
        <v>737.05381674939406</v>
      </c>
      <c r="M30" s="1471">
        <v>0</v>
      </c>
      <c r="N30" s="33"/>
      <c r="O30" s="33"/>
      <c r="P30" s="33"/>
    </row>
    <row r="31" spans="2:18">
      <c r="B31" s="515" t="s">
        <v>185</v>
      </c>
      <c r="C31" s="516" t="s">
        <v>316</v>
      </c>
      <c r="D31" s="512"/>
      <c r="E31" s="512"/>
      <c r="F31" s="512"/>
      <c r="G31" s="512"/>
      <c r="H31" s="512"/>
      <c r="I31" s="246"/>
      <c r="J31" s="246"/>
      <c r="K31" s="246"/>
      <c r="L31" s="368">
        <f>L25-L30</f>
        <v>28.115823491234892</v>
      </c>
      <c r="M31" s="1471"/>
      <c r="N31" s="33"/>
      <c r="O31" s="33"/>
      <c r="P31" s="33"/>
      <c r="Q31" s="619"/>
      <c r="R31" s="619"/>
    </row>
    <row r="32" spans="2:18">
      <c r="B32" s="248"/>
      <c r="C32" s="249"/>
      <c r="D32" s="226"/>
      <c r="E32" s="226"/>
      <c r="F32" s="226"/>
      <c r="G32" s="226"/>
      <c r="H32" s="226"/>
      <c r="I32" s="226"/>
      <c r="J32" s="226"/>
      <c r="K32" s="226"/>
      <c r="L32" s="222"/>
      <c r="M32" s="1475"/>
      <c r="N32" s="33"/>
      <c r="O32" s="33"/>
      <c r="P32" s="33"/>
    </row>
    <row r="33" spans="2:16">
      <c r="B33" s="255" t="s">
        <v>634</v>
      </c>
      <c r="N33" s="33"/>
      <c r="O33" s="33"/>
      <c r="P33" s="33"/>
    </row>
    <row r="34" spans="2:16">
      <c r="B34" s="255"/>
      <c r="N34" s="33"/>
      <c r="O34" s="33"/>
      <c r="P34" s="33"/>
    </row>
    <row r="35" spans="2:16">
      <c r="B35" s="82" t="s">
        <v>509</v>
      </c>
      <c r="O35" s="33"/>
      <c r="P35" s="33"/>
    </row>
    <row r="36" spans="2:16">
      <c r="K36" s="21"/>
      <c r="L36" s="21" t="s">
        <v>10</v>
      </c>
      <c r="O36" s="33"/>
      <c r="P36" s="33"/>
    </row>
    <row r="37" spans="2:16" ht="42">
      <c r="B37" s="189" t="s">
        <v>340</v>
      </c>
      <c r="C37" s="190" t="s">
        <v>36</v>
      </c>
      <c r="D37" s="136" t="s">
        <v>24</v>
      </c>
      <c r="E37" s="87" t="s">
        <v>7</v>
      </c>
      <c r="F37" s="87" t="s">
        <v>304</v>
      </c>
      <c r="G37" s="312" t="s">
        <v>771</v>
      </c>
      <c r="H37" s="312" t="s">
        <v>772</v>
      </c>
      <c r="I37" s="136" t="s">
        <v>408</v>
      </c>
      <c r="J37" s="87" t="s">
        <v>305</v>
      </c>
      <c r="K37" s="87" t="s">
        <v>306</v>
      </c>
      <c r="L37" s="228" t="s">
        <v>487</v>
      </c>
      <c r="O37" s="33"/>
      <c r="P37" s="33"/>
    </row>
    <row r="38" spans="2:16">
      <c r="B38" s="119"/>
      <c r="C38" s="119"/>
      <c r="D38" s="119" t="s">
        <v>352</v>
      </c>
      <c r="E38" s="119" t="s">
        <v>353</v>
      </c>
      <c r="F38" s="119" t="s">
        <v>773</v>
      </c>
      <c r="G38" s="119" t="s">
        <v>774</v>
      </c>
      <c r="H38" s="119"/>
      <c r="I38" s="119"/>
      <c r="J38" s="119"/>
      <c r="K38" s="119"/>
      <c r="L38" s="119"/>
      <c r="O38" s="33"/>
      <c r="P38" s="33"/>
    </row>
    <row r="39" spans="2:16" s="22" customFormat="1">
      <c r="B39" s="243">
        <v>1</v>
      </c>
      <c r="C39" s="119" t="s">
        <v>82</v>
      </c>
      <c r="D39" s="513">
        <f>'F1'!J11</f>
        <v>637.71507525122615</v>
      </c>
      <c r="E39" s="513">
        <f>'F1'!K11</f>
        <v>625.9894820076687</v>
      </c>
      <c r="F39" s="513">
        <f>E39-D39</f>
        <v>-11.725593243557455</v>
      </c>
      <c r="G39" s="513">
        <f>E39-D39</f>
        <v>-11.725593243557455</v>
      </c>
      <c r="H39" s="514">
        <f>IF(G39&lt;0,2/3,1/3)*G39</f>
        <v>-7.8170621623716361</v>
      </c>
      <c r="I39" s="246"/>
      <c r="J39" s="246"/>
      <c r="K39" s="246"/>
      <c r="L39" s="326">
        <f>D39+H39</f>
        <v>629.89801308885455</v>
      </c>
      <c r="M39" s="1470"/>
      <c r="O39" s="33"/>
      <c r="P39" s="33"/>
    </row>
    <row r="40" spans="2:16" s="322" customFormat="1">
      <c r="B40" s="243">
        <v>2</v>
      </c>
      <c r="C40" s="119" t="s">
        <v>945</v>
      </c>
      <c r="D40" s="504">
        <f>'F3'!J17-D41</f>
        <v>83.082716384599735</v>
      </c>
      <c r="E40" s="504">
        <f>'F3'!K17-E41</f>
        <v>131.54888968461313</v>
      </c>
      <c r="F40" s="513">
        <f>E40-D40</f>
        <v>48.466173300013395</v>
      </c>
      <c r="G40" s="513">
        <f>E40-D40</f>
        <v>48.466173300013395</v>
      </c>
      <c r="H40" s="514">
        <f>IF(G40&lt;0,2/3,1/3)*G40</f>
        <v>16.155391100004465</v>
      </c>
      <c r="I40" s="119"/>
      <c r="J40" s="119"/>
      <c r="K40" s="119"/>
      <c r="L40" s="326">
        <f>D40+H40</f>
        <v>99.2381074846042</v>
      </c>
      <c r="M40" s="1469"/>
      <c r="N40" s="593"/>
      <c r="O40" s="33"/>
      <c r="P40" s="33"/>
    </row>
    <row r="41" spans="2:16" s="322" customFormat="1">
      <c r="B41" s="243"/>
      <c r="C41" s="119" t="s">
        <v>948</v>
      </c>
      <c r="D41" s="504">
        <f>'F3'!$J$14</f>
        <v>8.2854502544690281</v>
      </c>
      <c r="E41" s="504">
        <f>'F3'!$K$14</f>
        <v>8.2854502544690281</v>
      </c>
      <c r="F41" s="368">
        <f>E41-D41</f>
        <v>0</v>
      </c>
      <c r="G41" s="513">
        <f>E41-D41</f>
        <v>0</v>
      </c>
      <c r="H41" s="514">
        <f>IF(G41&lt;0,2/3,1/3)*G41</f>
        <v>0</v>
      </c>
      <c r="I41" s="119"/>
      <c r="J41" s="119"/>
      <c r="K41" s="119"/>
      <c r="L41" s="326">
        <f>D41+H41</f>
        <v>8.2854502544690281</v>
      </c>
      <c r="M41" s="1469"/>
      <c r="O41" s="33"/>
      <c r="P41" s="33"/>
    </row>
    <row r="42" spans="2:16" s="322" customFormat="1">
      <c r="B42" s="243"/>
      <c r="C42" s="119" t="s">
        <v>904</v>
      </c>
      <c r="D42" s="504">
        <f>E42</f>
        <v>20.028461671000002</v>
      </c>
      <c r="E42" s="504">
        <f>'F3.1'!G27</f>
        <v>20.028461671000002</v>
      </c>
      <c r="F42" s="513"/>
      <c r="G42" s="513"/>
      <c r="H42" s="504"/>
      <c r="I42" s="119"/>
      <c r="J42" s="119"/>
      <c r="K42" s="119"/>
      <c r="L42" s="326">
        <f>E42</f>
        <v>20.028461671000002</v>
      </c>
      <c r="M42" s="1469"/>
      <c r="O42" s="33"/>
      <c r="P42" s="33"/>
    </row>
    <row r="43" spans="2:16" s="322" customFormat="1">
      <c r="B43" s="243">
        <v>3</v>
      </c>
      <c r="C43" s="120" t="s">
        <v>84</v>
      </c>
      <c r="D43" s="345">
        <f>SUM('F1'!$J$15:$J$16)</f>
        <v>97.093593451834352</v>
      </c>
      <c r="E43" s="345">
        <f>SUM('F1'!$K$15:$K$16)</f>
        <v>97.093593451834352</v>
      </c>
      <c r="F43" s="513">
        <f>E43-D43</f>
        <v>0</v>
      </c>
      <c r="G43" s="513">
        <f>E43-D43</f>
        <v>0</v>
      </c>
      <c r="H43" s="504"/>
      <c r="I43" s="119"/>
      <c r="J43" s="119"/>
      <c r="K43" s="119"/>
      <c r="L43" s="326">
        <f>E43</f>
        <v>97.093593451834352</v>
      </c>
      <c r="M43" s="1469"/>
      <c r="O43" s="33"/>
      <c r="P43" s="33"/>
    </row>
    <row r="44" spans="2:16" s="322" customFormat="1">
      <c r="B44" s="243">
        <v>4</v>
      </c>
      <c r="C44" s="119" t="s">
        <v>85</v>
      </c>
      <c r="D44" s="504">
        <f>'F1'!J17+'F1'!J18</f>
        <v>89.582860027132696</v>
      </c>
      <c r="E44" s="504">
        <f>'F1'!K17+'F1'!K18</f>
        <v>89.582860027132696</v>
      </c>
      <c r="F44" s="583">
        <f>E44-D44</f>
        <v>0</v>
      </c>
      <c r="G44" s="513">
        <f>E44-D44</f>
        <v>0</v>
      </c>
      <c r="H44" s="504"/>
      <c r="I44" s="119"/>
      <c r="J44" s="119"/>
      <c r="K44" s="119"/>
      <c r="L44" s="326">
        <f>E44</f>
        <v>89.582860027132696</v>
      </c>
      <c r="M44" s="1469"/>
      <c r="O44" s="33"/>
      <c r="P44" s="33"/>
    </row>
    <row r="45" spans="2:16" s="322" customFormat="1">
      <c r="B45" s="243">
        <v>5</v>
      </c>
      <c r="C45" s="120" t="s">
        <v>86</v>
      </c>
      <c r="D45" s="504">
        <f>'F1'!J19</f>
        <v>33.672480183966023</v>
      </c>
      <c r="E45" s="504">
        <f>'F1'!K19</f>
        <v>61.016329775455574</v>
      </c>
      <c r="F45" s="513">
        <f>E45-D45</f>
        <v>27.343849591489551</v>
      </c>
      <c r="G45" s="513">
        <f>E45-D45</f>
        <v>27.343849591489551</v>
      </c>
      <c r="H45" s="514">
        <f>IF(G45&lt;0,2/3,1/3)*G45</f>
        <v>9.1146165304965159</v>
      </c>
      <c r="I45" s="119"/>
      <c r="J45" s="119"/>
      <c r="K45" s="119"/>
      <c r="L45" s="326">
        <f>D45+H45</f>
        <v>42.787096714462535</v>
      </c>
      <c r="M45" s="1469"/>
      <c r="O45" s="33"/>
      <c r="P45" s="33"/>
    </row>
    <row r="46" spans="2:16" s="322" customFormat="1">
      <c r="B46" s="243">
        <v>6</v>
      </c>
      <c r="C46" s="120" t="s">
        <v>87</v>
      </c>
      <c r="D46" s="504">
        <f>'F1'!J21</f>
        <v>15.159466003</v>
      </c>
      <c r="E46" s="504">
        <f>'F1'!K21</f>
        <v>15.159466003</v>
      </c>
      <c r="F46" s="513">
        <f>E46-D46</f>
        <v>0</v>
      </c>
      <c r="G46" s="513">
        <f>E46-D46</f>
        <v>0</v>
      </c>
      <c r="H46" s="504"/>
      <c r="I46" s="119"/>
      <c r="J46" s="119"/>
      <c r="K46" s="119"/>
      <c r="L46" s="326">
        <f>E46</f>
        <v>15.159466003</v>
      </c>
      <c r="M46" s="1469"/>
      <c r="O46" s="33"/>
      <c r="P46" s="33"/>
    </row>
    <row r="47" spans="2:16" s="322" customFormat="1">
      <c r="B47" s="243">
        <v>7</v>
      </c>
      <c r="C47" s="119" t="s">
        <v>88</v>
      </c>
      <c r="D47" s="504">
        <f>'F1'!J22</f>
        <v>0</v>
      </c>
      <c r="E47" s="504">
        <f>'F1'!K22</f>
        <v>0</v>
      </c>
      <c r="F47" s="513">
        <f>E47-D47</f>
        <v>0</v>
      </c>
      <c r="G47" s="513">
        <f>E47-D47</f>
        <v>0</v>
      </c>
      <c r="H47" s="504"/>
      <c r="I47" s="119"/>
      <c r="J47" s="119"/>
      <c r="K47" s="119"/>
      <c r="L47" s="326">
        <f>E47</f>
        <v>0</v>
      </c>
      <c r="M47" s="1469"/>
      <c r="O47" s="33"/>
      <c r="P47" s="33"/>
    </row>
    <row r="48" spans="2:16" s="322" customFormat="1">
      <c r="B48" s="243"/>
      <c r="C48" s="119"/>
      <c r="D48" s="504"/>
      <c r="E48" s="504"/>
      <c r="F48" s="504"/>
      <c r="G48" s="504"/>
      <c r="H48" s="504"/>
      <c r="I48" s="119"/>
      <c r="J48" s="119"/>
      <c r="K48" s="119"/>
      <c r="L48" s="326"/>
      <c r="M48" s="1469"/>
      <c r="O48" s="33"/>
      <c r="P48" s="33"/>
    </row>
    <row r="49" spans="2:16" s="322" customFormat="1">
      <c r="B49" s="321">
        <v>8</v>
      </c>
      <c r="C49" s="246" t="s">
        <v>89</v>
      </c>
      <c r="D49" s="504">
        <f>SUM(D39:D47)</f>
        <v>984.62010322722801</v>
      </c>
      <c r="E49" s="504">
        <f>SUM(E39:E47)</f>
        <v>1048.7045328751733</v>
      </c>
      <c r="F49" s="504">
        <f>SUM(F39:F47)</f>
        <v>64.084429647945484</v>
      </c>
      <c r="G49" s="513">
        <f>E49-D49</f>
        <v>64.084429647945285</v>
      </c>
      <c r="H49" s="504"/>
      <c r="I49" s="119"/>
      <c r="J49" s="119"/>
      <c r="K49" s="119"/>
      <c r="L49" s="368">
        <f>SUM(L39:L48)</f>
        <v>1002.0730486953574</v>
      </c>
      <c r="M49" s="1471"/>
      <c r="O49" s="33"/>
      <c r="P49" s="33"/>
    </row>
    <row r="50" spans="2:16" s="596" customFormat="1">
      <c r="B50" s="243">
        <v>9</v>
      </c>
      <c r="C50" s="119" t="s">
        <v>90</v>
      </c>
      <c r="D50" s="513">
        <f>'F1'!J24+'F1'!J25</f>
        <v>56.939628558449613</v>
      </c>
      <c r="E50" s="513">
        <f>'F1'!K24+'F1'!K25</f>
        <v>56.939628558449613</v>
      </c>
      <c r="F50" s="513">
        <f>E50-D50</f>
        <v>0</v>
      </c>
      <c r="G50" s="513">
        <f>E50-D50</f>
        <v>0</v>
      </c>
      <c r="H50" s="513"/>
      <c r="I50" s="246"/>
      <c r="J50" s="246"/>
      <c r="K50" s="246"/>
      <c r="L50" s="326">
        <f>E50</f>
        <v>56.939628558449613</v>
      </c>
      <c r="M50" s="333"/>
      <c r="O50" s="33"/>
      <c r="P50" s="33"/>
    </row>
    <row r="51" spans="2:16" s="322" customFormat="1">
      <c r="B51" s="243">
        <v>10</v>
      </c>
      <c r="C51" s="119" t="s">
        <v>91</v>
      </c>
      <c r="D51" s="513">
        <f>'F1'!J26</f>
        <v>2.8395662192414965</v>
      </c>
      <c r="E51" s="513">
        <f>'F1'!K26</f>
        <v>2.8395662192414965</v>
      </c>
      <c r="F51" s="513">
        <f>E51-D51</f>
        <v>0</v>
      </c>
      <c r="G51" s="513">
        <f>E51-D51</f>
        <v>0</v>
      </c>
      <c r="H51" s="504"/>
      <c r="I51" s="119"/>
      <c r="J51" s="119"/>
      <c r="K51" s="119"/>
      <c r="L51" s="326">
        <f>E51</f>
        <v>2.8395662192414965</v>
      </c>
      <c r="M51" s="333"/>
      <c r="O51" s="33"/>
      <c r="P51" s="33"/>
    </row>
    <row r="52" spans="2:16" s="596" customFormat="1">
      <c r="B52" s="321">
        <v>11</v>
      </c>
      <c r="C52" s="246" t="s">
        <v>92</v>
      </c>
      <c r="D52" s="513">
        <f>D49+D50-D51</f>
        <v>1038.7201655664362</v>
      </c>
      <c r="E52" s="513">
        <f>E49+E50-E51</f>
        <v>1102.8045952143814</v>
      </c>
      <c r="F52" s="513">
        <f>F49+F50-F51</f>
        <v>64.084429647945484</v>
      </c>
      <c r="G52" s="513">
        <f>E52-D52</f>
        <v>64.084429647945171</v>
      </c>
      <c r="H52" s="513"/>
      <c r="I52" s="246"/>
      <c r="J52" s="246"/>
      <c r="K52" s="246"/>
      <c r="L52" s="368">
        <f>L49+L50-L51</f>
        <v>1056.1731110345654</v>
      </c>
      <c r="M52" s="1471">
        <v>0</v>
      </c>
      <c r="O52" s="33"/>
      <c r="P52" s="33"/>
    </row>
    <row r="53" spans="2:16" s="596" customFormat="1" ht="15.5">
      <c r="B53" s="243">
        <v>12</v>
      </c>
      <c r="C53" s="852" t="s">
        <v>918</v>
      </c>
      <c r="D53" s="513">
        <v>0</v>
      </c>
      <c r="E53" s="513">
        <f>'AFC Reduction and AEC loss'!$E$8</f>
        <v>48.064459677551952</v>
      </c>
      <c r="F53" s="513"/>
      <c r="G53" s="513"/>
      <c r="H53" s="513"/>
      <c r="I53" s="246"/>
      <c r="J53" s="246"/>
      <c r="K53" s="246"/>
      <c r="L53" s="513">
        <f>E53</f>
        <v>48.064459677551952</v>
      </c>
      <c r="M53" s="333"/>
      <c r="O53" s="33"/>
      <c r="P53" s="33"/>
    </row>
    <row r="54" spans="2:16" s="596" customFormat="1" ht="15">
      <c r="B54" s="321" t="s">
        <v>171</v>
      </c>
      <c r="C54" s="853" t="s">
        <v>1035</v>
      </c>
      <c r="D54" s="513"/>
      <c r="E54" s="513"/>
      <c r="F54" s="513"/>
      <c r="G54" s="513"/>
      <c r="H54" s="513"/>
      <c r="I54" s="246"/>
      <c r="J54" s="246"/>
      <c r="K54" s="246"/>
      <c r="L54" s="513">
        <f>L52-L53</f>
        <v>1008.1086513570135</v>
      </c>
      <c r="M54" s="333"/>
      <c r="O54" s="33"/>
      <c r="P54" s="33"/>
    </row>
    <row r="55" spans="2:16" s="596" customFormat="1">
      <c r="B55" s="515"/>
      <c r="C55" s="516"/>
      <c r="D55" s="513"/>
      <c r="E55" s="513"/>
      <c r="F55" s="513"/>
      <c r="G55" s="513"/>
      <c r="H55" s="513"/>
      <c r="I55" s="246"/>
      <c r="J55" s="246"/>
      <c r="K55" s="246"/>
      <c r="L55" s="326"/>
      <c r="M55" s="333"/>
      <c r="O55" s="33"/>
      <c r="P55" s="33"/>
    </row>
    <row r="56" spans="2:16" s="596" customFormat="1">
      <c r="B56" s="515" t="s">
        <v>184</v>
      </c>
      <c r="C56" s="516" t="s">
        <v>307</v>
      </c>
      <c r="D56" s="513"/>
      <c r="E56" s="513"/>
      <c r="F56" s="513"/>
      <c r="G56" s="513"/>
      <c r="H56" s="513"/>
      <c r="I56" s="246"/>
      <c r="J56" s="246"/>
      <c r="K56" s="246"/>
      <c r="L56" s="326"/>
      <c r="M56" s="333"/>
      <c r="O56" s="33"/>
      <c r="P56" s="33"/>
    </row>
    <row r="57" spans="2:16" s="322" customFormat="1">
      <c r="B57" s="459">
        <v>11</v>
      </c>
      <c r="C57" s="120" t="s">
        <v>308</v>
      </c>
      <c r="D57" s="504"/>
      <c r="E57" s="504">
        <f>'F9'!N20</f>
        <v>938.6761132434001</v>
      </c>
      <c r="F57" s="513">
        <f>E57-D57</f>
        <v>938.6761132434001</v>
      </c>
      <c r="G57" s="513"/>
      <c r="H57" s="504"/>
      <c r="I57" s="119"/>
      <c r="J57" s="119"/>
      <c r="K57" s="119"/>
      <c r="L57" s="326">
        <f>E57</f>
        <v>938.6761132434001</v>
      </c>
      <c r="M57" s="333"/>
      <c r="O57" s="33"/>
      <c r="P57" s="33"/>
    </row>
    <row r="58" spans="2:16" s="322" customFormat="1">
      <c r="B58" s="459">
        <f>B57+1</f>
        <v>12</v>
      </c>
      <c r="C58" s="120" t="s">
        <v>901</v>
      </c>
      <c r="D58" s="504"/>
      <c r="E58" s="504"/>
      <c r="F58" s="504"/>
      <c r="G58" s="345">
        <f>'AFC Reduction and AEC loss'!$O$47</f>
        <v>19.167806780282099</v>
      </c>
      <c r="H58" s="514">
        <f>IF(G58&lt;0,2/3,1/3)*G58</f>
        <v>6.3892689267606997</v>
      </c>
      <c r="I58" s="119"/>
      <c r="J58" s="119"/>
      <c r="K58" s="119"/>
      <c r="L58" s="326">
        <f>H58</f>
        <v>6.3892689267606997</v>
      </c>
      <c r="M58" s="333"/>
      <c r="O58" s="33"/>
      <c r="P58" s="33"/>
    </row>
    <row r="59" spans="2:16">
      <c r="B59" s="459">
        <f>B58+1</f>
        <v>13</v>
      </c>
      <c r="C59" s="516" t="s">
        <v>902</v>
      </c>
      <c r="D59" s="119"/>
      <c r="E59" s="119"/>
      <c r="F59" s="119"/>
      <c r="G59" s="119"/>
      <c r="H59" s="119"/>
      <c r="I59" s="119"/>
      <c r="J59" s="119"/>
      <c r="K59" s="119"/>
      <c r="L59" s="368">
        <f>SUM(L57:L58)</f>
        <v>945.06538217016077</v>
      </c>
      <c r="M59" s="1471">
        <v>0</v>
      </c>
      <c r="O59" s="33"/>
      <c r="P59" s="33"/>
    </row>
    <row r="60" spans="2:16" s="22" customFormat="1">
      <c r="B60" s="118" t="s">
        <v>185</v>
      </c>
      <c r="C60" s="104" t="s">
        <v>316</v>
      </c>
      <c r="D60" s="320"/>
      <c r="E60" s="320"/>
      <c r="F60" s="320"/>
      <c r="G60" s="27"/>
      <c r="H60" s="320"/>
      <c r="I60" s="27"/>
      <c r="J60" s="27"/>
      <c r="K60" s="27"/>
      <c r="L60" s="368">
        <f>L54-L59</f>
        <v>63.04326918685274</v>
      </c>
      <c r="M60" s="1471">
        <v>0</v>
      </c>
      <c r="O60" s="33"/>
      <c r="P60" s="33"/>
    </row>
    <row r="61" spans="2:16" s="22" customFormat="1">
      <c r="B61" s="248"/>
      <c r="C61" s="249"/>
      <c r="D61" s="226"/>
      <c r="E61" s="226"/>
      <c r="F61" s="226"/>
      <c r="G61" s="226"/>
      <c r="H61" s="226"/>
      <c r="I61" s="226"/>
      <c r="J61" s="226"/>
      <c r="K61" s="226"/>
      <c r="L61" s="222"/>
      <c r="M61" s="1475">
        <f>M60*10^7</f>
        <v>0</v>
      </c>
      <c r="O61" s="33"/>
      <c r="P61" s="33"/>
    </row>
    <row r="62" spans="2:16" s="22" customFormat="1">
      <c r="B62" s="255" t="s">
        <v>634</v>
      </c>
      <c r="C62" s="249"/>
      <c r="D62" s="226"/>
      <c r="E62" s="226"/>
      <c r="F62" s="226"/>
      <c r="G62" s="226"/>
      <c r="H62" s="226"/>
      <c r="I62" s="226"/>
      <c r="J62" s="226"/>
      <c r="K62" s="226"/>
      <c r="L62" s="222"/>
      <c r="M62" s="1470"/>
      <c r="O62" s="33"/>
      <c r="P62" s="33"/>
    </row>
    <row r="63" spans="2:16" s="22" customFormat="1">
      <c r="B63" s="255"/>
      <c r="C63" s="249"/>
      <c r="D63" s="226"/>
      <c r="E63" s="226"/>
      <c r="F63" s="226"/>
      <c r="G63" s="226"/>
      <c r="H63" s="226"/>
      <c r="I63" s="226"/>
      <c r="J63" s="226"/>
      <c r="K63" s="226"/>
      <c r="L63" s="222"/>
      <c r="M63" s="1470"/>
      <c r="O63" s="33"/>
      <c r="P63" s="33"/>
    </row>
    <row r="64" spans="2:16">
      <c r="B64" s="82"/>
      <c r="C64" s="64"/>
      <c r="D64" s="64"/>
      <c r="E64" s="64"/>
      <c r="F64" s="64"/>
      <c r="G64" s="64"/>
      <c r="H64" s="64"/>
      <c r="I64" s="64"/>
      <c r="J64" s="64"/>
      <c r="K64" s="64"/>
      <c r="L64" s="64"/>
      <c r="O64" s="33"/>
      <c r="P64" s="33"/>
    </row>
    <row r="65" spans="2:16">
      <c r="B65" s="64"/>
      <c r="C65" s="64"/>
      <c r="D65" s="64"/>
      <c r="E65" s="64"/>
      <c r="F65" s="64"/>
      <c r="G65" s="64"/>
      <c r="H65" s="64"/>
      <c r="I65" s="64"/>
      <c r="J65" s="64"/>
      <c r="K65" s="732"/>
      <c r="L65" s="732"/>
      <c r="O65" s="33"/>
      <c r="P65" s="33"/>
    </row>
    <row r="66" spans="2:16">
      <c r="B66" s="57"/>
      <c r="C66" s="733"/>
      <c r="D66" s="705"/>
      <c r="E66" s="705"/>
      <c r="F66" s="705"/>
      <c r="G66" s="705"/>
      <c r="H66" s="705"/>
      <c r="I66" s="705"/>
      <c r="J66" s="705"/>
      <c r="K66" s="705"/>
      <c r="L66" s="705"/>
      <c r="O66" s="33"/>
      <c r="P66" s="33"/>
    </row>
    <row r="67" spans="2:16">
      <c r="B67" s="64"/>
      <c r="C67" s="64"/>
      <c r="D67" s="64"/>
      <c r="E67" s="64"/>
      <c r="F67" s="64"/>
      <c r="G67" s="64"/>
      <c r="H67" s="64"/>
      <c r="I67" s="64"/>
      <c r="J67" s="64"/>
      <c r="K67" s="64"/>
      <c r="L67" s="64"/>
      <c r="O67" s="33"/>
      <c r="P67" s="33"/>
    </row>
    <row r="68" spans="2:16" s="22" customFormat="1">
      <c r="B68" s="720"/>
      <c r="C68" s="64"/>
      <c r="D68" s="721"/>
      <c r="E68" s="721"/>
      <c r="F68" s="721"/>
      <c r="G68" s="721"/>
      <c r="H68" s="722"/>
      <c r="I68" s="723"/>
      <c r="J68" s="723"/>
      <c r="K68" s="723"/>
      <c r="L68" s="331"/>
      <c r="M68" s="1470"/>
      <c r="O68" s="33"/>
      <c r="P68" s="33"/>
    </row>
    <row r="69" spans="2:16" s="322" customFormat="1">
      <c r="B69" s="720"/>
      <c r="C69" s="64"/>
      <c r="D69" s="724"/>
      <c r="E69" s="724"/>
      <c r="F69" s="724"/>
      <c r="G69" s="724"/>
      <c r="H69" s="722"/>
      <c r="I69" s="64"/>
      <c r="J69" s="64"/>
      <c r="K69" s="64"/>
      <c r="L69" s="331"/>
      <c r="M69" s="1469">
        <f>SUM(L69:L70)-P80</f>
        <v>0</v>
      </c>
      <c r="O69" s="33"/>
      <c r="P69" s="33"/>
    </row>
    <row r="70" spans="2:16" s="322" customFormat="1">
      <c r="B70" s="720"/>
      <c r="C70" s="64"/>
      <c r="D70" s="724"/>
      <c r="E70" s="724"/>
      <c r="F70" s="724"/>
      <c r="G70" s="724"/>
      <c r="H70" s="722"/>
      <c r="I70" s="64"/>
      <c r="J70" s="64"/>
      <c r="K70" s="64"/>
      <c r="L70" s="331"/>
      <c r="M70" s="1469"/>
      <c r="O70" s="33"/>
      <c r="P70" s="33"/>
    </row>
    <row r="71" spans="2:16">
      <c r="B71" s="720"/>
      <c r="C71" s="64"/>
      <c r="D71" s="724"/>
      <c r="E71" s="724"/>
      <c r="F71" s="724"/>
      <c r="G71" s="724"/>
      <c r="H71" s="722"/>
      <c r="I71" s="64"/>
      <c r="J71" s="64"/>
      <c r="K71" s="64"/>
      <c r="L71" s="331"/>
      <c r="O71" s="33"/>
      <c r="P71" s="33"/>
    </row>
    <row r="72" spans="2:16">
      <c r="B72" s="720"/>
      <c r="C72" s="725"/>
      <c r="D72" s="721"/>
      <c r="E72" s="724"/>
      <c r="F72" s="724"/>
      <c r="G72" s="724"/>
      <c r="H72" s="64"/>
      <c r="I72" s="64"/>
      <c r="J72" s="64"/>
      <c r="K72" s="64"/>
      <c r="L72" s="331"/>
      <c r="O72" s="33"/>
      <c r="P72" s="33"/>
    </row>
    <row r="73" spans="2:16">
      <c r="B73" s="720"/>
      <c r="C73" s="64"/>
      <c r="D73" s="721"/>
      <c r="E73" s="724"/>
      <c r="F73" s="724"/>
      <c r="G73" s="724"/>
      <c r="H73" s="64"/>
      <c r="I73" s="64"/>
      <c r="J73" s="64"/>
      <c r="K73" s="64"/>
      <c r="L73" s="331"/>
      <c r="O73" s="33"/>
      <c r="P73" s="33"/>
    </row>
    <row r="74" spans="2:16">
      <c r="B74" s="720"/>
      <c r="C74" s="725"/>
      <c r="D74" s="721"/>
      <c r="E74" s="724"/>
      <c r="F74" s="724"/>
      <c r="G74" s="724"/>
      <c r="H74" s="722"/>
      <c r="I74" s="64"/>
      <c r="J74" s="64"/>
      <c r="K74" s="64"/>
      <c r="L74" s="331"/>
      <c r="O74" s="33"/>
      <c r="P74" s="33"/>
    </row>
    <row r="75" spans="2:16">
      <c r="B75" s="720"/>
      <c r="C75" s="725"/>
      <c r="D75" s="721"/>
      <c r="E75" s="724"/>
      <c r="F75" s="724"/>
      <c r="G75" s="724"/>
      <c r="H75" s="724"/>
      <c r="I75" s="64"/>
      <c r="J75" s="64"/>
      <c r="K75" s="64"/>
      <c r="L75" s="331"/>
      <c r="O75" s="33"/>
      <c r="P75" s="33"/>
    </row>
    <row r="76" spans="2:16">
      <c r="B76" s="720"/>
      <c r="C76" s="64"/>
      <c r="D76" s="721"/>
      <c r="E76" s="724"/>
      <c r="F76" s="724"/>
      <c r="G76" s="724"/>
      <c r="H76" s="724"/>
      <c r="I76" s="64"/>
      <c r="J76" s="64"/>
      <c r="K76" s="64"/>
      <c r="L76" s="331"/>
      <c r="O76" s="33"/>
      <c r="P76" s="33"/>
    </row>
    <row r="77" spans="2:16">
      <c r="B77" s="720"/>
      <c r="C77" s="64"/>
      <c r="D77" s="724"/>
      <c r="E77" s="724"/>
      <c r="F77" s="724"/>
      <c r="G77" s="724"/>
      <c r="H77" s="724"/>
      <c r="I77" s="64"/>
      <c r="J77" s="64"/>
      <c r="K77" s="64"/>
      <c r="L77" s="331"/>
      <c r="O77" s="33"/>
      <c r="P77" s="33"/>
    </row>
    <row r="78" spans="2:16">
      <c r="B78" s="707"/>
      <c r="C78" s="723"/>
      <c r="D78" s="724"/>
      <c r="E78" s="724"/>
      <c r="F78" s="724"/>
      <c r="G78" s="724"/>
      <c r="H78" s="724"/>
      <c r="I78" s="64"/>
      <c r="J78" s="64"/>
      <c r="K78" s="64"/>
      <c r="L78" s="726"/>
      <c r="O78" s="33"/>
      <c r="P78" s="33"/>
    </row>
    <row r="79" spans="2:16" s="22" customFormat="1">
      <c r="B79" s="720"/>
      <c r="C79" s="64"/>
      <c r="D79" s="721"/>
      <c r="E79" s="721"/>
      <c r="F79" s="721"/>
      <c r="G79" s="721"/>
      <c r="H79" s="721"/>
      <c r="I79" s="723"/>
      <c r="J79" s="723"/>
      <c r="K79" s="723"/>
      <c r="L79" s="331"/>
      <c r="M79" s="1470"/>
      <c r="O79" s="33"/>
      <c r="P79" s="33"/>
    </row>
    <row r="80" spans="2:16">
      <c r="B80" s="720"/>
      <c r="C80" s="64"/>
      <c r="D80" s="721"/>
      <c r="E80" s="721"/>
      <c r="F80" s="724"/>
      <c r="G80" s="724"/>
      <c r="H80" s="724"/>
      <c r="I80" s="64"/>
      <c r="J80" s="64"/>
      <c r="K80" s="64"/>
      <c r="L80" s="331"/>
      <c r="O80" s="33"/>
      <c r="P80" s="33"/>
    </row>
    <row r="81" spans="2:16" s="22" customFormat="1">
      <c r="B81" s="707"/>
      <c r="C81" s="723"/>
      <c r="D81" s="721"/>
      <c r="E81" s="721"/>
      <c r="F81" s="721"/>
      <c r="G81" s="721"/>
      <c r="H81" s="721"/>
      <c r="I81" s="723"/>
      <c r="J81" s="723"/>
      <c r="K81" s="723"/>
      <c r="L81" s="726"/>
      <c r="M81" s="1470"/>
      <c r="O81" s="33"/>
      <c r="P81" s="33"/>
    </row>
    <row r="82" spans="2:16" s="22" customFormat="1">
      <c r="B82" s="727"/>
      <c r="C82" s="728"/>
      <c r="D82" s="721"/>
      <c r="E82" s="721"/>
      <c r="F82" s="721"/>
      <c r="G82" s="721"/>
      <c r="H82" s="721"/>
      <c r="I82" s="723"/>
      <c r="J82" s="723"/>
      <c r="K82" s="723"/>
      <c r="L82" s="331"/>
      <c r="M82" s="1470"/>
      <c r="O82" s="33"/>
      <c r="P82" s="33"/>
    </row>
    <row r="83" spans="2:16" s="22" customFormat="1">
      <c r="B83" s="727"/>
      <c r="C83" s="728"/>
      <c r="D83" s="721"/>
      <c r="E83" s="721"/>
      <c r="F83" s="721"/>
      <c r="G83" s="721"/>
      <c r="H83" s="721"/>
      <c r="I83" s="723"/>
      <c r="J83" s="723"/>
      <c r="K83" s="723"/>
      <c r="L83" s="331"/>
      <c r="M83" s="1470"/>
    </row>
    <row r="84" spans="2:16">
      <c r="B84" s="729"/>
      <c r="C84" s="725"/>
      <c r="D84" s="724"/>
      <c r="E84" s="724"/>
      <c r="F84" s="724"/>
      <c r="G84" s="724"/>
      <c r="H84" s="724"/>
      <c r="I84" s="64"/>
      <c r="J84" s="64"/>
      <c r="K84" s="64"/>
      <c r="L84" s="331"/>
      <c r="M84" s="1470"/>
      <c r="O84" s="22"/>
      <c r="P84" s="22"/>
    </row>
    <row r="85" spans="2:16">
      <c r="B85" s="729"/>
      <c r="C85" s="725"/>
      <c r="D85" s="724"/>
      <c r="E85" s="724"/>
      <c r="F85" s="724"/>
      <c r="G85" s="730"/>
      <c r="H85" s="722"/>
      <c r="I85" s="64"/>
      <c r="J85" s="64"/>
      <c r="K85" s="64"/>
      <c r="L85" s="331"/>
      <c r="M85" s="1470"/>
      <c r="O85" s="22"/>
      <c r="P85" s="22"/>
    </row>
    <row r="86" spans="2:16">
      <c r="B86" s="729"/>
      <c r="C86" s="728"/>
      <c r="D86" s="724"/>
      <c r="E86" s="724"/>
      <c r="F86" s="724"/>
      <c r="G86" s="724"/>
      <c r="H86" s="724"/>
      <c r="I86" s="64"/>
      <c r="J86" s="64"/>
      <c r="K86" s="64"/>
      <c r="L86" s="726"/>
      <c r="M86" s="1470"/>
    </row>
    <row r="87" spans="2:16" s="22" customFormat="1">
      <c r="B87" s="727"/>
      <c r="C87" s="728"/>
      <c r="D87" s="731"/>
      <c r="E87" s="731"/>
      <c r="F87" s="731"/>
      <c r="G87" s="731"/>
      <c r="H87" s="731"/>
      <c r="I87" s="723"/>
      <c r="J87" s="723"/>
      <c r="K87" s="723"/>
      <c r="L87" s="726"/>
      <c r="M87" s="1470"/>
      <c r="O87" s="14"/>
      <c r="P87" s="14"/>
    </row>
    <row r="88" spans="2:16">
      <c r="B88" s="64"/>
      <c r="C88" s="64"/>
      <c r="D88" s="64"/>
      <c r="E88" s="64"/>
      <c r="F88" s="64"/>
      <c r="G88" s="64"/>
      <c r="H88" s="64"/>
      <c r="I88" s="64"/>
      <c r="J88" s="64"/>
      <c r="K88" s="64"/>
      <c r="L88" s="64"/>
    </row>
    <row r="89" spans="2:16">
      <c r="B89" s="734"/>
      <c r="C89" s="64"/>
      <c r="D89" s="735"/>
      <c r="E89" s="735"/>
      <c r="F89" s="735"/>
      <c r="G89" s="735"/>
      <c r="H89" s="735"/>
      <c r="I89" s="735"/>
      <c r="J89" s="735"/>
      <c r="K89" s="735"/>
      <c r="L89" s="64"/>
      <c r="O89" s="22"/>
      <c r="P89" s="22"/>
    </row>
  </sheetData>
  <mergeCells count="3">
    <mergeCell ref="B2:L2"/>
    <mergeCell ref="B3:L3"/>
    <mergeCell ref="B4:L4"/>
  </mergeCells>
  <pageMargins left="1.1200000000000001" right="0.27" top="1.24" bottom="1" header="0.5" footer="0.5"/>
  <pageSetup paperSize="9" scale="42"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L29"/>
  <sheetViews>
    <sheetView showGridLines="0" view="pageBreakPreview" zoomScale="80" zoomScaleSheetLayoutView="80" workbookViewId="0">
      <selection activeCell="E2" sqref="E2"/>
    </sheetView>
  </sheetViews>
  <sheetFormatPr defaultColWidth="9.08984375" defaultRowHeight="14"/>
  <cols>
    <col min="1" max="1" width="9.08984375" style="932"/>
    <col min="2" max="2" width="21.6328125" style="932" customWidth="1"/>
    <col min="3" max="3" width="23" style="932" customWidth="1"/>
    <col min="4" max="4" width="19.453125" style="932" customWidth="1"/>
    <col min="5" max="5" width="21.6328125" style="932" customWidth="1"/>
    <col min="6" max="6" width="38" style="932" customWidth="1"/>
    <col min="7" max="7" width="24.453125" style="932" customWidth="1"/>
    <col min="8" max="8" width="10.6328125" style="932" bestFit="1" customWidth="1"/>
    <col min="9" max="257" width="9.08984375" style="932"/>
    <col min="258" max="258" width="21.6328125" style="932" customWidth="1"/>
    <col min="259" max="259" width="27.90625" style="932" customWidth="1"/>
    <col min="260" max="260" width="33.90625" style="932" customWidth="1"/>
    <col min="261" max="261" width="60" style="932" customWidth="1"/>
    <col min="262" max="262" width="164.08984375" style="932" customWidth="1"/>
    <col min="263" max="263" width="24.453125" style="932" customWidth="1"/>
    <col min="264" max="264" width="10.6328125" style="932" bestFit="1" customWidth="1"/>
    <col min="265" max="513" width="9.08984375" style="932"/>
    <col min="514" max="514" width="21.6328125" style="932" customWidth="1"/>
    <col min="515" max="515" width="27.90625" style="932" customWidth="1"/>
    <col min="516" max="516" width="33.90625" style="932" customWidth="1"/>
    <col min="517" max="517" width="60" style="932" customWidth="1"/>
    <col min="518" max="518" width="164.08984375" style="932" customWidth="1"/>
    <col min="519" max="519" width="24.453125" style="932" customWidth="1"/>
    <col min="520" max="520" width="10.6328125" style="932" bestFit="1" customWidth="1"/>
    <col min="521" max="769" width="9.08984375" style="932"/>
    <col min="770" max="770" width="21.6328125" style="932" customWidth="1"/>
    <col min="771" max="771" width="27.90625" style="932" customWidth="1"/>
    <col min="772" max="772" width="33.90625" style="932" customWidth="1"/>
    <col min="773" max="773" width="60" style="932" customWidth="1"/>
    <col min="774" max="774" width="164.08984375" style="932" customWidth="1"/>
    <col min="775" max="775" width="24.453125" style="932" customWidth="1"/>
    <col min="776" max="776" width="10.6328125" style="932" bestFit="1" customWidth="1"/>
    <col min="777" max="1025" width="9.08984375" style="932"/>
    <col min="1026" max="1026" width="21.6328125" style="932" customWidth="1"/>
    <col min="1027" max="1027" width="27.90625" style="932" customWidth="1"/>
    <col min="1028" max="1028" width="33.90625" style="932" customWidth="1"/>
    <col min="1029" max="1029" width="60" style="932" customWidth="1"/>
    <col min="1030" max="1030" width="164.08984375" style="932" customWidth="1"/>
    <col min="1031" max="1031" width="24.453125" style="932" customWidth="1"/>
    <col min="1032" max="1032" width="10.6328125" style="932" bestFit="1" customWidth="1"/>
    <col min="1033" max="1281" width="9.08984375" style="932"/>
    <col min="1282" max="1282" width="21.6328125" style="932" customWidth="1"/>
    <col min="1283" max="1283" width="27.90625" style="932" customWidth="1"/>
    <col min="1284" max="1284" width="33.90625" style="932" customWidth="1"/>
    <col min="1285" max="1285" width="60" style="932" customWidth="1"/>
    <col min="1286" max="1286" width="164.08984375" style="932" customWidth="1"/>
    <col min="1287" max="1287" width="24.453125" style="932" customWidth="1"/>
    <col min="1288" max="1288" width="10.6328125" style="932" bestFit="1" customWidth="1"/>
    <col min="1289" max="1537" width="9.08984375" style="932"/>
    <col min="1538" max="1538" width="21.6328125" style="932" customWidth="1"/>
    <col min="1539" max="1539" width="27.90625" style="932" customWidth="1"/>
    <col min="1540" max="1540" width="33.90625" style="932" customWidth="1"/>
    <col min="1541" max="1541" width="60" style="932" customWidth="1"/>
    <col min="1542" max="1542" width="164.08984375" style="932" customWidth="1"/>
    <col min="1543" max="1543" width="24.453125" style="932" customWidth="1"/>
    <col min="1544" max="1544" width="10.6328125" style="932" bestFit="1" customWidth="1"/>
    <col min="1545" max="1793" width="9.08984375" style="932"/>
    <col min="1794" max="1794" width="21.6328125" style="932" customWidth="1"/>
    <col min="1795" max="1795" width="27.90625" style="932" customWidth="1"/>
    <col min="1796" max="1796" width="33.90625" style="932" customWidth="1"/>
    <col min="1797" max="1797" width="60" style="932" customWidth="1"/>
    <col min="1798" max="1798" width="164.08984375" style="932" customWidth="1"/>
    <col min="1799" max="1799" width="24.453125" style="932" customWidth="1"/>
    <col min="1800" max="1800" width="10.6328125" style="932" bestFit="1" customWidth="1"/>
    <col min="1801" max="2049" width="9.08984375" style="932"/>
    <col min="2050" max="2050" width="21.6328125" style="932" customWidth="1"/>
    <col min="2051" max="2051" width="27.90625" style="932" customWidth="1"/>
    <col min="2052" max="2052" width="33.90625" style="932" customWidth="1"/>
    <col min="2053" max="2053" width="60" style="932" customWidth="1"/>
    <col min="2054" max="2054" width="164.08984375" style="932" customWidth="1"/>
    <col min="2055" max="2055" width="24.453125" style="932" customWidth="1"/>
    <col min="2056" max="2056" width="10.6328125" style="932" bestFit="1" customWidth="1"/>
    <col min="2057" max="2305" width="9.08984375" style="932"/>
    <col min="2306" max="2306" width="21.6328125" style="932" customWidth="1"/>
    <col min="2307" max="2307" width="27.90625" style="932" customWidth="1"/>
    <col min="2308" max="2308" width="33.90625" style="932" customWidth="1"/>
    <col min="2309" max="2309" width="60" style="932" customWidth="1"/>
    <col min="2310" max="2310" width="164.08984375" style="932" customWidth="1"/>
    <col min="2311" max="2311" width="24.453125" style="932" customWidth="1"/>
    <col min="2312" max="2312" width="10.6328125" style="932" bestFit="1" customWidth="1"/>
    <col min="2313" max="2561" width="9.08984375" style="932"/>
    <col min="2562" max="2562" width="21.6328125" style="932" customWidth="1"/>
    <col min="2563" max="2563" width="27.90625" style="932" customWidth="1"/>
    <col min="2564" max="2564" width="33.90625" style="932" customWidth="1"/>
    <col min="2565" max="2565" width="60" style="932" customWidth="1"/>
    <col min="2566" max="2566" width="164.08984375" style="932" customWidth="1"/>
    <col min="2567" max="2567" width="24.453125" style="932" customWidth="1"/>
    <col min="2568" max="2568" width="10.6328125" style="932" bestFit="1" customWidth="1"/>
    <col min="2569" max="2817" width="9.08984375" style="932"/>
    <col min="2818" max="2818" width="21.6328125" style="932" customWidth="1"/>
    <col min="2819" max="2819" width="27.90625" style="932" customWidth="1"/>
    <col min="2820" max="2820" width="33.90625" style="932" customWidth="1"/>
    <col min="2821" max="2821" width="60" style="932" customWidth="1"/>
    <col min="2822" max="2822" width="164.08984375" style="932" customWidth="1"/>
    <col min="2823" max="2823" width="24.453125" style="932" customWidth="1"/>
    <col min="2824" max="2824" width="10.6328125" style="932" bestFit="1" customWidth="1"/>
    <col min="2825" max="3073" width="9.08984375" style="932"/>
    <col min="3074" max="3074" width="21.6328125" style="932" customWidth="1"/>
    <col min="3075" max="3075" width="27.90625" style="932" customWidth="1"/>
    <col min="3076" max="3076" width="33.90625" style="932" customWidth="1"/>
    <col min="3077" max="3077" width="60" style="932" customWidth="1"/>
    <col min="3078" max="3078" width="164.08984375" style="932" customWidth="1"/>
    <col min="3079" max="3079" width="24.453125" style="932" customWidth="1"/>
    <col min="3080" max="3080" width="10.6328125" style="932" bestFit="1" customWidth="1"/>
    <col min="3081" max="3329" width="9.08984375" style="932"/>
    <col min="3330" max="3330" width="21.6328125" style="932" customWidth="1"/>
    <col min="3331" max="3331" width="27.90625" style="932" customWidth="1"/>
    <col min="3332" max="3332" width="33.90625" style="932" customWidth="1"/>
    <col min="3333" max="3333" width="60" style="932" customWidth="1"/>
    <col min="3334" max="3334" width="164.08984375" style="932" customWidth="1"/>
    <col min="3335" max="3335" width="24.453125" style="932" customWidth="1"/>
    <col min="3336" max="3336" width="10.6328125" style="932" bestFit="1" customWidth="1"/>
    <col min="3337" max="3585" width="9.08984375" style="932"/>
    <col min="3586" max="3586" width="21.6328125" style="932" customWidth="1"/>
    <col min="3587" max="3587" width="27.90625" style="932" customWidth="1"/>
    <col min="3588" max="3588" width="33.90625" style="932" customWidth="1"/>
    <col min="3589" max="3589" width="60" style="932" customWidth="1"/>
    <col min="3590" max="3590" width="164.08984375" style="932" customWidth="1"/>
    <col min="3591" max="3591" width="24.453125" style="932" customWidth="1"/>
    <col min="3592" max="3592" width="10.6328125" style="932" bestFit="1" customWidth="1"/>
    <col min="3593" max="3841" width="9.08984375" style="932"/>
    <col min="3842" max="3842" width="21.6328125" style="932" customWidth="1"/>
    <col min="3843" max="3843" width="27.90625" style="932" customWidth="1"/>
    <col min="3844" max="3844" width="33.90625" style="932" customWidth="1"/>
    <col min="3845" max="3845" width="60" style="932" customWidth="1"/>
    <col min="3846" max="3846" width="164.08984375" style="932" customWidth="1"/>
    <col min="3847" max="3847" width="24.453125" style="932" customWidth="1"/>
    <col min="3848" max="3848" width="10.6328125" style="932" bestFit="1" customWidth="1"/>
    <col min="3849" max="4097" width="9.08984375" style="932"/>
    <col min="4098" max="4098" width="21.6328125" style="932" customWidth="1"/>
    <col min="4099" max="4099" width="27.90625" style="932" customWidth="1"/>
    <col min="4100" max="4100" width="33.90625" style="932" customWidth="1"/>
    <col min="4101" max="4101" width="60" style="932" customWidth="1"/>
    <col min="4102" max="4102" width="164.08984375" style="932" customWidth="1"/>
    <col min="4103" max="4103" width="24.453125" style="932" customWidth="1"/>
    <col min="4104" max="4104" width="10.6328125" style="932" bestFit="1" customWidth="1"/>
    <col min="4105" max="4353" width="9.08984375" style="932"/>
    <col min="4354" max="4354" width="21.6328125" style="932" customWidth="1"/>
    <col min="4355" max="4355" width="27.90625" style="932" customWidth="1"/>
    <col min="4356" max="4356" width="33.90625" style="932" customWidth="1"/>
    <col min="4357" max="4357" width="60" style="932" customWidth="1"/>
    <col min="4358" max="4358" width="164.08984375" style="932" customWidth="1"/>
    <col min="4359" max="4359" width="24.453125" style="932" customWidth="1"/>
    <col min="4360" max="4360" width="10.6328125" style="932" bestFit="1" customWidth="1"/>
    <col min="4361" max="4609" width="9.08984375" style="932"/>
    <col min="4610" max="4610" width="21.6328125" style="932" customWidth="1"/>
    <col min="4611" max="4611" width="27.90625" style="932" customWidth="1"/>
    <col min="4612" max="4612" width="33.90625" style="932" customWidth="1"/>
    <col min="4613" max="4613" width="60" style="932" customWidth="1"/>
    <col min="4614" max="4614" width="164.08984375" style="932" customWidth="1"/>
    <col min="4615" max="4615" width="24.453125" style="932" customWidth="1"/>
    <col min="4616" max="4616" width="10.6328125" style="932" bestFit="1" customWidth="1"/>
    <col min="4617" max="4865" width="9.08984375" style="932"/>
    <col min="4866" max="4866" width="21.6328125" style="932" customWidth="1"/>
    <col min="4867" max="4867" width="27.90625" style="932" customWidth="1"/>
    <col min="4868" max="4868" width="33.90625" style="932" customWidth="1"/>
    <col min="4869" max="4869" width="60" style="932" customWidth="1"/>
    <col min="4870" max="4870" width="164.08984375" style="932" customWidth="1"/>
    <col min="4871" max="4871" width="24.453125" style="932" customWidth="1"/>
    <col min="4872" max="4872" width="10.6328125" style="932" bestFit="1" customWidth="1"/>
    <col min="4873" max="5121" width="9.08984375" style="932"/>
    <col min="5122" max="5122" width="21.6328125" style="932" customWidth="1"/>
    <col min="5123" max="5123" width="27.90625" style="932" customWidth="1"/>
    <col min="5124" max="5124" width="33.90625" style="932" customWidth="1"/>
    <col min="5125" max="5125" width="60" style="932" customWidth="1"/>
    <col min="5126" max="5126" width="164.08984375" style="932" customWidth="1"/>
    <col min="5127" max="5127" width="24.453125" style="932" customWidth="1"/>
    <col min="5128" max="5128" width="10.6328125" style="932" bestFit="1" customWidth="1"/>
    <col min="5129" max="5377" width="9.08984375" style="932"/>
    <col min="5378" max="5378" width="21.6328125" style="932" customWidth="1"/>
    <col min="5379" max="5379" width="27.90625" style="932" customWidth="1"/>
    <col min="5380" max="5380" width="33.90625" style="932" customWidth="1"/>
    <col min="5381" max="5381" width="60" style="932" customWidth="1"/>
    <col min="5382" max="5382" width="164.08984375" style="932" customWidth="1"/>
    <col min="5383" max="5383" width="24.453125" style="932" customWidth="1"/>
    <col min="5384" max="5384" width="10.6328125" style="932" bestFit="1" customWidth="1"/>
    <col min="5385" max="5633" width="9.08984375" style="932"/>
    <col min="5634" max="5634" width="21.6328125" style="932" customWidth="1"/>
    <col min="5635" max="5635" width="27.90625" style="932" customWidth="1"/>
    <col min="5636" max="5636" width="33.90625" style="932" customWidth="1"/>
    <col min="5637" max="5637" width="60" style="932" customWidth="1"/>
    <col min="5638" max="5638" width="164.08984375" style="932" customWidth="1"/>
    <col min="5639" max="5639" width="24.453125" style="932" customWidth="1"/>
    <col min="5640" max="5640" width="10.6328125" style="932" bestFit="1" customWidth="1"/>
    <col min="5641" max="5889" width="9.08984375" style="932"/>
    <col min="5890" max="5890" width="21.6328125" style="932" customWidth="1"/>
    <col min="5891" max="5891" width="27.90625" style="932" customWidth="1"/>
    <col min="5892" max="5892" width="33.90625" style="932" customWidth="1"/>
    <col min="5893" max="5893" width="60" style="932" customWidth="1"/>
    <col min="5894" max="5894" width="164.08984375" style="932" customWidth="1"/>
    <col min="5895" max="5895" width="24.453125" style="932" customWidth="1"/>
    <col min="5896" max="5896" width="10.6328125" style="932" bestFit="1" customWidth="1"/>
    <col min="5897" max="6145" width="9.08984375" style="932"/>
    <col min="6146" max="6146" width="21.6328125" style="932" customWidth="1"/>
    <col min="6147" max="6147" width="27.90625" style="932" customWidth="1"/>
    <col min="6148" max="6148" width="33.90625" style="932" customWidth="1"/>
    <col min="6149" max="6149" width="60" style="932" customWidth="1"/>
    <col min="6150" max="6150" width="164.08984375" style="932" customWidth="1"/>
    <col min="6151" max="6151" width="24.453125" style="932" customWidth="1"/>
    <col min="6152" max="6152" width="10.6328125" style="932" bestFit="1" customWidth="1"/>
    <col min="6153" max="6401" width="9.08984375" style="932"/>
    <col min="6402" max="6402" width="21.6328125" style="932" customWidth="1"/>
    <col min="6403" max="6403" width="27.90625" style="932" customWidth="1"/>
    <col min="6404" max="6404" width="33.90625" style="932" customWidth="1"/>
    <col min="6405" max="6405" width="60" style="932" customWidth="1"/>
    <col min="6406" max="6406" width="164.08984375" style="932" customWidth="1"/>
    <col min="6407" max="6407" width="24.453125" style="932" customWidth="1"/>
    <col min="6408" max="6408" width="10.6328125" style="932" bestFit="1" customWidth="1"/>
    <col min="6409" max="6657" width="9.08984375" style="932"/>
    <col min="6658" max="6658" width="21.6328125" style="932" customWidth="1"/>
    <col min="6659" max="6659" width="27.90625" style="932" customWidth="1"/>
    <col min="6660" max="6660" width="33.90625" style="932" customWidth="1"/>
    <col min="6661" max="6661" width="60" style="932" customWidth="1"/>
    <col min="6662" max="6662" width="164.08984375" style="932" customWidth="1"/>
    <col min="6663" max="6663" width="24.453125" style="932" customWidth="1"/>
    <col min="6664" max="6664" width="10.6328125" style="932" bestFit="1" customWidth="1"/>
    <col min="6665" max="6913" width="9.08984375" style="932"/>
    <col min="6914" max="6914" width="21.6328125" style="932" customWidth="1"/>
    <col min="6915" max="6915" width="27.90625" style="932" customWidth="1"/>
    <col min="6916" max="6916" width="33.90625" style="932" customWidth="1"/>
    <col min="6917" max="6917" width="60" style="932" customWidth="1"/>
    <col min="6918" max="6918" width="164.08984375" style="932" customWidth="1"/>
    <col min="6919" max="6919" width="24.453125" style="932" customWidth="1"/>
    <col min="6920" max="6920" width="10.6328125" style="932" bestFit="1" customWidth="1"/>
    <col min="6921" max="7169" width="9.08984375" style="932"/>
    <col min="7170" max="7170" width="21.6328125" style="932" customWidth="1"/>
    <col min="7171" max="7171" width="27.90625" style="932" customWidth="1"/>
    <col min="7172" max="7172" width="33.90625" style="932" customWidth="1"/>
    <col min="7173" max="7173" width="60" style="932" customWidth="1"/>
    <col min="7174" max="7174" width="164.08984375" style="932" customWidth="1"/>
    <col min="7175" max="7175" width="24.453125" style="932" customWidth="1"/>
    <col min="7176" max="7176" width="10.6328125" style="932" bestFit="1" customWidth="1"/>
    <col min="7177" max="7425" width="9.08984375" style="932"/>
    <col min="7426" max="7426" width="21.6328125" style="932" customWidth="1"/>
    <col min="7427" max="7427" width="27.90625" style="932" customWidth="1"/>
    <col min="7428" max="7428" width="33.90625" style="932" customWidth="1"/>
    <col min="7429" max="7429" width="60" style="932" customWidth="1"/>
    <col min="7430" max="7430" width="164.08984375" style="932" customWidth="1"/>
    <col min="7431" max="7431" width="24.453125" style="932" customWidth="1"/>
    <col min="7432" max="7432" width="10.6328125" style="932" bestFit="1" customWidth="1"/>
    <col min="7433" max="7681" width="9.08984375" style="932"/>
    <col min="7682" max="7682" width="21.6328125" style="932" customWidth="1"/>
    <col min="7683" max="7683" width="27.90625" style="932" customWidth="1"/>
    <col min="7684" max="7684" width="33.90625" style="932" customWidth="1"/>
    <col min="7685" max="7685" width="60" style="932" customWidth="1"/>
    <col min="7686" max="7686" width="164.08984375" style="932" customWidth="1"/>
    <col min="7687" max="7687" width="24.453125" style="932" customWidth="1"/>
    <col min="7688" max="7688" width="10.6328125" style="932" bestFit="1" customWidth="1"/>
    <col min="7689" max="7937" width="9.08984375" style="932"/>
    <col min="7938" max="7938" width="21.6328125" style="932" customWidth="1"/>
    <col min="7939" max="7939" width="27.90625" style="932" customWidth="1"/>
    <col min="7940" max="7940" width="33.90625" style="932" customWidth="1"/>
    <col min="7941" max="7941" width="60" style="932" customWidth="1"/>
    <col min="7942" max="7942" width="164.08984375" style="932" customWidth="1"/>
    <col min="7943" max="7943" width="24.453125" style="932" customWidth="1"/>
    <col min="7944" max="7944" width="10.6328125" style="932" bestFit="1" customWidth="1"/>
    <col min="7945" max="8193" width="9.08984375" style="932"/>
    <col min="8194" max="8194" width="21.6328125" style="932" customWidth="1"/>
    <col min="8195" max="8195" width="27.90625" style="932" customWidth="1"/>
    <col min="8196" max="8196" width="33.90625" style="932" customWidth="1"/>
    <col min="8197" max="8197" width="60" style="932" customWidth="1"/>
    <col min="8198" max="8198" width="164.08984375" style="932" customWidth="1"/>
    <col min="8199" max="8199" width="24.453125" style="932" customWidth="1"/>
    <col min="8200" max="8200" width="10.6328125" style="932" bestFit="1" customWidth="1"/>
    <col min="8201" max="8449" width="9.08984375" style="932"/>
    <col min="8450" max="8450" width="21.6328125" style="932" customWidth="1"/>
    <col min="8451" max="8451" width="27.90625" style="932" customWidth="1"/>
    <col min="8452" max="8452" width="33.90625" style="932" customWidth="1"/>
    <col min="8453" max="8453" width="60" style="932" customWidth="1"/>
    <col min="8454" max="8454" width="164.08984375" style="932" customWidth="1"/>
    <col min="8455" max="8455" width="24.453125" style="932" customWidth="1"/>
    <col min="8456" max="8456" width="10.6328125" style="932" bestFit="1" customWidth="1"/>
    <col min="8457" max="8705" width="9.08984375" style="932"/>
    <col min="8706" max="8706" width="21.6328125" style="932" customWidth="1"/>
    <col min="8707" max="8707" width="27.90625" style="932" customWidth="1"/>
    <col min="8708" max="8708" width="33.90625" style="932" customWidth="1"/>
    <col min="8709" max="8709" width="60" style="932" customWidth="1"/>
    <col min="8710" max="8710" width="164.08984375" style="932" customWidth="1"/>
    <col min="8711" max="8711" width="24.453125" style="932" customWidth="1"/>
    <col min="8712" max="8712" width="10.6328125" style="932" bestFit="1" customWidth="1"/>
    <col min="8713" max="8961" width="9.08984375" style="932"/>
    <col min="8962" max="8962" width="21.6328125" style="932" customWidth="1"/>
    <col min="8963" max="8963" width="27.90625" style="932" customWidth="1"/>
    <col min="8964" max="8964" width="33.90625" style="932" customWidth="1"/>
    <col min="8965" max="8965" width="60" style="932" customWidth="1"/>
    <col min="8966" max="8966" width="164.08984375" style="932" customWidth="1"/>
    <col min="8967" max="8967" width="24.453125" style="932" customWidth="1"/>
    <col min="8968" max="8968" width="10.6328125" style="932" bestFit="1" customWidth="1"/>
    <col min="8969" max="9217" width="9.08984375" style="932"/>
    <col min="9218" max="9218" width="21.6328125" style="932" customWidth="1"/>
    <col min="9219" max="9219" width="27.90625" style="932" customWidth="1"/>
    <col min="9220" max="9220" width="33.90625" style="932" customWidth="1"/>
    <col min="9221" max="9221" width="60" style="932" customWidth="1"/>
    <col min="9222" max="9222" width="164.08984375" style="932" customWidth="1"/>
    <col min="9223" max="9223" width="24.453125" style="932" customWidth="1"/>
    <col min="9224" max="9224" width="10.6328125" style="932" bestFit="1" customWidth="1"/>
    <col min="9225" max="9473" width="9.08984375" style="932"/>
    <col min="9474" max="9474" width="21.6328125" style="932" customWidth="1"/>
    <col min="9475" max="9475" width="27.90625" style="932" customWidth="1"/>
    <col min="9476" max="9476" width="33.90625" style="932" customWidth="1"/>
    <col min="9477" max="9477" width="60" style="932" customWidth="1"/>
    <col min="9478" max="9478" width="164.08984375" style="932" customWidth="1"/>
    <col min="9479" max="9479" width="24.453125" style="932" customWidth="1"/>
    <col min="9480" max="9480" width="10.6328125" style="932" bestFit="1" customWidth="1"/>
    <col min="9481" max="9729" width="9.08984375" style="932"/>
    <col min="9730" max="9730" width="21.6328125" style="932" customWidth="1"/>
    <col min="9731" max="9731" width="27.90625" style="932" customWidth="1"/>
    <col min="9732" max="9732" width="33.90625" style="932" customWidth="1"/>
    <col min="9733" max="9733" width="60" style="932" customWidth="1"/>
    <col min="9734" max="9734" width="164.08984375" style="932" customWidth="1"/>
    <col min="9735" max="9735" width="24.453125" style="932" customWidth="1"/>
    <col min="9736" max="9736" width="10.6328125" style="932" bestFit="1" customWidth="1"/>
    <col min="9737" max="9985" width="9.08984375" style="932"/>
    <col min="9986" max="9986" width="21.6328125" style="932" customWidth="1"/>
    <col min="9987" max="9987" width="27.90625" style="932" customWidth="1"/>
    <col min="9988" max="9988" width="33.90625" style="932" customWidth="1"/>
    <col min="9989" max="9989" width="60" style="932" customWidth="1"/>
    <col min="9990" max="9990" width="164.08984375" style="932" customWidth="1"/>
    <col min="9991" max="9991" width="24.453125" style="932" customWidth="1"/>
    <col min="9992" max="9992" width="10.6328125" style="932" bestFit="1" customWidth="1"/>
    <col min="9993" max="10241" width="9.08984375" style="932"/>
    <col min="10242" max="10242" width="21.6328125" style="932" customWidth="1"/>
    <col min="10243" max="10243" width="27.90625" style="932" customWidth="1"/>
    <col min="10244" max="10244" width="33.90625" style="932" customWidth="1"/>
    <col min="10245" max="10245" width="60" style="932" customWidth="1"/>
    <col min="10246" max="10246" width="164.08984375" style="932" customWidth="1"/>
    <col min="10247" max="10247" width="24.453125" style="932" customWidth="1"/>
    <col min="10248" max="10248" width="10.6328125" style="932" bestFit="1" customWidth="1"/>
    <col min="10249" max="10497" width="9.08984375" style="932"/>
    <col min="10498" max="10498" width="21.6328125" style="932" customWidth="1"/>
    <col min="10499" max="10499" width="27.90625" style="932" customWidth="1"/>
    <col min="10500" max="10500" width="33.90625" style="932" customWidth="1"/>
    <col min="10501" max="10501" width="60" style="932" customWidth="1"/>
    <col min="10502" max="10502" width="164.08984375" style="932" customWidth="1"/>
    <col min="10503" max="10503" width="24.453125" style="932" customWidth="1"/>
    <col min="10504" max="10504" width="10.6328125" style="932" bestFit="1" customWidth="1"/>
    <col min="10505" max="10753" width="9.08984375" style="932"/>
    <col min="10754" max="10754" width="21.6328125" style="932" customWidth="1"/>
    <col min="10755" max="10755" width="27.90625" style="932" customWidth="1"/>
    <col min="10756" max="10756" width="33.90625" style="932" customWidth="1"/>
    <col min="10757" max="10757" width="60" style="932" customWidth="1"/>
    <col min="10758" max="10758" width="164.08984375" style="932" customWidth="1"/>
    <col min="10759" max="10759" width="24.453125" style="932" customWidth="1"/>
    <col min="10760" max="10760" width="10.6328125" style="932" bestFit="1" customWidth="1"/>
    <col min="10761" max="11009" width="9.08984375" style="932"/>
    <col min="11010" max="11010" width="21.6328125" style="932" customWidth="1"/>
    <col min="11011" max="11011" width="27.90625" style="932" customWidth="1"/>
    <col min="11012" max="11012" width="33.90625" style="932" customWidth="1"/>
    <col min="11013" max="11013" width="60" style="932" customWidth="1"/>
    <col min="11014" max="11014" width="164.08984375" style="932" customWidth="1"/>
    <col min="11015" max="11015" width="24.453125" style="932" customWidth="1"/>
    <col min="11016" max="11016" width="10.6328125" style="932" bestFit="1" customWidth="1"/>
    <col min="11017" max="11265" width="9.08984375" style="932"/>
    <col min="11266" max="11266" width="21.6328125" style="932" customWidth="1"/>
    <col min="11267" max="11267" width="27.90625" style="932" customWidth="1"/>
    <col min="11268" max="11268" width="33.90625" style="932" customWidth="1"/>
    <col min="11269" max="11269" width="60" style="932" customWidth="1"/>
    <col min="11270" max="11270" width="164.08984375" style="932" customWidth="1"/>
    <col min="11271" max="11271" width="24.453125" style="932" customWidth="1"/>
    <col min="11272" max="11272" width="10.6328125" style="932" bestFit="1" customWidth="1"/>
    <col min="11273" max="11521" width="9.08984375" style="932"/>
    <col min="11522" max="11522" width="21.6328125" style="932" customWidth="1"/>
    <col min="11523" max="11523" width="27.90625" style="932" customWidth="1"/>
    <col min="11524" max="11524" width="33.90625" style="932" customWidth="1"/>
    <col min="11525" max="11525" width="60" style="932" customWidth="1"/>
    <col min="11526" max="11526" width="164.08984375" style="932" customWidth="1"/>
    <col min="11527" max="11527" width="24.453125" style="932" customWidth="1"/>
    <col min="11528" max="11528" width="10.6328125" style="932" bestFit="1" customWidth="1"/>
    <col min="11529" max="11777" width="9.08984375" style="932"/>
    <col min="11778" max="11778" width="21.6328125" style="932" customWidth="1"/>
    <col min="11779" max="11779" width="27.90625" style="932" customWidth="1"/>
    <col min="11780" max="11780" width="33.90625" style="932" customWidth="1"/>
    <col min="11781" max="11781" width="60" style="932" customWidth="1"/>
    <col min="11782" max="11782" width="164.08984375" style="932" customWidth="1"/>
    <col min="11783" max="11783" width="24.453125" style="932" customWidth="1"/>
    <col min="11784" max="11784" width="10.6328125" style="932" bestFit="1" customWidth="1"/>
    <col min="11785" max="12033" width="9.08984375" style="932"/>
    <col min="12034" max="12034" width="21.6328125" style="932" customWidth="1"/>
    <col min="12035" max="12035" width="27.90625" style="932" customWidth="1"/>
    <col min="12036" max="12036" width="33.90625" style="932" customWidth="1"/>
    <col min="12037" max="12037" width="60" style="932" customWidth="1"/>
    <col min="12038" max="12038" width="164.08984375" style="932" customWidth="1"/>
    <col min="12039" max="12039" width="24.453125" style="932" customWidth="1"/>
    <col min="12040" max="12040" width="10.6328125" style="932" bestFit="1" customWidth="1"/>
    <col min="12041" max="12289" width="9.08984375" style="932"/>
    <col min="12290" max="12290" width="21.6328125" style="932" customWidth="1"/>
    <col min="12291" max="12291" width="27.90625" style="932" customWidth="1"/>
    <col min="12292" max="12292" width="33.90625" style="932" customWidth="1"/>
    <col min="12293" max="12293" width="60" style="932" customWidth="1"/>
    <col min="12294" max="12294" width="164.08984375" style="932" customWidth="1"/>
    <col min="12295" max="12295" width="24.453125" style="932" customWidth="1"/>
    <col min="12296" max="12296" width="10.6328125" style="932" bestFit="1" customWidth="1"/>
    <col min="12297" max="12545" width="9.08984375" style="932"/>
    <col min="12546" max="12546" width="21.6328125" style="932" customWidth="1"/>
    <col min="12547" max="12547" width="27.90625" style="932" customWidth="1"/>
    <col min="12548" max="12548" width="33.90625" style="932" customWidth="1"/>
    <col min="12549" max="12549" width="60" style="932" customWidth="1"/>
    <col min="12550" max="12550" width="164.08984375" style="932" customWidth="1"/>
    <col min="12551" max="12551" width="24.453125" style="932" customWidth="1"/>
    <col min="12552" max="12552" width="10.6328125" style="932" bestFit="1" customWidth="1"/>
    <col min="12553" max="12801" width="9.08984375" style="932"/>
    <col min="12802" max="12802" width="21.6328125" style="932" customWidth="1"/>
    <col min="12803" max="12803" width="27.90625" style="932" customWidth="1"/>
    <col min="12804" max="12804" width="33.90625" style="932" customWidth="1"/>
    <col min="12805" max="12805" width="60" style="932" customWidth="1"/>
    <col min="12806" max="12806" width="164.08984375" style="932" customWidth="1"/>
    <col min="12807" max="12807" width="24.453125" style="932" customWidth="1"/>
    <col min="12808" max="12808" width="10.6328125" style="932" bestFit="1" customWidth="1"/>
    <col min="12809" max="13057" width="9.08984375" style="932"/>
    <col min="13058" max="13058" width="21.6328125" style="932" customWidth="1"/>
    <col min="13059" max="13059" width="27.90625" style="932" customWidth="1"/>
    <col min="13060" max="13060" width="33.90625" style="932" customWidth="1"/>
    <col min="13061" max="13061" width="60" style="932" customWidth="1"/>
    <col min="13062" max="13062" width="164.08984375" style="932" customWidth="1"/>
    <col min="13063" max="13063" width="24.453125" style="932" customWidth="1"/>
    <col min="13064" max="13064" width="10.6328125" style="932" bestFit="1" customWidth="1"/>
    <col min="13065" max="13313" width="9.08984375" style="932"/>
    <col min="13314" max="13314" width="21.6328125" style="932" customWidth="1"/>
    <col min="13315" max="13315" width="27.90625" style="932" customWidth="1"/>
    <col min="13316" max="13316" width="33.90625" style="932" customWidth="1"/>
    <col min="13317" max="13317" width="60" style="932" customWidth="1"/>
    <col min="13318" max="13318" width="164.08984375" style="932" customWidth="1"/>
    <col min="13319" max="13319" width="24.453125" style="932" customWidth="1"/>
    <col min="13320" max="13320" width="10.6328125" style="932" bestFit="1" customWidth="1"/>
    <col min="13321" max="13569" width="9.08984375" style="932"/>
    <col min="13570" max="13570" width="21.6328125" style="932" customWidth="1"/>
    <col min="13571" max="13571" width="27.90625" style="932" customWidth="1"/>
    <col min="13572" max="13572" width="33.90625" style="932" customWidth="1"/>
    <col min="13573" max="13573" width="60" style="932" customWidth="1"/>
    <col min="13574" max="13574" width="164.08984375" style="932" customWidth="1"/>
    <col min="13575" max="13575" width="24.453125" style="932" customWidth="1"/>
    <col min="13576" max="13576" width="10.6328125" style="932" bestFit="1" customWidth="1"/>
    <col min="13577" max="13825" width="9.08984375" style="932"/>
    <col min="13826" max="13826" width="21.6328125" style="932" customWidth="1"/>
    <col min="13827" max="13827" width="27.90625" style="932" customWidth="1"/>
    <col min="13828" max="13828" width="33.90625" style="932" customWidth="1"/>
    <col min="13829" max="13829" width="60" style="932" customWidth="1"/>
    <col min="13830" max="13830" width="164.08984375" style="932" customWidth="1"/>
    <col min="13831" max="13831" width="24.453125" style="932" customWidth="1"/>
    <col min="13832" max="13832" width="10.6328125" style="932" bestFit="1" customWidth="1"/>
    <col min="13833" max="14081" width="9.08984375" style="932"/>
    <col min="14082" max="14082" width="21.6328125" style="932" customWidth="1"/>
    <col min="14083" max="14083" width="27.90625" style="932" customWidth="1"/>
    <col min="14084" max="14084" width="33.90625" style="932" customWidth="1"/>
    <col min="14085" max="14085" width="60" style="932" customWidth="1"/>
    <col min="14086" max="14086" width="164.08984375" style="932" customWidth="1"/>
    <col min="14087" max="14087" width="24.453125" style="932" customWidth="1"/>
    <col min="14088" max="14088" width="10.6328125" style="932" bestFit="1" customWidth="1"/>
    <col min="14089" max="14337" width="9.08984375" style="932"/>
    <col min="14338" max="14338" width="21.6328125" style="932" customWidth="1"/>
    <col min="14339" max="14339" width="27.90625" style="932" customWidth="1"/>
    <col min="14340" max="14340" width="33.90625" style="932" customWidth="1"/>
    <col min="14341" max="14341" width="60" style="932" customWidth="1"/>
    <col min="14342" max="14342" width="164.08984375" style="932" customWidth="1"/>
    <col min="14343" max="14343" width="24.453125" style="932" customWidth="1"/>
    <col min="14344" max="14344" width="10.6328125" style="932" bestFit="1" customWidth="1"/>
    <col min="14345" max="14593" width="9.08984375" style="932"/>
    <col min="14594" max="14594" width="21.6328125" style="932" customWidth="1"/>
    <col min="14595" max="14595" width="27.90625" style="932" customWidth="1"/>
    <col min="14596" max="14596" width="33.90625" style="932" customWidth="1"/>
    <col min="14597" max="14597" width="60" style="932" customWidth="1"/>
    <col min="14598" max="14598" width="164.08984375" style="932" customWidth="1"/>
    <col min="14599" max="14599" width="24.453125" style="932" customWidth="1"/>
    <col min="14600" max="14600" width="10.6328125" style="932" bestFit="1" customWidth="1"/>
    <col min="14601" max="14849" width="9.08984375" style="932"/>
    <col min="14850" max="14850" width="21.6328125" style="932" customWidth="1"/>
    <col min="14851" max="14851" width="27.90625" style="932" customWidth="1"/>
    <col min="14852" max="14852" width="33.90625" style="932" customWidth="1"/>
    <col min="14853" max="14853" width="60" style="932" customWidth="1"/>
    <col min="14854" max="14854" width="164.08984375" style="932" customWidth="1"/>
    <col min="14855" max="14855" width="24.453125" style="932" customWidth="1"/>
    <col min="14856" max="14856" width="10.6328125" style="932" bestFit="1" customWidth="1"/>
    <col min="14857" max="15105" width="9.08984375" style="932"/>
    <col min="15106" max="15106" width="21.6328125" style="932" customWidth="1"/>
    <col min="15107" max="15107" width="27.90625" style="932" customWidth="1"/>
    <col min="15108" max="15108" width="33.90625" style="932" customWidth="1"/>
    <col min="15109" max="15109" width="60" style="932" customWidth="1"/>
    <col min="15110" max="15110" width="164.08984375" style="932" customWidth="1"/>
    <col min="15111" max="15111" width="24.453125" style="932" customWidth="1"/>
    <col min="15112" max="15112" width="10.6328125" style="932" bestFit="1" customWidth="1"/>
    <col min="15113" max="15361" width="9.08984375" style="932"/>
    <col min="15362" max="15362" width="21.6328125" style="932" customWidth="1"/>
    <col min="15363" max="15363" width="27.90625" style="932" customWidth="1"/>
    <col min="15364" max="15364" width="33.90625" style="932" customWidth="1"/>
    <col min="15365" max="15365" width="60" style="932" customWidth="1"/>
    <col min="15366" max="15366" width="164.08984375" style="932" customWidth="1"/>
    <col min="15367" max="15367" width="24.453125" style="932" customWidth="1"/>
    <col min="15368" max="15368" width="10.6328125" style="932" bestFit="1" customWidth="1"/>
    <col min="15369" max="15617" width="9.08984375" style="932"/>
    <col min="15618" max="15618" width="21.6328125" style="932" customWidth="1"/>
    <col min="15619" max="15619" width="27.90625" style="932" customWidth="1"/>
    <col min="15620" max="15620" width="33.90625" style="932" customWidth="1"/>
    <col min="15621" max="15621" width="60" style="932" customWidth="1"/>
    <col min="15622" max="15622" width="164.08984375" style="932" customWidth="1"/>
    <col min="15623" max="15623" width="24.453125" style="932" customWidth="1"/>
    <col min="15624" max="15624" width="10.6328125" style="932" bestFit="1" customWidth="1"/>
    <col min="15625" max="15873" width="9.08984375" style="932"/>
    <col min="15874" max="15874" width="21.6328125" style="932" customWidth="1"/>
    <col min="15875" max="15875" width="27.90625" style="932" customWidth="1"/>
    <col min="15876" max="15876" width="33.90625" style="932" customWidth="1"/>
    <col min="15877" max="15877" width="60" style="932" customWidth="1"/>
    <col min="15878" max="15878" width="164.08984375" style="932" customWidth="1"/>
    <col min="15879" max="15879" width="24.453125" style="932" customWidth="1"/>
    <col min="15880" max="15880" width="10.6328125" style="932" bestFit="1" customWidth="1"/>
    <col min="15881" max="16129" width="9.08984375" style="932"/>
    <col min="16130" max="16130" width="21.6328125" style="932" customWidth="1"/>
    <col min="16131" max="16131" width="27.90625" style="932" customWidth="1"/>
    <col min="16132" max="16132" width="33.90625" style="932" customWidth="1"/>
    <col min="16133" max="16133" width="60" style="932" customWidth="1"/>
    <col min="16134" max="16134" width="164.08984375" style="932" customWidth="1"/>
    <col min="16135" max="16135" width="24.453125" style="932" customWidth="1"/>
    <col min="16136" max="16136" width="10.6328125" style="932" bestFit="1" customWidth="1"/>
    <col min="16137" max="16384" width="9.08984375" style="932"/>
  </cols>
  <sheetData>
    <row r="1" spans="2:12">
      <c r="C1" s="948"/>
      <c r="D1" s="948"/>
    </row>
    <row r="2" spans="2:12">
      <c r="C2" s="96"/>
      <c r="D2" s="96"/>
      <c r="E2" s="891" t="str">
        <f>Index!B2</f>
        <v xml:space="preserve">      Maharashtra State Power Generation Company Ltd.</v>
      </c>
      <c r="F2" s="96"/>
      <c r="G2" s="96"/>
      <c r="H2" s="96"/>
      <c r="I2" s="96"/>
    </row>
    <row r="3" spans="2:12">
      <c r="C3" s="507"/>
      <c r="D3" s="507"/>
      <c r="E3" s="930" t="s">
        <v>1049</v>
      </c>
      <c r="F3" s="507"/>
      <c r="G3" s="507"/>
      <c r="H3" s="507"/>
      <c r="I3" s="507"/>
    </row>
    <row r="4" spans="2:12">
      <c r="C4" s="507"/>
      <c r="D4" s="507"/>
      <c r="E4" s="930" t="s">
        <v>1050</v>
      </c>
      <c r="F4" s="507"/>
      <c r="G4" s="507"/>
      <c r="H4" s="507"/>
      <c r="I4" s="507"/>
    </row>
    <row r="5" spans="2:12">
      <c r="B5" s="949"/>
      <c r="C5" s="949"/>
      <c r="D5" s="949"/>
    </row>
    <row r="6" spans="2:12" s="951" customFormat="1" ht="42">
      <c r="B6" s="950" t="s">
        <v>36</v>
      </c>
      <c r="C6" s="950" t="s">
        <v>1051</v>
      </c>
      <c r="D6" s="950" t="s">
        <v>1052</v>
      </c>
      <c r="E6" s="950" t="s">
        <v>1053</v>
      </c>
      <c r="F6" s="950" t="s">
        <v>1054</v>
      </c>
    </row>
    <row r="7" spans="2:12" s="951" customFormat="1">
      <c r="B7" s="952"/>
      <c r="C7" s="952"/>
      <c r="D7" s="952"/>
      <c r="E7" s="952"/>
      <c r="F7" s="952"/>
    </row>
    <row r="8" spans="2:12" s="951" customFormat="1">
      <c r="B8" s="952"/>
      <c r="C8" s="952"/>
      <c r="D8" s="952"/>
      <c r="E8" s="952"/>
      <c r="F8" s="952"/>
    </row>
    <row r="9" spans="2:12" s="951" customFormat="1">
      <c r="B9" s="952"/>
      <c r="C9" s="952"/>
      <c r="D9" s="952"/>
      <c r="E9" s="952"/>
      <c r="F9" s="952"/>
    </row>
    <row r="10" spans="2:12" s="951" customFormat="1">
      <c r="B10" s="952"/>
      <c r="C10" s="952"/>
      <c r="D10" s="952"/>
      <c r="E10" s="952"/>
      <c r="F10" s="952"/>
    </row>
    <row r="11" spans="2:12" s="951" customFormat="1">
      <c r="B11" s="952"/>
      <c r="C11" s="952"/>
      <c r="D11" s="952"/>
      <c r="E11" s="952"/>
      <c r="F11" s="952"/>
    </row>
    <row r="12" spans="2:12" s="951" customFormat="1">
      <c r="B12" s="952"/>
      <c r="C12" s="952"/>
      <c r="D12" s="952"/>
      <c r="E12" s="952"/>
      <c r="F12" s="952"/>
    </row>
    <row r="13" spans="2:12" s="951" customFormat="1">
      <c r="B13" s="953"/>
      <c r="C13" s="579"/>
      <c r="D13" s="954"/>
      <c r="E13" s="953"/>
      <c r="F13" s="579"/>
      <c r="G13" s="955"/>
      <c r="H13" s="580"/>
      <c r="I13" s="954"/>
      <c r="J13" s="956"/>
      <c r="L13" s="957"/>
    </row>
    <row r="14" spans="2:12">
      <c r="B14" s="932" t="s">
        <v>1055</v>
      </c>
    </row>
    <row r="29" spans="3:3" ht="29.4" customHeight="1">
      <c r="C29" s="958"/>
    </row>
  </sheetData>
  <printOptions horizontalCentered="1" verticalCentered="1"/>
  <pageMargins left="1.1023622047244095" right="0.59055118110236227" top="0.78740157480314965" bottom="0.27559055118110237" header="0.51181102362204722" footer="0.15748031496062992"/>
  <pageSetup paperSize="9" scale="9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G29"/>
  <sheetViews>
    <sheetView showGridLines="0" view="pageBreakPreview" zoomScale="80" zoomScaleNormal="75" zoomScaleSheetLayoutView="80" workbookViewId="0">
      <selection activeCell="C2" sqref="C2"/>
    </sheetView>
  </sheetViews>
  <sheetFormatPr defaultColWidth="9.08984375" defaultRowHeight="14"/>
  <cols>
    <col min="1" max="1" width="9.08984375" style="932"/>
    <col min="2" max="2" width="62.08984375" style="932" customWidth="1"/>
    <col min="3" max="3" width="24.54296875" style="932" customWidth="1"/>
    <col min="4" max="4" width="19.54296875" style="932" customWidth="1"/>
    <col min="5" max="5" width="18.453125" style="932" customWidth="1"/>
    <col min="6" max="6" width="21.6328125" style="932" customWidth="1"/>
    <col min="7" max="7" width="21.36328125" style="932" customWidth="1"/>
    <col min="8" max="258" width="9.08984375" style="932"/>
    <col min="259" max="259" width="110.36328125" style="932" customWidth="1"/>
    <col min="260" max="260" width="43.54296875" style="932" customWidth="1"/>
    <col min="261" max="261" width="35.54296875" style="932" customWidth="1"/>
    <col min="262" max="262" width="36" style="932" customWidth="1"/>
    <col min="263" max="263" width="34.90625" style="932" customWidth="1"/>
    <col min="264" max="514" width="9.08984375" style="932"/>
    <col min="515" max="515" width="110.36328125" style="932" customWidth="1"/>
    <col min="516" max="516" width="43.54296875" style="932" customWidth="1"/>
    <col min="517" max="517" width="35.54296875" style="932" customWidth="1"/>
    <col min="518" max="518" width="36" style="932" customWidth="1"/>
    <col min="519" max="519" width="34.90625" style="932" customWidth="1"/>
    <col min="520" max="770" width="9.08984375" style="932"/>
    <col min="771" max="771" width="110.36328125" style="932" customWidth="1"/>
    <col min="772" max="772" width="43.54296875" style="932" customWidth="1"/>
    <col min="773" max="773" width="35.54296875" style="932" customWidth="1"/>
    <col min="774" max="774" width="36" style="932" customWidth="1"/>
    <col min="775" max="775" width="34.90625" style="932" customWidth="1"/>
    <col min="776" max="1026" width="9.08984375" style="932"/>
    <col min="1027" max="1027" width="110.36328125" style="932" customWidth="1"/>
    <col min="1028" max="1028" width="43.54296875" style="932" customWidth="1"/>
    <col min="1029" max="1029" width="35.54296875" style="932" customWidth="1"/>
    <col min="1030" max="1030" width="36" style="932" customWidth="1"/>
    <col min="1031" max="1031" width="34.90625" style="932" customWidth="1"/>
    <col min="1032" max="1282" width="9.08984375" style="932"/>
    <col min="1283" max="1283" width="110.36328125" style="932" customWidth="1"/>
    <col min="1284" max="1284" width="43.54296875" style="932" customWidth="1"/>
    <col min="1285" max="1285" width="35.54296875" style="932" customWidth="1"/>
    <col min="1286" max="1286" width="36" style="932" customWidth="1"/>
    <col min="1287" max="1287" width="34.90625" style="932" customWidth="1"/>
    <col min="1288" max="1538" width="9.08984375" style="932"/>
    <col min="1539" max="1539" width="110.36328125" style="932" customWidth="1"/>
    <col min="1540" max="1540" width="43.54296875" style="932" customWidth="1"/>
    <col min="1541" max="1541" width="35.54296875" style="932" customWidth="1"/>
    <col min="1542" max="1542" width="36" style="932" customWidth="1"/>
    <col min="1543" max="1543" width="34.90625" style="932" customWidth="1"/>
    <col min="1544" max="1794" width="9.08984375" style="932"/>
    <col min="1795" max="1795" width="110.36328125" style="932" customWidth="1"/>
    <col min="1796" max="1796" width="43.54296875" style="932" customWidth="1"/>
    <col min="1797" max="1797" width="35.54296875" style="932" customWidth="1"/>
    <col min="1798" max="1798" width="36" style="932" customWidth="1"/>
    <col min="1799" max="1799" width="34.90625" style="932" customWidth="1"/>
    <col min="1800" max="2050" width="9.08984375" style="932"/>
    <col min="2051" max="2051" width="110.36328125" style="932" customWidth="1"/>
    <col min="2052" max="2052" width="43.54296875" style="932" customWidth="1"/>
    <col min="2053" max="2053" width="35.54296875" style="932" customWidth="1"/>
    <col min="2054" max="2054" width="36" style="932" customWidth="1"/>
    <col min="2055" max="2055" width="34.90625" style="932" customWidth="1"/>
    <col min="2056" max="2306" width="9.08984375" style="932"/>
    <col min="2307" max="2307" width="110.36328125" style="932" customWidth="1"/>
    <col min="2308" max="2308" width="43.54296875" style="932" customWidth="1"/>
    <col min="2309" max="2309" width="35.54296875" style="932" customWidth="1"/>
    <col min="2310" max="2310" width="36" style="932" customWidth="1"/>
    <col min="2311" max="2311" width="34.90625" style="932" customWidth="1"/>
    <col min="2312" max="2562" width="9.08984375" style="932"/>
    <col min="2563" max="2563" width="110.36328125" style="932" customWidth="1"/>
    <col min="2564" max="2564" width="43.54296875" style="932" customWidth="1"/>
    <col min="2565" max="2565" width="35.54296875" style="932" customWidth="1"/>
    <col min="2566" max="2566" width="36" style="932" customWidth="1"/>
    <col min="2567" max="2567" width="34.90625" style="932" customWidth="1"/>
    <col min="2568" max="2818" width="9.08984375" style="932"/>
    <col min="2819" max="2819" width="110.36328125" style="932" customWidth="1"/>
    <col min="2820" max="2820" width="43.54296875" style="932" customWidth="1"/>
    <col min="2821" max="2821" width="35.54296875" style="932" customWidth="1"/>
    <col min="2822" max="2822" width="36" style="932" customWidth="1"/>
    <col min="2823" max="2823" width="34.90625" style="932" customWidth="1"/>
    <col min="2824" max="3074" width="9.08984375" style="932"/>
    <col min="3075" max="3075" width="110.36328125" style="932" customWidth="1"/>
    <col min="3076" max="3076" width="43.54296875" style="932" customWidth="1"/>
    <col min="3077" max="3077" width="35.54296875" style="932" customWidth="1"/>
    <col min="3078" max="3078" width="36" style="932" customWidth="1"/>
    <col min="3079" max="3079" width="34.90625" style="932" customWidth="1"/>
    <col min="3080" max="3330" width="9.08984375" style="932"/>
    <col min="3331" max="3331" width="110.36328125" style="932" customWidth="1"/>
    <col min="3332" max="3332" width="43.54296875" style="932" customWidth="1"/>
    <col min="3333" max="3333" width="35.54296875" style="932" customWidth="1"/>
    <col min="3334" max="3334" width="36" style="932" customWidth="1"/>
    <col min="3335" max="3335" width="34.90625" style="932" customWidth="1"/>
    <col min="3336" max="3586" width="9.08984375" style="932"/>
    <col min="3587" max="3587" width="110.36328125" style="932" customWidth="1"/>
    <col min="3588" max="3588" width="43.54296875" style="932" customWidth="1"/>
    <col min="3589" max="3589" width="35.54296875" style="932" customWidth="1"/>
    <col min="3590" max="3590" width="36" style="932" customWidth="1"/>
    <col min="3591" max="3591" width="34.90625" style="932" customWidth="1"/>
    <col min="3592" max="3842" width="9.08984375" style="932"/>
    <col min="3843" max="3843" width="110.36328125" style="932" customWidth="1"/>
    <col min="3844" max="3844" width="43.54296875" style="932" customWidth="1"/>
    <col min="3845" max="3845" width="35.54296875" style="932" customWidth="1"/>
    <col min="3846" max="3846" width="36" style="932" customWidth="1"/>
    <col min="3847" max="3847" width="34.90625" style="932" customWidth="1"/>
    <col min="3848" max="4098" width="9.08984375" style="932"/>
    <col min="4099" max="4099" width="110.36328125" style="932" customWidth="1"/>
    <col min="4100" max="4100" width="43.54296875" style="932" customWidth="1"/>
    <col min="4101" max="4101" width="35.54296875" style="932" customWidth="1"/>
    <col min="4102" max="4102" width="36" style="932" customWidth="1"/>
    <col min="4103" max="4103" width="34.90625" style="932" customWidth="1"/>
    <col min="4104" max="4354" width="9.08984375" style="932"/>
    <col min="4355" max="4355" width="110.36328125" style="932" customWidth="1"/>
    <col min="4356" max="4356" width="43.54296875" style="932" customWidth="1"/>
    <col min="4357" max="4357" width="35.54296875" style="932" customWidth="1"/>
    <col min="4358" max="4358" width="36" style="932" customWidth="1"/>
    <col min="4359" max="4359" width="34.90625" style="932" customWidth="1"/>
    <col min="4360" max="4610" width="9.08984375" style="932"/>
    <col min="4611" max="4611" width="110.36328125" style="932" customWidth="1"/>
    <col min="4612" max="4612" width="43.54296875" style="932" customWidth="1"/>
    <col min="4613" max="4613" width="35.54296875" style="932" customWidth="1"/>
    <col min="4614" max="4614" width="36" style="932" customWidth="1"/>
    <col min="4615" max="4615" width="34.90625" style="932" customWidth="1"/>
    <col min="4616" max="4866" width="9.08984375" style="932"/>
    <col min="4867" max="4867" width="110.36328125" style="932" customWidth="1"/>
    <col min="4868" max="4868" width="43.54296875" style="932" customWidth="1"/>
    <col min="4869" max="4869" width="35.54296875" style="932" customWidth="1"/>
    <col min="4870" max="4870" width="36" style="932" customWidth="1"/>
    <col min="4871" max="4871" width="34.90625" style="932" customWidth="1"/>
    <col min="4872" max="5122" width="9.08984375" style="932"/>
    <col min="5123" max="5123" width="110.36328125" style="932" customWidth="1"/>
    <col min="5124" max="5124" width="43.54296875" style="932" customWidth="1"/>
    <col min="5125" max="5125" width="35.54296875" style="932" customWidth="1"/>
    <col min="5126" max="5126" width="36" style="932" customWidth="1"/>
    <col min="5127" max="5127" width="34.90625" style="932" customWidth="1"/>
    <col min="5128" max="5378" width="9.08984375" style="932"/>
    <col min="5379" max="5379" width="110.36328125" style="932" customWidth="1"/>
    <col min="5380" max="5380" width="43.54296875" style="932" customWidth="1"/>
    <col min="5381" max="5381" width="35.54296875" style="932" customWidth="1"/>
    <col min="5382" max="5382" width="36" style="932" customWidth="1"/>
    <col min="5383" max="5383" width="34.90625" style="932" customWidth="1"/>
    <col min="5384" max="5634" width="9.08984375" style="932"/>
    <col min="5635" max="5635" width="110.36328125" style="932" customWidth="1"/>
    <col min="5636" max="5636" width="43.54296875" style="932" customWidth="1"/>
    <col min="5637" max="5637" width="35.54296875" style="932" customWidth="1"/>
    <col min="5638" max="5638" width="36" style="932" customWidth="1"/>
    <col min="5639" max="5639" width="34.90625" style="932" customWidth="1"/>
    <col min="5640" max="5890" width="9.08984375" style="932"/>
    <col min="5891" max="5891" width="110.36328125" style="932" customWidth="1"/>
    <col min="5892" max="5892" width="43.54296875" style="932" customWidth="1"/>
    <col min="5893" max="5893" width="35.54296875" style="932" customWidth="1"/>
    <col min="5894" max="5894" width="36" style="932" customWidth="1"/>
    <col min="5895" max="5895" width="34.90625" style="932" customWidth="1"/>
    <col min="5896" max="6146" width="9.08984375" style="932"/>
    <col min="6147" max="6147" width="110.36328125" style="932" customWidth="1"/>
    <col min="6148" max="6148" width="43.54296875" style="932" customWidth="1"/>
    <col min="6149" max="6149" width="35.54296875" style="932" customWidth="1"/>
    <col min="6150" max="6150" width="36" style="932" customWidth="1"/>
    <col min="6151" max="6151" width="34.90625" style="932" customWidth="1"/>
    <col min="6152" max="6402" width="9.08984375" style="932"/>
    <col min="6403" max="6403" width="110.36328125" style="932" customWidth="1"/>
    <col min="6404" max="6404" width="43.54296875" style="932" customWidth="1"/>
    <col min="6405" max="6405" width="35.54296875" style="932" customWidth="1"/>
    <col min="6406" max="6406" width="36" style="932" customWidth="1"/>
    <col min="6407" max="6407" width="34.90625" style="932" customWidth="1"/>
    <col min="6408" max="6658" width="9.08984375" style="932"/>
    <col min="6659" max="6659" width="110.36328125" style="932" customWidth="1"/>
    <col min="6660" max="6660" width="43.54296875" style="932" customWidth="1"/>
    <col min="6661" max="6661" width="35.54296875" style="932" customWidth="1"/>
    <col min="6662" max="6662" width="36" style="932" customWidth="1"/>
    <col min="6663" max="6663" width="34.90625" style="932" customWidth="1"/>
    <col min="6664" max="6914" width="9.08984375" style="932"/>
    <col min="6915" max="6915" width="110.36328125" style="932" customWidth="1"/>
    <col min="6916" max="6916" width="43.54296875" style="932" customWidth="1"/>
    <col min="6917" max="6917" width="35.54296875" style="932" customWidth="1"/>
    <col min="6918" max="6918" width="36" style="932" customWidth="1"/>
    <col min="6919" max="6919" width="34.90625" style="932" customWidth="1"/>
    <col min="6920" max="7170" width="9.08984375" style="932"/>
    <col min="7171" max="7171" width="110.36328125" style="932" customWidth="1"/>
    <col min="7172" max="7172" width="43.54296875" style="932" customWidth="1"/>
    <col min="7173" max="7173" width="35.54296875" style="932" customWidth="1"/>
    <col min="7174" max="7174" width="36" style="932" customWidth="1"/>
    <col min="7175" max="7175" width="34.90625" style="932" customWidth="1"/>
    <col min="7176" max="7426" width="9.08984375" style="932"/>
    <col min="7427" max="7427" width="110.36328125" style="932" customWidth="1"/>
    <col min="7428" max="7428" width="43.54296875" style="932" customWidth="1"/>
    <col min="7429" max="7429" width="35.54296875" style="932" customWidth="1"/>
    <col min="7430" max="7430" width="36" style="932" customWidth="1"/>
    <col min="7431" max="7431" width="34.90625" style="932" customWidth="1"/>
    <col min="7432" max="7682" width="9.08984375" style="932"/>
    <col min="7683" max="7683" width="110.36328125" style="932" customWidth="1"/>
    <col min="7684" max="7684" width="43.54296875" style="932" customWidth="1"/>
    <col min="7685" max="7685" width="35.54296875" style="932" customWidth="1"/>
    <col min="7686" max="7686" width="36" style="932" customWidth="1"/>
    <col min="7687" max="7687" width="34.90625" style="932" customWidth="1"/>
    <col min="7688" max="7938" width="9.08984375" style="932"/>
    <col min="7939" max="7939" width="110.36328125" style="932" customWidth="1"/>
    <col min="7940" max="7940" width="43.54296875" style="932" customWidth="1"/>
    <col min="7941" max="7941" width="35.54296875" style="932" customWidth="1"/>
    <col min="7942" max="7942" width="36" style="932" customWidth="1"/>
    <col min="7943" max="7943" width="34.90625" style="932" customWidth="1"/>
    <col min="7944" max="8194" width="9.08984375" style="932"/>
    <col min="8195" max="8195" width="110.36328125" style="932" customWidth="1"/>
    <col min="8196" max="8196" width="43.54296875" style="932" customWidth="1"/>
    <col min="8197" max="8197" width="35.54296875" style="932" customWidth="1"/>
    <col min="8198" max="8198" width="36" style="932" customWidth="1"/>
    <col min="8199" max="8199" width="34.90625" style="932" customWidth="1"/>
    <col min="8200" max="8450" width="9.08984375" style="932"/>
    <col min="8451" max="8451" width="110.36328125" style="932" customWidth="1"/>
    <col min="8452" max="8452" width="43.54296875" style="932" customWidth="1"/>
    <col min="8453" max="8453" width="35.54296875" style="932" customWidth="1"/>
    <col min="8454" max="8454" width="36" style="932" customWidth="1"/>
    <col min="8455" max="8455" width="34.90625" style="932" customWidth="1"/>
    <col min="8456" max="8706" width="9.08984375" style="932"/>
    <col min="8707" max="8707" width="110.36328125" style="932" customWidth="1"/>
    <col min="8708" max="8708" width="43.54296875" style="932" customWidth="1"/>
    <col min="8709" max="8709" width="35.54296875" style="932" customWidth="1"/>
    <col min="8710" max="8710" width="36" style="932" customWidth="1"/>
    <col min="8711" max="8711" width="34.90625" style="932" customWidth="1"/>
    <col min="8712" max="8962" width="9.08984375" style="932"/>
    <col min="8963" max="8963" width="110.36328125" style="932" customWidth="1"/>
    <col min="8964" max="8964" width="43.54296875" style="932" customWidth="1"/>
    <col min="8965" max="8965" width="35.54296875" style="932" customWidth="1"/>
    <col min="8966" max="8966" width="36" style="932" customWidth="1"/>
    <col min="8967" max="8967" width="34.90625" style="932" customWidth="1"/>
    <col min="8968" max="9218" width="9.08984375" style="932"/>
    <col min="9219" max="9219" width="110.36328125" style="932" customWidth="1"/>
    <col min="9220" max="9220" width="43.54296875" style="932" customWidth="1"/>
    <col min="9221" max="9221" width="35.54296875" style="932" customWidth="1"/>
    <col min="9222" max="9222" width="36" style="932" customWidth="1"/>
    <col min="9223" max="9223" width="34.90625" style="932" customWidth="1"/>
    <col min="9224" max="9474" width="9.08984375" style="932"/>
    <col min="9475" max="9475" width="110.36328125" style="932" customWidth="1"/>
    <col min="9476" max="9476" width="43.54296875" style="932" customWidth="1"/>
    <col min="9477" max="9477" width="35.54296875" style="932" customWidth="1"/>
    <col min="9478" max="9478" width="36" style="932" customWidth="1"/>
    <col min="9479" max="9479" width="34.90625" style="932" customWidth="1"/>
    <col min="9480" max="9730" width="9.08984375" style="932"/>
    <col min="9731" max="9731" width="110.36328125" style="932" customWidth="1"/>
    <col min="9732" max="9732" width="43.54296875" style="932" customWidth="1"/>
    <col min="9733" max="9733" width="35.54296875" style="932" customWidth="1"/>
    <col min="9734" max="9734" width="36" style="932" customWidth="1"/>
    <col min="9735" max="9735" width="34.90625" style="932" customWidth="1"/>
    <col min="9736" max="9986" width="9.08984375" style="932"/>
    <col min="9987" max="9987" width="110.36328125" style="932" customWidth="1"/>
    <col min="9988" max="9988" width="43.54296875" style="932" customWidth="1"/>
    <col min="9989" max="9989" width="35.54296875" style="932" customWidth="1"/>
    <col min="9990" max="9990" width="36" style="932" customWidth="1"/>
    <col min="9991" max="9991" width="34.90625" style="932" customWidth="1"/>
    <col min="9992" max="10242" width="9.08984375" style="932"/>
    <col min="10243" max="10243" width="110.36328125" style="932" customWidth="1"/>
    <col min="10244" max="10244" width="43.54296875" style="932" customWidth="1"/>
    <col min="10245" max="10245" width="35.54296875" style="932" customWidth="1"/>
    <col min="10246" max="10246" width="36" style="932" customWidth="1"/>
    <col min="10247" max="10247" width="34.90625" style="932" customWidth="1"/>
    <col min="10248" max="10498" width="9.08984375" style="932"/>
    <col min="10499" max="10499" width="110.36328125" style="932" customWidth="1"/>
    <col min="10500" max="10500" width="43.54296875" style="932" customWidth="1"/>
    <col min="10501" max="10501" width="35.54296875" style="932" customWidth="1"/>
    <col min="10502" max="10502" width="36" style="932" customWidth="1"/>
    <col min="10503" max="10503" width="34.90625" style="932" customWidth="1"/>
    <col min="10504" max="10754" width="9.08984375" style="932"/>
    <col min="10755" max="10755" width="110.36328125" style="932" customWidth="1"/>
    <col min="10756" max="10756" width="43.54296875" style="932" customWidth="1"/>
    <col min="10757" max="10757" width="35.54296875" style="932" customWidth="1"/>
    <col min="10758" max="10758" width="36" style="932" customWidth="1"/>
    <col min="10759" max="10759" width="34.90625" style="932" customWidth="1"/>
    <col min="10760" max="11010" width="9.08984375" style="932"/>
    <col min="11011" max="11011" width="110.36328125" style="932" customWidth="1"/>
    <col min="11012" max="11012" width="43.54296875" style="932" customWidth="1"/>
    <col min="11013" max="11013" width="35.54296875" style="932" customWidth="1"/>
    <col min="11014" max="11014" width="36" style="932" customWidth="1"/>
    <col min="11015" max="11015" width="34.90625" style="932" customWidth="1"/>
    <col min="11016" max="11266" width="9.08984375" style="932"/>
    <col min="11267" max="11267" width="110.36328125" style="932" customWidth="1"/>
    <col min="11268" max="11268" width="43.54296875" style="932" customWidth="1"/>
    <col min="11269" max="11269" width="35.54296875" style="932" customWidth="1"/>
    <col min="11270" max="11270" width="36" style="932" customWidth="1"/>
    <col min="11271" max="11271" width="34.90625" style="932" customWidth="1"/>
    <col min="11272" max="11522" width="9.08984375" style="932"/>
    <col min="11523" max="11523" width="110.36328125" style="932" customWidth="1"/>
    <col min="11524" max="11524" width="43.54296875" style="932" customWidth="1"/>
    <col min="11525" max="11525" width="35.54296875" style="932" customWidth="1"/>
    <col min="11526" max="11526" width="36" style="932" customWidth="1"/>
    <col min="11527" max="11527" width="34.90625" style="932" customWidth="1"/>
    <col min="11528" max="11778" width="9.08984375" style="932"/>
    <col min="11779" max="11779" width="110.36328125" style="932" customWidth="1"/>
    <col min="11780" max="11780" width="43.54296875" style="932" customWidth="1"/>
    <col min="11781" max="11781" width="35.54296875" style="932" customWidth="1"/>
    <col min="11782" max="11782" width="36" style="932" customWidth="1"/>
    <col min="11783" max="11783" width="34.90625" style="932" customWidth="1"/>
    <col min="11784" max="12034" width="9.08984375" style="932"/>
    <col min="12035" max="12035" width="110.36328125" style="932" customWidth="1"/>
    <col min="12036" max="12036" width="43.54296875" style="932" customWidth="1"/>
    <col min="12037" max="12037" width="35.54296875" style="932" customWidth="1"/>
    <col min="12038" max="12038" width="36" style="932" customWidth="1"/>
    <col min="12039" max="12039" width="34.90625" style="932" customWidth="1"/>
    <col min="12040" max="12290" width="9.08984375" style="932"/>
    <col min="12291" max="12291" width="110.36328125" style="932" customWidth="1"/>
    <col min="12292" max="12292" width="43.54296875" style="932" customWidth="1"/>
    <col min="12293" max="12293" width="35.54296875" style="932" customWidth="1"/>
    <col min="12294" max="12294" width="36" style="932" customWidth="1"/>
    <col min="12295" max="12295" width="34.90625" style="932" customWidth="1"/>
    <col min="12296" max="12546" width="9.08984375" style="932"/>
    <col min="12547" max="12547" width="110.36328125" style="932" customWidth="1"/>
    <col min="12548" max="12548" width="43.54296875" style="932" customWidth="1"/>
    <col min="12549" max="12549" width="35.54296875" style="932" customWidth="1"/>
    <col min="12550" max="12550" width="36" style="932" customWidth="1"/>
    <col min="12551" max="12551" width="34.90625" style="932" customWidth="1"/>
    <col min="12552" max="12802" width="9.08984375" style="932"/>
    <col min="12803" max="12803" width="110.36328125" style="932" customWidth="1"/>
    <col min="12804" max="12804" width="43.54296875" style="932" customWidth="1"/>
    <col min="12805" max="12805" width="35.54296875" style="932" customWidth="1"/>
    <col min="12806" max="12806" width="36" style="932" customWidth="1"/>
    <col min="12807" max="12807" width="34.90625" style="932" customWidth="1"/>
    <col min="12808" max="13058" width="9.08984375" style="932"/>
    <col min="13059" max="13059" width="110.36328125" style="932" customWidth="1"/>
    <col min="13060" max="13060" width="43.54296875" style="932" customWidth="1"/>
    <col min="13061" max="13061" width="35.54296875" style="932" customWidth="1"/>
    <col min="13062" max="13062" width="36" style="932" customWidth="1"/>
    <col min="13063" max="13063" width="34.90625" style="932" customWidth="1"/>
    <col min="13064" max="13314" width="9.08984375" style="932"/>
    <col min="13315" max="13315" width="110.36328125" style="932" customWidth="1"/>
    <col min="13316" max="13316" width="43.54296875" style="932" customWidth="1"/>
    <col min="13317" max="13317" width="35.54296875" style="932" customWidth="1"/>
    <col min="13318" max="13318" width="36" style="932" customWidth="1"/>
    <col min="13319" max="13319" width="34.90625" style="932" customWidth="1"/>
    <col min="13320" max="13570" width="9.08984375" style="932"/>
    <col min="13571" max="13571" width="110.36328125" style="932" customWidth="1"/>
    <col min="13572" max="13572" width="43.54296875" style="932" customWidth="1"/>
    <col min="13573" max="13573" width="35.54296875" style="932" customWidth="1"/>
    <col min="13574" max="13574" width="36" style="932" customWidth="1"/>
    <col min="13575" max="13575" width="34.90625" style="932" customWidth="1"/>
    <col min="13576" max="13826" width="9.08984375" style="932"/>
    <col min="13827" max="13827" width="110.36328125" style="932" customWidth="1"/>
    <col min="13828" max="13828" width="43.54296875" style="932" customWidth="1"/>
    <col min="13829" max="13829" width="35.54296875" style="932" customWidth="1"/>
    <col min="13830" max="13830" width="36" style="932" customWidth="1"/>
    <col min="13831" max="13831" width="34.90625" style="932" customWidth="1"/>
    <col min="13832" max="14082" width="9.08984375" style="932"/>
    <col min="14083" max="14083" width="110.36328125" style="932" customWidth="1"/>
    <col min="14084" max="14084" width="43.54296875" style="932" customWidth="1"/>
    <col min="14085" max="14085" width="35.54296875" style="932" customWidth="1"/>
    <col min="14086" max="14086" width="36" style="932" customWidth="1"/>
    <col min="14087" max="14087" width="34.90625" style="932" customWidth="1"/>
    <col min="14088" max="14338" width="9.08984375" style="932"/>
    <col min="14339" max="14339" width="110.36328125" style="932" customWidth="1"/>
    <col min="14340" max="14340" width="43.54296875" style="932" customWidth="1"/>
    <col min="14341" max="14341" width="35.54296875" style="932" customWidth="1"/>
    <col min="14342" max="14342" width="36" style="932" customWidth="1"/>
    <col min="14343" max="14343" width="34.90625" style="932" customWidth="1"/>
    <col min="14344" max="14594" width="9.08984375" style="932"/>
    <col min="14595" max="14595" width="110.36328125" style="932" customWidth="1"/>
    <col min="14596" max="14596" width="43.54296875" style="932" customWidth="1"/>
    <col min="14597" max="14597" width="35.54296875" style="932" customWidth="1"/>
    <col min="14598" max="14598" width="36" style="932" customWidth="1"/>
    <col min="14599" max="14599" width="34.90625" style="932" customWidth="1"/>
    <col min="14600" max="14850" width="9.08984375" style="932"/>
    <col min="14851" max="14851" width="110.36328125" style="932" customWidth="1"/>
    <col min="14852" max="14852" width="43.54296875" style="932" customWidth="1"/>
    <col min="14853" max="14853" width="35.54296875" style="932" customWidth="1"/>
    <col min="14854" max="14854" width="36" style="932" customWidth="1"/>
    <col min="14855" max="14855" width="34.90625" style="932" customWidth="1"/>
    <col min="14856" max="15106" width="9.08984375" style="932"/>
    <col min="15107" max="15107" width="110.36328125" style="932" customWidth="1"/>
    <col min="15108" max="15108" width="43.54296875" style="932" customWidth="1"/>
    <col min="15109" max="15109" width="35.54296875" style="932" customWidth="1"/>
    <col min="15110" max="15110" width="36" style="932" customWidth="1"/>
    <col min="15111" max="15111" width="34.90625" style="932" customWidth="1"/>
    <col min="15112" max="15362" width="9.08984375" style="932"/>
    <col min="15363" max="15363" width="110.36328125" style="932" customWidth="1"/>
    <col min="15364" max="15364" width="43.54296875" style="932" customWidth="1"/>
    <col min="15365" max="15365" width="35.54296875" style="932" customWidth="1"/>
    <col min="15366" max="15366" width="36" style="932" customWidth="1"/>
    <col min="15367" max="15367" width="34.90625" style="932" customWidth="1"/>
    <col min="15368" max="15618" width="9.08984375" style="932"/>
    <col min="15619" max="15619" width="110.36328125" style="932" customWidth="1"/>
    <col min="15620" max="15620" width="43.54296875" style="932" customWidth="1"/>
    <col min="15621" max="15621" width="35.54296875" style="932" customWidth="1"/>
    <col min="15622" max="15622" width="36" style="932" customWidth="1"/>
    <col min="15623" max="15623" width="34.90625" style="932" customWidth="1"/>
    <col min="15624" max="15874" width="9.08984375" style="932"/>
    <col min="15875" max="15875" width="110.36328125" style="932" customWidth="1"/>
    <col min="15876" max="15876" width="43.54296875" style="932" customWidth="1"/>
    <col min="15877" max="15877" width="35.54296875" style="932" customWidth="1"/>
    <col min="15878" max="15878" width="36" style="932" customWidth="1"/>
    <col min="15879" max="15879" width="34.90625" style="932" customWidth="1"/>
    <col min="15880" max="16130" width="9.08984375" style="932"/>
    <col min="16131" max="16131" width="110.36328125" style="932" customWidth="1"/>
    <col min="16132" max="16132" width="43.54296875" style="932" customWidth="1"/>
    <col min="16133" max="16133" width="35.54296875" style="932" customWidth="1"/>
    <col min="16134" max="16134" width="36" style="932" customWidth="1"/>
    <col min="16135" max="16135" width="34.90625" style="932" customWidth="1"/>
    <col min="16136" max="16384" width="9.08984375" style="932"/>
  </cols>
  <sheetData>
    <row r="2" spans="2:7">
      <c r="B2" s="22"/>
      <c r="C2" s="891" t="str">
        <f>Index!B2</f>
        <v xml:space="preserve">      Maharashtra State Power Generation Company Ltd.</v>
      </c>
      <c r="D2" s="22"/>
      <c r="E2" s="22"/>
      <c r="F2" s="22"/>
      <c r="G2" s="22"/>
    </row>
    <row r="3" spans="2:7">
      <c r="B3" s="959"/>
      <c r="C3" s="930" t="s">
        <v>1049</v>
      </c>
      <c r="D3" s="959"/>
      <c r="E3" s="959"/>
      <c r="F3" s="959"/>
      <c r="G3" s="959"/>
    </row>
    <row r="4" spans="2:7">
      <c r="B4" s="959"/>
      <c r="C4" s="930" t="s">
        <v>1056</v>
      </c>
      <c r="D4" s="959"/>
      <c r="E4" s="959"/>
      <c r="F4" s="959"/>
      <c r="G4" s="959"/>
    </row>
    <row r="5" spans="2:7">
      <c r="B5" s="22"/>
      <c r="C5" s="930"/>
      <c r="D5" s="22"/>
      <c r="E5" s="22"/>
      <c r="F5" s="22"/>
      <c r="G5" s="21" t="s">
        <v>10</v>
      </c>
    </row>
    <row r="6" spans="2:7" s="963" customFormat="1" ht="61.5" customHeight="1">
      <c r="B6" s="960" t="s">
        <v>36</v>
      </c>
      <c r="C6" s="961" t="s">
        <v>1057</v>
      </c>
      <c r="D6" s="961" t="s">
        <v>1058</v>
      </c>
      <c r="E6" s="961" t="s">
        <v>1059</v>
      </c>
      <c r="F6" s="962" t="s">
        <v>1060</v>
      </c>
      <c r="G6" s="961" t="s">
        <v>1061</v>
      </c>
    </row>
    <row r="7" spans="2:7">
      <c r="B7" s="964" t="s">
        <v>1062</v>
      </c>
      <c r="C7" s="965"/>
      <c r="D7" s="965"/>
      <c r="E7" s="965"/>
      <c r="F7" s="965"/>
      <c r="G7" s="965"/>
    </row>
    <row r="8" spans="2:7">
      <c r="B8" s="966" t="s">
        <v>1063</v>
      </c>
      <c r="C8" s="965"/>
      <c r="D8" s="965"/>
      <c r="E8" s="965"/>
      <c r="F8" s="965"/>
      <c r="G8" s="965"/>
    </row>
    <row r="9" spans="2:7">
      <c r="B9" s="966" t="s">
        <v>1064</v>
      </c>
      <c r="C9" s="965"/>
      <c r="D9" s="965"/>
      <c r="E9" s="965"/>
      <c r="F9" s="965"/>
      <c r="G9" s="965"/>
    </row>
    <row r="10" spans="2:7">
      <c r="B10" s="966" t="s">
        <v>1060</v>
      </c>
      <c r="C10" s="965"/>
      <c r="D10" s="965"/>
      <c r="E10" s="965"/>
      <c r="F10" s="965"/>
      <c r="G10" s="965"/>
    </row>
    <row r="11" spans="2:7">
      <c r="B11" s="964" t="s">
        <v>1065</v>
      </c>
      <c r="C11" s="965"/>
      <c r="D11" s="965"/>
      <c r="E11" s="965"/>
      <c r="F11" s="965"/>
      <c r="G11" s="965"/>
    </row>
    <row r="12" spans="2:7">
      <c r="B12" s="966"/>
      <c r="C12" s="965"/>
      <c r="D12" s="965"/>
      <c r="E12" s="965"/>
      <c r="F12" s="965"/>
      <c r="G12" s="965"/>
    </row>
    <row r="13" spans="2:7">
      <c r="B13" s="964" t="s">
        <v>1066</v>
      </c>
      <c r="C13" s="965"/>
      <c r="D13" s="965"/>
      <c r="E13" s="965"/>
      <c r="F13" s="965"/>
      <c r="G13" s="965"/>
    </row>
    <row r="14" spans="2:7">
      <c r="B14" s="966" t="s">
        <v>1063</v>
      </c>
      <c r="C14" s="965"/>
      <c r="D14" s="965"/>
      <c r="E14" s="965"/>
      <c r="F14" s="965"/>
      <c r="G14" s="965"/>
    </row>
    <row r="15" spans="2:7">
      <c r="B15" s="966" t="s">
        <v>1064</v>
      </c>
      <c r="C15" s="965"/>
      <c r="D15" s="965"/>
      <c r="E15" s="965"/>
      <c r="F15" s="965"/>
      <c r="G15" s="965"/>
    </row>
    <row r="16" spans="2:7">
      <c r="B16" s="966" t="s">
        <v>1060</v>
      </c>
      <c r="C16" s="965"/>
      <c r="D16" s="965"/>
      <c r="E16" s="965"/>
      <c r="F16" s="965"/>
      <c r="G16" s="965"/>
    </row>
    <row r="17" spans="2:7">
      <c r="B17" s="964" t="s">
        <v>1067</v>
      </c>
      <c r="C17" s="965"/>
      <c r="D17" s="965"/>
      <c r="E17" s="965"/>
      <c r="F17" s="965"/>
      <c r="G17" s="965"/>
    </row>
    <row r="18" spans="2:7">
      <c r="B18" s="966"/>
      <c r="C18" s="965"/>
      <c r="D18" s="965"/>
      <c r="E18" s="965"/>
      <c r="F18" s="965"/>
      <c r="G18" s="965"/>
    </row>
    <row r="19" spans="2:7">
      <c r="B19" s="964" t="s">
        <v>1068</v>
      </c>
      <c r="C19" s="965"/>
      <c r="D19" s="965"/>
      <c r="E19" s="965"/>
      <c r="F19" s="965"/>
      <c r="G19" s="965"/>
    </row>
    <row r="21" spans="2:7">
      <c r="B21" s="932" t="s">
        <v>1069</v>
      </c>
    </row>
    <row r="29" spans="2:7" ht="29.4" customHeight="1">
      <c r="C29" s="958"/>
    </row>
  </sheetData>
  <printOptions horizontalCentered="1"/>
  <pageMargins left="1.14173228346457" right="0.35433070866141703" top="1.0629921259842501" bottom="0.98425196850393704" header="0.31496062992126" footer="0.31496062992126"/>
  <pageSetup paperSize="9" scale="7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V155"/>
  <sheetViews>
    <sheetView showGridLines="0" view="pageBreakPreview" zoomScale="96" zoomScaleNormal="68" zoomScaleSheetLayoutView="96" workbookViewId="0">
      <selection activeCell="H2" sqref="H2"/>
    </sheetView>
  </sheetViews>
  <sheetFormatPr defaultColWidth="9.08984375" defaultRowHeight="14"/>
  <cols>
    <col min="1" max="1" width="14.54296875" style="970" customWidth="1"/>
    <col min="2" max="2" width="14.453125" style="967" customWidth="1"/>
    <col min="3" max="3" width="58.08984375" style="975" customWidth="1"/>
    <col min="4" max="17" width="15.36328125" style="970" customWidth="1"/>
    <col min="18" max="18" width="16.08984375" style="970" customWidth="1"/>
    <col min="19" max="19" width="15.36328125" style="970" customWidth="1"/>
    <col min="20" max="20" width="15.36328125" style="971" customWidth="1"/>
    <col min="21" max="21" width="15.36328125" style="972" customWidth="1"/>
    <col min="22" max="22" width="19.453125" style="970" customWidth="1"/>
    <col min="23" max="259" width="9.08984375" style="970"/>
    <col min="260" max="260" width="14.54296875" style="970" customWidth="1"/>
    <col min="261" max="261" width="14.453125" style="970" customWidth="1"/>
    <col min="262" max="262" width="58.08984375" style="970" customWidth="1"/>
    <col min="263" max="263" width="30.453125" style="970" customWidth="1"/>
    <col min="264" max="264" width="27.36328125" style="970" customWidth="1"/>
    <col min="265" max="265" width="30.90625" style="970" customWidth="1"/>
    <col min="266" max="266" width="24.90625" style="970" customWidth="1"/>
    <col min="267" max="267" width="27.36328125" style="970" customWidth="1"/>
    <col min="268" max="268" width="32" style="970" customWidth="1"/>
    <col min="269" max="269" width="25.54296875" style="970" customWidth="1"/>
    <col min="270" max="270" width="27.36328125" style="970" customWidth="1"/>
    <col min="271" max="271" width="31.453125" style="970" customWidth="1"/>
    <col min="272" max="272" width="30.54296875" style="970" customWidth="1"/>
    <col min="273" max="273" width="27.36328125" style="970" customWidth="1"/>
    <col min="274" max="274" width="32.54296875" style="970" customWidth="1"/>
    <col min="275" max="275" width="30.453125" style="970" customWidth="1"/>
    <col min="276" max="276" width="24.36328125" style="970" customWidth="1"/>
    <col min="277" max="277" width="28" style="970" customWidth="1"/>
    <col min="278" max="278" width="19.453125" style="970" customWidth="1"/>
    <col min="279" max="515" width="9.08984375" style="970"/>
    <col min="516" max="516" width="14.54296875" style="970" customWidth="1"/>
    <col min="517" max="517" width="14.453125" style="970" customWidth="1"/>
    <col min="518" max="518" width="58.08984375" style="970" customWidth="1"/>
    <col min="519" max="519" width="30.453125" style="970" customWidth="1"/>
    <col min="520" max="520" width="27.36328125" style="970" customWidth="1"/>
    <col min="521" max="521" width="30.90625" style="970" customWidth="1"/>
    <col min="522" max="522" width="24.90625" style="970" customWidth="1"/>
    <col min="523" max="523" width="27.36328125" style="970" customWidth="1"/>
    <col min="524" max="524" width="32" style="970" customWidth="1"/>
    <col min="525" max="525" width="25.54296875" style="970" customWidth="1"/>
    <col min="526" max="526" width="27.36328125" style="970" customWidth="1"/>
    <col min="527" max="527" width="31.453125" style="970" customWidth="1"/>
    <col min="528" max="528" width="30.54296875" style="970" customWidth="1"/>
    <col min="529" max="529" width="27.36328125" style="970" customWidth="1"/>
    <col min="530" max="530" width="32.54296875" style="970" customWidth="1"/>
    <col min="531" max="531" width="30.453125" style="970" customWidth="1"/>
    <col min="532" max="532" width="24.36328125" style="970" customWidth="1"/>
    <col min="533" max="533" width="28" style="970" customWidth="1"/>
    <col min="534" max="534" width="19.453125" style="970" customWidth="1"/>
    <col min="535" max="771" width="9.08984375" style="970"/>
    <col min="772" max="772" width="14.54296875" style="970" customWidth="1"/>
    <col min="773" max="773" width="14.453125" style="970" customWidth="1"/>
    <col min="774" max="774" width="58.08984375" style="970" customWidth="1"/>
    <col min="775" max="775" width="30.453125" style="970" customWidth="1"/>
    <col min="776" max="776" width="27.36328125" style="970" customWidth="1"/>
    <col min="777" max="777" width="30.90625" style="970" customWidth="1"/>
    <col min="778" max="778" width="24.90625" style="970" customWidth="1"/>
    <col min="779" max="779" width="27.36328125" style="970" customWidth="1"/>
    <col min="780" max="780" width="32" style="970" customWidth="1"/>
    <col min="781" max="781" width="25.54296875" style="970" customWidth="1"/>
    <col min="782" max="782" width="27.36328125" style="970" customWidth="1"/>
    <col min="783" max="783" width="31.453125" style="970" customWidth="1"/>
    <col min="784" max="784" width="30.54296875" style="970" customWidth="1"/>
    <col min="785" max="785" width="27.36328125" style="970" customWidth="1"/>
    <col min="786" max="786" width="32.54296875" style="970" customWidth="1"/>
    <col min="787" max="787" width="30.453125" style="970" customWidth="1"/>
    <col min="788" max="788" width="24.36328125" style="970" customWidth="1"/>
    <col min="789" max="789" width="28" style="970" customWidth="1"/>
    <col min="790" max="790" width="19.453125" style="970" customWidth="1"/>
    <col min="791" max="1027" width="9.08984375" style="970"/>
    <col min="1028" max="1028" width="14.54296875" style="970" customWidth="1"/>
    <col min="1029" max="1029" width="14.453125" style="970" customWidth="1"/>
    <col min="1030" max="1030" width="58.08984375" style="970" customWidth="1"/>
    <col min="1031" max="1031" width="30.453125" style="970" customWidth="1"/>
    <col min="1032" max="1032" width="27.36328125" style="970" customWidth="1"/>
    <col min="1033" max="1033" width="30.90625" style="970" customWidth="1"/>
    <col min="1034" max="1034" width="24.90625" style="970" customWidth="1"/>
    <col min="1035" max="1035" width="27.36328125" style="970" customWidth="1"/>
    <col min="1036" max="1036" width="32" style="970" customWidth="1"/>
    <col min="1037" max="1037" width="25.54296875" style="970" customWidth="1"/>
    <col min="1038" max="1038" width="27.36328125" style="970" customWidth="1"/>
    <col min="1039" max="1039" width="31.453125" style="970" customWidth="1"/>
    <col min="1040" max="1040" width="30.54296875" style="970" customWidth="1"/>
    <col min="1041" max="1041" width="27.36328125" style="970" customWidth="1"/>
    <col min="1042" max="1042" width="32.54296875" style="970" customWidth="1"/>
    <col min="1043" max="1043" width="30.453125" style="970" customWidth="1"/>
    <col min="1044" max="1044" width="24.36328125" style="970" customWidth="1"/>
    <col min="1045" max="1045" width="28" style="970" customWidth="1"/>
    <col min="1046" max="1046" width="19.453125" style="970" customWidth="1"/>
    <col min="1047" max="1283" width="9.08984375" style="970"/>
    <col min="1284" max="1284" width="14.54296875" style="970" customWidth="1"/>
    <col min="1285" max="1285" width="14.453125" style="970" customWidth="1"/>
    <col min="1286" max="1286" width="58.08984375" style="970" customWidth="1"/>
    <col min="1287" max="1287" width="30.453125" style="970" customWidth="1"/>
    <col min="1288" max="1288" width="27.36328125" style="970" customWidth="1"/>
    <col min="1289" max="1289" width="30.90625" style="970" customWidth="1"/>
    <col min="1290" max="1290" width="24.90625" style="970" customWidth="1"/>
    <col min="1291" max="1291" width="27.36328125" style="970" customWidth="1"/>
    <col min="1292" max="1292" width="32" style="970" customWidth="1"/>
    <col min="1293" max="1293" width="25.54296875" style="970" customWidth="1"/>
    <col min="1294" max="1294" width="27.36328125" style="970" customWidth="1"/>
    <col min="1295" max="1295" width="31.453125" style="970" customWidth="1"/>
    <col min="1296" max="1296" width="30.54296875" style="970" customWidth="1"/>
    <col min="1297" max="1297" width="27.36328125" style="970" customWidth="1"/>
    <col min="1298" max="1298" width="32.54296875" style="970" customWidth="1"/>
    <col min="1299" max="1299" width="30.453125" style="970" customWidth="1"/>
    <col min="1300" max="1300" width="24.36328125" style="970" customWidth="1"/>
    <col min="1301" max="1301" width="28" style="970" customWidth="1"/>
    <col min="1302" max="1302" width="19.453125" style="970" customWidth="1"/>
    <col min="1303" max="1539" width="9.08984375" style="970"/>
    <col min="1540" max="1540" width="14.54296875" style="970" customWidth="1"/>
    <col min="1541" max="1541" width="14.453125" style="970" customWidth="1"/>
    <col min="1542" max="1542" width="58.08984375" style="970" customWidth="1"/>
    <col min="1543" max="1543" width="30.453125" style="970" customWidth="1"/>
    <col min="1544" max="1544" width="27.36328125" style="970" customWidth="1"/>
    <col min="1545" max="1545" width="30.90625" style="970" customWidth="1"/>
    <col min="1546" max="1546" width="24.90625" style="970" customWidth="1"/>
    <col min="1547" max="1547" width="27.36328125" style="970" customWidth="1"/>
    <col min="1548" max="1548" width="32" style="970" customWidth="1"/>
    <col min="1549" max="1549" width="25.54296875" style="970" customWidth="1"/>
    <col min="1550" max="1550" width="27.36328125" style="970" customWidth="1"/>
    <col min="1551" max="1551" width="31.453125" style="970" customWidth="1"/>
    <col min="1552" max="1552" width="30.54296875" style="970" customWidth="1"/>
    <col min="1553" max="1553" width="27.36328125" style="970" customWidth="1"/>
    <col min="1554" max="1554" width="32.54296875" style="970" customWidth="1"/>
    <col min="1555" max="1555" width="30.453125" style="970" customWidth="1"/>
    <col min="1556" max="1556" width="24.36328125" style="970" customWidth="1"/>
    <col min="1557" max="1557" width="28" style="970" customWidth="1"/>
    <col min="1558" max="1558" width="19.453125" style="970" customWidth="1"/>
    <col min="1559" max="1795" width="9.08984375" style="970"/>
    <col min="1796" max="1796" width="14.54296875" style="970" customWidth="1"/>
    <col min="1797" max="1797" width="14.453125" style="970" customWidth="1"/>
    <col min="1798" max="1798" width="58.08984375" style="970" customWidth="1"/>
    <col min="1799" max="1799" width="30.453125" style="970" customWidth="1"/>
    <col min="1800" max="1800" width="27.36328125" style="970" customWidth="1"/>
    <col min="1801" max="1801" width="30.90625" style="970" customWidth="1"/>
    <col min="1802" max="1802" width="24.90625" style="970" customWidth="1"/>
    <col min="1803" max="1803" width="27.36328125" style="970" customWidth="1"/>
    <col min="1804" max="1804" width="32" style="970" customWidth="1"/>
    <col min="1805" max="1805" width="25.54296875" style="970" customWidth="1"/>
    <col min="1806" max="1806" width="27.36328125" style="970" customWidth="1"/>
    <col min="1807" max="1807" width="31.453125" style="970" customWidth="1"/>
    <col min="1808" max="1808" width="30.54296875" style="970" customWidth="1"/>
    <col min="1809" max="1809" width="27.36328125" style="970" customWidth="1"/>
    <col min="1810" max="1810" width="32.54296875" style="970" customWidth="1"/>
    <col min="1811" max="1811" width="30.453125" style="970" customWidth="1"/>
    <col min="1812" max="1812" width="24.36328125" style="970" customWidth="1"/>
    <col min="1813" max="1813" width="28" style="970" customWidth="1"/>
    <col min="1814" max="1814" width="19.453125" style="970" customWidth="1"/>
    <col min="1815" max="2051" width="9.08984375" style="970"/>
    <col min="2052" max="2052" width="14.54296875" style="970" customWidth="1"/>
    <col min="2053" max="2053" width="14.453125" style="970" customWidth="1"/>
    <col min="2054" max="2054" width="58.08984375" style="970" customWidth="1"/>
    <col min="2055" max="2055" width="30.453125" style="970" customWidth="1"/>
    <col min="2056" max="2056" width="27.36328125" style="970" customWidth="1"/>
    <col min="2057" max="2057" width="30.90625" style="970" customWidth="1"/>
    <col min="2058" max="2058" width="24.90625" style="970" customWidth="1"/>
    <col min="2059" max="2059" width="27.36328125" style="970" customWidth="1"/>
    <col min="2060" max="2060" width="32" style="970" customWidth="1"/>
    <col min="2061" max="2061" width="25.54296875" style="970" customWidth="1"/>
    <col min="2062" max="2062" width="27.36328125" style="970" customWidth="1"/>
    <col min="2063" max="2063" width="31.453125" style="970" customWidth="1"/>
    <col min="2064" max="2064" width="30.54296875" style="970" customWidth="1"/>
    <col min="2065" max="2065" width="27.36328125" style="970" customWidth="1"/>
    <col min="2066" max="2066" width="32.54296875" style="970" customWidth="1"/>
    <col min="2067" max="2067" width="30.453125" style="970" customWidth="1"/>
    <col min="2068" max="2068" width="24.36328125" style="970" customWidth="1"/>
    <col min="2069" max="2069" width="28" style="970" customWidth="1"/>
    <col min="2070" max="2070" width="19.453125" style="970" customWidth="1"/>
    <col min="2071" max="2307" width="9.08984375" style="970"/>
    <col min="2308" max="2308" width="14.54296875" style="970" customWidth="1"/>
    <col min="2309" max="2309" width="14.453125" style="970" customWidth="1"/>
    <col min="2310" max="2310" width="58.08984375" style="970" customWidth="1"/>
    <col min="2311" max="2311" width="30.453125" style="970" customWidth="1"/>
    <col min="2312" max="2312" width="27.36328125" style="970" customWidth="1"/>
    <col min="2313" max="2313" width="30.90625" style="970" customWidth="1"/>
    <col min="2314" max="2314" width="24.90625" style="970" customWidth="1"/>
    <col min="2315" max="2315" width="27.36328125" style="970" customWidth="1"/>
    <col min="2316" max="2316" width="32" style="970" customWidth="1"/>
    <col min="2317" max="2317" width="25.54296875" style="970" customWidth="1"/>
    <col min="2318" max="2318" width="27.36328125" style="970" customWidth="1"/>
    <col min="2319" max="2319" width="31.453125" style="970" customWidth="1"/>
    <col min="2320" max="2320" width="30.54296875" style="970" customWidth="1"/>
    <col min="2321" max="2321" width="27.36328125" style="970" customWidth="1"/>
    <col min="2322" max="2322" width="32.54296875" style="970" customWidth="1"/>
    <col min="2323" max="2323" width="30.453125" style="970" customWidth="1"/>
    <col min="2324" max="2324" width="24.36328125" style="970" customWidth="1"/>
    <col min="2325" max="2325" width="28" style="970" customWidth="1"/>
    <col min="2326" max="2326" width="19.453125" style="970" customWidth="1"/>
    <col min="2327" max="2563" width="9.08984375" style="970"/>
    <col min="2564" max="2564" width="14.54296875" style="970" customWidth="1"/>
    <col min="2565" max="2565" width="14.453125" style="970" customWidth="1"/>
    <col min="2566" max="2566" width="58.08984375" style="970" customWidth="1"/>
    <col min="2567" max="2567" width="30.453125" style="970" customWidth="1"/>
    <col min="2568" max="2568" width="27.36328125" style="970" customWidth="1"/>
    <col min="2569" max="2569" width="30.90625" style="970" customWidth="1"/>
    <col min="2570" max="2570" width="24.90625" style="970" customWidth="1"/>
    <col min="2571" max="2571" width="27.36328125" style="970" customWidth="1"/>
    <col min="2572" max="2572" width="32" style="970" customWidth="1"/>
    <col min="2573" max="2573" width="25.54296875" style="970" customWidth="1"/>
    <col min="2574" max="2574" width="27.36328125" style="970" customWidth="1"/>
    <col min="2575" max="2575" width="31.453125" style="970" customWidth="1"/>
    <col min="2576" max="2576" width="30.54296875" style="970" customWidth="1"/>
    <col min="2577" max="2577" width="27.36328125" style="970" customWidth="1"/>
    <col min="2578" max="2578" width="32.54296875" style="970" customWidth="1"/>
    <col min="2579" max="2579" width="30.453125" style="970" customWidth="1"/>
    <col min="2580" max="2580" width="24.36328125" style="970" customWidth="1"/>
    <col min="2581" max="2581" width="28" style="970" customWidth="1"/>
    <col min="2582" max="2582" width="19.453125" style="970" customWidth="1"/>
    <col min="2583" max="2819" width="9.08984375" style="970"/>
    <col min="2820" max="2820" width="14.54296875" style="970" customWidth="1"/>
    <col min="2821" max="2821" width="14.453125" style="970" customWidth="1"/>
    <col min="2822" max="2822" width="58.08984375" style="970" customWidth="1"/>
    <col min="2823" max="2823" width="30.453125" style="970" customWidth="1"/>
    <col min="2824" max="2824" width="27.36328125" style="970" customWidth="1"/>
    <col min="2825" max="2825" width="30.90625" style="970" customWidth="1"/>
    <col min="2826" max="2826" width="24.90625" style="970" customWidth="1"/>
    <col min="2827" max="2827" width="27.36328125" style="970" customWidth="1"/>
    <col min="2828" max="2828" width="32" style="970" customWidth="1"/>
    <col min="2829" max="2829" width="25.54296875" style="970" customWidth="1"/>
    <col min="2830" max="2830" width="27.36328125" style="970" customWidth="1"/>
    <col min="2831" max="2831" width="31.453125" style="970" customWidth="1"/>
    <col min="2832" max="2832" width="30.54296875" style="970" customWidth="1"/>
    <col min="2833" max="2833" width="27.36328125" style="970" customWidth="1"/>
    <col min="2834" max="2834" width="32.54296875" style="970" customWidth="1"/>
    <col min="2835" max="2835" width="30.453125" style="970" customWidth="1"/>
    <col min="2836" max="2836" width="24.36328125" style="970" customWidth="1"/>
    <col min="2837" max="2837" width="28" style="970" customWidth="1"/>
    <col min="2838" max="2838" width="19.453125" style="970" customWidth="1"/>
    <col min="2839" max="3075" width="9.08984375" style="970"/>
    <col min="3076" max="3076" width="14.54296875" style="970" customWidth="1"/>
    <col min="3077" max="3077" width="14.453125" style="970" customWidth="1"/>
    <col min="3078" max="3078" width="58.08984375" style="970" customWidth="1"/>
    <col min="3079" max="3079" width="30.453125" style="970" customWidth="1"/>
    <col min="3080" max="3080" width="27.36328125" style="970" customWidth="1"/>
    <col min="3081" max="3081" width="30.90625" style="970" customWidth="1"/>
    <col min="3082" max="3082" width="24.90625" style="970" customWidth="1"/>
    <col min="3083" max="3083" width="27.36328125" style="970" customWidth="1"/>
    <col min="3084" max="3084" width="32" style="970" customWidth="1"/>
    <col min="3085" max="3085" width="25.54296875" style="970" customWidth="1"/>
    <col min="3086" max="3086" width="27.36328125" style="970" customWidth="1"/>
    <col min="3087" max="3087" width="31.453125" style="970" customWidth="1"/>
    <col min="3088" max="3088" width="30.54296875" style="970" customWidth="1"/>
    <col min="3089" max="3089" width="27.36328125" style="970" customWidth="1"/>
    <col min="3090" max="3090" width="32.54296875" style="970" customWidth="1"/>
    <col min="3091" max="3091" width="30.453125" style="970" customWidth="1"/>
    <col min="3092" max="3092" width="24.36328125" style="970" customWidth="1"/>
    <col min="3093" max="3093" width="28" style="970" customWidth="1"/>
    <col min="3094" max="3094" width="19.453125" style="970" customWidth="1"/>
    <col min="3095" max="3331" width="9.08984375" style="970"/>
    <col min="3332" max="3332" width="14.54296875" style="970" customWidth="1"/>
    <col min="3333" max="3333" width="14.453125" style="970" customWidth="1"/>
    <col min="3334" max="3334" width="58.08984375" style="970" customWidth="1"/>
    <col min="3335" max="3335" width="30.453125" style="970" customWidth="1"/>
    <col min="3336" max="3336" width="27.36328125" style="970" customWidth="1"/>
    <col min="3337" max="3337" width="30.90625" style="970" customWidth="1"/>
    <col min="3338" max="3338" width="24.90625" style="970" customWidth="1"/>
    <col min="3339" max="3339" width="27.36328125" style="970" customWidth="1"/>
    <col min="3340" max="3340" width="32" style="970" customWidth="1"/>
    <col min="3341" max="3341" width="25.54296875" style="970" customWidth="1"/>
    <col min="3342" max="3342" width="27.36328125" style="970" customWidth="1"/>
    <col min="3343" max="3343" width="31.453125" style="970" customWidth="1"/>
    <col min="3344" max="3344" width="30.54296875" style="970" customWidth="1"/>
    <col min="3345" max="3345" width="27.36328125" style="970" customWidth="1"/>
    <col min="3346" max="3346" width="32.54296875" style="970" customWidth="1"/>
    <col min="3347" max="3347" width="30.453125" style="970" customWidth="1"/>
    <col min="3348" max="3348" width="24.36328125" style="970" customWidth="1"/>
    <col min="3349" max="3349" width="28" style="970" customWidth="1"/>
    <col min="3350" max="3350" width="19.453125" style="970" customWidth="1"/>
    <col min="3351" max="3587" width="9.08984375" style="970"/>
    <col min="3588" max="3588" width="14.54296875" style="970" customWidth="1"/>
    <col min="3589" max="3589" width="14.453125" style="970" customWidth="1"/>
    <col min="3590" max="3590" width="58.08984375" style="970" customWidth="1"/>
    <col min="3591" max="3591" width="30.453125" style="970" customWidth="1"/>
    <col min="3592" max="3592" width="27.36328125" style="970" customWidth="1"/>
    <col min="3593" max="3593" width="30.90625" style="970" customWidth="1"/>
    <col min="3594" max="3594" width="24.90625" style="970" customWidth="1"/>
    <col min="3595" max="3595" width="27.36328125" style="970" customWidth="1"/>
    <col min="3596" max="3596" width="32" style="970" customWidth="1"/>
    <col min="3597" max="3597" width="25.54296875" style="970" customWidth="1"/>
    <col min="3598" max="3598" width="27.36328125" style="970" customWidth="1"/>
    <col min="3599" max="3599" width="31.453125" style="970" customWidth="1"/>
    <col min="3600" max="3600" width="30.54296875" style="970" customWidth="1"/>
    <col min="3601" max="3601" width="27.36328125" style="970" customWidth="1"/>
    <col min="3602" max="3602" width="32.54296875" style="970" customWidth="1"/>
    <col min="3603" max="3603" width="30.453125" style="970" customWidth="1"/>
    <col min="3604" max="3604" width="24.36328125" style="970" customWidth="1"/>
    <col min="3605" max="3605" width="28" style="970" customWidth="1"/>
    <col min="3606" max="3606" width="19.453125" style="970" customWidth="1"/>
    <col min="3607" max="3843" width="9.08984375" style="970"/>
    <col min="3844" max="3844" width="14.54296875" style="970" customWidth="1"/>
    <col min="3845" max="3845" width="14.453125" style="970" customWidth="1"/>
    <col min="3846" max="3846" width="58.08984375" style="970" customWidth="1"/>
    <col min="3847" max="3847" width="30.453125" style="970" customWidth="1"/>
    <col min="3848" max="3848" width="27.36328125" style="970" customWidth="1"/>
    <col min="3849" max="3849" width="30.90625" style="970" customWidth="1"/>
    <col min="3850" max="3850" width="24.90625" style="970" customWidth="1"/>
    <col min="3851" max="3851" width="27.36328125" style="970" customWidth="1"/>
    <col min="3852" max="3852" width="32" style="970" customWidth="1"/>
    <col min="3853" max="3853" width="25.54296875" style="970" customWidth="1"/>
    <col min="3854" max="3854" width="27.36328125" style="970" customWidth="1"/>
    <col min="3855" max="3855" width="31.453125" style="970" customWidth="1"/>
    <col min="3856" max="3856" width="30.54296875" style="970" customWidth="1"/>
    <col min="3857" max="3857" width="27.36328125" style="970" customWidth="1"/>
    <col min="3858" max="3858" width="32.54296875" style="970" customWidth="1"/>
    <col min="3859" max="3859" width="30.453125" style="970" customWidth="1"/>
    <col min="3860" max="3860" width="24.36328125" style="970" customWidth="1"/>
    <col min="3861" max="3861" width="28" style="970" customWidth="1"/>
    <col min="3862" max="3862" width="19.453125" style="970" customWidth="1"/>
    <col min="3863" max="4099" width="9.08984375" style="970"/>
    <col min="4100" max="4100" width="14.54296875" style="970" customWidth="1"/>
    <col min="4101" max="4101" width="14.453125" style="970" customWidth="1"/>
    <col min="4102" max="4102" width="58.08984375" style="970" customWidth="1"/>
    <col min="4103" max="4103" width="30.453125" style="970" customWidth="1"/>
    <col min="4104" max="4104" width="27.36328125" style="970" customWidth="1"/>
    <col min="4105" max="4105" width="30.90625" style="970" customWidth="1"/>
    <col min="4106" max="4106" width="24.90625" style="970" customWidth="1"/>
    <col min="4107" max="4107" width="27.36328125" style="970" customWidth="1"/>
    <col min="4108" max="4108" width="32" style="970" customWidth="1"/>
    <col min="4109" max="4109" width="25.54296875" style="970" customWidth="1"/>
    <col min="4110" max="4110" width="27.36328125" style="970" customWidth="1"/>
    <col min="4111" max="4111" width="31.453125" style="970" customWidth="1"/>
    <col min="4112" max="4112" width="30.54296875" style="970" customWidth="1"/>
    <col min="4113" max="4113" width="27.36328125" style="970" customWidth="1"/>
    <col min="4114" max="4114" width="32.54296875" style="970" customWidth="1"/>
    <col min="4115" max="4115" width="30.453125" style="970" customWidth="1"/>
    <col min="4116" max="4116" width="24.36328125" style="970" customWidth="1"/>
    <col min="4117" max="4117" width="28" style="970" customWidth="1"/>
    <col min="4118" max="4118" width="19.453125" style="970" customWidth="1"/>
    <col min="4119" max="4355" width="9.08984375" style="970"/>
    <col min="4356" max="4356" width="14.54296875" style="970" customWidth="1"/>
    <col min="4357" max="4357" width="14.453125" style="970" customWidth="1"/>
    <col min="4358" max="4358" width="58.08984375" style="970" customWidth="1"/>
    <col min="4359" max="4359" width="30.453125" style="970" customWidth="1"/>
    <col min="4360" max="4360" width="27.36328125" style="970" customWidth="1"/>
    <col min="4361" max="4361" width="30.90625" style="970" customWidth="1"/>
    <col min="4362" max="4362" width="24.90625" style="970" customWidth="1"/>
    <col min="4363" max="4363" width="27.36328125" style="970" customWidth="1"/>
    <col min="4364" max="4364" width="32" style="970" customWidth="1"/>
    <col min="4365" max="4365" width="25.54296875" style="970" customWidth="1"/>
    <col min="4366" max="4366" width="27.36328125" style="970" customWidth="1"/>
    <col min="4367" max="4367" width="31.453125" style="970" customWidth="1"/>
    <col min="4368" max="4368" width="30.54296875" style="970" customWidth="1"/>
    <col min="4369" max="4369" width="27.36328125" style="970" customWidth="1"/>
    <col min="4370" max="4370" width="32.54296875" style="970" customWidth="1"/>
    <col min="4371" max="4371" width="30.453125" style="970" customWidth="1"/>
    <col min="4372" max="4372" width="24.36328125" style="970" customWidth="1"/>
    <col min="4373" max="4373" width="28" style="970" customWidth="1"/>
    <col min="4374" max="4374" width="19.453125" style="970" customWidth="1"/>
    <col min="4375" max="4611" width="9.08984375" style="970"/>
    <col min="4612" max="4612" width="14.54296875" style="970" customWidth="1"/>
    <col min="4613" max="4613" width="14.453125" style="970" customWidth="1"/>
    <col min="4614" max="4614" width="58.08984375" style="970" customWidth="1"/>
    <col min="4615" max="4615" width="30.453125" style="970" customWidth="1"/>
    <col min="4616" max="4616" width="27.36328125" style="970" customWidth="1"/>
    <col min="4617" max="4617" width="30.90625" style="970" customWidth="1"/>
    <col min="4618" max="4618" width="24.90625" style="970" customWidth="1"/>
    <col min="4619" max="4619" width="27.36328125" style="970" customWidth="1"/>
    <col min="4620" max="4620" width="32" style="970" customWidth="1"/>
    <col min="4621" max="4621" width="25.54296875" style="970" customWidth="1"/>
    <col min="4622" max="4622" width="27.36328125" style="970" customWidth="1"/>
    <col min="4623" max="4623" width="31.453125" style="970" customWidth="1"/>
    <col min="4624" max="4624" width="30.54296875" style="970" customWidth="1"/>
    <col min="4625" max="4625" width="27.36328125" style="970" customWidth="1"/>
    <col min="4626" max="4626" width="32.54296875" style="970" customWidth="1"/>
    <col min="4627" max="4627" width="30.453125" style="970" customWidth="1"/>
    <col min="4628" max="4628" width="24.36328125" style="970" customWidth="1"/>
    <col min="4629" max="4629" width="28" style="970" customWidth="1"/>
    <col min="4630" max="4630" width="19.453125" style="970" customWidth="1"/>
    <col min="4631" max="4867" width="9.08984375" style="970"/>
    <col min="4868" max="4868" width="14.54296875" style="970" customWidth="1"/>
    <col min="4869" max="4869" width="14.453125" style="970" customWidth="1"/>
    <col min="4870" max="4870" width="58.08984375" style="970" customWidth="1"/>
    <col min="4871" max="4871" width="30.453125" style="970" customWidth="1"/>
    <col min="4872" max="4872" width="27.36328125" style="970" customWidth="1"/>
    <col min="4873" max="4873" width="30.90625" style="970" customWidth="1"/>
    <col min="4874" max="4874" width="24.90625" style="970" customWidth="1"/>
    <col min="4875" max="4875" width="27.36328125" style="970" customWidth="1"/>
    <col min="4876" max="4876" width="32" style="970" customWidth="1"/>
    <col min="4877" max="4877" width="25.54296875" style="970" customWidth="1"/>
    <col min="4878" max="4878" width="27.36328125" style="970" customWidth="1"/>
    <col min="4879" max="4879" width="31.453125" style="970" customWidth="1"/>
    <col min="4880" max="4880" width="30.54296875" style="970" customWidth="1"/>
    <col min="4881" max="4881" width="27.36328125" style="970" customWidth="1"/>
    <col min="4882" max="4882" width="32.54296875" style="970" customWidth="1"/>
    <col min="4883" max="4883" width="30.453125" style="970" customWidth="1"/>
    <col min="4884" max="4884" width="24.36328125" style="970" customWidth="1"/>
    <col min="4885" max="4885" width="28" style="970" customWidth="1"/>
    <col min="4886" max="4886" width="19.453125" style="970" customWidth="1"/>
    <col min="4887" max="5123" width="9.08984375" style="970"/>
    <col min="5124" max="5124" width="14.54296875" style="970" customWidth="1"/>
    <col min="5125" max="5125" width="14.453125" style="970" customWidth="1"/>
    <col min="5126" max="5126" width="58.08984375" style="970" customWidth="1"/>
    <col min="5127" max="5127" width="30.453125" style="970" customWidth="1"/>
    <col min="5128" max="5128" width="27.36328125" style="970" customWidth="1"/>
    <col min="5129" max="5129" width="30.90625" style="970" customWidth="1"/>
    <col min="5130" max="5130" width="24.90625" style="970" customWidth="1"/>
    <col min="5131" max="5131" width="27.36328125" style="970" customWidth="1"/>
    <col min="5132" max="5132" width="32" style="970" customWidth="1"/>
    <col min="5133" max="5133" width="25.54296875" style="970" customWidth="1"/>
    <col min="5134" max="5134" width="27.36328125" style="970" customWidth="1"/>
    <col min="5135" max="5135" width="31.453125" style="970" customWidth="1"/>
    <col min="5136" max="5136" width="30.54296875" style="970" customWidth="1"/>
    <col min="5137" max="5137" width="27.36328125" style="970" customWidth="1"/>
    <col min="5138" max="5138" width="32.54296875" style="970" customWidth="1"/>
    <col min="5139" max="5139" width="30.453125" style="970" customWidth="1"/>
    <col min="5140" max="5140" width="24.36328125" style="970" customWidth="1"/>
    <col min="5141" max="5141" width="28" style="970" customWidth="1"/>
    <col min="5142" max="5142" width="19.453125" style="970" customWidth="1"/>
    <col min="5143" max="5379" width="9.08984375" style="970"/>
    <col min="5380" max="5380" width="14.54296875" style="970" customWidth="1"/>
    <col min="5381" max="5381" width="14.453125" style="970" customWidth="1"/>
    <col min="5382" max="5382" width="58.08984375" style="970" customWidth="1"/>
    <col min="5383" max="5383" width="30.453125" style="970" customWidth="1"/>
    <col min="5384" max="5384" width="27.36328125" style="970" customWidth="1"/>
    <col min="5385" max="5385" width="30.90625" style="970" customWidth="1"/>
    <col min="5386" max="5386" width="24.90625" style="970" customWidth="1"/>
    <col min="5387" max="5387" width="27.36328125" style="970" customWidth="1"/>
    <col min="5388" max="5388" width="32" style="970" customWidth="1"/>
    <col min="5389" max="5389" width="25.54296875" style="970" customWidth="1"/>
    <col min="5390" max="5390" width="27.36328125" style="970" customWidth="1"/>
    <col min="5391" max="5391" width="31.453125" style="970" customWidth="1"/>
    <col min="5392" max="5392" width="30.54296875" style="970" customWidth="1"/>
    <col min="5393" max="5393" width="27.36328125" style="970" customWidth="1"/>
    <col min="5394" max="5394" width="32.54296875" style="970" customWidth="1"/>
    <col min="5395" max="5395" width="30.453125" style="970" customWidth="1"/>
    <col min="5396" max="5396" width="24.36328125" style="970" customWidth="1"/>
    <col min="5397" max="5397" width="28" style="970" customWidth="1"/>
    <col min="5398" max="5398" width="19.453125" style="970" customWidth="1"/>
    <col min="5399" max="5635" width="9.08984375" style="970"/>
    <col min="5636" max="5636" width="14.54296875" style="970" customWidth="1"/>
    <col min="5637" max="5637" width="14.453125" style="970" customWidth="1"/>
    <col min="5638" max="5638" width="58.08984375" style="970" customWidth="1"/>
    <col min="5639" max="5639" width="30.453125" style="970" customWidth="1"/>
    <col min="5640" max="5640" width="27.36328125" style="970" customWidth="1"/>
    <col min="5641" max="5641" width="30.90625" style="970" customWidth="1"/>
    <col min="5642" max="5642" width="24.90625" style="970" customWidth="1"/>
    <col min="5643" max="5643" width="27.36328125" style="970" customWidth="1"/>
    <col min="5644" max="5644" width="32" style="970" customWidth="1"/>
    <col min="5645" max="5645" width="25.54296875" style="970" customWidth="1"/>
    <col min="5646" max="5646" width="27.36328125" style="970" customWidth="1"/>
    <col min="5647" max="5647" width="31.453125" style="970" customWidth="1"/>
    <col min="5648" max="5648" width="30.54296875" style="970" customWidth="1"/>
    <col min="5649" max="5649" width="27.36328125" style="970" customWidth="1"/>
    <col min="5650" max="5650" width="32.54296875" style="970" customWidth="1"/>
    <col min="5651" max="5651" width="30.453125" style="970" customWidth="1"/>
    <col min="5652" max="5652" width="24.36328125" style="970" customWidth="1"/>
    <col min="5653" max="5653" width="28" style="970" customWidth="1"/>
    <col min="5654" max="5654" width="19.453125" style="970" customWidth="1"/>
    <col min="5655" max="5891" width="9.08984375" style="970"/>
    <col min="5892" max="5892" width="14.54296875" style="970" customWidth="1"/>
    <col min="5893" max="5893" width="14.453125" style="970" customWidth="1"/>
    <col min="5894" max="5894" width="58.08984375" style="970" customWidth="1"/>
    <col min="5895" max="5895" width="30.453125" style="970" customWidth="1"/>
    <col min="5896" max="5896" width="27.36328125" style="970" customWidth="1"/>
    <col min="5897" max="5897" width="30.90625" style="970" customWidth="1"/>
    <col min="5898" max="5898" width="24.90625" style="970" customWidth="1"/>
    <col min="5899" max="5899" width="27.36328125" style="970" customWidth="1"/>
    <col min="5900" max="5900" width="32" style="970" customWidth="1"/>
    <col min="5901" max="5901" width="25.54296875" style="970" customWidth="1"/>
    <col min="5902" max="5902" width="27.36328125" style="970" customWidth="1"/>
    <col min="5903" max="5903" width="31.453125" style="970" customWidth="1"/>
    <col min="5904" max="5904" width="30.54296875" style="970" customWidth="1"/>
    <col min="5905" max="5905" width="27.36328125" style="970" customWidth="1"/>
    <col min="5906" max="5906" width="32.54296875" style="970" customWidth="1"/>
    <col min="5907" max="5907" width="30.453125" style="970" customWidth="1"/>
    <col min="5908" max="5908" width="24.36328125" style="970" customWidth="1"/>
    <col min="5909" max="5909" width="28" style="970" customWidth="1"/>
    <col min="5910" max="5910" width="19.453125" style="970" customWidth="1"/>
    <col min="5911" max="6147" width="9.08984375" style="970"/>
    <col min="6148" max="6148" width="14.54296875" style="970" customWidth="1"/>
    <col min="6149" max="6149" width="14.453125" style="970" customWidth="1"/>
    <col min="6150" max="6150" width="58.08984375" style="970" customWidth="1"/>
    <col min="6151" max="6151" width="30.453125" style="970" customWidth="1"/>
    <col min="6152" max="6152" width="27.36328125" style="970" customWidth="1"/>
    <col min="6153" max="6153" width="30.90625" style="970" customWidth="1"/>
    <col min="6154" max="6154" width="24.90625" style="970" customWidth="1"/>
    <col min="6155" max="6155" width="27.36328125" style="970" customWidth="1"/>
    <col min="6156" max="6156" width="32" style="970" customWidth="1"/>
    <col min="6157" max="6157" width="25.54296875" style="970" customWidth="1"/>
    <col min="6158" max="6158" width="27.36328125" style="970" customWidth="1"/>
    <col min="6159" max="6159" width="31.453125" style="970" customWidth="1"/>
    <col min="6160" max="6160" width="30.54296875" style="970" customWidth="1"/>
    <col min="6161" max="6161" width="27.36328125" style="970" customWidth="1"/>
    <col min="6162" max="6162" width="32.54296875" style="970" customWidth="1"/>
    <col min="6163" max="6163" width="30.453125" style="970" customWidth="1"/>
    <col min="6164" max="6164" width="24.36328125" style="970" customWidth="1"/>
    <col min="6165" max="6165" width="28" style="970" customWidth="1"/>
    <col min="6166" max="6166" width="19.453125" style="970" customWidth="1"/>
    <col min="6167" max="6403" width="9.08984375" style="970"/>
    <col min="6404" max="6404" width="14.54296875" style="970" customWidth="1"/>
    <col min="6405" max="6405" width="14.453125" style="970" customWidth="1"/>
    <col min="6406" max="6406" width="58.08984375" style="970" customWidth="1"/>
    <col min="6407" max="6407" width="30.453125" style="970" customWidth="1"/>
    <col min="6408" max="6408" width="27.36328125" style="970" customWidth="1"/>
    <col min="6409" max="6409" width="30.90625" style="970" customWidth="1"/>
    <col min="6410" max="6410" width="24.90625" style="970" customWidth="1"/>
    <col min="6411" max="6411" width="27.36328125" style="970" customWidth="1"/>
    <col min="6412" max="6412" width="32" style="970" customWidth="1"/>
    <col min="6413" max="6413" width="25.54296875" style="970" customWidth="1"/>
    <col min="6414" max="6414" width="27.36328125" style="970" customWidth="1"/>
    <col min="6415" max="6415" width="31.453125" style="970" customWidth="1"/>
    <col min="6416" max="6416" width="30.54296875" style="970" customWidth="1"/>
    <col min="6417" max="6417" width="27.36328125" style="970" customWidth="1"/>
    <col min="6418" max="6418" width="32.54296875" style="970" customWidth="1"/>
    <col min="6419" max="6419" width="30.453125" style="970" customWidth="1"/>
    <col min="6420" max="6420" width="24.36328125" style="970" customWidth="1"/>
    <col min="6421" max="6421" width="28" style="970" customWidth="1"/>
    <col min="6422" max="6422" width="19.453125" style="970" customWidth="1"/>
    <col min="6423" max="6659" width="9.08984375" style="970"/>
    <col min="6660" max="6660" width="14.54296875" style="970" customWidth="1"/>
    <col min="6661" max="6661" width="14.453125" style="970" customWidth="1"/>
    <col min="6662" max="6662" width="58.08984375" style="970" customWidth="1"/>
    <col min="6663" max="6663" width="30.453125" style="970" customWidth="1"/>
    <col min="6664" max="6664" width="27.36328125" style="970" customWidth="1"/>
    <col min="6665" max="6665" width="30.90625" style="970" customWidth="1"/>
    <col min="6666" max="6666" width="24.90625" style="970" customWidth="1"/>
    <col min="6667" max="6667" width="27.36328125" style="970" customWidth="1"/>
    <col min="6668" max="6668" width="32" style="970" customWidth="1"/>
    <col min="6669" max="6669" width="25.54296875" style="970" customWidth="1"/>
    <col min="6670" max="6670" width="27.36328125" style="970" customWidth="1"/>
    <col min="6671" max="6671" width="31.453125" style="970" customWidth="1"/>
    <col min="6672" max="6672" width="30.54296875" style="970" customWidth="1"/>
    <col min="6673" max="6673" width="27.36328125" style="970" customWidth="1"/>
    <col min="6674" max="6674" width="32.54296875" style="970" customWidth="1"/>
    <col min="6675" max="6675" width="30.453125" style="970" customWidth="1"/>
    <col min="6676" max="6676" width="24.36328125" style="970" customWidth="1"/>
    <col min="6677" max="6677" width="28" style="970" customWidth="1"/>
    <col min="6678" max="6678" width="19.453125" style="970" customWidth="1"/>
    <col min="6679" max="6915" width="9.08984375" style="970"/>
    <col min="6916" max="6916" width="14.54296875" style="970" customWidth="1"/>
    <col min="6917" max="6917" width="14.453125" style="970" customWidth="1"/>
    <col min="6918" max="6918" width="58.08984375" style="970" customWidth="1"/>
    <col min="6919" max="6919" width="30.453125" style="970" customWidth="1"/>
    <col min="6920" max="6920" width="27.36328125" style="970" customWidth="1"/>
    <col min="6921" max="6921" width="30.90625" style="970" customWidth="1"/>
    <col min="6922" max="6922" width="24.90625" style="970" customWidth="1"/>
    <col min="6923" max="6923" width="27.36328125" style="970" customWidth="1"/>
    <col min="6924" max="6924" width="32" style="970" customWidth="1"/>
    <col min="6925" max="6925" width="25.54296875" style="970" customWidth="1"/>
    <col min="6926" max="6926" width="27.36328125" style="970" customWidth="1"/>
    <col min="6927" max="6927" width="31.453125" style="970" customWidth="1"/>
    <col min="6928" max="6928" width="30.54296875" style="970" customWidth="1"/>
    <col min="6929" max="6929" width="27.36328125" style="970" customWidth="1"/>
    <col min="6930" max="6930" width="32.54296875" style="970" customWidth="1"/>
    <col min="6931" max="6931" width="30.453125" style="970" customWidth="1"/>
    <col min="6932" max="6932" width="24.36328125" style="970" customWidth="1"/>
    <col min="6933" max="6933" width="28" style="970" customWidth="1"/>
    <col min="6934" max="6934" width="19.453125" style="970" customWidth="1"/>
    <col min="6935" max="7171" width="9.08984375" style="970"/>
    <col min="7172" max="7172" width="14.54296875" style="970" customWidth="1"/>
    <col min="7173" max="7173" width="14.453125" style="970" customWidth="1"/>
    <col min="7174" max="7174" width="58.08984375" style="970" customWidth="1"/>
    <col min="7175" max="7175" width="30.453125" style="970" customWidth="1"/>
    <col min="7176" max="7176" width="27.36328125" style="970" customWidth="1"/>
    <col min="7177" max="7177" width="30.90625" style="970" customWidth="1"/>
    <col min="7178" max="7178" width="24.90625" style="970" customWidth="1"/>
    <col min="7179" max="7179" width="27.36328125" style="970" customWidth="1"/>
    <col min="7180" max="7180" width="32" style="970" customWidth="1"/>
    <col min="7181" max="7181" width="25.54296875" style="970" customWidth="1"/>
    <col min="7182" max="7182" width="27.36328125" style="970" customWidth="1"/>
    <col min="7183" max="7183" width="31.453125" style="970" customWidth="1"/>
    <col min="7184" max="7184" width="30.54296875" style="970" customWidth="1"/>
    <col min="7185" max="7185" width="27.36328125" style="970" customWidth="1"/>
    <col min="7186" max="7186" width="32.54296875" style="970" customWidth="1"/>
    <col min="7187" max="7187" width="30.453125" style="970" customWidth="1"/>
    <col min="7188" max="7188" width="24.36328125" style="970" customWidth="1"/>
    <col min="7189" max="7189" width="28" style="970" customWidth="1"/>
    <col min="7190" max="7190" width="19.453125" style="970" customWidth="1"/>
    <col min="7191" max="7427" width="9.08984375" style="970"/>
    <col min="7428" max="7428" width="14.54296875" style="970" customWidth="1"/>
    <col min="7429" max="7429" width="14.453125" style="970" customWidth="1"/>
    <col min="7430" max="7430" width="58.08984375" style="970" customWidth="1"/>
    <col min="7431" max="7431" width="30.453125" style="970" customWidth="1"/>
    <col min="7432" max="7432" width="27.36328125" style="970" customWidth="1"/>
    <col min="7433" max="7433" width="30.90625" style="970" customWidth="1"/>
    <col min="7434" max="7434" width="24.90625" style="970" customWidth="1"/>
    <col min="7435" max="7435" width="27.36328125" style="970" customWidth="1"/>
    <col min="7436" max="7436" width="32" style="970" customWidth="1"/>
    <col min="7437" max="7437" width="25.54296875" style="970" customWidth="1"/>
    <col min="7438" max="7438" width="27.36328125" style="970" customWidth="1"/>
    <col min="7439" max="7439" width="31.453125" style="970" customWidth="1"/>
    <col min="7440" max="7440" width="30.54296875" style="970" customWidth="1"/>
    <col min="7441" max="7441" width="27.36328125" style="970" customWidth="1"/>
    <col min="7442" max="7442" width="32.54296875" style="970" customWidth="1"/>
    <col min="7443" max="7443" width="30.453125" style="970" customWidth="1"/>
    <col min="7444" max="7444" width="24.36328125" style="970" customWidth="1"/>
    <col min="7445" max="7445" width="28" style="970" customWidth="1"/>
    <col min="7446" max="7446" width="19.453125" style="970" customWidth="1"/>
    <col min="7447" max="7683" width="9.08984375" style="970"/>
    <col min="7684" max="7684" width="14.54296875" style="970" customWidth="1"/>
    <col min="7685" max="7685" width="14.453125" style="970" customWidth="1"/>
    <col min="7686" max="7686" width="58.08984375" style="970" customWidth="1"/>
    <col min="7687" max="7687" width="30.453125" style="970" customWidth="1"/>
    <col min="7688" max="7688" width="27.36328125" style="970" customWidth="1"/>
    <col min="7689" max="7689" width="30.90625" style="970" customWidth="1"/>
    <col min="7690" max="7690" width="24.90625" style="970" customWidth="1"/>
    <col min="7691" max="7691" width="27.36328125" style="970" customWidth="1"/>
    <col min="7692" max="7692" width="32" style="970" customWidth="1"/>
    <col min="7693" max="7693" width="25.54296875" style="970" customWidth="1"/>
    <col min="7694" max="7694" width="27.36328125" style="970" customWidth="1"/>
    <col min="7695" max="7695" width="31.453125" style="970" customWidth="1"/>
    <col min="7696" max="7696" width="30.54296875" style="970" customWidth="1"/>
    <col min="7697" max="7697" width="27.36328125" style="970" customWidth="1"/>
    <col min="7698" max="7698" width="32.54296875" style="970" customWidth="1"/>
    <col min="7699" max="7699" width="30.453125" style="970" customWidth="1"/>
    <col min="7700" max="7700" width="24.36328125" style="970" customWidth="1"/>
    <col min="7701" max="7701" width="28" style="970" customWidth="1"/>
    <col min="7702" max="7702" width="19.453125" style="970" customWidth="1"/>
    <col min="7703" max="7939" width="9.08984375" style="970"/>
    <col min="7940" max="7940" width="14.54296875" style="970" customWidth="1"/>
    <col min="7941" max="7941" width="14.453125" style="970" customWidth="1"/>
    <col min="7942" max="7942" width="58.08984375" style="970" customWidth="1"/>
    <col min="7943" max="7943" width="30.453125" style="970" customWidth="1"/>
    <col min="7944" max="7944" width="27.36328125" style="970" customWidth="1"/>
    <col min="7945" max="7945" width="30.90625" style="970" customWidth="1"/>
    <col min="7946" max="7946" width="24.90625" style="970" customWidth="1"/>
    <col min="7947" max="7947" width="27.36328125" style="970" customWidth="1"/>
    <col min="7948" max="7948" width="32" style="970" customWidth="1"/>
    <col min="7949" max="7949" width="25.54296875" style="970" customWidth="1"/>
    <col min="7950" max="7950" width="27.36328125" style="970" customWidth="1"/>
    <col min="7951" max="7951" width="31.453125" style="970" customWidth="1"/>
    <col min="7952" max="7952" width="30.54296875" style="970" customWidth="1"/>
    <col min="7953" max="7953" width="27.36328125" style="970" customWidth="1"/>
    <col min="7954" max="7954" width="32.54296875" style="970" customWidth="1"/>
    <col min="7955" max="7955" width="30.453125" style="970" customWidth="1"/>
    <col min="7956" max="7956" width="24.36328125" style="970" customWidth="1"/>
    <col min="7957" max="7957" width="28" style="970" customWidth="1"/>
    <col min="7958" max="7958" width="19.453125" style="970" customWidth="1"/>
    <col min="7959" max="8195" width="9.08984375" style="970"/>
    <col min="8196" max="8196" width="14.54296875" style="970" customWidth="1"/>
    <col min="8197" max="8197" width="14.453125" style="970" customWidth="1"/>
    <col min="8198" max="8198" width="58.08984375" style="970" customWidth="1"/>
    <col min="8199" max="8199" width="30.453125" style="970" customWidth="1"/>
    <col min="8200" max="8200" width="27.36328125" style="970" customWidth="1"/>
    <col min="8201" max="8201" width="30.90625" style="970" customWidth="1"/>
    <col min="8202" max="8202" width="24.90625" style="970" customWidth="1"/>
    <col min="8203" max="8203" width="27.36328125" style="970" customWidth="1"/>
    <col min="8204" max="8204" width="32" style="970" customWidth="1"/>
    <col min="8205" max="8205" width="25.54296875" style="970" customWidth="1"/>
    <col min="8206" max="8206" width="27.36328125" style="970" customWidth="1"/>
    <col min="8207" max="8207" width="31.453125" style="970" customWidth="1"/>
    <col min="8208" max="8208" width="30.54296875" style="970" customWidth="1"/>
    <col min="8209" max="8209" width="27.36328125" style="970" customWidth="1"/>
    <col min="8210" max="8210" width="32.54296875" style="970" customWidth="1"/>
    <col min="8211" max="8211" width="30.453125" style="970" customWidth="1"/>
    <col min="8212" max="8212" width="24.36328125" style="970" customWidth="1"/>
    <col min="8213" max="8213" width="28" style="970" customWidth="1"/>
    <col min="8214" max="8214" width="19.453125" style="970" customWidth="1"/>
    <col min="8215" max="8451" width="9.08984375" style="970"/>
    <col min="8452" max="8452" width="14.54296875" style="970" customWidth="1"/>
    <col min="8453" max="8453" width="14.453125" style="970" customWidth="1"/>
    <col min="8454" max="8454" width="58.08984375" style="970" customWidth="1"/>
    <col min="8455" max="8455" width="30.453125" style="970" customWidth="1"/>
    <col min="8456" max="8456" width="27.36328125" style="970" customWidth="1"/>
    <col min="8457" max="8457" width="30.90625" style="970" customWidth="1"/>
    <col min="8458" max="8458" width="24.90625" style="970" customWidth="1"/>
    <col min="8459" max="8459" width="27.36328125" style="970" customWidth="1"/>
    <col min="8460" max="8460" width="32" style="970" customWidth="1"/>
    <col min="8461" max="8461" width="25.54296875" style="970" customWidth="1"/>
    <col min="8462" max="8462" width="27.36328125" style="970" customWidth="1"/>
    <col min="8463" max="8463" width="31.453125" style="970" customWidth="1"/>
    <col min="8464" max="8464" width="30.54296875" style="970" customWidth="1"/>
    <col min="8465" max="8465" width="27.36328125" style="970" customWidth="1"/>
    <col min="8466" max="8466" width="32.54296875" style="970" customWidth="1"/>
    <col min="8467" max="8467" width="30.453125" style="970" customWidth="1"/>
    <col min="8468" max="8468" width="24.36328125" style="970" customWidth="1"/>
    <col min="8469" max="8469" width="28" style="970" customWidth="1"/>
    <col min="8470" max="8470" width="19.453125" style="970" customWidth="1"/>
    <col min="8471" max="8707" width="9.08984375" style="970"/>
    <col min="8708" max="8708" width="14.54296875" style="970" customWidth="1"/>
    <col min="8709" max="8709" width="14.453125" style="970" customWidth="1"/>
    <col min="8710" max="8710" width="58.08984375" style="970" customWidth="1"/>
    <col min="8711" max="8711" width="30.453125" style="970" customWidth="1"/>
    <col min="8712" max="8712" width="27.36328125" style="970" customWidth="1"/>
    <col min="8713" max="8713" width="30.90625" style="970" customWidth="1"/>
    <col min="8714" max="8714" width="24.90625" style="970" customWidth="1"/>
    <col min="8715" max="8715" width="27.36328125" style="970" customWidth="1"/>
    <col min="8716" max="8716" width="32" style="970" customWidth="1"/>
    <col min="8717" max="8717" width="25.54296875" style="970" customWidth="1"/>
    <col min="8718" max="8718" width="27.36328125" style="970" customWidth="1"/>
    <col min="8719" max="8719" width="31.453125" style="970" customWidth="1"/>
    <col min="8720" max="8720" width="30.54296875" style="970" customWidth="1"/>
    <col min="8721" max="8721" width="27.36328125" style="970" customWidth="1"/>
    <col min="8722" max="8722" width="32.54296875" style="970" customWidth="1"/>
    <col min="8723" max="8723" width="30.453125" style="970" customWidth="1"/>
    <col min="8724" max="8724" width="24.36328125" style="970" customWidth="1"/>
    <col min="8725" max="8725" width="28" style="970" customWidth="1"/>
    <col min="8726" max="8726" width="19.453125" style="970" customWidth="1"/>
    <col min="8727" max="8963" width="9.08984375" style="970"/>
    <col min="8964" max="8964" width="14.54296875" style="970" customWidth="1"/>
    <col min="8965" max="8965" width="14.453125" style="970" customWidth="1"/>
    <col min="8966" max="8966" width="58.08984375" style="970" customWidth="1"/>
    <col min="8967" max="8967" width="30.453125" style="970" customWidth="1"/>
    <col min="8968" max="8968" width="27.36328125" style="970" customWidth="1"/>
    <col min="8969" max="8969" width="30.90625" style="970" customWidth="1"/>
    <col min="8970" max="8970" width="24.90625" style="970" customWidth="1"/>
    <col min="8971" max="8971" width="27.36328125" style="970" customWidth="1"/>
    <col min="8972" max="8972" width="32" style="970" customWidth="1"/>
    <col min="8973" max="8973" width="25.54296875" style="970" customWidth="1"/>
    <col min="8974" max="8974" width="27.36328125" style="970" customWidth="1"/>
    <col min="8975" max="8975" width="31.453125" style="970" customWidth="1"/>
    <col min="8976" max="8976" width="30.54296875" style="970" customWidth="1"/>
    <col min="8977" max="8977" width="27.36328125" style="970" customWidth="1"/>
    <col min="8978" max="8978" width="32.54296875" style="970" customWidth="1"/>
    <col min="8979" max="8979" width="30.453125" style="970" customWidth="1"/>
    <col min="8980" max="8980" width="24.36328125" style="970" customWidth="1"/>
    <col min="8981" max="8981" width="28" style="970" customWidth="1"/>
    <col min="8982" max="8982" width="19.453125" style="970" customWidth="1"/>
    <col min="8983" max="9219" width="9.08984375" style="970"/>
    <col min="9220" max="9220" width="14.54296875" style="970" customWidth="1"/>
    <col min="9221" max="9221" width="14.453125" style="970" customWidth="1"/>
    <col min="9222" max="9222" width="58.08984375" style="970" customWidth="1"/>
    <col min="9223" max="9223" width="30.453125" style="970" customWidth="1"/>
    <col min="9224" max="9224" width="27.36328125" style="970" customWidth="1"/>
    <col min="9225" max="9225" width="30.90625" style="970" customWidth="1"/>
    <col min="9226" max="9226" width="24.90625" style="970" customWidth="1"/>
    <col min="9227" max="9227" width="27.36328125" style="970" customWidth="1"/>
    <col min="9228" max="9228" width="32" style="970" customWidth="1"/>
    <col min="9229" max="9229" width="25.54296875" style="970" customWidth="1"/>
    <col min="9230" max="9230" width="27.36328125" style="970" customWidth="1"/>
    <col min="9231" max="9231" width="31.453125" style="970" customWidth="1"/>
    <col min="9232" max="9232" width="30.54296875" style="970" customWidth="1"/>
    <col min="9233" max="9233" width="27.36328125" style="970" customWidth="1"/>
    <col min="9234" max="9234" width="32.54296875" style="970" customWidth="1"/>
    <col min="9235" max="9235" width="30.453125" style="970" customWidth="1"/>
    <col min="9236" max="9236" width="24.36328125" style="970" customWidth="1"/>
    <col min="9237" max="9237" width="28" style="970" customWidth="1"/>
    <col min="9238" max="9238" width="19.453125" style="970" customWidth="1"/>
    <col min="9239" max="9475" width="9.08984375" style="970"/>
    <col min="9476" max="9476" width="14.54296875" style="970" customWidth="1"/>
    <col min="9477" max="9477" width="14.453125" style="970" customWidth="1"/>
    <col min="9478" max="9478" width="58.08984375" style="970" customWidth="1"/>
    <col min="9479" max="9479" width="30.453125" style="970" customWidth="1"/>
    <col min="9480" max="9480" width="27.36328125" style="970" customWidth="1"/>
    <col min="9481" max="9481" width="30.90625" style="970" customWidth="1"/>
    <col min="9482" max="9482" width="24.90625" style="970" customWidth="1"/>
    <col min="9483" max="9483" width="27.36328125" style="970" customWidth="1"/>
    <col min="9484" max="9484" width="32" style="970" customWidth="1"/>
    <col min="9485" max="9485" width="25.54296875" style="970" customWidth="1"/>
    <col min="9486" max="9486" width="27.36328125" style="970" customWidth="1"/>
    <col min="9487" max="9487" width="31.453125" style="970" customWidth="1"/>
    <col min="9488" max="9488" width="30.54296875" style="970" customWidth="1"/>
    <col min="9489" max="9489" width="27.36328125" style="970" customWidth="1"/>
    <col min="9490" max="9490" width="32.54296875" style="970" customWidth="1"/>
    <col min="9491" max="9491" width="30.453125" style="970" customWidth="1"/>
    <col min="9492" max="9492" width="24.36328125" style="970" customWidth="1"/>
    <col min="9493" max="9493" width="28" style="970" customWidth="1"/>
    <col min="9494" max="9494" width="19.453125" style="970" customWidth="1"/>
    <col min="9495" max="9731" width="9.08984375" style="970"/>
    <col min="9732" max="9732" width="14.54296875" style="970" customWidth="1"/>
    <col min="9733" max="9733" width="14.453125" style="970" customWidth="1"/>
    <col min="9734" max="9734" width="58.08984375" style="970" customWidth="1"/>
    <col min="9735" max="9735" width="30.453125" style="970" customWidth="1"/>
    <col min="9736" max="9736" width="27.36328125" style="970" customWidth="1"/>
    <col min="9737" max="9737" width="30.90625" style="970" customWidth="1"/>
    <col min="9738" max="9738" width="24.90625" style="970" customWidth="1"/>
    <col min="9739" max="9739" width="27.36328125" style="970" customWidth="1"/>
    <col min="9740" max="9740" width="32" style="970" customWidth="1"/>
    <col min="9741" max="9741" width="25.54296875" style="970" customWidth="1"/>
    <col min="9742" max="9742" width="27.36328125" style="970" customWidth="1"/>
    <col min="9743" max="9743" width="31.453125" style="970" customWidth="1"/>
    <col min="9744" max="9744" width="30.54296875" style="970" customWidth="1"/>
    <col min="9745" max="9745" width="27.36328125" style="970" customWidth="1"/>
    <col min="9746" max="9746" width="32.54296875" style="970" customWidth="1"/>
    <col min="9747" max="9747" width="30.453125" style="970" customWidth="1"/>
    <col min="9748" max="9748" width="24.36328125" style="970" customWidth="1"/>
    <col min="9749" max="9749" width="28" style="970" customWidth="1"/>
    <col min="9750" max="9750" width="19.453125" style="970" customWidth="1"/>
    <col min="9751" max="9987" width="9.08984375" style="970"/>
    <col min="9988" max="9988" width="14.54296875" style="970" customWidth="1"/>
    <col min="9989" max="9989" width="14.453125" style="970" customWidth="1"/>
    <col min="9990" max="9990" width="58.08984375" style="970" customWidth="1"/>
    <col min="9991" max="9991" width="30.453125" style="970" customWidth="1"/>
    <col min="9992" max="9992" width="27.36328125" style="970" customWidth="1"/>
    <col min="9993" max="9993" width="30.90625" style="970" customWidth="1"/>
    <col min="9994" max="9994" width="24.90625" style="970" customWidth="1"/>
    <col min="9995" max="9995" width="27.36328125" style="970" customWidth="1"/>
    <col min="9996" max="9996" width="32" style="970" customWidth="1"/>
    <col min="9997" max="9997" width="25.54296875" style="970" customWidth="1"/>
    <col min="9998" max="9998" width="27.36328125" style="970" customWidth="1"/>
    <col min="9999" max="9999" width="31.453125" style="970" customWidth="1"/>
    <col min="10000" max="10000" width="30.54296875" style="970" customWidth="1"/>
    <col min="10001" max="10001" width="27.36328125" style="970" customWidth="1"/>
    <col min="10002" max="10002" width="32.54296875" style="970" customWidth="1"/>
    <col min="10003" max="10003" width="30.453125" style="970" customWidth="1"/>
    <col min="10004" max="10004" width="24.36328125" style="970" customWidth="1"/>
    <col min="10005" max="10005" width="28" style="970" customWidth="1"/>
    <col min="10006" max="10006" width="19.453125" style="970" customWidth="1"/>
    <col min="10007" max="10243" width="9.08984375" style="970"/>
    <col min="10244" max="10244" width="14.54296875" style="970" customWidth="1"/>
    <col min="10245" max="10245" width="14.453125" style="970" customWidth="1"/>
    <col min="10246" max="10246" width="58.08984375" style="970" customWidth="1"/>
    <col min="10247" max="10247" width="30.453125" style="970" customWidth="1"/>
    <col min="10248" max="10248" width="27.36328125" style="970" customWidth="1"/>
    <col min="10249" max="10249" width="30.90625" style="970" customWidth="1"/>
    <col min="10250" max="10250" width="24.90625" style="970" customWidth="1"/>
    <col min="10251" max="10251" width="27.36328125" style="970" customWidth="1"/>
    <col min="10252" max="10252" width="32" style="970" customWidth="1"/>
    <col min="10253" max="10253" width="25.54296875" style="970" customWidth="1"/>
    <col min="10254" max="10254" width="27.36328125" style="970" customWidth="1"/>
    <col min="10255" max="10255" width="31.453125" style="970" customWidth="1"/>
    <col min="10256" max="10256" width="30.54296875" style="970" customWidth="1"/>
    <col min="10257" max="10257" width="27.36328125" style="970" customWidth="1"/>
    <col min="10258" max="10258" width="32.54296875" style="970" customWidth="1"/>
    <col min="10259" max="10259" width="30.453125" style="970" customWidth="1"/>
    <col min="10260" max="10260" width="24.36328125" style="970" customWidth="1"/>
    <col min="10261" max="10261" width="28" style="970" customWidth="1"/>
    <col min="10262" max="10262" width="19.453125" style="970" customWidth="1"/>
    <col min="10263" max="10499" width="9.08984375" style="970"/>
    <col min="10500" max="10500" width="14.54296875" style="970" customWidth="1"/>
    <col min="10501" max="10501" width="14.453125" style="970" customWidth="1"/>
    <col min="10502" max="10502" width="58.08984375" style="970" customWidth="1"/>
    <col min="10503" max="10503" width="30.453125" style="970" customWidth="1"/>
    <col min="10504" max="10504" width="27.36328125" style="970" customWidth="1"/>
    <col min="10505" max="10505" width="30.90625" style="970" customWidth="1"/>
    <col min="10506" max="10506" width="24.90625" style="970" customWidth="1"/>
    <col min="10507" max="10507" width="27.36328125" style="970" customWidth="1"/>
    <col min="10508" max="10508" width="32" style="970" customWidth="1"/>
    <col min="10509" max="10509" width="25.54296875" style="970" customWidth="1"/>
    <col min="10510" max="10510" width="27.36328125" style="970" customWidth="1"/>
    <col min="10511" max="10511" width="31.453125" style="970" customWidth="1"/>
    <col min="10512" max="10512" width="30.54296875" style="970" customWidth="1"/>
    <col min="10513" max="10513" width="27.36328125" style="970" customWidth="1"/>
    <col min="10514" max="10514" width="32.54296875" style="970" customWidth="1"/>
    <col min="10515" max="10515" width="30.453125" style="970" customWidth="1"/>
    <col min="10516" max="10516" width="24.36328125" style="970" customWidth="1"/>
    <col min="10517" max="10517" width="28" style="970" customWidth="1"/>
    <col min="10518" max="10518" width="19.453125" style="970" customWidth="1"/>
    <col min="10519" max="10755" width="9.08984375" style="970"/>
    <col min="10756" max="10756" width="14.54296875" style="970" customWidth="1"/>
    <col min="10757" max="10757" width="14.453125" style="970" customWidth="1"/>
    <col min="10758" max="10758" width="58.08984375" style="970" customWidth="1"/>
    <col min="10759" max="10759" width="30.453125" style="970" customWidth="1"/>
    <col min="10760" max="10760" width="27.36328125" style="970" customWidth="1"/>
    <col min="10761" max="10761" width="30.90625" style="970" customWidth="1"/>
    <col min="10762" max="10762" width="24.90625" style="970" customWidth="1"/>
    <col min="10763" max="10763" width="27.36328125" style="970" customWidth="1"/>
    <col min="10764" max="10764" width="32" style="970" customWidth="1"/>
    <col min="10765" max="10765" width="25.54296875" style="970" customWidth="1"/>
    <col min="10766" max="10766" width="27.36328125" style="970" customWidth="1"/>
    <col min="10767" max="10767" width="31.453125" style="970" customWidth="1"/>
    <col min="10768" max="10768" width="30.54296875" style="970" customWidth="1"/>
    <col min="10769" max="10769" width="27.36328125" style="970" customWidth="1"/>
    <col min="10770" max="10770" width="32.54296875" style="970" customWidth="1"/>
    <col min="10771" max="10771" width="30.453125" style="970" customWidth="1"/>
    <col min="10772" max="10772" width="24.36328125" style="970" customWidth="1"/>
    <col min="10773" max="10773" width="28" style="970" customWidth="1"/>
    <col min="10774" max="10774" width="19.453125" style="970" customWidth="1"/>
    <col min="10775" max="11011" width="9.08984375" style="970"/>
    <col min="11012" max="11012" width="14.54296875" style="970" customWidth="1"/>
    <col min="11013" max="11013" width="14.453125" style="970" customWidth="1"/>
    <col min="11014" max="11014" width="58.08984375" style="970" customWidth="1"/>
    <col min="11015" max="11015" width="30.453125" style="970" customWidth="1"/>
    <col min="11016" max="11016" width="27.36328125" style="970" customWidth="1"/>
    <col min="11017" max="11017" width="30.90625" style="970" customWidth="1"/>
    <col min="11018" max="11018" width="24.90625" style="970" customWidth="1"/>
    <col min="11019" max="11019" width="27.36328125" style="970" customWidth="1"/>
    <col min="11020" max="11020" width="32" style="970" customWidth="1"/>
    <col min="11021" max="11021" width="25.54296875" style="970" customWidth="1"/>
    <col min="11022" max="11022" width="27.36328125" style="970" customWidth="1"/>
    <col min="11023" max="11023" width="31.453125" style="970" customWidth="1"/>
    <col min="11024" max="11024" width="30.54296875" style="970" customWidth="1"/>
    <col min="11025" max="11025" width="27.36328125" style="970" customWidth="1"/>
    <col min="11026" max="11026" width="32.54296875" style="970" customWidth="1"/>
    <col min="11027" max="11027" width="30.453125" style="970" customWidth="1"/>
    <col min="11028" max="11028" width="24.36328125" style="970" customWidth="1"/>
    <col min="11029" max="11029" width="28" style="970" customWidth="1"/>
    <col min="11030" max="11030" width="19.453125" style="970" customWidth="1"/>
    <col min="11031" max="11267" width="9.08984375" style="970"/>
    <col min="11268" max="11268" width="14.54296875" style="970" customWidth="1"/>
    <col min="11269" max="11269" width="14.453125" style="970" customWidth="1"/>
    <col min="11270" max="11270" width="58.08984375" style="970" customWidth="1"/>
    <col min="11271" max="11271" width="30.453125" style="970" customWidth="1"/>
    <col min="11272" max="11272" width="27.36328125" style="970" customWidth="1"/>
    <col min="11273" max="11273" width="30.90625" style="970" customWidth="1"/>
    <col min="11274" max="11274" width="24.90625" style="970" customWidth="1"/>
    <col min="11275" max="11275" width="27.36328125" style="970" customWidth="1"/>
    <col min="11276" max="11276" width="32" style="970" customWidth="1"/>
    <col min="11277" max="11277" width="25.54296875" style="970" customWidth="1"/>
    <col min="11278" max="11278" width="27.36328125" style="970" customWidth="1"/>
    <col min="11279" max="11279" width="31.453125" style="970" customWidth="1"/>
    <col min="11280" max="11280" width="30.54296875" style="970" customWidth="1"/>
    <col min="11281" max="11281" width="27.36328125" style="970" customWidth="1"/>
    <col min="11282" max="11282" width="32.54296875" style="970" customWidth="1"/>
    <col min="11283" max="11283" width="30.453125" style="970" customWidth="1"/>
    <col min="11284" max="11284" width="24.36328125" style="970" customWidth="1"/>
    <col min="11285" max="11285" width="28" style="970" customWidth="1"/>
    <col min="11286" max="11286" width="19.453125" style="970" customWidth="1"/>
    <col min="11287" max="11523" width="9.08984375" style="970"/>
    <col min="11524" max="11524" width="14.54296875" style="970" customWidth="1"/>
    <col min="11525" max="11525" width="14.453125" style="970" customWidth="1"/>
    <col min="11526" max="11526" width="58.08984375" style="970" customWidth="1"/>
    <col min="11527" max="11527" width="30.453125" style="970" customWidth="1"/>
    <col min="11528" max="11528" width="27.36328125" style="970" customWidth="1"/>
    <col min="11529" max="11529" width="30.90625" style="970" customWidth="1"/>
    <col min="11530" max="11530" width="24.90625" style="970" customWidth="1"/>
    <col min="11531" max="11531" width="27.36328125" style="970" customWidth="1"/>
    <col min="11532" max="11532" width="32" style="970" customWidth="1"/>
    <col min="11533" max="11533" width="25.54296875" style="970" customWidth="1"/>
    <col min="11534" max="11534" width="27.36328125" style="970" customWidth="1"/>
    <col min="11535" max="11535" width="31.453125" style="970" customWidth="1"/>
    <col min="11536" max="11536" width="30.54296875" style="970" customWidth="1"/>
    <col min="11537" max="11537" width="27.36328125" style="970" customWidth="1"/>
    <col min="11538" max="11538" width="32.54296875" style="970" customWidth="1"/>
    <col min="11539" max="11539" width="30.453125" style="970" customWidth="1"/>
    <col min="11540" max="11540" width="24.36328125" style="970" customWidth="1"/>
    <col min="11541" max="11541" width="28" style="970" customWidth="1"/>
    <col min="11542" max="11542" width="19.453125" style="970" customWidth="1"/>
    <col min="11543" max="11779" width="9.08984375" style="970"/>
    <col min="11780" max="11780" width="14.54296875" style="970" customWidth="1"/>
    <col min="11781" max="11781" width="14.453125" style="970" customWidth="1"/>
    <col min="11782" max="11782" width="58.08984375" style="970" customWidth="1"/>
    <col min="11783" max="11783" width="30.453125" style="970" customWidth="1"/>
    <col min="11784" max="11784" width="27.36328125" style="970" customWidth="1"/>
    <col min="11785" max="11785" width="30.90625" style="970" customWidth="1"/>
    <col min="11786" max="11786" width="24.90625" style="970" customWidth="1"/>
    <col min="11787" max="11787" width="27.36328125" style="970" customWidth="1"/>
    <col min="11788" max="11788" width="32" style="970" customWidth="1"/>
    <col min="11789" max="11789" width="25.54296875" style="970" customWidth="1"/>
    <col min="11790" max="11790" width="27.36328125" style="970" customWidth="1"/>
    <col min="11791" max="11791" width="31.453125" style="970" customWidth="1"/>
    <col min="11792" max="11792" width="30.54296875" style="970" customWidth="1"/>
    <col min="11793" max="11793" width="27.36328125" style="970" customWidth="1"/>
    <col min="11794" max="11794" width="32.54296875" style="970" customWidth="1"/>
    <col min="11795" max="11795" width="30.453125" style="970" customWidth="1"/>
    <col min="11796" max="11796" width="24.36328125" style="970" customWidth="1"/>
    <col min="11797" max="11797" width="28" style="970" customWidth="1"/>
    <col min="11798" max="11798" width="19.453125" style="970" customWidth="1"/>
    <col min="11799" max="12035" width="9.08984375" style="970"/>
    <col min="12036" max="12036" width="14.54296875" style="970" customWidth="1"/>
    <col min="12037" max="12037" width="14.453125" style="970" customWidth="1"/>
    <col min="12038" max="12038" width="58.08984375" style="970" customWidth="1"/>
    <col min="12039" max="12039" width="30.453125" style="970" customWidth="1"/>
    <col min="12040" max="12040" width="27.36328125" style="970" customWidth="1"/>
    <col min="12041" max="12041" width="30.90625" style="970" customWidth="1"/>
    <col min="12042" max="12042" width="24.90625" style="970" customWidth="1"/>
    <col min="12043" max="12043" width="27.36328125" style="970" customWidth="1"/>
    <col min="12044" max="12044" width="32" style="970" customWidth="1"/>
    <col min="12045" max="12045" width="25.54296875" style="970" customWidth="1"/>
    <col min="12046" max="12046" width="27.36328125" style="970" customWidth="1"/>
    <col min="12047" max="12047" width="31.453125" style="970" customWidth="1"/>
    <col min="12048" max="12048" width="30.54296875" style="970" customWidth="1"/>
    <col min="12049" max="12049" width="27.36328125" style="970" customWidth="1"/>
    <col min="12050" max="12050" width="32.54296875" style="970" customWidth="1"/>
    <col min="12051" max="12051" width="30.453125" style="970" customWidth="1"/>
    <col min="12052" max="12052" width="24.36328125" style="970" customWidth="1"/>
    <col min="12053" max="12053" width="28" style="970" customWidth="1"/>
    <col min="12054" max="12054" width="19.453125" style="970" customWidth="1"/>
    <col min="12055" max="12291" width="9.08984375" style="970"/>
    <col min="12292" max="12292" width="14.54296875" style="970" customWidth="1"/>
    <col min="12293" max="12293" width="14.453125" style="970" customWidth="1"/>
    <col min="12294" max="12294" width="58.08984375" style="970" customWidth="1"/>
    <col min="12295" max="12295" width="30.453125" style="970" customWidth="1"/>
    <col min="12296" max="12296" width="27.36328125" style="970" customWidth="1"/>
    <col min="12297" max="12297" width="30.90625" style="970" customWidth="1"/>
    <col min="12298" max="12298" width="24.90625" style="970" customWidth="1"/>
    <col min="12299" max="12299" width="27.36328125" style="970" customWidth="1"/>
    <col min="12300" max="12300" width="32" style="970" customWidth="1"/>
    <col min="12301" max="12301" width="25.54296875" style="970" customWidth="1"/>
    <col min="12302" max="12302" width="27.36328125" style="970" customWidth="1"/>
    <col min="12303" max="12303" width="31.453125" style="970" customWidth="1"/>
    <col min="12304" max="12304" width="30.54296875" style="970" customWidth="1"/>
    <col min="12305" max="12305" width="27.36328125" style="970" customWidth="1"/>
    <col min="12306" max="12306" width="32.54296875" style="970" customWidth="1"/>
    <col min="12307" max="12307" width="30.453125" style="970" customWidth="1"/>
    <col min="12308" max="12308" width="24.36328125" style="970" customWidth="1"/>
    <col min="12309" max="12309" width="28" style="970" customWidth="1"/>
    <col min="12310" max="12310" width="19.453125" style="970" customWidth="1"/>
    <col min="12311" max="12547" width="9.08984375" style="970"/>
    <col min="12548" max="12548" width="14.54296875" style="970" customWidth="1"/>
    <col min="12549" max="12549" width="14.453125" style="970" customWidth="1"/>
    <col min="12550" max="12550" width="58.08984375" style="970" customWidth="1"/>
    <col min="12551" max="12551" width="30.453125" style="970" customWidth="1"/>
    <col min="12552" max="12552" width="27.36328125" style="970" customWidth="1"/>
    <col min="12553" max="12553" width="30.90625" style="970" customWidth="1"/>
    <col min="12554" max="12554" width="24.90625" style="970" customWidth="1"/>
    <col min="12555" max="12555" width="27.36328125" style="970" customWidth="1"/>
    <col min="12556" max="12556" width="32" style="970" customWidth="1"/>
    <col min="12557" max="12557" width="25.54296875" style="970" customWidth="1"/>
    <col min="12558" max="12558" width="27.36328125" style="970" customWidth="1"/>
    <col min="12559" max="12559" width="31.453125" style="970" customWidth="1"/>
    <col min="12560" max="12560" width="30.54296875" style="970" customWidth="1"/>
    <col min="12561" max="12561" width="27.36328125" style="970" customWidth="1"/>
    <col min="12562" max="12562" width="32.54296875" style="970" customWidth="1"/>
    <col min="12563" max="12563" width="30.453125" style="970" customWidth="1"/>
    <col min="12564" max="12564" width="24.36328125" style="970" customWidth="1"/>
    <col min="12565" max="12565" width="28" style="970" customWidth="1"/>
    <col min="12566" max="12566" width="19.453125" style="970" customWidth="1"/>
    <col min="12567" max="12803" width="9.08984375" style="970"/>
    <col min="12804" max="12804" width="14.54296875" style="970" customWidth="1"/>
    <col min="12805" max="12805" width="14.453125" style="970" customWidth="1"/>
    <col min="12806" max="12806" width="58.08984375" style="970" customWidth="1"/>
    <col min="12807" max="12807" width="30.453125" style="970" customWidth="1"/>
    <col min="12808" max="12808" width="27.36328125" style="970" customWidth="1"/>
    <col min="12809" max="12809" width="30.90625" style="970" customWidth="1"/>
    <col min="12810" max="12810" width="24.90625" style="970" customWidth="1"/>
    <col min="12811" max="12811" width="27.36328125" style="970" customWidth="1"/>
    <col min="12812" max="12812" width="32" style="970" customWidth="1"/>
    <col min="12813" max="12813" width="25.54296875" style="970" customWidth="1"/>
    <col min="12814" max="12814" width="27.36328125" style="970" customWidth="1"/>
    <col min="12815" max="12815" width="31.453125" style="970" customWidth="1"/>
    <col min="12816" max="12816" width="30.54296875" style="970" customWidth="1"/>
    <col min="12817" max="12817" width="27.36328125" style="970" customWidth="1"/>
    <col min="12818" max="12818" width="32.54296875" style="970" customWidth="1"/>
    <col min="12819" max="12819" width="30.453125" style="970" customWidth="1"/>
    <col min="12820" max="12820" width="24.36328125" style="970" customWidth="1"/>
    <col min="12821" max="12821" width="28" style="970" customWidth="1"/>
    <col min="12822" max="12822" width="19.453125" style="970" customWidth="1"/>
    <col min="12823" max="13059" width="9.08984375" style="970"/>
    <col min="13060" max="13060" width="14.54296875" style="970" customWidth="1"/>
    <col min="13061" max="13061" width="14.453125" style="970" customWidth="1"/>
    <col min="13062" max="13062" width="58.08984375" style="970" customWidth="1"/>
    <col min="13063" max="13063" width="30.453125" style="970" customWidth="1"/>
    <col min="13064" max="13064" width="27.36328125" style="970" customWidth="1"/>
    <col min="13065" max="13065" width="30.90625" style="970" customWidth="1"/>
    <col min="13066" max="13066" width="24.90625" style="970" customWidth="1"/>
    <col min="13067" max="13067" width="27.36328125" style="970" customWidth="1"/>
    <col min="13068" max="13068" width="32" style="970" customWidth="1"/>
    <col min="13069" max="13069" width="25.54296875" style="970" customWidth="1"/>
    <col min="13070" max="13070" width="27.36328125" style="970" customWidth="1"/>
    <col min="13071" max="13071" width="31.453125" style="970" customWidth="1"/>
    <col min="13072" max="13072" width="30.54296875" style="970" customWidth="1"/>
    <col min="13073" max="13073" width="27.36328125" style="970" customWidth="1"/>
    <col min="13074" max="13074" width="32.54296875" style="970" customWidth="1"/>
    <col min="13075" max="13075" width="30.453125" style="970" customWidth="1"/>
    <col min="13076" max="13076" width="24.36328125" style="970" customWidth="1"/>
    <col min="13077" max="13077" width="28" style="970" customWidth="1"/>
    <col min="13078" max="13078" width="19.453125" style="970" customWidth="1"/>
    <col min="13079" max="13315" width="9.08984375" style="970"/>
    <col min="13316" max="13316" width="14.54296875" style="970" customWidth="1"/>
    <col min="13317" max="13317" width="14.453125" style="970" customWidth="1"/>
    <col min="13318" max="13318" width="58.08984375" style="970" customWidth="1"/>
    <col min="13319" max="13319" width="30.453125" style="970" customWidth="1"/>
    <col min="13320" max="13320" width="27.36328125" style="970" customWidth="1"/>
    <col min="13321" max="13321" width="30.90625" style="970" customWidth="1"/>
    <col min="13322" max="13322" width="24.90625" style="970" customWidth="1"/>
    <col min="13323" max="13323" width="27.36328125" style="970" customWidth="1"/>
    <col min="13324" max="13324" width="32" style="970" customWidth="1"/>
    <col min="13325" max="13325" width="25.54296875" style="970" customWidth="1"/>
    <col min="13326" max="13326" width="27.36328125" style="970" customWidth="1"/>
    <col min="13327" max="13327" width="31.453125" style="970" customWidth="1"/>
    <col min="13328" max="13328" width="30.54296875" style="970" customWidth="1"/>
    <col min="13329" max="13329" width="27.36328125" style="970" customWidth="1"/>
    <col min="13330" max="13330" width="32.54296875" style="970" customWidth="1"/>
    <col min="13331" max="13331" width="30.453125" style="970" customWidth="1"/>
    <col min="13332" max="13332" width="24.36328125" style="970" customWidth="1"/>
    <col min="13333" max="13333" width="28" style="970" customWidth="1"/>
    <col min="13334" max="13334" width="19.453125" style="970" customWidth="1"/>
    <col min="13335" max="13571" width="9.08984375" style="970"/>
    <col min="13572" max="13572" width="14.54296875" style="970" customWidth="1"/>
    <col min="13573" max="13573" width="14.453125" style="970" customWidth="1"/>
    <col min="13574" max="13574" width="58.08984375" style="970" customWidth="1"/>
    <col min="13575" max="13575" width="30.453125" style="970" customWidth="1"/>
    <col min="13576" max="13576" width="27.36328125" style="970" customWidth="1"/>
    <col min="13577" max="13577" width="30.90625" style="970" customWidth="1"/>
    <col min="13578" max="13578" width="24.90625" style="970" customWidth="1"/>
    <col min="13579" max="13579" width="27.36328125" style="970" customWidth="1"/>
    <col min="13580" max="13580" width="32" style="970" customWidth="1"/>
    <col min="13581" max="13581" width="25.54296875" style="970" customWidth="1"/>
    <col min="13582" max="13582" width="27.36328125" style="970" customWidth="1"/>
    <col min="13583" max="13583" width="31.453125" style="970" customWidth="1"/>
    <col min="13584" max="13584" width="30.54296875" style="970" customWidth="1"/>
    <col min="13585" max="13585" width="27.36328125" style="970" customWidth="1"/>
    <col min="13586" max="13586" width="32.54296875" style="970" customWidth="1"/>
    <col min="13587" max="13587" width="30.453125" style="970" customWidth="1"/>
    <col min="13588" max="13588" width="24.36328125" style="970" customWidth="1"/>
    <col min="13589" max="13589" width="28" style="970" customWidth="1"/>
    <col min="13590" max="13590" width="19.453125" style="970" customWidth="1"/>
    <col min="13591" max="13827" width="9.08984375" style="970"/>
    <col min="13828" max="13828" width="14.54296875" style="970" customWidth="1"/>
    <col min="13829" max="13829" width="14.453125" style="970" customWidth="1"/>
    <col min="13830" max="13830" width="58.08984375" style="970" customWidth="1"/>
    <col min="13831" max="13831" width="30.453125" style="970" customWidth="1"/>
    <col min="13832" max="13832" width="27.36328125" style="970" customWidth="1"/>
    <col min="13833" max="13833" width="30.90625" style="970" customWidth="1"/>
    <col min="13834" max="13834" width="24.90625" style="970" customWidth="1"/>
    <col min="13835" max="13835" width="27.36328125" style="970" customWidth="1"/>
    <col min="13836" max="13836" width="32" style="970" customWidth="1"/>
    <col min="13837" max="13837" width="25.54296875" style="970" customWidth="1"/>
    <col min="13838" max="13838" width="27.36328125" style="970" customWidth="1"/>
    <col min="13839" max="13839" width="31.453125" style="970" customWidth="1"/>
    <col min="13840" max="13840" width="30.54296875" style="970" customWidth="1"/>
    <col min="13841" max="13841" width="27.36328125" style="970" customWidth="1"/>
    <col min="13842" max="13842" width="32.54296875" style="970" customWidth="1"/>
    <col min="13843" max="13843" width="30.453125" style="970" customWidth="1"/>
    <col min="13844" max="13844" width="24.36328125" style="970" customWidth="1"/>
    <col min="13845" max="13845" width="28" style="970" customWidth="1"/>
    <col min="13846" max="13846" width="19.453125" style="970" customWidth="1"/>
    <col min="13847" max="14083" width="9.08984375" style="970"/>
    <col min="14084" max="14084" width="14.54296875" style="970" customWidth="1"/>
    <col min="14085" max="14085" width="14.453125" style="970" customWidth="1"/>
    <col min="14086" max="14086" width="58.08984375" style="970" customWidth="1"/>
    <col min="14087" max="14087" width="30.453125" style="970" customWidth="1"/>
    <col min="14088" max="14088" width="27.36328125" style="970" customWidth="1"/>
    <col min="14089" max="14089" width="30.90625" style="970" customWidth="1"/>
    <col min="14090" max="14090" width="24.90625" style="970" customWidth="1"/>
    <col min="14091" max="14091" width="27.36328125" style="970" customWidth="1"/>
    <col min="14092" max="14092" width="32" style="970" customWidth="1"/>
    <col min="14093" max="14093" width="25.54296875" style="970" customWidth="1"/>
    <col min="14094" max="14094" width="27.36328125" style="970" customWidth="1"/>
    <col min="14095" max="14095" width="31.453125" style="970" customWidth="1"/>
    <col min="14096" max="14096" width="30.54296875" style="970" customWidth="1"/>
    <col min="14097" max="14097" width="27.36328125" style="970" customWidth="1"/>
    <col min="14098" max="14098" width="32.54296875" style="970" customWidth="1"/>
    <col min="14099" max="14099" width="30.453125" style="970" customWidth="1"/>
    <col min="14100" max="14100" width="24.36328125" style="970" customWidth="1"/>
    <col min="14101" max="14101" width="28" style="970" customWidth="1"/>
    <col min="14102" max="14102" width="19.453125" style="970" customWidth="1"/>
    <col min="14103" max="14339" width="9.08984375" style="970"/>
    <col min="14340" max="14340" width="14.54296875" style="970" customWidth="1"/>
    <col min="14341" max="14341" width="14.453125" style="970" customWidth="1"/>
    <col min="14342" max="14342" width="58.08984375" style="970" customWidth="1"/>
    <col min="14343" max="14343" width="30.453125" style="970" customWidth="1"/>
    <col min="14344" max="14344" width="27.36328125" style="970" customWidth="1"/>
    <col min="14345" max="14345" width="30.90625" style="970" customWidth="1"/>
    <col min="14346" max="14346" width="24.90625" style="970" customWidth="1"/>
    <col min="14347" max="14347" width="27.36328125" style="970" customWidth="1"/>
    <col min="14348" max="14348" width="32" style="970" customWidth="1"/>
    <col min="14349" max="14349" width="25.54296875" style="970" customWidth="1"/>
    <col min="14350" max="14350" width="27.36328125" style="970" customWidth="1"/>
    <col min="14351" max="14351" width="31.453125" style="970" customWidth="1"/>
    <col min="14352" max="14352" width="30.54296875" style="970" customWidth="1"/>
    <col min="14353" max="14353" width="27.36328125" style="970" customWidth="1"/>
    <col min="14354" max="14354" width="32.54296875" style="970" customWidth="1"/>
    <col min="14355" max="14355" width="30.453125" style="970" customWidth="1"/>
    <col min="14356" max="14356" width="24.36328125" style="970" customWidth="1"/>
    <col min="14357" max="14357" width="28" style="970" customWidth="1"/>
    <col min="14358" max="14358" width="19.453125" style="970" customWidth="1"/>
    <col min="14359" max="14595" width="9.08984375" style="970"/>
    <col min="14596" max="14596" width="14.54296875" style="970" customWidth="1"/>
    <col min="14597" max="14597" width="14.453125" style="970" customWidth="1"/>
    <col min="14598" max="14598" width="58.08984375" style="970" customWidth="1"/>
    <col min="14599" max="14599" width="30.453125" style="970" customWidth="1"/>
    <col min="14600" max="14600" width="27.36328125" style="970" customWidth="1"/>
    <col min="14601" max="14601" width="30.90625" style="970" customWidth="1"/>
    <col min="14602" max="14602" width="24.90625" style="970" customWidth="1"/>
    <col min="14603" max="14603" width="27.36328125" style="970" customWidth="1"/>
    <col min="14604" max="14604" width="32" style="970" customWidth="1"/>
    <col min="14605" max="14605" width="25.54296875" style="970" customWidth="1"/>
    <col min="14606" max="14606" width="27.36328125" style="970" customWidth="1"/>
    <col min="14607" max="14607" width="31.453125" style="970" customWidth="1"/>
    <col min="14608" max="14608" width="30.54296875" style="970" customWidth="1"/>
    <col min="14609" max="14609" width="27.36328125" style="970" customWidth="1"/>
    <col min="14610" max="14610" width="32.54296875" style="970" customWidth="1"/>
    <col min="14611" max="14611" width="30.453125" style="970" customWidth="1"/>
    <col min="14612" max="14612" width="24.36328125" style="970" customWidth="1"/>
    <col min="14613" max="14613" width="28" style="970" customWidth="1"/>
    <col min="14614" max="14614" width="19.453125" style="970" customWidth="1"/>
    <col min="14615" max="14851" width="9.08984375" style="970"/>
    <col min="14852" max="14852" width="14.54296875" style="970" customWidth="1"/>
    <col min="14853" max="14853" width="14.453125" style="970" customWidth="1"/>
    <col min="14854" max="14854" width="58.08984375" style="970" customWidth="1"/>
    <col min="14855" max="14855" width="30.453125" style="970" customWidth="1"/>
    <col min="14856" max="14856" width="27.36328125" style="970" customWidth="1"/>
    <col min="14857" max="14857" width="30.90625" style="970" customWidth="1"/>
    <col min="14858" max="14858" width="24.90625" style="970" customWidth="1"/>
    <col min="14859" max="14859" width="27.36328125" style="970" customWidth="1"/>
    <col min="14860" max="14860" width="32" style="970" customWidth="1"/>
    <col min="14861" max="14861" width="25.54296875" style="970" customWidth="1"/>
    <col min="14862" max="14862" width="27.36328125" style="970" customWidth="1"/>
    <col min="14863" max="14863" width="31.453125" style="970" customWidth="1"/>
    <col min="14864" max="14864" width="30.54296875" style="970" customWidth="1"/>
    <col min="14865" max="14865" width="27.36328125" style="970" customWidth="1"/>
    <col min="14866" max="14866" width="32.54296875" style="970" customWidth="1"/>
    <col min="14867" max="14867" width="30.453125" style="970" customWidth="1"/>
    <col min="14868" max="14868" width="24.36328125" style="970" customWidth="1"/>
    <col min="14869" max="14869" width="28" style="970" customWidth="1"/>
    <col min="14870" max="14870" width="19.453125" style="970" customWidth="1"/>
    <col min="14871" max="15107" width="9.08984375" style="970"/>
    <col min="15108" max="15108" width="14.54296875" style="970" customWidth="1"/>
    <col min="15109" max="15109" width="14.453125" style="970" customWidth="1"/>
    <col min="15110" max="15110" width="58.08984375" style="970" customWidth="1"/>
    <col min="15111" max="15111" width="30.453125" style="970" customWidth="1"/>
    <col min="15112" max="15112" width="27.36328125" style="970" customWidth="1"/>
    <col min="15113" max="15113" width="30.90625" style="970" customWidth="1"/>
    <col min="15114" max="15114" width="24.90625" style="970" customWidth="1"/>
    <col min="15115" max="15115" width="27.36328125" style="970" customWidth="1"/>
    <col min="15116" max="15116" width="32" style="970" customWidth="1"/>
    <col min="15117" max="15117" width="25.54296875" style="970" customWidth="1"/>
    <col min="15118" max="15118" width="27.36328125" style="970" customWidth="1"/>
    <col min="15119" max="15119" width="31.453125" style="970" customWidth="1"/>
    <col min="15120" max="15120" width="30.54296875" style="970" customWidth="1"/>
    <col min="15121" max="15121" width="27.36328125" style="970" customWidth="1"/>
    <col min="15122" max="15122" width="32.54296875" style="970" customWidth="1"/>
    <col min="15123" max="15123" width="30.453125" style="970" customWidth="1"/>
    <col min="15124" max="15124" width="24.36328125" style="970" customWidth="1"/>
    <col min="15125" max="15125" width="28" style="970" customWidth="1"/>
    <col min="15126" max="15126" width="19.453125" style="970" customWidth="1"/>
    <col min="15127" max="15363" width="9.08984375" style="970"/>
    <col min="15364" max="15364" width="14.54296875" style="970" customWidth="1"/>
    <col min="15365" max="15365" width="14.453125" style="970" customWidth="1"/>
    <col min="15366" max="15366" width="58.08984375" style="970" customWidth="1"/>
    <col min="15367" max="15367" width="30.453125" style="970" customWidth="1"/>
    <col min="15368" max="15368" width="27.36328125" style="970" customWidth="1"/>
    <col min="15369" max="15369" width="30.90625" style="970" customWidth="1"/>
    <col min="15370" max="15370" width="24.90625" style="970" customWidth="1"/>
    <col min="15371" max="15371" width="27.36328125" style="970" customWidth="1"/>
    <col min="15372" max="15372" width="32" style="970" customWidth="1"/>
    <col min="15373" max="15373" width="25.54296875" style="970" customWidth="1"/>
    <col min="15374" max="15374" width="27.36328125" style="970" customWidth="1"/>
    <col min="15375" max="15375" width="31.453125" style="970" customWidth="1"/>
    <col min="15376" max="15376" width="30.54296875" style="970" customWidth="1"/>
    <col min="15377" max="15377" width="27.36328125" style="970" customWidth="1"/>
    <col min="15378" max="15378" width="32.54296875" style="970" customWidth="1"/>
    <col min="15379" max="15379" width="30.453125" style="970" customWidth="1"/>
    <col min="15380" max="15380" width="24.36328125" style="970" customWidth="1"/>
    <col min="15381" max="15381" width="28" style="970" customWidth="1"/>
    <col min="15382" max="15382" width="19.453125" style="970" customWidth="1"/>
    <col min="15383" max="15619" width="9.08984375" style="970"/>
    <col min="15620" max="15620" width="14.54296875" style="970" customWidth="1"/>
    <col min="15621" max="15621" width="14.453125" style="970" customWidth="1"/>
    <col min="15622" max="15622" width="58.08984375" style="970" customWidth="1"/>
    <col min="15623" max="15623" width="30.453125" style="970" customWidth="1"/>
    <col min="15624" max="15624" width="27.36328125" style="970" customWidth="1"/>
    <col min="15625" max="15625" width="30.90625" style="970" customWidth="1"/>
    <col min="15626" max="15626" width="24.90625" style="970" customWidth="1"/>
    <col min="15627" max="15627" width="27.36328125" style="970" customWidth="1"/>
    <col min="15628" max="15628" width="32" style="970" customWidth="1"/>
    <col min="15629" max="15629" width="25.54296875" style="970" customWidth="1"/>
    <col min="15630" max="15630" width="27.36328125" style="970" customWidth="1"/>
    <col min="15631" max="15631" width="31.453125" style="970" customWidth="1"/>
    <col min="15632" max="15632" width="30.54296875" style="970" customWidth="1"/>
    <col min="15633" max="15633" width="27.36328125" style="970" customWidth="1"/>
    <col min="15634" max="15634" width="32.54296875" style="970" customWidth="1"/>
    <col min="15635" max="15635" width="30.453125" style="970" customWidth="1"/>
    <col min="15636" max="15636" width="24.36328125" style="970" customWidth="1"/>
    <col min="15637" max="15637" width="28" style="970" customWidth="1"/>
    <col min="15638" max="15638" width="19.453125" style="970" customWidth="1"/>
    <col min="15639" max="15875" width="9.08984375" style="970"/>
    <col min="15876" max="15876" width="14.54296875" style="970" customWidth="1"/>
    <col min="15877" max="15877" width="14.453125" style="970" customWidth="1"/>
    <col min="15878" max="15878" width="58.08984375" style="970" customWidth="1"/>
    <col min="15879" max="15879" width="30.453125" style="970" customWidth="1"/>
    <col min="15880" max="15880" width="27.36328125" style="970" customWidth="1"/>
    <col min="15881" max="15881" width="30.90625" style="970" customWidth="1"/>
    <col min="15882" max="15882" width="24.90625" style="970" customWidth="1"/>
    <col min="15883" max="15883" width="27.36328125" style="970" customWidth="1"/>
    <col min="15884" max="15884" width="32" style="970" customWidth="1"/>
    <col min="15885" max="15885" width="25.54296875" style="970" customWidth="1"/>
    <col min="15886" max="15886" width="27.36328125" style="970" customWidth="1"/>
    <col min="15887" max="15887" width="31.453125" style="970" customWidth="1"/>
    <col min="15888" max="15888" width="30.54296875" style="970" customWidth="1"/>
    <col min="15889" max="15889" width="27.36328125" style="970" customWidth="1"/>
    <col min="15890" max="15890" width="32.54296875" style="970" customWidth="1"/>
    <col min="15891" max="15891" width="30.453125" style="970" customWidth="1"/>
    <col min="15892" max="15892" width="24.36328125" style="970" customWidth="1"/>
    <col min="15893" max="15893" width="28" style="970" customWidth="1"/>
    <col min="15894" max="15894" width="19.453125" style="970" customWidth="1"/>
    <col min="15895" max="16131" width="9.08984375" style="970"/>
    <col min="16132" max="16132" width="14.54296875" style="970" customWidth="1"/>
    <col min="16133" max="16133" width="14.453125" style="970" customWidth="1"/>
    <col min="16134" max="16134" width="58.08984375" style="970" customWidth="1"/>
    <col min="16135" max="16135" width="30.453125" style="970" customWidth="1"/>
    <col min="16136" max="16136" width="27.36328125" style="970" customWidth="1"/>
    <col min="16137" max="16137" width="30.90625" style="970" customWidth="1"/>
    <col min="16138" max="16138" width="24.90625" style="970" customWidth="1"/>
    <col min="16139" max="16139" width="27.36328125" style="970" customWidth="1"/>
    <col min="16140" max="16140" width="32" style="970" customWidth="1"/>
    <col min="16141" max="16141" width="25.54296875" style="970" customWidth="1"/>
    <col min="16142" max="16142" width="27.36328125" style="970" customWidth="1"/>
    <col min="16143" max="16143" width="31.453125" style="970" customWidth="1"/>
    <col min="16144" max="16144" width="30.54296875" style="970" customWidth="1"/>
    <col min="16145" max="16145" width="27.36328125" style="970" customWidth="1"/>
    <col min="16146" max="16146" width="32.54296875" style="970" customWidth="1"/>
    <col min="16147" max="16147" width="30.453125" style="970" customWidth="1"/>
    <col min="16148" max="16148" width="24.36328125" style="970" customWidth="1"/>
    <col min="16149" max="16149" width="28" style="970" customWidth="1"/>
    <col min="16150" max="16150" width="19.453125" style="970" customWidth="1"/>
    <col min="16151" max="16384" width="9.08984375" style="970"/>
  </cols>
  <sheetData>
    <row r="1" spans="2:21">
      <c r="C1" s="968"/>
      <c r="D1" s="969"/>
      <c r="E1" s="969"/>
      <c r="F1" s="969"/>
      <c r="G1" s="969"/>
      <c r="K1" s="969"/>
      <c r="L1" s="969"/>
      <c r="M1" s="969"/>
    </row>
    <row r="2" spans="2:21" s="932" customFormat="1">
      <c r="B2" s="22"/>
      <c r="C2" s="973"/>
      <c r="D2" s="22"/>
      <c r="E2" s="22"/>
      <c r="F2" s="22"/>
      <c r="G2" s="22"/>
      <c r="H2" s="891" t="str">
        <f>Index!B2</f>
        <v xml:space="preserve">      Maharashtra State Power Generation Company Ltd.</v>
      </c>
    </row>
    <row r="3" spans="2:21" s="932" customFormat="1">
      <c r="B3" s="974"/>
      <c r="C3" s="973"/>
      <c r="D3" s="959"/>
      <c r="E3" s="959"/>
      <c r="F3" s="959"/>
      <c r="G3" s="959"/>
      <c r="H3" s="930" t="s">
        <v>1049</v>
      </c>
    </row>
    <row r="4" spans="2:21" s="932" customFormat="1" ht="15" customHeight="1">
      <c r="B4" s="974"/>
      <c r="C4" s="973"/>
      <c r="D4" s="959"/>
      <c r="E4" s="959"/>
      <c r="F4" s="959"/>
      <c r="G4" s="959"/>
      <c r="H4" s="930" t="s">
        <v>1070</v>
      </c>
    </row>
    <row r="5" spans="2:21" ht="15" customHeight="1">
      <c r="U5" s="976" t="s">
        <v>10</v>
      </c>
    </row>
    <row r="6" spans="2:21" s="977" customFormat="1">
      <c r="B6" s="1973" t="s">
        <v>340</v>
      </c>
      <c r="C6" s="1973" t="s">
        <v>1071</v>
      </c>
      <c r="D6" s="1978" t="s">
        <v>1072</v>
      </c>
      <c r="E6" s="1979"/>
      <c r="F6" s="1979"/>
      <c r="G6" s="1979"/>
      <c r="H6" s="1979"/>
      <c r="I6" s="1979"/>
      <c r="J6" s="1979"/>
      <c r="K6" s="1979"/>
      <c r="L6" s="1979"/>
      <c r="M6" s="1979"/>
      <c r="N6" s="1979"/>
      <c r="O6" s="1979"/>
      <c r="P6" s="1979"/>
      <c r="Q6" s="1979"/>
      <c r="R6" s="1979"/>
      <c r="S6" s="1980"/>
      <c r="T6" s="1981" t="s">
        <v>1073</v>
      </c>
      <c r="U6" s="1984" t="s">
        <v>1074</v>
      </c>
    </row>
    <row r="7" spans="2:21" s="978" customFormat="1">
      <c r="B7" s="1974"/>
      <c r="C7" s="1974"/>
      <c r="D7" s="1987" t="s">
        <v>1075</v>
      </c>
      <c r="E7" s="1987"/>
      <c r="F7" s="1987"/>
      <c r="G7" s="1987"/>
      <c r="H7" s="1987" t="s">
        <v>1076</v>
      </c>
      <c r="I7" s="1987"/>
      <c r="J7" s="1987"/>
      <c r="K7" s="1987" t="s">
        <v>1076</v>
      </c>
      <c r="L7" s="1987"/>
      <c r="M7" s="1987"/>
      <c r="N7" s="1987" t="s">
        <v>1077</v>
      </c>
      <c r="O7" s="1987"/>
      <c r="P7" s="1987"/>
      <c r="Q7" s="1987" t="s">
        <v>1078</v>
      </c>
      <c r="R7" s="1987"/>
      <c r="S7" s="1987"/>
      <c r="T7" s="1982"/>
      <c r="U7" s="1985"/>
    </row>
    <row r="8" spans="2:21" s="980" customFormat="1" ht="70">
      <c r="B8" s="1975"/>
      <c r="C8" s="1974"/>
      <c r="D8" s="979" t="s">
        <v>1079</v>
      </c>
      <c r="E8" s="979" t="s">
        <v>1080</v>
      </c>
      <c r="F8" s="979" t="s">
        <v>1081</v>
      </c>
      <c r="G8" s="979" t="s">
        <v>1082</v>
      </c>
      <c r="H8" s="979" t="s">
        <v>1080</v>
      </c>
      <c r="I8" s="979" t="s">
        <v>1081</v>
      </c>
      <c r="J8" s="979" t="s">
        <v>1082</v>
      </c>
      <c r="K8" s="979" t="s">
        <v>1080</v>
      </c>
      <c r="L8" s="979" t="s">
        <v>1081</v>
      </c>
      <c r="M8" s="979" t="s">
        <v>1082</v>
      </c>
      <c r="N8" s="979" t="s">
        <v>23</v>
      </c>
      <c r="O8" s="979" t="s">
        <v>23</v>
      </c>
      <c r="P8" s="979" t="s">
        <v>23</v>
      </c>
      <c r="Q8" s="979" t="s">
        <v>1080</v>
      </c>
      <c r="R8" s="979" t="s">
        <v>1081</v>
      </c>
      <c r="S8" s="979" t="s">
        <v>1082</v>
      </c>
      <c r="T8" s="1983"/>
      <c r="U8" s="1985"/>
    </row>
    <row r="9" spans="2:21" s="980" customFormat="1">
      <c r="B9" s="1976"/>
      <c r="C9" s="1977"/>
      <c r="D9" s="979"/>
      <c r="E9" s="979" t="s">
        <v>80</v>
      </c>
      <c r="F9" s="979" t="s">
        <v>81</v>
      </c>
      <c r="G9" s="979" t="s">
        <v>1083</v>
      </c>
      <c r="H9" s="979" t="s">
        <v>391</v>
      </c>
      <c r="I9" s="979" t="s">
        <v>409</v>
      </c>
      <c r="J9" s="979" t="s">
        <v>1084</v>
      </c>
      <c r="K9" s="979" t="s">
        <v>410</v>
      </c>
      <c r="L9" s="979" t="s">
        <v>411</v>
      </c>
      <c r="M9" s="979" t="s">
        <v>1085</v>
      </c>
      <c r="N9" s="979"/>
      <c r="O9" s="979"/>
      <c r="P9" s="979"/>
      <c r="Q9" s="979" t="s">
        <v>1086</v>
      </c>
      <c r="R9" s="979" t="s">
        <v>1087</v>
      </c>
      <c r="S9" s="979" t="s">
        <v>1088</v>
      </c>
      <c r="T9" s="981" t="s">
        <v>1089</v>
      </c>
      <c r="U9" s="1986"/>
    </row>
    <row r="10" spans="2:21" s="985" customFormat="1">
      <c r="B10" s="982">
        <v>1</v>
      </c>
      <c r="C10" s="983" t="s">
        <v>1090</v>
      </c>
      <c r="D10" s="984"/>
      <c r="E10" s="984"/>
      <c r="F10" s="984"/>
      <c r="G10" s="984"/>
      <c r="H10" s="984"/>
      <c r="I10" s="984"/>
      <c r="J10" s="984"/>
      <c r="K10" s="984"/>
      <c r="L10" s="984"/>
      <c r="M10" s="984"/>
      <c r="N10" s="984"/>
      <c r="O10" s="984"/>
      <c r="P10" s="984"/>
      <c r="Q10" s="984"/>
      <c r="R10" s="984"/>
      <c r="S10" s="984"/>
      <c r="T10" s="984"/>
      <c r="U10" s="984"/>
    </row>
    <row r="11" spans="2:21">
      <c r="B11" s="986">
        <v>1.1000000000000001</v>
      </c>
      <c r="C11" s="987" t="s">
        <v>1091</v>
      </c>
      <c r="D11" s="984"/>
      <c r="E11" s="984"/>
      <c r="F11" s="984"/>
      <c r="G11" s="984"/>
      <c r="H11" s="984"/>
      <c r="I11" s="984"/>
      <c r="J11" s="984"/>
      <c r="K11" s="984"/>
      <c r="L11" s="984"/>
      <c r="M11" s="984"/>
      <c r="N11" s="984"/>
      <c r="O11" s="984"/>
      <c r="P11" s="984"/>
      <c r="Q11" s="984"/>
      <c r="R11" s="984"/>
      <c r="S11" s="984"/>
      <c r="T11" s="984"/>
      <c r="U11" s="984"/>
    </row>
    <row r="12" spans="2:21">
      <c r="B12" s="986">
        <v>1.2</v>
      </c>
      <c r="C12" s="988" t="s">
        <v>1092</v>
      </c>
      <c r="D12" s="984"/>
      <c r="E12" s="984"/>
      <c r="F12" s="984"/>
      <c r="G12" s="984"/>
      <c r="H12" s="984"/>
      <c r="I12" s="984"/>
      <c r="J12" s="984"/>
      <c r="K12" s="984"/>
      <c r="L12" s="984"/>
      <c r="M12" s="984"/>
      <c r="N12" s="984"/>
      <c r="O12" s="984"/>
      <c r="P12" s="984"/>
      <c r="Q12" s="984"/>
      <c r="R12" s="984"/>
      <c r="S12" s="984"/>
      <c r="T12" s="984"/>
      <c r="U12" s="984"/>
    </row>
    <row r="13" spans="2:21">
      <c r="B13" s="989">
        <v>1.3</v>
      </c>
      <c r="C13" s="988" t="s">
        <v>1093</v>
      </c>
      <c r="D13" s="984"/>
      <c r="E13" s="984"/>
      <c r="F13" s="984"/>
      <c r="G13" s="984"/>
      <c r="H13" s="984"/>
      <c r="I13" s="984"/>
      <c r="J13" s="984"/>
      <c r="K13" s="984"/>
      <c r="L13" s="984"/>
      <c r="M13" s="984"/>
      <c r="N13" s="984"/>
      <c r="O13" s="984"/>
      <c r="P13" s="984"/>
      <c r="Q13" s="984"/>
      <c r="R13" s="984"/>
      <c r="S13" s="984"/>
      <c r="T13" s="984"/>
      <c r="U13" s="984"/>
    </row>
    <row r="14" spans="2:21" s="985" customFormat="1">
      <c r="B14" s="990"/>
      <c r="C14" s="991" t="s">
        <v>1094</v>
      </c>
      <c r="D14" s="984"/>
      <c r="E14" s="984"/>
      <c r="F14" s="984"/>
      <c r="G14" s="984"/>
      <c r="H14" s="984"/>
      <c r="I14" s="984"/>
      <c r="J14" s="984"/>
      <c r="K14" s="984"/>
      <c r="L14" s="984"/>
      <c r="M14" s="984"/>
      <c r="N14" s="984"/>
      <c r="O14" s="984"/>
      <c r="P14" s="984"/>
      <c r="Q14" s="984"/>
      <c r="R14" s="984"/>
      <c r="S14" s="984"/>
      <c r="T14" s="984"/>
      <c r="U14" s="984"/>
    </row>
    <row r="15" spans="2:21" s="985" customFormat="1">
      <c r="B15" s="990"/>
      <c r="C15" s="991"/>
      <c r="D15" s="984"/>
      <c r="E15" s="984"/>
      <c r="F15" s="984"/>
      <c r="G15" s="984"/>
      <c r="H15" s="984"/>
      <c r="I15" s="984"/>
      <c r="J15" s="984"/>
      <c r="K15" s="984"/>
      <c r="L15" s="984"/>
      <c r="M15" s="984"/>
      <c r="N15" s="984"/>
      <c r="O15" s="984"/>
      <c r="P15" s="984"/>
      <c r="Q15" s="984"/>
      <c r="R15" s="984"/>
      <c r="S15" s="984"/>
      <c r="T15" s="984"/>
      <c r="U15" s="984"/>
    </row>
    <row r="16" spans="2:21" s="985" customFormat="1">
      <c r="B16" s="992">
        <v>2</v>
      </c>
      <c r="C16" s="991" t="s">
        <v>1095</v>
      </c>
      <c r="D16" s="984"/>
      <c r="E16" s="984"/>
      <c r="F16" s="984"/>
      <c r="G16" s="984"/>
      <c r="H16" s="984"/>
      <c r="I16" s="984"/>
      <c r="J16" s="984"/>
      <c r="K16" s="984"/>
      <c r="L16" s="984"/>
      <c r="M16" s="984"/>
      <c r="N16" s="984"/>
      <c r="O16" s="984"/>
      <c r="P16" s="984"/>
      <c r="Q16" s="984"/>
      <c r="R16" s="984"/>
      <c r="S16" s="984"/>
      <c r="T16" s="984"/>
      <c r="U16" s="984"/>
    </row>
    <row r="17" spans="2:22" s="985" customFormat="1">
      <c r="B17" s="992">
        <v>2.1</v>
      </c>
      <c r="C17" s="991" t="s">
        <v>1096</v>
      </c>
      <c r="D17" s="984"/>
      <c r="E17" s="984"/>
      <c r="F17" s="984"/>
      <c r="G17" s="984"/>
      <c r="H17" s="984"/>
      <c r="I17" s="984"/>
      <c r="J17" s="984"/>
      <c r="K17" s="984"/>
      <c r="L17" s="984"/>
      <c r="M17" s="984"/>
      <c r="N17" s="984"/>
      <c r="O17" s="984"/>
      <c r="P17" s="984"/>
      <c r="Q17" s="984"/>
      <c r="R17" s="984"/>
      <c r="S17" s="984"/>
      <c r="T17" s="984"/>
      <c r="U17" s="984"/>
    </row>
    <row r="18" spans="2:22">
      <c r="B18" s="993" t="s">
        <v>108</v>
      </c>
      <c r="C18" s="994" t="s">
        <v>1097</v>
      </c>
      <c r="D18" s="984"/>
      <c r="E18" s="984"/>
      <c r="F18" s="984"/>
      <c r="G18" s="984"/>
      <c r="H18" s="984"/>
      <c r="I18" s="984"/>
      <c r="J18" s="984"/>
      <c r="K18" s="984"/>
      <c r="L18" s="984"/>
      <c r="M18" s="984"/>
      <c r="N18" s="984"/>
      <c r="O18" s="984"/>
      <c r="P18" s="984"/>
      <c r="Q18" s="984"/>
      <c r="R18" s="984"/>
      <c r="S18" s="984"/>
      <c r="T18" s="984"/>
      <c r="U18" s="984"/>
    </row>
    <row r="19" spans="2:22">
      <c r="B19" s="993" t="s">
        <v>110</v>
      </c>
      <c r="C19" s="994" t="s">
        <v>1098</v>
      </c>
      <c r="D19" s="984"/>
      <c r="E19" s="984"/>
      <c r="F19" s="984"/>
      <c r="G19" s="984"/>
      <c r="H19" s="984"/>
      <c r="I19" s="984"/>
      <c r="J19" s="984"/>
      <c r="K19" s="984"/>
      <c r="L19" s="984"/>
      <c r="M19" s="984"/>
      <c r="N19" s="984"/>
      <c r="O19" s="984"/>
      <c r="P19" s="984"/>
      <c r="Q19" s="984"/>
      <c r="R19" s="984"/>
      <c r="S19" s="984"/>
      <c r="T19" s="984"/>
      <c r="U19" s="984"/>
    </row>
    <row r="20" spans="2:22">
      <c r="B20" s="993" t="s">
        <v>112</v>
      </c>
      <c r="C20" s="994" t="s">
        <v>1099</v>
      </c>
      <c r="D20" s="984"/>
      <c r="E20" s="984"/>
      <c r="F20" s="984"/>
      <c r="G20" s="984"/>
      <c r="H20" s="984"/>
      <c r="I20" s="984"/>
      <c r="J20" s="984"/>
      <c r="K20" s="984"/>
      <c r="L20" s="984"/>
      <c r="M20" s="984"/>
      <c r="N20" s="984"/>
      <c r="O20" s="984"/>
      <c r="P20" s="984"/>
      <c r="Q20" s="984"/>
      <c r="R20" s="984"/>
      <c r="S20" s="984"/>
      <c r="T20" s="984"/>
      <c r="U20" s="984"/>
    </row>
    <row r="21" spans="2:22">
      <c r="B21" s="993" t="s">
        <v>744</v>
      </c>
      <c r="C21" s="994" t="s">
        <v>1100</v>
      </c>
      <c r="D21" s="984"/>
      <c r="E21" s="984"/>
      <c r="F21" s="984"/>
      <c r="G21" s="984"/>
      <c r="H21" s="984"/>
      <c r="I21" s="984"/>
      <c r="J21" s="984"/>
      <c r="K21" s="984"/>
      <c r="L21" s="984"/>
      <c r="M21" s="984"/>
      <c r="N21" s="984"/>
      <c r="O21" s="984"/>
      <c r="P21" s="984"/>
      <c r="Q21" s="984"/>
      <c r="R21" s="984"/>
      <c r="S21" s="984"/>
      <c r="T21" s="984"/>
      <c r="U21" s="984"/>
    </row>
    <row r="22" spans="2:22">
      <c r="B22" s="993" t="s">
        <v>856</v>
      </c>
      <c r="C22" s="994" t="s">
        <v>1101</v>
      </c>
      <c r="D22" s="984"/>
      <c r="E22" s="984"/>
      <c r="F22" s="984"/>
      <c r="G22" s="984"/>
      <c r="H22" s="984"/>
      <c r="I22" s="984"/>
      <c r="J22" s="984"/>
      <c r="K22" s="984"/>
      <c r="L22" s="984"/>
      <c r="M22" s="984"/>
      <c r="N22" s="984"/>
      <c r="O22" s="984"/>
      <c r="P22" s="984"/>
      <c r="Q22" s="984"/>
      <c r="R22" s="984"/>
      <c r="S22" s="984"/>
      <c r="T22" s="984"/>
      <c r="U22" s="984"/>
    </row>
    <row r="23" spans="2:22">
      <c r="B23" s="993" t="s">
        <v>857</v>
      </c>
      <c r="C23" s="994" t="s">
        <v>1102</v>
      </c>
      <c r="D23" s="984"/>
      <c r="E23" s="984"/>
      <c r="F23" s="984"/>
      <c r="G23" s="984"/>
      <c r="H23" s="984"/>
      <c r="I23" s="984"/>
      <c r="J23" s="984"/>
      <c r="K23" s="984"/>
      <c r="L23" s="984"/>
      <c r="M23" s="984"/>
      <c r="N23" s="984"/>
      <c r="O23" s="984"/>
      <c r="P23" s="984"/>
      <c r="Q23" s="984"/>
      <c r="R23" s="984"/>
      <c r="S23" s="984"/>
      <c r="T23" s="984"/>
      <c r="U23" s="984"/>
    </row>
    <row r="24" spans="2:22">
      <c r="B24" s="993" t="s">
        <v>858</v>
      </c>
      <c r="C24" s="994" t="s">
        <v>1103</v>
      </c>
      <c r="D24" s="984"/>
      <c r="E24" s="984"/>
      <c r="F24" s="984"/>
      <c r="G24" s="984"/>
      <c r="H24" s="984"/>
      <c r="I24" s="984"/>
      <c r="J24" s="984"/>
      <c r="K24" s="984"/>
      <c r="L24" s="984"/>
      <c r="M24" s="984"/>
      <c r="N24" s="984"/>
      <c r="O24" s="984"/>
      <c r="P24" s="984"/>
      <c r="Q24" s="984"/>
      <c r="R24" s="984"/>
      <c r="S24" s="984"/>
      <c r="T24" s="984"/>
      <c r="U24" s="984"/>
    </row>
    <row r="25" spans="2:22">
      <c r="B25" s="993" t="s">
        <v>1104</v>
      </c>
      <c r="C25" s="994" t="s">
        <v>1105</v>
      </c>
      <c r="D25" s="984"/>
      <c r="E25" s="984"/>
      <c r="F25" s="984"/>
      <c r="G25" s="984"/>
      <c r="H25" s="984"/>
      <c r="I25" s="984"/>
      <c r="J25" s="984"/>
      <c r="K25" s="984"/>
      <c r="L25" s="984"/>
      <c r="M25" s="984"/>
      <c r="N25" s="984"/>
      <c r="O25" s="984"/>
      <c r="P25" s="984"/>
      <c r="Q25" s="984"/>
      <c r="R25" s="984"/>
      <c r="S25" s="984"/>
      <c r="T25" s="984"/>
      <c r="U25" s="984"/>
    </row>
    <row r="26" spans="2:22">
      <c r="B26" s="993"/>
      <c r="C26" s="994"/>
      <c r="D26" s="984"/>
      <c r="E26" s="984"/>
      <c r="F26" s="984"/>
      <c r="G26" s="984"/>
      <c r="H26" s="984"/>
      <c r="I26" s="984"/>
      <c r="J26" s="984"/>
      <c r="K26" s="984"/>
      <c r="L26" s="984"/>
      <c r="M26" s="984"/>
      <c r="N26" s="984"/>
      <c r="O26" s="984"/>
      <c r="P26" s="984"/>
      <c r="Q26" s="984"/>
      <c r="R26" s="984"/>
      <c r="S26" s="984"/>
      <c r="T26" s="984"/>
      <c r="U26" s="984"/>
    </row>
    <row r="27" spans="2:22" s="985" customFormat="1">
      <c r="B27" s="992">
        <v>2.2000000000000002</v>
      </c>
      <c r="C27" s="991" t="s">
        <v>1106</v>
      </c>
      <c r="D27" s="984"/>
      <c r="E27" s="984"/>
      <c r="F27" s="984"/>
      <c r="G27" s="984"/>
      <c r="H27" s="984"/>
      <c r="I27" s="984"/>
      <c r="J27" s="984"/>
      <c r="K27" s="984"/>
      <c r="L27" s="984"/>
      <c r="M27" s="984"/>
      <c r="N27" s="984"/>
      <c r="O27" s="984"/>
      <c r="P27" s="984"/>
      <c r="Q27" s="984"/>
      <c r="R27" s="984"/>
      <c r="S27" s="984"/>
      <c r="T27" s="984"/>
      <c r="U27" s="984"/>
      <c r="V27" s="995"/>
    </row>
    <row r="28" spans="2:22">
      <c r="B28" s="993" t="s">
        <v>115</v>
      </c>
      <c r="C28" s="994" t="s">
        <v>1107</v>
      </c>
      <c r="D28" s="984"/>
      <c r="E28" s="984"/>
      <c r="F28" s="984"/>
      <c r="G28" s="984"/>
      <c r="H28" s="984"/>
      <c r="I28" s="984"/>
      <c r="J28" s="984"/>
      <c r="K28" s="984"/>
      <c r="L28" s="984"/>
      <c r="M28" s="984"/>
      <c r="N28" s="984"/>
      <c r="O28" s="984"/>
      <c r="P28" s="984"/>
      <c r="Q28" s="984"/>
      <c r="R28" s="984"/>
      <c r="S28" s="984"/>
      <c r="T28" s="984"/>
      <c r="U28" s="984"/>
      <c r="V28" s="996"/>
    </row>
    <row r="29" spans="2:22" ht="29.4" customHeight="1">
      <c r="B29" s="993" t="s">
        <v>117</v>
      </c>
      <c r="C29" s="994" t="s">
        <v>1108</v>
      </c>
      <c r="D29" s="984"/>
      <c r="E29" s="984"/>
      <c r="F29" s="984"/>
      <c r="G29" s="984"/>
      <c r="H29" s="984"/>
      <c r="I29" s="984"/>
      <c r="J29" s="984"/>
      <c r="K29" s="984"/>
      <c r="L29" s="984"/>
      <c r="M29" s="984"/>
      <c r="N29" s="984"/>
      <c r="O29" s="984"/>
      <c r="P29" s="984"/>
      <c r="Q29" s="984"/>
      <c r="R29" s="984"/>
      <c r="S29" s="984"/>
      <c r="T29" s="984"/>
      <c r="U29" s="984"/>
      <c r="V29" s="996"/>
    </row>
    <row r="30" spans="2:22">
      <c r="B30" s="993" t="s">
        <v>118</v>
      </c>
      <c r="C30" s="994" t="s">
        <v>1109</v>
      </c>
      <c r="D30" s="984"/>
      <c r="E30" s="984"/>
      <c r="F30" s="984"/>
      <c r="G30" s="984"/>
      <c r="H30" s="984"/>
      <c r="I30" s="984"/>
      <c r="J30" s="984"/>
      <c r="K30" s="984"/>
      <c r="L30" s="984"/>
      <c r="M30" s="984"/>
      <c r="N30" s="984"/>
      <c r="O30" s="984"/>
      <c r="P30" s="984"/>
      <c r="Q30" s="984"/>
      <c r="R30" s="984"/>
      <c r="S30" s="984"/>
      <c r="T30" s="984"/>
      <c r="U30" s="984"/>
    </row>
    <row r="31" spans="2:22">
      <c r="B31" s="993" t="s">
        <v>749</v>
      </c>
      <c r="C31" s="994" t="s">
        <v>1110</v>
      </c>
      <c r="D31" s="984"/>
      <c r="E31" s="984"/>
      <c r="F31" s="984"/>
      <c r="G31" s="984"/>
      <c r="H31" s="984"/>
      <c r="I31" s="984"/>
      <c r="J31" s="984"/>
      <c r="K31" s="984"/>
      <c r="L31" s="984"/>
      <c r="M31" s="984"/>
      <c r="N31" s="984"/>
      <c r="O31" s="984"/>
      <c r="P31" s="984"/>
      <c r="Q31" s="984"/>
      <c r="R31" s="984"/>
      <c r="S31" s="984"/>
      <c r="T31" s="984"/>
      <c r="U31" s="984"/>
    </row>
    <row r="32" spans="2:22" ht="28">
      <c r="B32" s="993" t="s">
        <v>859</v>
      </c>
      <c r="C32" s="994" t="s">
        <v>1111</v>
      </c>
      <c r="D32" s="984"/>
      <c r="E32" s="984"/>
      <c r="F32" s="984"/>
      <c r="G32" s="984"/>
      <c r="H32" s="984"/>
      <c r="I32" s="984"/>
      <c r="J32" s="984"/>
      <c r="K32" s="984"/>
      <c r="L32" s="984"/>
      <c r="M32" s="984"/>
      <c r="N32" s="984"/>
      <c r="O32" s="984"/>
      <c r="P32" s="984"/>
      <c r="Q32" s="984"/>
      <c r="R32" s="984"/>
      <c r="S32" s="984"/>
      <c r="T32" s="984"/>
      <c r="U32" s="984"/>
      <c r="V32" s="971"/>
    </row>
    <row r="33" spans="2:21">
      <c r="B33" s="993" t="s">
        <v>860</v>
      </c>
      <c r="C33" s="994" t="s">
        <v>1112</v>
      </c>
      <c r="D33" s="984"/>
      <c r="E33" s="984"/>
      <c r="F33" s="984"/>
      <c r="G33" s="984"/>
      <c r="H33" s="984"/>
      <c r="I33" s="984"/>
      <c r="J33" s="984"/>
      <c r="K33" s="984"/>
      <c r="L33" s="984"/>
      <c r="M33" s="984"/>
      <c r="N33" s="984"/>
      <c r="O33" s="984"/>
      <c r="P33" s="984"/>
      <c r="Q33" s="984"/>
      <c r="R33" s="984"/>
      <c r="S33" s="984"/>
      <c r="T33" s="984"/>
      <c r="U33" s="984"/>
    </row>
    <row r="34" spans="2:21">
      <c r="B34" s="993" t="s">
        <v>861</v>
      </c>
      <c r="C34" s="994" t="s">
        <v>1113</v>
      </c>
      <c r="D34" s="984"/>
      <c r="E34" s="984"/>
      <c r="F34" s="984"/>
      <c r="G34" s="984"/>
      <c r="H34" s="984"/>
      <c r="I34" s="984"/>
      <c r="J34" s="984"/>
      <c r="K34" s="984"/>
      <c r="L34" s="984"/>
      <c r="M34" s="984"/>
      <c r="N34" s="984"/>
      <c r="O34" s="984"/>
      <c r="P34" s="984"/>
      <c r="Q34" s="984"/>
      <c r="R34" s="984"/>
      <c r="S34" s="984"/>
      <c r="T34" s="984"/>
      <c r="U34" s="984"/>
    </row>
    <row r="35" spans="2:21" ht="17.399999999999999" customHeight="1">
      <c r="B35" s="993" t="s">
        <v>1114</v>
      </c>
      <c r="C35" s="994" t="s">
        <v>1115</v>
      </c>
      <c r="D35" s="984"/>
      <c r="E35" s="984"/>
      <c r="F35" s="984"/>
      <c r="G35" s="984"/>
      <c r="H35" s="984"/>
      <c r="I35" s="984"/>
      <c r="J35" s="984"/>
      <c r="K35" s="984"/>
      <c r="L35" s="984"/>
      <c r="M35" s="984"/>
      <c r="N35" s="984"/>
      <c r="O35" s="984"/>
      <c r="P35" s="984"/>
      <c r="Q35" s="984"/>
      <c r="R35" s="984"/>
      <c r="S35" s="984"/>
      <c r="T35" s="984"/>
      <c r="U35" s="984"/>
    </row>
    <row r="36" spans="2:21">
      <c r="B36" s="993" t="s">
        <v>1116</v>
      </c>
      <c r="C36" s="994" t="s">
        <v>1117</v>
      </c>
      <c r="D36" s="984"/>
      <c r="E36" s="984"/>
      <c r="F36" s="984"/>
      <c r="G36" s="984"/>
      <c r="H36" s="984"/>
      <c r="I36" s="984"/>
      <c r="J36" s="984"/>
      <c r="K36" s="984"/>
      <c r="L36" s="984"/>
      <c r="M36" s="984"/>
      <c r="N36" s="984"/>
      <c r="O36" s="984"/>
      <c r="P36" s="984"/>
      <c r="Q36" s="984"/>
      <c r="R36" s="984"/>
      <c r="S36" s="984"/>
      <c r="T36" s="984"/>
      <c r="U36" s="984"/>
    </row>
    <row r="37" spans="2:21" s="985" customFormat="1">
      <c r="B37" s="993" t="s">
        <v>1118</v>
      </c>
      <c r="C37" s="988" t="s">
        <v>1119</v>
      </c>
      <c r="D37" s="984"/>
      <c r="E37" s="984"/>
      <c r="F37" s="984"/>
      <c r="G37" s="984"/>
      <c r="H37" s="984"/>
      <c r="I37" s="984"/>
      <c r="J37" s="984"/>
      <c r="K37" s="984"/>
      <c r="L37" s="984"/>
      <c r="M37" s="984"/>
      <c r="N37" s="984"/>
      <c r="O37" s="984"/>
      <c r="P37" s="984"/>
      <c r="Q37" s="984"/>
      <c r="R37" s="984"/>
      <c r="S37" s="984"/>
      <c r="T37" s="984"/>
      <c r="U37" s="984"/>
    </row>
    <row r="38" spans="2:21">
      <c r="B38" s="993" t="s">
        <v>1120</v>
      </c>
      <c r="C38" s="994" t="s">
        <v>1121</v>
      </c>
      <c r="D38" s="984"/>
      <c r="E38" s="984"/>
      <c r="F38" s="984"/>
      <c r="G38" s="984"/>
      <c r="H38" s="984"/>
      <c r="I38" s="984"/>
      <c r="J38" s="984"/>
      <c r="K38" s="984"/>
      <c r="L38" s="984"/>
      <c r="M38" s="984"/>
      <c r="N38" s="984"/>
      <c r="O38" s="984"/>
      <c r="P38" s="984"/>
      <c r="Q38" s="984"/>
      <c r="R38" s="984"/>
      <c r="S38" s="984"/>
      <c r="T38" s="984"/>
      <c r="U38" s="984"/>
    </row>
    <row r="39" spans="2:21">
      <c r="B39" s="993" t="s">
        <v>1122</v>
      </c>
      <c r="C39" s="994" t="s">
        <v>1123</v>
      </c>
      <c r="D39" s="984"/>
      <c r="E39" s="984"/>
      <c r="F39" s="984"/>
      <c r="G39" s="984"/>
      <c r="H39" s="984"/>
      <c r="I39" s="984"/>
      <c r="J39" s="984"/>
      <c r="K39" s="984"/>
      <c r="L39" s="984"/>
      <c r="M39" s="984"/>
      <c r="N39" s="984"/>
      <c r="O39" s="984"/>
      <c r="P39" s="984"/>
      <c r="Q39" s="984"/>
      <c r="R39" s="984"/>
      <c r="S39" s="984"/>
      <c r="T39" s="984"/>
      <c r="U39" s="984"/>
    </row>
    <row r="40" spans="2:21">
      <c r="B40" s="993" t="s">
        <v>1124</v>
      </c>
      <c r="C40" s="994" t="s">
        <v>1125</v>
      </c>
      <c r="D40" s="984"/>
      <c r="E40" s="984"/>
      <c r="F40" s="984"/>
      <c r="G40" s="984"/>
      <c r="H40" s="984"/>
      <c r="I40" s="984"/>
      <c r="J40" s="984"/>
      <c r="K40" s="984"/>
      <c r="L40" s="984"/>
      <c r="M40" s="984"/>
      <c r="N40" s="984"/>
      <c r="O40" s="984"/>
      <c r="P40" s="984"/>
      <c r="Q40" s="984"/>
      <c r="R40" s="984"/>
      <c r="S40" s="984"/>
      <c r="T40" s="984"/>
      <c r="U40" s="984"/>
    </row>
    <row r="41" spans="2:21">
      <c r="B41" s="993" t="s">
        <v>1126</v>
      </c>
      <c r="C41" s="994" t="s">
        <v>1127</v>
      </c>
      <c r="D41" s="984"/>
      <c r="E41" s="984"/>
      <c r="F41" s="984"/>
      <c r="G41" s="984"/>
      <c r="H41" s="984"/>
      <c r="I41" s="984"/>
      <c r="J41" s="984"/>
      <c r="K41" s="984"/>
      <c r="L41" s="984"/>
      <c r="M41" s="984"/>
      <c r="N41" s="984"/>
      <c r="O41" s="984"/>
      <c r="P41" s="984"/>
      <c r="Q41" s="984"/>
      <c r="R41" s="984"/>
      <c r="S41" s="984"/>
      <c r="T41" s="984"/>
      <c r="U41" s="984"/>
    </row>
    <row r="42" spans="2:21">
      <c r="B42" s="993" t="s">
        <v>1128</v>
      </c>
      <c r="C42" s="994" t="s">
        <v>1129</v>
      </c>
      <c r="D42" s="984"/>
      <c r="E42" s="984"/>
      <c r="F42" s="984"/>
      <c r="G42" s="984"/>
      <c r="H42" s="984"/>
      <c r="I42" s="984"/>
      <c r="J42" s="984"/>
      <c r="K42" s="984"/>
      <c r="L42" s="984"/>
      <c r="M42" s="984"/>
      <c r="N42" s="984"/>
      <c r="O42" s="984"/>
      <c r="P42" s="984"/>
      <c r="Q42" s="984"/>
      <c r="R42" s="984"/>
      <c r="S42" s="984"/>
      <c r="T42" s="984"/>
      <c r="U42" s="984"/>
    </row>
    <row r="43" spans="2:21">
      <c r="B43" s="993" t="s">
        <v>1130</v>
      </c>
      <c r="C43" s="994" t="s">
        <v>1131</v>
      </c>
      <c r="D43" s="984"/>
      <c r="E43" s="984"/>
      <c r="F43" s="984"/>
      <c r="G43" s="984"/>
      <c r="H43" s="984"/>
      <c r="I43" s="984"/>
      <c r="J43" s="984"/>
      <c r="K43" s="984"/>
      <c r="L43" s="984"/>
      <c r="M43" s="984"/>
      <c r="N43" s="984"/>
      <c r="O43" s="984"/>
      <c r="P43" s="984"/>
      <c r="Q43" s="984"/>
      <c r="R43" s="984"/>
      <c r="S43" s="984"/>
      <c r="T43" s="984"/>
      <c r="U43" s="984"/>
    </row>
    <row r="44" spans="2:21">
      <c r="B44" s="993" t="s">
        <v>1132</v>
      </c>
      <c r="C44" s="994" t="s">
        <v>1133</v>
      </c>
      <c r="D44" s="984"/>
      <c r="E44" s="984"/>
      <c r="F44" s="984"/>
      <c r="G44" s="984"/>
      <c r="H44" s="984"/>
      <c r="I44" s="984"/>
      <c r="J44" s="984"/>
      <c r="K44" s="984"/>
      <c r="L44" s="984"/>
      <c r="M44" s="984"/>
      <c r="N44" s="984"/>
      <c r="O44" s="984"/>
      <c r="P44" s="984"/>
      <c r="Q44" s="984"/>
      <c r="R44" s="984"/>
      <c r="S44" s="984"/>
      <c r="T44" s="984"/>
      <c r="U44" s="984"/>
    </row>
    <row r="45" spans="2:21">
      <c r="B45" s="993"/>
      <c r="C45" s="994"/>
      <c r="D45" s="984"/>
      <c r="E45" s="984"/>
      <c r="F45" s="984"/>
      <c r="G45" s="984"/>
      <c r="H45" s="984"/>
      <c r="I45" s="984"/>
      <c r="J45" s="984"/>
      <c r="K45" s="984"/>
      <c r="L45" s="984"/>
      <c r="M45" s="984"/>
      <c r="N45" s="984"/>
      <c r="O45" s="984"/>
      <c r="P45" s="984"/>
      <c r="Q45" s="984"/>
      <c r="R45" s="984"/>
      <c r="S45" s="984"/>
      <c r="T45" s="984"/>
      <c r="U45" s="984"/>
    </row>
    <row r="46" spans="2:21" s="985" customFormat="1">
      <c r="B46" s="992">
        <v>2.2999999999999998</v>
      </c>
      <c r="C46" s="991" t="s">
        <v>1134</v>
      </c>
      <c r="D46" s="984"/>
      <c r="E46" s="984"/>
      <c r="F46" s="984"/>
      <c r="G46" s="984"/>
      <c r="H46" s="984"/>
      <c r="I46" s="984"/>
      <c r="J46" s="984"/>
      <c r="K46" s="984"/>
      <c r="L46" s="984"/>
      <c r="M46" s="984"/>
      <c r="N46" s="984"/>
      <c r="O46" s="984"/>
      <c r="P46" s="984"/>
      <c r="Q46" s="984"/>
      <c r="R46" s="984"/>
      <c r="S46" s="984"/>
      <c r="T46" s="984"/>
      <c r="U46" s="984"/>
    </row>
    <row r="47" spans="2:21">
      <c r="B47" s="993" t="s">
        <v>1135</v>
      </c>
      <c r="C47" s="994" t="s">
        <v>1136</v>
      </c>
      <c r="D47" s="984"/>
      <c r="E47" s="984"/>
      <c r="F47" s="984"/>
      <c r="G47" s="984"/>
      <c r="H47" s="984"/>
      <c r="I47" s="984"/>
      <c r="J47" s="984"/>
      <c r="K47" s="984"/>
      <c r="L47" s="984"/>
      <c r="M47" s="984"/>
      <c r="N47" s="984"/>
      <c r="O47" s="984"/>
      <c r="P47" s="984"/>
      <c r="Q47" s="984"/>
      <c r="R47" s="984"/>
      <c r="S47" s="984"/>
      <c r="T47" s="984"/>
      <c r="U47" s="984"/>
    </row>
    <row r="48" spans="2:21">
      <c r="B48" s="993" t="s">
        <v>1137</v>
      </c>
      <c r="C48" s="994" t="s">
        <v>1138</v>
      </c>
      <c r="D48" s="984"/>
      <c r="E48" s="984"/>
      <c r="F48" s="984"/>
      <c r="G48" s="984"/>
      <c r="H48" s="984"/>
      <c r="I48" s="984"/>
      <c r="J48" s="984"/>
      <c r="K48" s="984"/>
      <c r="L48" s="984"/>
      <c r="M48" s="984"/>
      <c r="N48" s="984"/>
      <c r="O48" s="984"/>
      <c r="P48" s="984"/>
      <c r="Q48" s="984"/>
      <c r="R48" s="984"/>
      <c r="S48" s="984"/>
      <c r="T48" s="984"/>
      <c r="U48" s="984"/>
    </row>
    <row r="49" spans="2:21">
      <c r="B49" s="993" t="s">
        <v>1139</v>
      </c>
      <c r="C49" s="994" t="s">
        <v>1140</v>
      </c>
      <c r="D49" s="984"/>
      <c r="E49" s="984"/>
      <c r="F49" s="984"/>
      <c r="G49" s="984"/>
      <c r="H49" s="984"/>
      <c r="I49" s="984"/>
      <c r="J49" s="984"/>
      <c r="K49" s="984"/>
      <c r="L49" s="984"/>
      <c r="M49" s="984"/>
      <c r="N49" s="984"/>
      <c r="O49" s="984"/>
      <c r="P49" s="984"/>
      <c r="Q49" s="984"/>
      <c r="R49" s="984"/>
      <c r="S49" s="984"/>
      <c r="T49" s="984"/>
      <c r="U49" s="984"/>
    </row>
    <row r="50" spans="2:21">
      <c r="B50" s="993" t="s">
        <v>1141</v>
      </c>
      <c r="C50" s="994" t="s">
        <v>1142</v>
      </c>
      <c r="D50" s="984"/>
      <c r="E50" s="984"/>
      <c r="F50" s="984"/>
      <c r="G50" s="984"/>
      <c r="H50" s="984"/>
      <c r="I50" s="984"/>
      <c r="J50" s="984"/>
      <c r="K50" s="984"/>
      <c r="L50" s="984"/>
      <c r="M50" s="984"/>
      <c r="N50" s="984"/>
      <c r="O50" s="984"/>
      <c r="P50" s="984"/>
      <c r="Q50" s="984"/>
      <c r="R50" s="984"/>
      <c r="S50" s="984"/>
      <c r="T50" s="984"/>
      <c r="U50" s="984"/>
    </row>
    <row r="51" spans="2:21">
      <c r="B51" s="993" t="s">
        <v>1143</v>
      </c>
      <c r="C51" s="994" t="s">
        <v>1144</v>
      </c>
      <c r="D51" s="984"/>
      <c r="E51" s="984"/>
      <c r="F51" s="984"/>
      <c r="G51" s="984"/>
      <c r="H51" s="984"/>
      <c r="I51" s="984"/>
      <c r="J51" s="984"/>
      <c r="K51" s="984"/>
      <c r="L51" s="984"/>
      <c r="M51" s="984"/>
      <c r="N51" s="984"/>
      <c r="O51" s="984"/>
      <c r="P51" s="984"/>
      <c r="Q51" s="984"/>
      <c r="R51" s="984"/>
      <c r="S51" s="984"/>
      <c r="T51" s="984"/>
      <c r="U51" s="984"/>
    </row>
    <row r="52" spans="2:21">
      <c r="B52" s="993" t="s">
        <v>1145</v>
      </c>
      <c r="C52" s="994" t="s">
        <v>1146</v>
      </c>
      <c r="D52" s="984"/>
      <c r="E52" s="984"/>
      <c r="F52" s="984"/>
      <c r="G52" s="984"/>
      <c r="H52" s="984"/>
      <c r="I52" s="984"/>
      <c r="J52" s="984"/>
      <c r="K52" s="984"/>
      <c r="L52" s="984"/>
      <c r="M52" s="984"/>
      <c r="N52" s="984"/>
      <c r="O52" s="984"/>
      <c r="P52" s="984"/>
      <c r="Q52" s="984"/>
      <c r="R52" s="984"/>
      <c r="S52" s="984"/>
      <c r="T52" s="984"/>
      <c r="U52" s="984"/>
    </row>
    <row r="53" spans="2:21">
      <c r="B53" s="993" t="s">
        <v>1147</v>
      </c>
      <c r="C53" s="994" t="s">
        <v>1148</v>
      </c>
      <c r="D53" s="984"/>
      <c r="E53" s="984"/>
      <c r="F53" s="984"/>
      <c r="G53" s="984"/>
      <c r="H53" s="984"/>
      <c r="I53" s="984"/>
      <c r="J53" s="984"/>
      <c r="K53" s="984"/>
      <c r="L53" s="984"/>
      <c r="M53" s="984"/>
      <c r="N53" s="984"/>
      <c r="O53" s="984"/>
      <c r="P53" s="984"/>
      <c r="Q53" s="984"/>
      <c r="R53" s="984"/>
      <c r="S53" s="984"/>
      <c r="T53" s="984"/>
      <c r="U53" s="984"/>
    </row>
    <row r="54" spans="2:21">
      <c r="B54" s="993" t="s">
        <v>1149</v>
      </c>
      <c r="C54" s="994" t="s">
        <v>1150</v>
      </c>
      <c r="D54" s="984"/>
      <c r="E54" s="984"/>
      <c r="F54" s="984"/>
      <c r="G54" s="984"/>
      <c r="H54" s="984"/>
      <c r="I54" s="984"/>
      <c r="J54" s="984"/>
      <c r="K54" s="984"/>
      <c r="L54" s="984"/>
      <c r="M54" s="984"/>
      <c r="N54" s="984"/>
      <c r="O54" s="984"/>
      <c r="P54" s="984"/>
      <c r="Q54" s="984"/>
      <c r="R54" s="984"/>
      <c r="S54" s="984"/>
      <c r="T54" s="984"/>
      <c r="U54" s="984"/>
    </row>
    <row r="55" spans="2:21">
      <c r="B55" s="993" t="s">
        <v>1151</v>
      </c>
      <c r="C55" s="994" t="s">
        <v>1152</v>
      </c>
      <c r="D55" s="984"/>
      <c r="E55" s="984"/>
      <c r="F55" s="984"/>
      <c r="G55" s="984"/>
      <c r="H55" s="984"/>
      <c r="I55" s="984"/>
      <c r="J55" s="984"/>
      <c r="K55" s="984"/>
      <c r="L55" s="984"/>
      <c r="M55" s="984"/>
      <c r="N55" s="984"/>
      <c r="O55" s="984"/>
      <c r="P55" s="984"/>
      <c r="Q55" s="984"/>
      <c r="R55" s="984"/>
      <c r="S55" s="984"/>
      <c r="T55" s="984"/>
      <c r="U55" s="984"/>
    </row>
    <row r="56" spans="2:21">
      <c r="B56" s="993" t="s">
        <v>1153</v>
      </c>
      <c r="C56" s="994" t="s">
        <v>1154</v>
      </c>
      <c r="D56" s="984"/>
      <c r="E56" s="984"/>
      <c r="F56" s="984"/>
      <c r="G56" s="984"/>
      <c r="H56" s="984"/>
      <c r="I56" s="984"/>
      <c r="J56" s="984"/>
      <c r="K56" s="984"/>
      <c r="L56" s="984"/>
      <c r="M56" s="984"/>
      <c r="N56" s="984"/>
      <c r="O56" s="984"/>
      <c r="P56" s="984"/>
      <c r="Q56" s="984"/>
      <c r="R56" s="984"/>
      <c r="S56" s="984"/>
      <c r="T56" s="984"/>
      <c r="U56" s="984"/>
    </row>
    <row r="57" spans="2:21">
      <c r="B57" s="993" t="s">
        <v>1155</v>
      </c>
      <c r="C57" s="994" t="s">
        <v>1156</v>
      </c>
      <c r="D57" s="984"/>
      <c r="E57" s="984"/>
      <c r="F57" s="984"/>
      <c r="G57" s="984"/>
      <c r="H57" s="984"/>
      <c r="I57" s="984"/>
      <c r="J57" s="984"/>
      <c r="K57" s="984"/>
      <c r="L57" s="984"/>
      <c r="M57" s="984"/>
      <c r="N57" s="984"/>
      <c r="O57" s="984"/>
      <c r="P57" s="984"/>
      <c r="Q57" s="984"/>
      <c r="R57" s="984"/>
      <c r="S57" s="984"/>
      <c r="T57" s="984"/>
      <c r="U57" s="984"/>
    </row>
    <row r="58" spans="2:21">
      <c r="B58" s="993" t="s">
        <v>1157</v>
      </c>
      <c r="C58" s="994" t="s">
        <v>1158</v>
      </c>
      <c r="D58" s="984"/>
      <c r="E58" s="984"/>
      <c r="F58" s="984"/>
      <c r="G58" s="984"/>
      <c r="H58" s="984"/>
      <c r="I58" s="984"/>
      <c r="J58" s="984"/>
      <c r="K58" s="984"/>
      <c r="L58" s="984"/>
      <c r="M58" s="984"/>
      <c r="N58" s="984"/>
      <c r="O58" s="984"/>
      <c r="P58" s="984"/>
      <c r="Q58" s="984"/>
      <c r="R58" s="984"/>
      <c r="S58" s="984"/>
      <c r="T58" s="984"/>
      <c r="U58" s="984"/>
    </row>
    <row r="59" spans="2:21">
      <c r="B59" s="993" t="s">
        <v>1159</v>
      </c>
      <c r="C59" s="994" t="s">
        <v>1160</v>
      </c>
      <c r="D59" s="984"/>
      <c r="E59" s="984"/>
      <c r="F59" s="984"/>
      <c r="G59" s="984"/>
      <c r="H59" s="984"/>
      <c r="I59" s="984"/>
      <c r="J59" s="984"/>
      <c r="K59" s="984"/>
      <c r="L59" s="984"/>
      <c r="M59" s="984"/>
      <c r="N59" s="984"/>
      <c r="O59" s="984"/>
      <c r="P59" s="984"/>
      <c r="Q59" s="984"/>
      <c r="R59" s="984"/>
      <c r="S59" s="984"/>
      <c r="T59" s="984"/>
      <c r="U59" s="984"/>
    </row>
    <row r="60" spans="2:21">
      <c r="B60" s="993" t="s">
        <v>1161</v>
      </c>
      <c r="C60" s="994" t="s">
        <v>1162</v>
      </c>
      <c r="D60" s="984"/>
      <c r="E60" s="984"/>
      <c r="F60" s="984"/>
      <c r="G60" s="984"/>
      <c r="H60" s="984"/>
      <c r="I60" s="984"/>
      <c r="J60" s="984"/>
      <c r="K60" s="984"/>
      <c r="L60" s="984"/>
      <c r="M60" s="984"/>
      <c r="N60" s="984"/>
      <c r="O60" s="984"/>
      <c r="P60" s="984"/>
      <c r="Q60" s="984"/>
      <c r="R60" s="984"/>
      <c r="S60" s="984"/>
      <c r="T60" s="984"/>
      <c r="U60" s="984"/>
    </row>
    <row r="61" spans="2:21">
      <c r="B61" s="993" t="s">
        <v>1163</v>
      </c>
      <c r="C61" s="994" t="s">
        <v>1164</v>
      </c>
      <c r="D61" s="984"/>
      <c r="E61" s="984"/>
      <c r="F61" s="984"/>
      <c r="G61" s="984"/>
      <c r="H61" s="984"/>
      <c r="I61" s="984"/>
      <c r="J61" s="984"/>
      <c r="K61" s="984"/>
      <c r="L61" s="984"/>
      <c r="M61" s="984"/>
      <c r="N61" s="984"/>
      <c r="O61" s="984"/>
      <c r="P61" s="984"/>
      <c r="Q61" s="984"/>
      <c r="R61" s="984"/>
      <c r="S61" s="984"/>
      <c r="T61" s="984"/>
      <c r="U61" s="984"/>
    </row>
    <row r="62" spans="2:21">
      <c r="B62" s="993" t="s">
        <v>1165</v>
      </c>
      <c r="C62" s="994" t="s">
        <v>1166</v>
      </c>
      <c r="D62" s="984"/>
      <c r="E62" s="984"/>
      <c r="F62" s="984"/>
      <c r="G62" s="984"/>
      <c r="H62" s="984"/>
      <c r="I62" s="984"/>
      <c r="J62" s="984"/>
      <c r="K62" s="984"/>
      <c r="L62" s="984"/>
      <c r="M62" s="984"/>
      <c r="N62" s="984"/>
      <c r="O62" s="984"/>
      <c r="P62" s="984"/>
      <c r="Q62" s="984"/>
      <c r="R62" s="984"/>
      <c r="S62" s="984"/>
      <c r="T62" s="984"/>
      <c r="U62" s="984"/>
    </row>
    <row r="63" spans="2:21">
      <c r="B63" s="993" t="s">
        <v>1167</v>
      </c>
      <c r="C63" s="994" t="s">
        <v>1168</v>
      </c>
      <c r="D63" s="984"/>
      <c r="E63" s="984"/>
      <c r="F63" s="984"/>
      <c r="G63" s="984"/>
      <c r="H63" s="984"/>
      <c r="I63" s="984"/>
      <c r="J63" s="984"/>
      <c r="K63" s="984"/>
      <c r="L63" s="984"/>
      <c r="M63" s="984"/>
      <c r="N63" s="984"/>
      <c r="O63" s="984"/>
      <c r="P63" s="984"/>
      <c r="Q63" s="984"/>
      <c r="R63" s="984"/>
      <c r="S63" s="984"/>
      <c r="T63" s="984"/>
      <c r="U63" s="984"/>
    </row>
    <row r="64" spans="2:21">
      <c r="B64" s="993" t="s">
        <v>1169</v>
      </c>
      <c r="C64" s="994" t="s">
        <v>1170</v>
      </c>
      <c r="D64" s="984"/>
      <c r="E64" s="984"/>
      <c r="F64" s="984"/>
      <c r="G64" s="984"/>
      <c r="H64" s="984"/>
      <c r="I64" s="984"/>
      <c r="J64" s="984"/>
      <c r="K64" s="984"/>
      <c r="L64" s="984"/>
      <c r="M64" s="984"/>
      <c r="N64" s="984"/>
      <c r="O64" s="984"/>
      <c r="P64" s="984"/>
      <c r="Q64" s="984"/>
      <c r="R64" s="984"/>
      <c r="S64" s="984"/>
      <c r="T64" s="984"/>
      <c r="U64" s="984"/>
    </row>
    <row r="65" spans="2:21">
      <c r="B65" s="993" t="s">
        <v>1171</v>
      </c>
      <c r="C65" s="994" t="s">
        <v>1172</v>
      </c>
      <c r="D65" s="984"/>
      <c r="E65" s="984"/>
      <c r="F65" s="984"/>
      <c r="G65" s="984"/>
      <c r="H65" s="984"/>
      <c r="I65" s="984"/>
      <c r="J65" s="984"/>
      <c r="K65" s="984"/>
      <c r="L65" s="984"/>
      <c r="M65" s="984"/>
      <c r="N65" s="984"/>
      <c r="O65" s="984"/>
      <c r="P65" s="984"/>
      <c r="Q65" s="984"/>
      <c r="R65" s="984"/>
      <c r="S65" s="984"/>
      <c r="T65" s="984"/>
      <c r="U65" s="984"/>
    </row>
    <row r="66" spans="2:21">
      <c r="B66" s="993" t="s">
        <v>1173</v>
      </c>
      <c r="C66" s="994" t="s">
        <v>1174</v>
      </c>
      <c r="D66" s="984"/>
      <c r="E66" s="984"/>
      <c r="F66" s="984"/>
      <c r="G66" s="984"/>
      <c r="H66" s="984"/>
      <c r="I66" s="984"/>
      <c r="J66" s="984"/>
      <c r="K66" s="984"/>
      <c r="L66" s="984"/>
      <c r="M66" s="984"/>
      <c r="N66" s="984"/>
      <c r="O66" s="984"/>
      <c r="P66" s="984"/>
      <c r="Q66" s="984"/>
      <c r="R66" s="984"/>
      <c r="S66" s="984"/>
      <c r="T66" s="984"/>
      <c r="U66" s="984"/>
    </row>
    <row r="67" spans="2:21">
      <c r="B67" s="993" t="s">
        <v>1175</v>
      </c>
      <c r="C67" s="994" t="s">
        <v>1176</v>
      </c>
      <c r="D67" s="984"/>
      <c r="E67" s="984"/>
      <c r="F67" s="984"/>
      <c r="G67" s="984"/>
      <c r="H67" s="984"/>
      <c r="I67" s="984"/>
      <c r="J67" s="984"/>
      <c r="K67" s="984"/>
      <c r="L67" s="984"/>
      <c r="M67" s="984"/>
      <c r="N67" s="984"/>
      <c r="O67" s="984"/>
      <c r="P67" s="984"/>
      <c r="Q67" s="984"/>
      <c r="R67" s="984"/>
      <c r="S67" s="984"/>
      <c r="T67" s="984"/>
      <c r="U67" s="984"/>
    </row>
    <row r="68" spans="2:21">
      <c r="B68" s="993" t="s">
        <v>1177</v>
      </c>
      <c r="C68" s="994" t="s">
        <v>1178</v>
      </c>
      <c r="D68" s="984"/>
      <c r="E68" s="984"/>
      <c r="F68" s="984"/>
      <c r="G68" s="984"/>
      <c r="H68" s="984"/>
      <c r="I68" s="984"/>
      <c r="J68" s="984"/>
      <c r="K68" s="984"/>
      <c r="L68" s="984"/>
      <c r="M68" s="984"/>
      <c r="N68" s="984"/>
      <c r="O68" s="984"/>
      <c r="P68" s="984"/>
      <c r="Q68" s="984"/>
      <c r="R68" s="984"/>
      <c r="S68" s="984"/>
      <c r="T68" s="984"/>
      <c r="U68" s="984"/>
    </row>
    <row r="69" spans="2:21">
      <c r="B69" s="993" t="s">
        <v>1179</v>
      </c>
      <c r="C69" s="994" t="s">
        <v>1180</v>
      </c>
      <c r="D69" s="984"/>
      <c r="E69" s="984"/>
      <c r="F69" s="984"/>
      <c r="G69" s="984"/>
      <c r="H69" s="984"/>
      <c r="I69" s="984"/>
      <c r="J69" s="984"/>
      <c r="K69" s="984"/>
      <c r="L69" s="984"/>
      <c r="M69" s="984"/>
      <c r="N69" s="984"/>
      <c r="O69" s="984"/>
      <c r="P69" s="984"/>
      <c r="Q69" s="984"/>
      <c r="R69" s="984"/>
      <c r="S69" s="984"/>
      <c r="T69" s="984"/>
      <c r="U69" s="984"/>
    </row>
    <row r="70" spans="2:21">
      <c r="B70" s="993" t="s">
        <v>1181</v>
      </c>
      <c r="C70" s="994" t="s">
        <v>1182</v>
      </c>
      <c r="D70" s="984"/>
      <c r="E70" s="984"/>
      <c r="F70" s="984"/>
      <c r="G70" s="984"/>
      <c r="H70" s="984"/>
      <c r="I70" s="984"/>
      <c r="J70" s="984"/>
      <c r="K70" s="984"/>
      <c r="L70" s="984"/>
      <c r="M70" s="984"/>
      <c r="N70" s="984"/>
      <c r="O70" s="984"/>
      <c r="P70" s="984"/>
      <c r="Q70" s="984"/>
      <c r="R70" s="984"/>
      <c r="S70" s="984"/>
      <c r="T70" s="984"/>
      <c r="U70" s="984"/>
    </row>
    <row r="71" spans="2:21">
      <c r="B71" s="993" t="s">
        <v>1183</v>
      </c>
      <c r="C71" s="994" t="s">
        <v>1184</v>
      </c>
      <c r="D71" s="984"/>
      <c r="E71" s="984"/>
      <c r="F71" s="984"/>
      <c r="G71" s="984"/>
      <c r="H71" s="984"/>
      <c r="I71" s="984"/>
      <c r="J71" s="984"/>
      <c r="K71" s="984"/>
      <c r="L71" s="984"/>
      <c r="M71" s="984"/>
      <c r="N71" s="984"/>
      <c r="O71" s="984"/>
      <c r="P71" s="984"/>
      <c r="Q71" s="984"/>
      <c r="R71" s="984"/>
      <c r="S71" s="984"/>
      <c r="T71" s="984"/>
      <c r="U71" s="984"/>
    </row>
    <row r="72" spans="2:21">
      <c r="B72" s="993" t="s">
        <v>1185</v>
      </c>
      <c r="C72" s="994" t="s">
        <v>1186</v>
      </c>
      <c r="D72" s="984"/>
      <c r="E72" s="984"/>
      <c r="F72" s="984"/>
      <c r="G72" s="984"/>
      <c r="H72" s="984"/>
      <c r="I72" s="984"/>
      <c r="J72" s="984"/>
      <c r="K72" s="984"/>
      <c r="L72" s="984"/>
      <c r="M72" s="984"/>
      <c r="N72" s="984"/>
      <c r="O72" s="984"/>
      <c r="P72" s="984"/>
      <c r="Q72" s="984"/>
      <c r="R72" s="984"/>
      <c r="S72" s="984"/>
      <c r="T72" s="984"/>
      <c r="U72" s="984"/>
    </row>
    <row r="73" spans="2:21">
      <c r="B73" s="993" t="s">
        <v>1187</v>
      </c>
      <c r="C73" s="994" t="s">
        <v>1188</v>
      </c>
      <c r="D73" s="984"/>
      <c r="E73" s="984"/>
      <c r="F73" s="984"/>
      <c r="G73" s="984"/>
      <c r="H73" s="984"/>
      <c r="I73" s="984"/>
      <c r="J73" s="984"/>
      <c r="K73" s="984"/>
      <c r="L73" s="984"/>
      <c r="M73" s="984"/>
      <c r="N73" s="984"/>
      <c r="O73" s="984"/>
      <c r="P73" s="984"/>
      <c r="Q73" s="984"/>
      <c r="R73" s="984"/>
      <c r="S73" s="984"/>
      <c r="T73" s="984"/>
      <c r="U73" s="984"/>
    </row>
    <row r="74" spans="2:21">
      <c r="B74" s="993" t="s">
        <v>1189</v>
      </c>
      <c r="C74" s="994" t="s">
        <v>1190</v>
      </c>
      <c r="D74" s="984"/>
      <c r="E74" s="984"/>
      <c r="F74" s="984"/>
      <c r="G74" s="984"/>
      <c r="H74" s="984"/>
      <c r="I74" s="984"/>
      <c r="J74" s="984"/>
      <c r="K74" s="984"/>
      <c r="L74" s="984"/>
      <c r="M74" s="984"/>
      <c r="N74" s="984"/>
      <c r="O74" s="984"/>
      <c r="P74" s="984"/>
      <c r="Q74" s="984"/>
      <c r="R74" s="984"/>
      <c r="S74" s="984"/>
      <c r="T74" s="984"/>
      <c r="U74" s="984"/>
    </row>
    <row r="75" spans="2:21">
      <c r="B75" s="993" t="s">
        <v>1191</v>
      </c>
      <c r="C75" s="994" t="s">
        <v>1192</v>
      </c>
      <c r="D75" s="984"/>
      <c r="E75" s="984"/>
      <c r="F75" s="984"/>
      <c r="G75" s="984"/>
      <c r="H75" s="984"/>
      <c r="I75" s="984"/>
      <c r="J75" s="984"/>
      <c r="K75" s="984"/>
      <c r="L75" s="984"/>
      <c r="M75" s="984"/>
      <c r="N75" s="984"/>
      <c r="O75" s="984"/>
      <c r="P75" s="984"/>
      <c r="Q75" s="984"/>
      <c r="R75" s="984"/>
      <c r="S75" s="984"/>
      <c r="T75" s="984"/>
      <c r="U75" s="984"/>
    </row>
    <row r="76" spans="2:21">
      <c r="B76" s="993" t="s">
        <v>1193</v>
      </c>
      <c r="C76" s="994" t="s">
        <v>1194</v>
      </c>
      <c r="D76" s="984"/>
      <c r="E76" s="984"/>
      <c r="F76" s="984"/>
      <c r="G76" s="984"/>
      <c r="H76" s="984"/>
      <c r="I76" s="984"/>
      <c r="J76" s="984"/>
      <c r="K76" s="984"/>
      <c r="L76" s="984"/>
      <c r="M76" s="984"/>
      <c r="N76" s="984"/>
      <c r="O76" s="984"/>
      <c r="P76" s="984"/>
      <c r="Q76" s="984"/>
      <c r="R76" s="984"/>
      <c r="S76" s="984"/>
      <c r="T76" s="984"/>
      <c r="U76" s="984"/>
    </row>
    <row r="77" spans="2:21">
      <c r="B77" s="993" t="s">
        <v>1195</v>
      </c>
      <c r="C77" s="994" t="s">
        <v>847</v>
      </c>
      <c r="D77" s="984"/>
      <c r="E77" s="984"/>
      <c r="F77" s="984"/>
      <c r="G77" s="984"/>
      <c r="H77" s="984"/>
      <c r="I77" s="984"/>
      <c r="J77" s="984"/>
      <c r="K77" s="984"/>
      <c r="L77" s="984"/>
      <c r="M77" s="984"/>
      <c r="N77" s="984"/>
      <c r="O77" s="984"/>
      <c r="P77" s="984"/>
      <c r="Q77" s="984"/>
      <c r="R77" s="984"/>
      <c r="S77" s="984"/>
      <c r="T77" s="984"/>
      <c r="U77" s="984"/>
    </row>
    <row r="78" spans="2:21">
      <c r="B78" s="993" t="s">
        <v>1196</v>
      </c>
      <c r="C78" s="994" t="s">
        <v>1197</v>
      </c>
      <c r="D78" s="984"/>
      <c r="E78" s="984"/>
      <c r="F78" s="984"/>
      <c r="G78" s="984"/>
      <c r="H78" s="984"/>
      <c r="I78" s="984"/>
      <c r="J78" s="984"/>
      <c r="K78" s="984"/>
      <c r="L78" s="984"/>
      <c r="M78" s="984"/>
      <c r="N78" s="984"/>
      <c r="O78" s="984"/>
      <c r="P78" s="984"/>
      <c r="Q78" s="984"/>
      <c r="R78" s="984"/>
      <c r="S78" s="984"/>
      <c r="T78" s="984"/>
      <c r="U78" s="984"/>
    </row>
    <row r="79" spans="2:21">
      <c r="B79" s="993" t="s">
        <v>1198</v>
      </c>
      <c r="C79" s="994" t="s">
        <v>1199</v>
      </c>
      <c r="D79" s="984"/>
      <c r="E79" s="984"/>
      <c r="F79" s="984"/>
      <c r="G79" s="984"/>
      <c r="H79" s="984"/>
      <c r="I79" s="984"/>
      <c r="J79" s="984"/>
      <c r="K79" s="984"/>
      <c r="L79" s="984"/>
      <c r="M79" s="984"/>
      <c r="N79" s="984"/>
      <c r="O79" s="984"/>
      <c r="P79" s="984"/>
      <c r="Q79" s="984"/>
      <c r="R79" s="984"/>
      <c r="S79" s="984"/>
      <c r="T79" s="984"/>
      <c r="U79" s="984"/>
    </row>
    <row r="80" spans="2:21" s="985" customFormat="1">
      <c r="B80" s="992"/>
      <c r="C80" s="997" t="s">
        <v>1200</v>
      </c>
      <c r="D80" s="984"/>
      <c r="E80" s="984"/>
      <c r="F80" s="984"/>
      <c r="G80" s="984"/>
      <c r="H80" s="984"/>
      <c r="I80" s="984"/>
      <c r="J80" s="984"/>
      <c r="K80" s="984"/>
      <c r="L80" s="984"/>
      <c r="M80" s="984"/>
      <c r="N80" s="984"/>
      <c r="O80" s="984"/>
      <c r="P80" s="984"/>
      <c r="Q80" s="984"/>
      <c r="R80" s="984"/>
      <c r="S80" s="984"/>
      <c r="T80" s="984"/>
      <c r="U80" s="984"/>
    </row>
    <row r="81" spans="2:21" s="985" customFormat="1">
      <c r="B81" s="992"/>
      <c r="C81" s="997"/>
      <c r="D81" s="984"/>
      <c r="E81" s="984"/>
      <c r="F81" s="984"/>
      <c r="G81" s="984"/>
      <c r="H81" s="984"/>
      <c r="I81" s="984"/>
      <c r="J81" s="984"/>
      <c r="K81" s="984"/>
      <c r="L81" s="984"/>
      <c r="M81" s="984"/>
      <c r="N81" s="984"/>
      <c r="O81" s="984"/>
      <c r="P81" s="984"/>
      <c r="Q81" s="984"/>
      <c r="R81" s="984"/>
      <c r="S81" s="984"/>
      <c r="T81" s="984"/>
      <c r="U81" s="984"/>
    </row>
    <row r="82" spans="2:21" s="985" customFormat="1">
      <c r="B82" s="992">
        <v>2.4</v>
      </c>
      <c r="C82" s="991" t="s">
        <v>1201</v>
      </c>
      <c r="D82" s="984"/>
      <c r="E82" s="984"/>
      <c r="F82" s="984"/>
      <c r="G82" s="984"/>
      <c r="H82" s="984"/>
      <c r="I82" s="984"/>
      <c r="J82" s="984"/>
      <c r="K82" s="984"/>
      <c r="L82" s="984"/>
      <c r="M82" s="984"/>
      <c r="N82" s="984"/>
      <c r="O82" s="984"/>
      <c r="P82" s="984"/>
      <c r="Q82" s="984"/>
      <c r="R82" s="984"/>
      <c r="S82" s="984"/>
      <c r="T82" s="984"/>
      <c r="U82" s="984"/>
    </row>
    <row r="83" spans="2:21">
      <c r="B83" s="993" t="s">
        <v>1202</v>
      </c>
      <c r="C83" s="994" t="s">
        <v>1203</v>
      </c>
      <c r="D83" s="984"/>
      <c r="E83" s="984"/>
      <c r="F83" s="984"/>
      <c r="G83" s="984"/>
      <c r="H83" s="984"/>
      <c r="I83" s="984"/>
      <c r="J83" s="984"/>
      <c r="K83" s="984"/>
      <c r="L83" s="984"/>
      <c r="M83" s="984"/>
      <c r="N83" s="984"/>
      <c r="O83" s="984"/>
      <c r="P83" s="984"/>
      <c r="Q83" s="984"/>
      <c r="R83" s="984"/>
      <c r="S83" s="984"/>
      <c r="T83" s="984"/>
      <c r="U83" s="984"/>
    </row>
    <row r="84" spans="2:21">
      <c r="B84" s="993" t="s">
        <v>1204</v>
      </c>
      <c r="C84" s="994" t="s">
        <v>1205</v>
      </c>
      <c r="D84" s="984"/>
      <c r="E84" s="984"/>
      <c r="F84" s="984"/>
      <c r="G84" s="984"/>
      <c r="H84" s="984"/>
      <c r="I84" s="984"/>
      <c r="J84" s="984"/>
      <c r="K84" s="984"/>
      <c r="L84" s="984"/>
      <c r="M84" s="984"/>
      <c r="N84" s="984"/>
      <c r="O84" s="984"/>
      <c r="P84" s="984"/>
      <c r="Q84" s="984"/>
      <c r="R84" s="984"/>
      <c r="S84" s="984"/>
      <c r="T84" s="984"/>
      <c r="U84" s="984"/>
    </row>
    <row r="85" spans="2:21">
      <c r="B85" s="993" t="s">
        <v>1206</v>
      </c>
      <c r="C85" s="994" t="s">
        <v>1207</v>
      </c>
      <c r="D85" s="984"/>
      <c r="E85" s="984"/>
      <c r="F85" s="984"/>
      <c r="G85" s="984"/>
      <c r="H85" s="984"/>
      <c r="I85" s="984"/>
      <c r="J85" s="984"/>
      <c r="K85" s="984"/>
      <c r="L85" s="984"/>
      <c r="M85" s="984"/>
      <c r="N85" s="984"/>
      <c r="O85" s="984"/>
      <c r="P85" s="984"/>
      <c r="Q85" s="984"/>
      <c r="R85" s="984"/>
      <c r="S85" s="984"/>
      <c r="T85" s="984"/>
      <c r="U85" s="984"/>
    </row>
    <row r="86" spans="2:21">
      <c r="B86" s="993" t="s">
        <v>1208</v>
      </c>
      <c r="C86" s="994" t="s">
        <v>1209</v>
      </c>
      <c r="D86" s="984"/>
      <c r="E86" s="984"/>
      <c r="F86" s="984"/>
      <c r="G86" s="984"/>
      <c r="H86" s="984"/>
      <c r="I86" s="984"/>
      <c r="J86" s="984"/>
      <c r="K86" s="984"/>
      <c r="L86" s="984"/>
      <c r="M86" s="984"/>
      <c r="N86" s="984"/>
      <c r="O86" s="984"/>
      <c r="P86" s="984"/>
      <c r="Q86" s="984"/>
      <c r="R86" s="984"/>
      <c r="S86" s="984"/>
      <c r="T86" s="984"/>
      <c r="U86" s="984"/>
    </row>
    <row r="87" spans="2:21">
      <c r="B87" s="993" t="s">
        <v>1210</v>
      </c>
      <c r="C87" s="994" t="s">
        <v>1211</v>
      </c>
      <c r="D87" s="984"/>
      <c r="E87" s="984"/>
      <c r="F87" s="984"/>
      <c r="G87" s="984"/>
      <c r="H87" s="984"/>
      <c r="I87" s="984"/>
      <c r="J87" s="984"/>
      <c r="K87" s="984"/>
      <c r="L87" s="984"/>
      <c r="M87" s="984"/>
      <c r="N87" s="984"/>
      <c r="O87" s="984"/>
      <c r="P87" s="984"/>
      <c r="Q87" s="984"/>
      <c r="R87" s="984"/>
      <c r="S87" s="984"/>
      <c r="T87" s="984"/>
      <c r="U87" s="984"/>
    </row>
    <row r="88" spans="2:21">
      <c r="B88" s="993" t="s">
        <v>1212</v>
      </c>
      <c r="C88" s="994" t="s">
        <v>1213</v>
      </c>
      <c r="D88" s="984"/>
      <c r="E88" s="984"/>
      <c r="F88" s="984"/>
      <c r="G88" s="984"/>
      <c r="H88" s="984"/>
      <c r="I88" s="984"/>
      <c r="J88" s="984"/>
      <c r="K88" s="984"/>
      <c r="L88" s="984"/>
      <c r="M88" s="984"/>
      <c r="N88" s="984"/>
      <c r="O88" s="984"/>
      <c r="P88" s="984"/>
      <c r="Q88" s="984"/>
      <c r="R88" s="984"/>
      <c r="S88" s="984"/>
      <c r="T88" s="984"/>
      <c r="U88" s="984"/>
    </row>
    <row r="89" spans="2:21">
      <c r="B89" s="993" t="s">
        <v>1214</v>
      </c>
      <c r="C89" s="994" t="s">
        <v>1215</v>
      </c>
      <c r="D89" s="984"/>
      <c r="E89" s="984"/>
      <c r="F89" s="984"/>
      <c r="G89" s="984"/>
      <c r="H89" s="984"/>
      <c r="I89" s="984"/>
      <c r="J89" s="984"/>
      <c r="K89" s="984"/>
      <c r="L89" s="984"/>
      <c r="M89" s="984"/>
      <c r="N89" s="984"/>
      <c r="O89" s="984"/>
      <c r="P89" s="984"/>
      <c r="Q89" s="984"/>
      <c r="R89" s="984"/>
      <c r="S89" s="984"/>
      <c r="T89" s="984"/>
      <c r="U89" s="984"/>
    </row>
    <row r="90" spans="2:21">
      <c r="B90" s="993" t="s">
        <v>1216</v>
      </c>
      <c r="C90" s="994" t="s">
        <v>1217</v>
      </c>
      <c r="D90" s="984"/>
      <c r="E90" s="984"/>
      <c r="F90" s="984"/>
      <c r="G90" s="984"/>
      <c r="H90" s="984"/>
      <c r="I90" s="984"/>
      <c r="J90" s="984"/>
      <c r="K90" s="984"/>
      <c r="L90" s="984"/>
      <c r="M90" s="984"/>
      <c r="N90" s="984"/>
      <c r="O90" s="984"/>
      <c r="P90" s="984"/>
      <c r="Q90" s="984"/>
      <c r="R90" s="984"/>
      <c r="S90" s="984"/>
      <c r="T90" s="984"/>
      <c r="U90" s="984"/>
    </row>
    <row r="91" spans="2:21">
      <c r="B91" s="993" t="s">
        <v>1218</v>
      </c>
      <c r="C91" s="994" t="s">
        <v>1219</v>
      </c>
      <c r="D91" s="984"/>
      <c r="E91" s="984"/>
      <c r="F91" s="984"/>
      <c r="G91" s="984"/>
      <c r="H91" s="984"/>
      <c r="I91" s="984"/>
      <c r="J91" s="984"/>
      <c r="K91" s="984"/>
      <c r="L91" s="984"/>
      <c r="M91" s="984"/>
      <c r="N91" s="984"/>
      <c r="O91" s="984"/>
      <c r="P91" s="984"/>
      <c r="Q91" s="984"/>
      <c r="R91" s="984"/>
      <c r="S91" s="984"/>
      <c r="T91" s="984"/>
      <c r="U91" s="984"/>
    </row>
    <row r="92" spans="2:21">
      <c r="B92" s="993" t="s">
        <v>1220</v>
      </c>
      <c r="C92" s="994" t="s">
        <v>1221</v>
      </c>
      <c r="D92" s="984"/>
      <c r="E92" s="984"/>
      <c r="F92" s="984"/>
      <c r="G92" s="984"/>
      <c r="H92" s="984"/>
      <c r="I92" s="984"/>
      <c r="J92" s="984"/>
      <c r="K92" s="984"/>
      <c r="L92" s="984"/>
      <c r="M92" s="984"/>
      <c r="N92" s="984"/>
      <c r="O92" s="984"/>
      <c r="P92" s="984"/>
      <c r="Q92" s="984"/>
      <c r="R92" s="984"/>
      <c r="S92" s="984"/>
      <c r="T92" s="984"/>
      <c r="U92" s="984"/>
    </row>
    <row r="93" spans="2:21">
      <c r="B93" s="993" t="s">
        <v>1222</v>
      </c>
      <c r="C93" s="994" t="s">
        <v>1223</v>
      </c>
      <c r="D93" s="984"/>
      <c r="E93" s="984"/>
      <c r="F93" s="984"/>
      <c r="G93" s="984"/>
      <c r="H93" s="984"/>
      <c r="I93" s="984"/>
      <c r="J93" s="984"/>
      <c r="K93" s="984"/>
      <c r="L93" s="984"/>
      <c r="M93" s="984"/>
      <c r="N93" s="984"/>
      <c r="O93" s="984"/>
      <c r="P93" s="984"/>
      <c r="Q93" s="984"/>
      <c r="R93" s="984"/>
      <c r="S93" s="984"/>
      <c r="T93" s="984"/>
      <c r="U93" s="984"/>
    </row>
    <row r="94" spans="2:21">
      <c r="B94" s="993" t="s">
        <v>1224</v>
      </c>
      <c r="C94" s="994" t="s">
        <v>1225</v>
      </c>
      <c r="D94" s="984"/>
      <c r="E94" s="984"/>
      <c r="F94" s="984"/>
      <c r="G94" s="984"/>
      <c r="H94" s="984"/>
      <c r="I94" s="984"/>
      <c r="J94" s="984"/>
      <c r="K94" s="984"/>
      <c r="L94" s="984"/>
      <c r="M94" s="984"/>
      <c r="N94" s="984"/>
      <c r="O94" s="984"/>
      <c r="P94" s="984"/>
      <c r="Q94" s="984"/>
      <c r="R94" s="984"/>
      <c r="S94" s="984"/>
      <c r="T94" s="984"/>
      <c r="U94" s="984"/>
    </row>
    <row r="95" spans="2:21">
      <c r="B95" s="993" t="s">
        <v>1226</v>
      </c>
      <c r="C95" s="994" t="s">
        <v>1227</v>
      </c>
      <c r="D95" s="984"/>
      <c r="E95" s="984"/>
      <c r="F95" s="984"/>
      <c r="G95" s="984"/>
      <c r="H95" s="984"/>
      <c r="I95" s="984"/>
      <c r="J95" s="984"/>
      <c r="K95" s="984"/>
      <c r="L95" s="984"/>
      <c r="M95" s="984"/>
      <c r="N95" s="984"/>
      <c r="O95" s="984"/>
      <c r="P95" s="984"/>
      <c r="Q95" s="984"/>
      <c r="R95" s="984"/>
      <c r="S95" s="984"/>
      <c r="T95" s="984"/>
      <c r="U95" s="984"/>
    </row>
    <row r="96" spans="2:21">
      <c r="B96" s="993" t="s">
        <v>1228</v>
      </c>
      <c r="C96" s="994" t="s">
        <v>1229</v>
      </c>
      <c r="D96" s="984"/>
      <c r="E96" s="984"/>
      <c r="F96" s="984"/>
      <c r="G96" s="984"/>
      <c r="H96" s="984"/>
      <c r="I96" s="984"/>
      <c r="J96" s="984"/>
      <c r="K96" s="984"/>
      <c r="L96" s="984"/>
      <c r="M96" s="984"/>
      <c r="N96" s="984"/>
      <c r="O96" s="984"/>
      <c r="P96" s="984"/>
      <c r="Q96" s="984"/>
      <c r="R96" s="984"/>
      <c r="S96" s="984"/>
      <c r="T96" s="984"/>
      <c r="U96" s="984"/>
    </row>
    <row r="97" spans="2:21">
      <c r="B97" s="993" t="s">
        <v>1230</v>
      </c>
      <c r="C97" s="994" t="s">
        <v>1231</v>
      </c>
      <c r="D97" s="984"/>
      <c r="E97" s="984"/>
      <c r="F97" s="984"/>
      <c r="G97" s="984"/>
      <c r="H97" s="984"/>
      <c r="I97" s="984"/>
      <c r="J97" s="984"/>
      <c r="K97" s="984"/>
      <c r="L97" s="984"/>
      <c r="M97" s="984"/>
      <c r="N97" s="984"/>
      <c r="O97" s="984"/>
      <c r="P97" s="984"/>
      <c r="Q97" s="984"/>
      <c r="R97" s="984"/>
      <c r="S97" s="984"/>
      <c r="T97" s="984"/>
      <c r="U97" s="984"/>
    </row>
    <row r="98" spans="2:21" s="985" customFormat="1">
      <c r="B98" s="992" t="s">
        <v>1232</v>
      </c>
      <c r="C98" s="991" t="s">
        <v>1233</v>
      </c>
      <c r="D98" s="984"/>
      <c r="E98" s="984"/>
      <c r="F98" s="984"/>
      <c r="G98" s="984"/>
      <c r="H98" s="984"/>
      <c r="I98" s="984"/>
      <c r="J98" s="984"/>
      <c r="K98" s="984"/>
      <c r="L98" s="984"/>
      <c r="M98" s="984"/>
      <c r="N98" s="984"/>
      <c r="O98" s="984"/>
      <c r="P98" s="984"/>
      <c r="Q98" s="984"/>
      <c r="R98" s="984"/>
      <c r="S98" s="984"/>
      <c r="T98" s="984"/>
      <c r="U98" s="984"/>
    </row>
    <row r="99" spans="2:21" s="985" customFormat="1">
      <c r="B99" s="992"/>
      <c r="C99" s="991" t="s">
        <v>1234</v>
      </c>
      <c r="D99" s="984"/>
      <c r="E99" s="984"/>
      <c r="F99" s="984"/>
      <c r="G99" s="984"/>
      <c r="H99" s="984"/>
      <c r="I99" s="984"/>
      <c r="J99" s="984"/>
      <c r="K99" s="984"/>
      <c r="L99" s="984"/>
      <c r="M99" s="984"/>
      <c r="N99" s="984"/>
      <c r="O99" s="984"/>
      <c r="P99" s="984"/>
      <c r="Q99" s="984"/>
      <c r="R99" s="984"/>
      <c r="S99" s="984"/>
      <c r="T99" s="984"/>
      <c r="U99" s="984"/>
    </row>
    <row r="100" spans="2:21" s="985" customFormat="1">
      <c r="B100" s="992"/>
      <c r="C100" s="991"/>
      <c r="D100" s="984"/>
      <c r="E100" s="984"/>
      <c r="F100" s="984"/>
      <c r="G100" s="984"/>
      <c r="H100" s="984"/>
      <c r="I100" s="984"/>
      <c r="J100" s="984"/>
      <c r="K100" s="984"/>
      <c r="L100" s="984"/>
      <c r="M100" s="984"/>
      <c r="N100" s="984"/>
      <c r="O100" s="984"/>
      <c r="P100" s="984"/>
      <c r="Q100" s="984"/>
      <c r="R100" s="984"/>
      <c r="S100" s="984"/>
      <c r="T100" s="984"/>
      <c r="U100" s="984"/>
    </row>
    <row r="101" spans="2:21" s="985" customFormat="1">
      <c r="B101" s="992">
        <v>2.5</v>
      </c>
      <c r="C101" s="997" t="s">
        <v>1235</v>
      </c>
      <c r="D101" s="984"/>
      <c r="E101" s="984"/>
      <c r="F101" s="984"/>
      <c r="G101" s="984"/>
      <c r="H101" s="984"/>
      <c r="I101" s="984"/>
      <c r="J101" s="984"/>
      <c r="K101" s="984"/>
      <c r="L101" s="984"/>
      <c r="M101" s="984"/>
      <c r="N101" s="984"/>
      <c r="O101" s="984"/>
      <c r="P101" s="984"/>
      <c r="Q101" s="984"/>
      <c r="R101" s="984"/>
      <c r="S101" s="984"/>
      <c r="T101" s="984"/>
      <c r="U101" s="984"/>
    </row>
    <row r="102" spans="2:21">
      <c r="B102" s="998" t="s">
        <v>412</v>
      </c>
      <c r="C102" s="994" t="s">
        <v>1236</v>
      </c>
      <c r="D102" s="984"/>
      <c r="E102" s="984"/>
      <c r="F102" s="984"/>
      <c r="G102" s="984"/>
      <c r="H102" s="984"/>
      <c r="I102" s="984"/>
      <c r="J102" s="984"/>
      <c r="K102" s="984"/>
      <c r="L102" s="984"/>
      <c r="M102" s="984"/>
      <c r="N102" s="984"/>
      <c r="O102" s="984"/>
      <c r="P102" s="984"/>
      <c r="Q102" s="984"/>
      <c r="R102" s="984"/>
      <c r="S102" s="984"/>
      <c r="T102" s="984"/>
      <c r="U102" s="984"/>
    </row>
    <row r="103" spans="2:21">
      <c r="B103" s="998" t="s">
        <v>415</v>
      </c>
      <c r="C103" s="994" t="s">
        <v>1237</v>
      </c>
      <c r="D103" s="984"/>
      <c r="E103" s="984"/>
      <c r="F103" s="984"/>
      <c r="G103" s="984"/>
      <c r="H103" s="984"/>
      <c r="I103" s="984"/>
      <c r="J103" s="984"/>
      <c r="K103" s="984"/>
      <c r="L103" s="984"/>
      <c r="M103" s="984"/>
      <c r="N103" s="984"/>
      <c r="O103" s="984"/>
      <c r="P103" s="984"/>
      <c r="Q103" s="984"/>
      <c r="R103" s="984"/>
      <c r="S103" s="984"/>
      <c r="T103" s="984"/>
      <c r="U103" s="984"/>
    </row>
    <row r="104" spans="2:21" s="985" customFormat="1">
      <c r="B104" s="992" t="s">
        <v>416</v>
      </c>
      <c r="C104" s="999" t="s">
        <v>1238</v>
      </c>
      <c r="D104" s="984"/>
      <c r="E104" s="984"/>
      <c r="F104" s="984"/>
      <c r="G104" s="984"/>
      <c r="H104" s="984"/>
      <c r="I104" s="984"/>
      <c r="J104" s="984"/>
      <c r="K104" s="984"/>
      <c r="L104" s="984"/>
      <c r="M104" s="984"/>
      <c r="N104" s="984"/>
      <c r="O104" s="984"/>
      <c r="P104" s="984"/>
      <c r="Q104" s="984"/>
      <c r="R104" s="984"/>
      <c r="S104" s="984"/>
      <c r="T104" s="984"/>
      <c r="U104" s="984"/>
    </row>
    <row r="105" spans="2:21" s="985" customFormat="1">
      <c r="B105" s="992"/>
      <c r="C105" s="999"/>
      <c r="D105" s="984"/>
      <c r="E105" s="984"/>
      <c r="F105" s="984"/>
      <c r="G105" s="984"/>
      <c r="H105" s="984"/>
      <c r="I105" s="984"/>
      <c r="J105" s="984"/>
      <c r="K105" s="984"/>
      <c r="L105" s="984"/>
      <c r="M105" s="984"/>
      <c r="N105" s="984"/>
      <c r="O105" s="984"/>
      <c r="P105" s="984"/>
      <c r="Q105" s="984"/>
      <c r="R105" s="984"/>
      <c r="S105" s="984"/>
      <c r="T105" s="984"/>
      <c r="U105" s="984"/>
    </row>
    <row r="106" spans="2:21" s="985" customFormat="1">
      <c r="B106" s="992">
        <v>2.6</v>
      </c>
      <c r="C106" s="991" t="s">
        <v>1239</v>
      </c>
      <c r="D106" s="984"/>
      <c r="E106" s="984"/>
      <c r="F106" s="984"/>
      <c r="G106" s="984"/>
      <c r="H106" s="984"/>
      <c r="I106" s="984"/>
      <c r="J106" s="984"/>
      <c r="K106" s="984"/>
      <c r="L106" s="984"/>
      <c r="M106" s="984"/>
      <c r="N106" s="984"/>
      <c r="O106" s="984"/>
      <c r="P106" s="984"/>
      <c r="Q106" s="984"/>
      <c r="R106" s="984"/>
      <c r="S106" s="984"/>
      <c r="T106" s="984"/>
      <c r="U106" s="984"/>
    </row>
    <row r="107" spans="2:21">
      <c r="B107" s="993" t="s">
        <v>1240</v>
      </c>
      <c r="C107" s="988" t="s">
        <v>1241</v>
      </c>
      <c r="D107" s="984"/>
      <c r="E107" s="984"/>
      <c r="F107" s="984"/>
      <c r="G107" s="984"/>
      <c r="H107" s="984"/>
      <c r="I107" s="984"/>
      <c r="J107" s="984"/>
      <c r="K107" s="984"/>
      <c r="L107" s="984"/>
      <c r="M107" s="984"/>
      <c r="N107" s="984"/>
      <c r="O107" s="984"/>
      <c r="P107" s="984"/>
      <c r="Q107" s="984"/>
      <c r="R107" s="984"/>
      <c r="S107" s="984"/>
      <c r="T107" s="984"/>
      <c r="U107" s="984"/>
    </row>
    <row r="108" spans="2:21">
      <c r="B108" s="993" t="s">
        <v>1242</v>
      </c>
      <c r="C108" s="988" t="s">
        <v>1243</v>
      </c>
      <c r="D108" s="984"/>
      <c r="E108" s="984"/>
      <c r="F108" s="984"/>
      <c r="G108" s="984"/>
      <c r="H108" s="984"/>
      <c r="I108" s="984"/>
      <c r="J108" s="984"/>
      <c r="K108" s="984"/>
      <c r="L108" s="984"/>
      <c r="M108" s="984"/>
      <c r="N108" s="984"/>
      <c r="O108" s="984"/>
      <c r="P108" s="984"/>
      <c r="Q108" s="984"/>
      <c r="R108" s="984"/>
      <c r="S108" s="984"/>
      <c r="T108" s="984"/>
      <c r="U108" s="984"/>
    </row>
    <row r="109" spans="2:21" s="985" customFormat="1">
      <c r="B109" s="992" t="s">
        <v>1244</v>
      </c>
      <c r="C109" s="991" t="s">
        <v>1245</v>
      </c>
      <c r="D109" s="984"/>
      <c r="E109" s="984"/>
      <c r="F109" s="984"/>
      <c r="G109" s="984"/>
      <c r="H109" s="984"/>
      <c r="I109" s="984"/>
      <c r="J109" s="984"/>
      <c r="K109" s="984"/>
      <c r="L109" s="984"/>
      <c r="M109" s="984"/>
      <c r="N109" s="984"/>
      <c r="O109" s="984"/>
      <c r="P109" s="984"/>
      <c r="Q109" s="984"/>
      <c r="R109" s="984"/>
      <c r="S109" s="984"/>
      <c r="T109" s="984"/>
      <c r="U109" s="984"/>
    </row>
    <row r="110" spans="2:21" s="985" customFormat="1">
      <c r="B110" s="992" t="s">
        <v>1246</v>
      </c>
      <c r="C110" s="991" t="s">
        <v>1247</v>
      </c>
      <c r="D110" s="984"/>
      <c r="E110" s="984"/>
      <c r="F110" s="984"/>
      <c r="G110" s="984"/>
      <c r="H110" s="984"/>
      <c r="I110" s="984"/>
      <c r="J110" s="984"/>
      <c r="K110" s="984"/>
      <c r="L110" s="984"/>
      <c r="M110" s="984"/>
      <c r="N110" s="984"/>
      <c r="O110" s="984"/>
      <c r="P110" s="984"/>
      <c r="Q110" s="984"/>
      <c r="R110" s="984"/>
      <c r="S110" s="984"/>
      <c r="T110" s="984"/>
      <c r="U110" s="984"/>
    </row>
    <row r="111" spans="2:21" s="985" customFormat="1">
      <c r="B111" s="992"/>
      <c r="C111" s="991"/>
      <c r="D111" s="984"/>
      <c r="E111" s="984"/>
      <c r="F111" s="984"/>
      <c r="G111" s="984"/>
      <c r="H111" s="984"/>
      <c r="I111" s="984"/>
      <c r="J111" s="984"/>
      <c r="K111" s="984"/>
      <c r="L111" s="984"/>
      <c r="M111" s="984"/>
      <c r="N111" s="984"/>
      <c r="O111" s="984"/>
      <c r="P111" s="984"/>
      <c r="Q111" s="984"/>
      <c r="R111" s="984"/>
      <c r="S111" s="984"/>
      <c r="T111" s="984"/>
      <c r="U111" s="984"/>
    </row>
    <row r="112" spans="2:21" s="985" customFormat="1">
      <c r="B112" s="992">
        <v>3</v>
      </c>
      <c r="C112" s="991" t="s">
        <v>1248</v>
      </c>
      <c r="D112" s="984"/>
      <c r="E112" s="984"/>
      <c r="F112" s="984"/>
      <c r="G112" s="984"/>
      <c r="H112" s="984"/>
      <c r="I112" s="984"/>
      <c r="J112" s="984"/>
      <c r="K112" s="984"/>
      <c r="L112" s="984"/>
      <c r="M112" s="984"/>
      <c r="N112" s="984"/>
      <c r="O112" s="984"/>
      <c r="P112" s="984"/>
      <c r="Q112" s="984"/>
      <c r="R112" s="984"/>
      <c r="S112" s="984"/>
      <c r="T112" s="984"/>
      <c r="U112" s="984"/>
    </row>
    <row r="113" spans="2:21" s="985" customFormat="1">
      <c r="B113" s="1000"/>
      <c r="C113" s="1000"/>
      <c r="D113" s="984"/>
      <c r="E113" s="984"/>
      <c r="F113" s="984"/>
      <c r="G113" s="984"/>
      <c r="H113" s="984"/>
      <c r="I113" s="984"/>
      <c r="J113" s="984"/>
      <c r="K113" s="984"/>
      <c r="L113" s="984"/>
      <c r="M113" s="984"/>
      <c r="N113" s="984"/>
      <c r="O113" s="984"/>
      <c r="P113" s="984"/>
      <c r="Q113" s="984"/>
      <c r="R113" s="984"/>
      <c r="S113" s="984"/>
      <c r="T113" s="984"/>
      <c r="U113" s="984"/>
    </row>
    <row r="114" spans="2:21" s="985" customFormat="1">
      <c r="B114" s="992">
        <v>4</v>
      </c>
      <c r="C114" s="991" t="s">
        <v>1249</v>
      </c>
      <c r="D114" s="984"/>
      <c r="E114" s="984"/>
      <c r="F114" s="984"/>
      <c r="G114" s="984"/>
      <c r="H114" s="984"/>
      <c r="I114" s="984"/>
      <c r="J114" s="984"/>
      <c r="K114" s="984"/>
      <c r="L114" s="984"/>
      <c r="M114" s="984"/>
      <c r="N114" s="984"/>
      <c r="O114" s="984"/>
      <c r="P114" s="984"/>
      <c r="Q114" s="984"/>
      <c r="R114" s="984"/>
      <c r="S114" s="984"/>
      <c r="T114" s="984"/>
      <c r="U114" s="984"/>
    </row>
    <row r="115" spans="2:21">
      <c r="B115" s="993">
        <v>4.0999999999999996</v>
      </c>
      <c r="C115" s="988" t="s">
        <v>1250</v>
      </c>
      <c r="D115" s="984"/>
      <c r="E115" s="984"/>
      <c r="F115" s="984"/>
      <c r="G115" s="984"/>
      <c r="H115" s="984"/>
      <c r="I115" s="984"/>
      <c r="J115" s="984"/>
      <c r="K115" s="984"/>
      <c r="L115" s="984"/>
      <c r="M115" s="984"/>
      <c r="N115" s="984"/>
      <c r="O115" s="984"/>
      <c r="P115" s="984"/>
      <c r="Q115" s="984"/>
      <c r="R115" s="984"/>
      <c r="S115" s="984"/>
      <c r="T115" s="984"/>
      <c r="U115" s="984"/>
    </row>
    <row r="116" spans="2:21">
      <c r="B116" s="993">
        <v>4.2</v>
      </c>
      <c r="C116" s="988" t="s">
        <v>1251</v>
      </c>
      <c r="D116" s="984"/>
      <c r="E116" s="984"/>
      <c r="F116" s="984"/>
      <c r="G116" s="984"/>
      <c r="H116" s="984"/>
      <c r="I116" s="984"/>
      <c r="J116" s="984"/>
      <c r="K116" s="984"/>
      <c r="L116" s="984"/>
      <c r="M116" s="984"/>
      <c r="N116" s="984"/>
      <c r="O116" s="984"/>
      <c r="P116" s="984"/>
      <c r="Q116" s="984"/>
      <c r="R116" s="984"/>
      <c r="S116" s="984"/>
      <c r="T116" s="984"/>
      <c r="U116" s="984"/>
    </row>
    <row r="117" spans="2:21">
      <c r="B117" s="993">
        <v>4.3</v>
      </c>
      <c r="C117" s="994" t="s">
        <v>1252</v>
      </c>
      <c r="D117" s="984"/>
      <c r="E117" s="984"/>
      <c r="F117" s="984"/>
      <c r="G117" s="984"/>
      <c r="H117" s="984"/>
      <c r="I117" s="984"/>
      <c r="J117" s="984"/>
      <c r="K117" s="984"/>
      <c r="L117" s="984"/>
      <c r="M117" s="984"/>
      <c r="N117" s="984"/>
      <c r="O117" s="984"/>
      <c r="P117" s="984"/>
      <c r="Q117" s="984"/>
      <c r="R117" s="984"/>
      <c r="S117" s="984"/>
      <c r="T117" s="984"/>
      <c r="U117" s="984"/>
    </row>
    <row r="118" spans="2:21">
      <c r="B118" s="993">
        <v>4.4000000000000004</v>
      </c>
      <c r="C118" s="994" t="s">
        <v>1253</v>
      </c>
      <c r="D118" s="984"/>
      <c r="E118" s="984"/>
      <c r="F118" s="984"/>
      <c r="G118" s="984"/>
      <c r="H118" s="984"/>
      <c r="I118" s="984"/>
      <c r="J118" s="984"/>
      <c r="K118" s="984"/>
      <c r="L118" s="984"/>
      <c r="M118" s="984"/>
      <c r="N118" s="984"/>
      <c r="O118" s="984"/>
      <c r="P118" s="984"/>
      <c r="Q118" s="984"/>
      <c r="R118" s="984"/>
      <c r="S118" s="984"/>
      <c r="T118" s="984"/>
      <c r="U118" s="984"/>
    </row>
    <row r="119" spans="2:21">
      <c r="B119" s="993">
        <v>4.5</v>
      </c>
      <c r="C119" s="994" t="s">
        <v>1254</v>
      </c>
      <c r="D119" s="984"/>
      <c r="E119" s="984"/>
      <c r="F119" s="984"/>
      <c r="G119" s="984"/>
      <c r="H119" s="984"/>
      <c r="I119" s="984"/>
      <c r="J119" s="984"/>
      <c r="K119" s="984"/>
      <c r="L119" s="984"/>
      <c r="M119" s="984"/>
      <c r="N119" s="984"/>
      <c r="O119" s="984"/>
      <c r="P119" s="984"/>
      <c r="Q119" s="984"/>
      <c r="R119" s="984"/>
      <c r="S119" s="984"/>
      <c r="T119" s="984"/>
      <c r="U119" s="984"/>
    </row>
    <row r="120" spans="2:21">
      <c r="B120" s="993">
        <v>4.5999999999999996</v>
      </c>
      <c r="C120" s="994" t="s">
        <v>1255</v>
      </c>
      <c r="D120" s="984"/>
      <c r="E120" s="984"/>
      <c r="F120" s="984"/>
      <c r="G120" s="984"/>
      <c r="H120" s="984"/>
      <c r="I120" s="984"/>
      <c r="J120" s="984"/>
      <c r="K120" s="984"/>
      <c r="L120" s="984"/>
      <c r="M120" s="984"/>
      <c r="N120" s="984"/>
      <c r="O120" s="984"/>
      <c r="P120" s="984"/>
      <c r="Q120" s="984"/>
      <c r="R120" s="984"/>
      <c r="S120" s="984"/>
      <c r="T120" s="984"/>
      <c r="U120" s="984"/>
    </row>
    <row r="121" spans="2:21">
      <c r="B121" s="993">
        <v>4.7</v>
      </c>
      <c r="C121" s="994" t="s">
        <v>1256</v>
      </c>
      <c r="D121" s="984"/>
      <c r="E121" s="984"/>
      <c r="F121" s="984"/>
      <c r="G121" s="984"/>
      <c r="H121" s="984"/>
      <c r="I121" s="984"/>
      <c r="J121" s="984"/>
      <c r="K121" s="984"/>
      <c r="L121" s="984"/>
      <c r="M121" s="984"/>
      <c r="N121" s="984"/>
      <c r="O121" s="984"/>
      <c r="P121" s="984"/>
      <c r="Q121" s="984"/>
      <c r="R121" s="984"/>
      <c r="S121" s="984"/>
      <c r="T121" s="984"/>
      <c r="U121" s="984"/>
    </row>
    <row r="122" spans="2:21">
      <c r="B122" s="993">
        <v>4.8</v>
      </c>
      <c r="C122" s="988" t="s">
        <v>1257</v>
      </c>
      <c r="D122" s="984"/>
      <c r="E122" s="984"/>
      <c r="F122" s="984"/>
      <c r="G122" s="984"/>
      <c r="H122" s="984"/>
      <c r="I122" s="984"/>
      <c r="J122" s="984"/>
      <c r="K122" s="984"/>
      <c r="L122" s="984"/>
      <c r="M122" s="984"/>
      <c r="N122" s="984"/>
      <c r="O122" s="984"/>
      <c r="P122" s="984"/>
      <c r="Q122" s="984"/>
      <c r="R122" s="984"/>
      <c r="S122" s="984"/>
      <c r="T122" s="984"/>
      <c r="U122" s="984"/>
    </row>
    <row r="123" spans="2:21">
      <c r="B123" s="993">
        <v>4.9000000000000004</v>
      </c>
      <c r="C123" s="988" t="s">
        <v>1258</v>
      </c>
      <c r="D123" s="984"/>
      <c r="E123" s="984"/>
      <c r="F123" s="984"/>
      <c r="G123" s="984"/>
      <c r="H123" s="984"/>
      <c r="I123" s="984"/>
      <c r="J123" s="984"/>
      <c r="K123" s="984"/>
      <c r="L123" s="984"/>
      <c r="M123" s="984"/>
      <c r="N123" s="984"/>
      <c r="O123" s="984"/>
      <c r="P123" s="984"/>
      <c r="Q123" s="984"/>
      <c r="R123" s="984"/>
      <c r="S123" s="984"/>
      <c r="T123" s="984"/>
      <c r="U123" s="984"/>
    </row>
    <row r="124" spans="2:21">
      <c r="B124" s="1001">
        <v>4.0999999999999996</v>
      </c>
      <c r="C124" s="988" t="s">
        <v>1259</v>
      </c>
      <c r="D124" s="984"/>
      <c r="E124" s="984"/>
      <c r="F124" s="984"/>
      <c r="G124" s="984"/>
      <c r="H124" s="984"/>
      <c r="I124" s="984"/>
      <c r="J124" s="984"/>
      <c r="K124" s="984"/>
      <c r="L124" s="984"/>
      <c r="M124" s="984"/>
      <c r="N124" s="984"/>
      <c r="O124" s="984"/>
      <c r="P124" s="984"/>
      <c r="Q124" s="984"/>
      <c r="R124" s="984"/>
      <c r="S124" s="984"/>
      <c r="T124" s="984"/>
      <c r="U124" s="984"/>
    </row>
    <row r="125" spans="2:21">
      <c r="B125" s="1001">
        <v>4.1100000000000003</v>
      </c>
      <c r="C125" s="988" t="s">
        <v>1260</v>
      </c>
      <c r="D125" s="984"/>
      <c r="E125" s="984"/>
      <c r="F125" s="984"/>
      <c r="G125" s="984"/>
      <c r="H125" s="984"/>
      <c r="I125" s="984"/>
      <c r="J125" s="984"/>
      <c r="K125" s="984"/>
      <c r="L125" s="984"/>
      <c r="M125" s="984"/>
      <c r="N125" s="984"/>
      <c r="O125" s="984"/>
      <c r="P125" s="984"/>
      <c r="Q125" s="984"/>
      <c r="R125" s="984"/>
      <c r="S125" s="984"/>
      <c r="T125" s="984"/>
      <c r="U125" s="984"/>
    </row>
    <row r="126" spans="2:21">
      <c r="B126" s="1001">
        <v>4.12</v>
      </c>
      <c r="C126" s="994" t="s">
        <v>1261</v>
      </c>
      <c r="D126" s="984"/>
      <c r="E126" s="984"/>
      <c r="F126" s="984"/>
      <c r="G126" s="984"/>
      <c r="H126" s="984"/>
      <c r="I126" s="984"/>
      <c r="J126" s="984"/>
      <c r="K126" s="984"/>
      <c r="L126" s="984"/>
      <c r="M126" s="984"/>
      <c r="N126" s="984"/>
      <c r="O126" s="984"/>
      <c r="P126" s="984"/>
      <c r="Q126" s="984"/>
      <c r="R126" s="984"/>
      <c r="S126" s="984"/>
      <c r="T126" s="984"/>
      <c r="U126" s="984"/>
    </row>
    <row r="127" spans="2:21">
      <c r="B127" s="1001">
        <v>4.13</v>
      </c>
      <c r="C127" s="988" t="s">
        <v>1262</v>
      </c>
      <c r="D127" s="984"/>
      <c r="E127" s="984"/>
      <c r="F127" s="984"/>
      <c r="G127" s="984"/>
      <c r="H127" s="984"/>
      <c r="I127" s="984"/>
      <c r="J127" s="984"/>
      <c r="K127" s="984"/>
      <c r="L127" s="984"/>
      <c r="M127" s="984"/>
      <c r="N127" s="984"/>
      <c r="O127" s="984"/>
      <c r="P127" s="984"/>
      <c r="Q127" s="984"/>
      <c r="R127" s="984"/>
      <c r="S127" s="984"/>
      <c r="T127" s="984"/>
      <c r="U127" s="984"/>
    </row>
    <row r="128" spans="2:21">
      <c r="B128" s="1001">
        <v>4.1399999999999997</v>
      </c>
      <c r="C128" s="988" t="s">
        <v>1263</v>
      </c>
      <c r="D128" s="984"/>
      <c r="E128" s="984"/>
      <c r="F128" s="984"/>
      <c r="G128" s="984"/>
      <c r="H128" s="984"/>
      <c r="I128" s="984"/>
      <c r="J128" s="984"/>
      <c r="K128" s="984"/>
      <c r="L128" s="984"/>
      <c r="M128" s="984"/>
      <c r="N128" s="984"/>
      <c r="O128" s="984"/>
      <c r="P128" s="984"/>
      <c r="Q128" s="984"/>
      <c r="R128" s="984"/>
      <c r="S128" s="984"/>
      <c r="T128" s="984"/>
      <c r="U128" s="984"/>
    </row>
    <row r="129" spans="2:21">
      <c r="B129" s="1001">
        <v>4.1500000000000004</v>
      </c>
      <c r="C129" s="988" t="s">
        <v>1264</v>
      </c>
      <c r="D129" s="984"/>
      <c r="E129" s="984"/>
      <c r="F129" s="984"/>
      <c r="G129" s="984"/>
      <c r="H129" s="984"/>
      <c r="I129" s="984"/>
      <c r="J129" s="984"/>
      <c r="K129" s="984"/>
      <c r="L129" s="984"/>
      <c r="M129" s="984"/>
      <c r="N129" s="984"/>
      <c r="O129" s="984"/>
      <c r="P129" s="984"/>
      <c r="Q129" s="984"/>
      <c r="R129" s="984"/>
      <c r="S129" s="984"/>
      <c r="T129" s="984"/>
      <c r="U129" s="984"/>
    </row>
    <row r="130" spans="2:21">
      <c r="B130" s="1001">
        <v>4.16</v>
      </c>
      <c r="C130" s="988" t="s">
        <v>1265</v>
      </c>
      <c r="D130" s="984"/>
      <c r="E130" s="984"/>
      <c r="F130" s="984"/>
      <c r="G130" s="984"/>
      <c r="H130" s="984"/>
      <c r="I130" s="984"/>
      <c r="J130" s="984"/>
      <c r="K130" s="984"/>
      <c r="L130" s="984"/>
      <c r="M130" s="984"/>
      <c r="N130" s="984"/>
      <c r="O130" s="984"/>
      <c r="P130" s="984"/>
      <c r="Q130" s="984"/>
      <c r="R130" s="984"/>
      <c r="S130" s="984"/>
      <c r="T130" s="984"/>
      <c r="U130" s="984"/>
    </row>
    <row r="131" spans="2:21">
      <c r="B131" s="1001">
        <v>4.17</v>
      </c>
      <c r="C131" s="988" t="s">
        <v>250</v>
      </c>
      <c r="D131" s="984"/>
      <c r="E131" s="984"/>
      <c r="F131" s="984"/>
      <c r="G131" s="984"/>
      <c r="H131" s="984"/>
      <c r="I131" s="984"/>
      <c r="J131" s="984"/>
      <c r="K131" s="984"/>
      <c r="L131" s="984"/>
      <c r="M131" s="984"/>
      <c r="N131" s="984"/>
      <c r="O131" s="984"/>
      <c r="P131" s="984"/>
      <c r="Q131" s="984"/>
      <c r="R131" s="984"/>
      <c r="S131" s="984"/>
      <c r="T131" s="984"/>
      <c r="U131" s="984"/>
    </row>
    <row r="132" spans="2:21" s="985" customFormat="1">
      <c r="B132" s="1002"/>
      <c r="C132" s="991" t="s">
        <v>1266</v>
      </c>
      <c r="D132" s="984"/>
      <c r="E132" s="984"/>
      <c r="F132" s="984"/>
      <c r="G132" s="984"/>
      <c r="H132" s="984"/>
      <c r="I132" s="984"/>
      <c r="J132" s="984"/>
      <c r="K132" s="984"/>
      <c r="L132" s="984"/>
      <c r="M132" s="984"/>
      <c r="N132" s="984"/>
      <c r="O132" s="984"/>
      <c r="P132" s="984"/>
      <c r="Q132" s="984"/>
      <c r="R132" s="984"/>
      <c r="S132" s="984"/>
      <c r="T132" s="984"/>
      <c r="U132" s="984"/>
    </row>
    <row r="133" spans="2:21">
      <c r="B133" s="1001"/>
      <c r="C133" s="988"/>
      <c r="D133" s="984"/>
      <c r="E133" s="984"/>
      <c r="F133" s="984"/>
      <c r="G133" s="984"/>
      <c r="H133" s="984"/>
      <c r="I133" s="984"/>
      <c r="J133" s="984"/>
      <c r="K133" s="984"/>
      <c r="L133" s="984"/>
      <c r="M133" s="984"/>
      <c r="N133" s="984"/>
      <c r="O133" s="984"/>
      <c r="P133" s="984"/>
      <c r="Q133" s="984"/>
      <c r="R133" s="984"/>
      <c r="S133" s="984"/>
      <c r="T133" s="984"/>
      <c r="U133" s="984"/>
    </row>
    <row r="134" spans="2:21" s="985" customFormat="1">
      <c r="B134" s="992">
        <v>5</v>
      </c>
      <c r="C134" s="999" t="s">
        <v>1267</v>
      </c>
      <c r="D134" s="984"/>
      <c r="E134" s="984"/>
      <c r="F134" s="984"/>
      <c r="G134" s="984"/>
      <c r="H134" s="984"/>
      <c r="I134" s="984"/>
      <c r="J134" s="984"/>
      <c r="K134" s="984"/>
      <c r="L134" s="984"/>
      <c r="M134" s="984"/>
      <c r="N134" s="984"/>
      <c r="O134" s="984"/>
      <c r="P134" s="984"/>
      <c r="Q134" s="984"/>
      <c r="R134" s="984"/>
      <c r="S134" s="984"/>
      <c r="T134" s="984"/>
      <c r="U134" s="984"/>
    </row>
    <row r="135" spans="2:21">
      <c r="B135" s="993">
        <v>5.0999999999999996</v>
      </c>
      <c r="C135" s="988" t="s">
        <v>1268</v>
      </c>
      <c r="D135" s="984"/>
      <c r="E135" s="984"/>
      <c r="F135" s="984"/>
      <c r="G135" s="984"/>
      <c r="H135" s="984"/>
      <c r="I135" s="984"/>
      <c r="J135" s="984"/>
      <c r="K135" s="984"/>
      <c r="L135" s="984"/>
      <c r="M135" s="984"/>
      <c r="N135" s="984"/>
      <c r="O135" s="984"/>
      <c r="P135" s="984"/>
      <c r="Q135" s="984"/>
      <c r="R135" s="984"/>
      <c r="S135" s="984"/>
      <c r="T135" s="984"/>
      <c r="U135" s="984"/>
    </row>
    <row r="136" spans="2:21">
      <c r="B136" s="993">
        <v>5.2</v>
      </c>
      <c r="C136" s="988" t="s">
        <v>1269</v>
      </c>
      <c r="D136" s="984"/>
      <c r="E136" s="984"/>
      <c r="F136" s="984"/>
      <c r="G136" s="984"/>
      <c r="H136" s="984"/>
      <c r="I136" s="984"/>
      <c r="J136" s="984"/>
      <c r="K136" s="984"/>
      <c r="L136" s="984"/>
      <c r="M136" s="984"/>
      <c r="N136" s="984"/>
      <c r="O136" s="984"/>
      <c r="P136" s="984"/>
      <c r="Q136" s="984"/>
      <c r="R136" s="984"/>
      <c r="S136" s="984"/>
      <c r="T136" s="984"/>
      <c r="U136" s="984"/>
    </row>
    <row r="137" spans="2:21">
      <c r="B137" s="993">
        <v>5.3</v>
      </c>
      <c r="C137" s="988" t="s">
        <v>1270</v>
      </c>
      <c r="D137" s="984"/>
      <c r="E137" s="984"/>
      <c r="F137" s="984"/>
      <c r="G137" s="984"/>
      <c r="H137" s="984"/>
      <c r="I137" s="984"/>
      <c r="J137" s="984"/>
      <c r="K137" s="984"/>
      <c r="L137" s="984"/>
      <c r="M137" s="984"/>
      <c r="N137" s="984"/>
      <c r="O137" s="984"/>
      <c r="P137" s="984"/>
      <c r="Q137" s="984"/>
      <c r="R137" s="984"/>
      <c r="S137" s="984"/>
      <c r="T137" s="984"/>
      <c r="U137" s="984"/>
    </row>
    <row r="138" spans="2:21">
      <c r="B138" s="993">
        <v>5.4</v>
      </c>
      <c r="C138" s="988" t="s">
        <v>1271</v>
      </c>
      <c r="D138" s="984"/>
      <c r="E138" s="984"/>
      <c r="F138" s="984"/>
      <c r="G138" s="984"/>
      <c r="H138" s="984"/>
      <c r="I138" s="984"/>
      <c r="J138" s="984"/>
      <c r="K138" s="984"/>
      <c r="L138" s="984"/>
      <c r="M138" s="984"/>
      <c r="N138" s="984"/>
      <c r="O138" s="984"/>
      <c r="P138" s="984"/>
      <c r="Q138" s="984"/>
      <c r="R138" s="984"/>
      <c r="S138" s="984"/>
      <c r="T138" s="984"/>
      <c r="U138" s="984"/>
    </row>
    <row r="139" spans="2:21">
      <c r="B139" s="993">
        <v>5.5</v>
      </c>
      <c r="C139" s="988" t="s">
        <v>1272</v>
      </c>
      <c r="D139" s="984"/>
      <c r="E139" s="984"/>
      <c r="F139" s="984"/>
      <c r="G139" s="984"/>
      <c r="H139" s="984"/>
      <c r="I139" s="984"/>
      <c r="J139" s="984"/>
      <c r="K139" s="984"/>
      <c r="L139" s="984"/>
      <c r="M139" s="984"/>
      <c r="N139" s="984"/>
      <c r="O139" s="984"/>
      <c r="P139" s="984"/>
      <c r="Q139" s="984"/>
      <c r="R139" s="984"/>
      <c r="S139" s="984"/>
      <c r="T139" s="984"/>
      <c r="U139" s="984"/>
    </row>
    <row r="140" spans="2:21">
      <c r="B140" s="993">
        <v>5.6</v>
      </c>
      <c r="C140" s="988" t="s">
        <v>1273</v>
      </c>
      <c r="D140" s="984"/>
      <c r="E140" s="984"/>
      <c r="F140" s="984"/>
      <c r="G140" s="984"/>
      <c r="H140" s="984"/>
      <c r="I140" s="984"/>
      <c r="J140" s="984"/>
      <c r="K140" s="984"/>
      <c r="L140" s="984"/>
      <c r="M140" s="984"/>
      <c r="N140" s="984"/>
      <c r="O140" s="984"/>
      <c r="P140" s="984"/>
      <c r="Q140" s="984"/>
      <c r="R140" s="984"/>
      <c r="S140" s="984"/>
      <c r="T140" s="984"/>
      <c r="U140" s="984"/>
    </row>
    <row r="141" spans="2:21" s="985" customFormat="1">
      <c r="B141" s="992">
        <v>5.7</v>
      </c>
      <c r="C141" s="999" t="s">
        <v>1274</v>
      </c>
      <c r="D141" s="984"/>
      <c r="E141" s="984"/>
      <c r="F141" s="984"/>
      <c r="G141" s="984"/>
      <c r="H141" s="984"/>
      <c r="I141" s="984"/>
      <c r="J141" s="984"/>
      <c r="K141" s="984"/>
      <c r="L141" s="984"/>
      <c r="M141" s="984"/>
      <c r="N141" s="984"/>
      <c r="O141" s="984"/>
      <c r="P141" s="984"/>
      <c r="Q141" s="984"/>
      <c r="R141" s="984"/>
      <c r="S141" s="984"/>
      <c r="T141" s="984"/>
      <c r="U141" s="984"/>
    </row>
    <row r="142" spans="2:21" s="985" customFormat="1">
      <c r="B142" s="992"/>
      <c r="C142" s="999"/>
      <c r="D142" s="984"/>
      <c r="E142" s="984"/>
      <c r="F142" s="984"/>
      <c r="G142" s="984"/>
      <c r="H142" s="984"/>
      <c r="I142" s="984"/>
      <c r="J142" s="984"/>
      <c r="K142" s="984"/>
      <c r="L142" s="984"/>
      <c r="M142" s="984"/>
      <c r="N142" s="984"/>
      <c r="O142" s="984"/>
      <c r="P142" s="984"/>
      <c r="Q142" s="984"/>
      <c r="R142" s="984"/>
      <c r="S142" s="984"/>
      <c r="T142" s="984"/>
      <c r="U142" s="984"/>
    </row>
    <row r="143" spans="2:21" s="985" customFormat="1">
      <c r="B143" s="992">
        <v>6</v>
      </c>
      <c r="C143" s="991" t="s">
        <v>1275</v>
      </c>
      <c r="D143" s="984"/>
      <c r="E143" s="984"/>
      <c r="F143" s="984"/>
      <c r="G143" s="984"/>
      <c r="H143" s="984"/>
      <c r="I143" s="984"/>
      <c r="J143" s="984"/>
      <c r="K143" s="984"/>
      <c r="L143" s="984"/>
      <c r="M143" s="984"/>
      <c r="N143" s="984"/>
      <c r="O143" s="984"/>
      <c r="P143" s="984"/>
      <c r="Q143" s="984"/>
      <c r="R143" s="984"/>
      <c r="S143" s="984"/>
      <c r="T143" s="984"/>
      <c r="U143" s="984"/>
    </row>
    <row r="144" spans="2:21">
      <c r="B144" s="993">
        <v>6.1</v>
      </c>
      <c r="C144" s="988" t="s">
        <v>1276</v>
      </c>
      <c r="D144" s="984"/>
      <c r="E144" s="984"/>
      <c r="F144" s="984"/>
      <c r="G144" s="984"/>
      <c r="H144" s="984"/>
      <c r="I144" s="984"/>
      <c r="J144" s="984"/>
      <c r="K144" s="984"/>
      <c r="L144" s="984"/>
      <c r="M144" s="984"/>
      <c r="N144" s="984"/>
      <c r="O144" s="984"/>
      <c r="P144" s="984"/>
      <c r="Q144" s="984"/>
      <c r="R144" s="984"/>
      <c r="S144" s="984"/>
      <c r="T144" s="984"/>
      <c r="U144" s="984"/>
    </row>
    <row r="145" spans="2:21">
      <c r="B145" s="998">
        <v>6.2</v>
      </c>
      <c r="C145" s="994" t="s">
        <v>1277</v>
      </c>
      <c r="D145" s="984"/>
      <c r="E145" s="984"/>
      <c r="F145" s="984"/>
      <c r="G145" s="984"/>
      <c r="H145" s="984"/>
      <c r="I145" s="984"/>
      <c r="J145" s="984"/>
      <c r="K145" s="984"/>
      <c r="L145" s="984"/>
      <c r="M145" s="984"/>
      <c r="N145" s="984"/>
      <c r="O145" s="984"/>
      <c r="P145" s="984"/>
      <c r="Q145" s="984"/>
      <c r="R145" s="984"/>
      <c r="S145" s="984"/>
      <c r="T145" s="984"/>
      <c r="U145" s="984"/>
    </row>
    <row r="146" spans="2:21">
      <c r="B146" s="993">
        <v>6.3</v>
      </c>
      <c r="C146" s="988" t="s">
        <v>1278</v>
      </c>
      <c r="D146" s="984"/>
      <c r="E146" s="984"/>
      <c r="F146" s="984"/>
      <c r="G146" s="984"/>
      <c r="H146" s="984"/>
      <c r="I146" s="984"/>
      <c r="J146" s="984"/>
      <c r="K146" s="984"/>
      <c r="L146" s="984"/>
      <c r="M146" s="984"/>
      <c r="N146" s="984"/>
      <c r="O146" s="984"/>
      <c r="P146" s="984"/>
      <c r="Q146" s="984"/>
      <c r="R146" s="984"/>
      <c r="S146" s="984"/>
      <c r="T146" s="984"/>
      <c r="U146" s="984"/>
    </row>
    <row r="147" spans="2:21">
      <c r="B147" s="998">
        <v>6.4</v>
      </c>
      <c r="C147" s="988" t="s">
        <v>1279</v>
      </c>
      <c r="D147" s="984"/>
      <c r="E147" s="984"/>
      <c r="F147" s="984"/>
      <c r="G147" s="984"/>
      <c r="H147" s="984"/>
      <c r="I147" s="984"/>
      <c r="J147" s="984"/>
      <c r="K147" s="984"/>
      <c r="L147" s="984"/>
      <c r="M147" s="984"/>
      <c r="N147" s="984"/>
      <c r="O147" s="984"/>
      <c r="P147" s="984"/>
      <c r="Q147" s="984"/>
      <c r="R147" s="984"/>
      <c r="S147" s="984"/>
      <c r="T147" s="984"/>
      <c r="U147" s="984"/>
    </row>
    <row r="148" spans="2:21" s="985" customFormat="1">
      <c r="B148" s="992">
        <v>6.5</v>
      </c>
      <c r="C148" s="991" t="s">
        <v>1280</v>
      </c>
      <c r="D148" s="984"/>
      <c r="E148" s="984"/>
      <c r="F148" s="984"/>
      <c r="G148" s="984"/>
      <c r="H148" s="984"/>
      <c r="I148" s="984"/>
      <c r="J148" s="984"/>
      <c r="K148" s="984"/>
      <c r="L148" s="984"/>
      <c r="M148" s="984"/>
      <c r="N148" s="984"/>
      <c r="O148" s="984"/>
      <c r="P148" s="984"/>
      <c r="Q148" s="984"/>
      <c r="R148" s="984"/>
      <c r="S148" s="984"/>
      <c r="T148" s="984"/>
      <c r="U148" s="984"/>
    </row>
    <row r="149" spans="2:21" s="985" customFormat="1">
      <c r="B149" s="992"/>
      <c r="C149" s="991"/>
      <c r="D149" s="984"/>
      <c r="E149" s="984"/>
      <c r="F149" s="984"/>
      <c r="G149" s="984"/>
      <c r="H149" s="984"/>
      <c r="I149" s="984"/>
      <c r="J149" s="984"/>
      <c r="K149" s="984"/>
      <c r="L149" s="984"/>
      <c r="M149" s="984"/>
      <c r="N149" s="984"/>
      <c r="O149" s="984"/>
      <c r="P149" s="984"/>
      <c r="Q149" s="984"/>
      <c r="R149" s="984"/>
      <c r="S149" s="984"/>
      <c r="T149" s="984"/>
      <c r="U149" s="984"/>
    </row>
    <row r="150" spans="2:21" s="985" customFormat="1">
      <c r="B150" s="992">
        <v>7</v>
      </c>
      <c r="C150" s="991" t="s">
        <v>1281</v>
      </c>
      <c r="D150" s="984"/>
      <c r="E150" s="984"/>
      <c r="F150" s="984"/>
      <c r="G150" s="984"/>
      <c r="H150" s="984"/>
      <c r="I150" s="984"/>
      <c r="J150" s="984"/>
      <c r="K150" s="984"/>
      <c r="L150" s="984"/>
      <c r="M150" s="984"/>
      <c r="N150" s="984"/>
      <c r="O150" s="984"/>
      <c r="P150" s="984"/>
      <c r="Q150" s="984"/>
      <c r="R150" s="984"/>
      <c r="S150" s="984"/>
      <c r="T150" s="984"/>
      <c r="U150" s="984"/>
    </row>
    <row r="151" spans="2:21" s="985" customFormat="1" ht="18" customHeight="1">
      <c r="B151" s="998">
        <v>7.1</v>
      </c>
      <c r="C151" s="988" t="s">
        <v>1282</v>
      </c>
      <c r="D151" s="984"/>
      <c r="E151" s="984"/>
      <c r="F151" s="984"/>
      <c r="G151" s="984"/>
      <c r="H151" s="984"/>
      <c r="I151" s="984"/>
      <c r="J151" s="984"/>
      <c r="K151" s="984"/>
      <c r="L151" s="984"/>
      <c r="M151" s="984"/>
      <c r="N151" s="984"/>
      <c r="O151" s="984"/>
      <c r="P151" s="984"/>
      <c r="Q151" s="984"/>
      <c r="R151" s="984"/>
      <c r="S151" s="984"/>
      <c r="T151" s="984"/>
      <c r="U151" s="984"/>
    </row>
    <row r="152" spans="2:21">
      <c r="B152" s="998">
        <v>7.2</v>
      </c>
      <c r="C152" s="994" t="s">
        <v>1283</v>
      </c>
      <c r="D152" s="984"/>
      <c r="E152" s="984"/>
      <c r="F152" s="984"/>
      <c r="G152" s="984"/>
      <c r="H152" s="984"/>
      <c r="I152" s="984"/>
      <c r="J152" s="984"/>
      <c r="K152" s="984"/>
      <c r="L152" s="984"/>
      <c r="M152" s="984"/>
      <c r="N152" s="984"/>
      <c r="O152" s="984"/>
      <c r="P152" s="984"/>
      <c r="Q152" s="984"/>
      <c r="R152" s="984"/>
      <c r="S152" s="984"/>
      <c r="T152" s="984"/>
      <c r="U152" s="984"/>
    </row>
    <row r="153" spans="2:21">
      <c r="B153" s="998"/>
      <c r="C153" s="994"/>
      <c r="D153" s="984"/>
      <c r="E153" s="984"/>
      <c r="F153" s="984"/>
      <c r="G153" s="984"/>
      <c r="H153" s="984"/>
      <c r="I153" s="984"/>
      <c r="J153" s="984"/>
      <c r="K153" s="984"/>
      <c r="L153" s="984"/>
      <c r="M153" s="984"/>
      <c r="N153" s="984"/>
      <c r="O153" s="984"/>
      <c r="P153" s="984"/>
      <c r="Q153" s="984"/>
      <c r="R153" s="984"/>
      <c r="S153" s="984"/>
      <c r="T153" s="984"/>
      <c r="U153" s="984"/>
    </row>
    <row r="154" spans="2:21" s="985" customFormat="1">
      <c r="B154" s="992">
        <v>8</v>
      </c>
      <c r="C154" s="991" t="s">
        <v>1284</v>
      </c>
      <c r="D154" s="984"/>
      <c r="E154" s="984"/>
      <c r="F154" s="984"/>
      <c r="G154" s="984"/>
      <c r="H154" s="984"/>
      <c r="I154" s="984"/>
      <c r="J154" s="984"/>
      <c r="K154" s="984"/>
      <c r="L154" s="984"/>
      <c r="M154" s="984"/>
      <c r="N154" s="984"/>
      <c r="O154" s="984"/>
      <c r="P154" s="984"/>
      <c r="Q154" s="984"/>
      <c r="R154" s="984"/>
      <c r="S154" s="984"/>
      <c r="T154" s="984"/>
      <c r="U154" s="984"/>
    </row>
    <row r="155" spans="2:21">
      <c r="L155" s="1003"/>
    </row>
  </sheetData>
  <mergeCells count="10">
    <mergeCell ref="B6:B9"/>
    <mergeCell ref="C6:C9"/>
    <mergeCell ref="D6:S6"/>
    <mergeCell ref="T6:T8"/>
    <mergeCell ref="U6:U9"/>
    <mergeCell ref="D7:G7"/>
    <mergeCell ref="H7:J7"/>
    <mergeCell ref="K7:M7"/>
    <mergeCell ref="N7:P7"/>
    <mergeCell ref="Q7:S7"/>
  </mergeCells>
  <printOptions horizontalCentered="1"/>
  <pageMargins left="0.35433070866141703" right="0.23622047244094499" top="0.82677165354330695" bottom="0.62992125984252001" header="0.31496062992126" footer="0.196850393700787"/>
  <pageSetup paperSize="9" scale="40" fitToHeight="0" orientation="landscape" r:id="rId1"/>
  <headerFooter alignWithMargins="0"/>
  <rowBreaks count="1" manualBreakCount="1">
    <brk id="80" min="1" max="2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N76"/>
  <sheetViews>
    <sheetView showGridLines="0" view="pageBreakPreview" zoomScale="80" zoomScaleNormal="60" zoomScaleSheetLayoutView="80" workbookViewId="0">
      <selection activeCell="H3" sqref="H3"/>
    </sheetView>
  </sheetViews>
  <sheetFormatPr defaultColWidth="9.08984375" defaultRowHeight="14"/>
  <cols>
    <col min="1" max="1" width="4.6328125" style="1004" customWidth="1"/>
    <col min="2" max="2" width="9.08984375" style="1004" customWidth="1"/>
    <col min="3" max="12" width="16.54296875" style="1004" customWidth="1"/>
    <col min="13" max="13" width="16.54296875" style="1006" customWidth="1"/>
    <col min="14" max="14" width="23.08984375" style="1004" customWidth="1"/>
    <col min="15" max="256" width="9.08984375" style="1004"/>
    <col min="257" max="257" width="4.6328125" style="1004" customWidth="1"/>
    <col min="258" max="258" width="10.54296875" style="1004" customWidth="1"/>
    <col min="259" max="259" width="49.08984375" style="1004" customWidth="1"/>
    <col min="260" max="260" width="68.54296875" style="1004" customWidth="1"/>
    <col min="261" max="261" width="35.453125" style="1004" customWidth="1"/>
    <col min="262" max="262" width="21" style="1004" customWidth="1"/>
    <col min="263" max="263" width="28.453125" style="1004" customWidth="1"/>
    <col min="264" max="264" width="30.6328125" style="1004" customWidth="1"/>
    <col min="265" max="265" width="29.54296875" style="1004" customWidth="1"/>
    <col min="266" max="266" width="33.54296875" style="1004" customWidth="1"/>
    <col min="267" max="267" width="26.54296875" style="1004" customWidth="1"/>
    <col min="268" max="268" width="31.54296875" style="1004" customWidth="1"/>
    <col min="269" max="269" width="34.36328125" style="1004" customWidth="1"/>
    <col min="270" max="270" width="45.08984375" style="1004" customWidth="1"/>
    <col min="271" max="512" width="9.08984375" style="1004"/>
    <col min="513" max="513" width="4.6328125" style="1004" customWidth="1"/>
    <col min="514" max="514" width="10.54296875" style="1004" customWidth="1"/>
    <col min="515" max="515" width="49.08984375" style="1004" customWidth="1"/>
    <col min="516" max="516" width="68.54296875" style="1004" customWidth="1"/>
    <col min="517" max="517" width="35.453125" style="1004" customWidth="1"/>
    <col min="518" max="518" width="21" style="1004" customWidth="1"/>
    <col min="519" max="519" width="28.453125" style="1004" customWidth="1"/>
    <col min="520" max="520" width="30.6328125" style="1004" customWidth="1"/>
    <col min="521" max="521" width="29.54296875" style="1004" customWidth="1"/>
    <col min="522" max="522" width="33.54296875" style="1004" customWidth="1"/>
    <col min="523" max="523" width="26.54296875" style="1004" customWidth="1"/>
    <col min="524" max="524" width="31.54296875" style="1004" customWidth="1"/>
    <col min="525" max="525" width="34.36328125" style="1004" customWidth="1"/>
    <col min="526" max="526" width="45.08984375" style="1004" customWidth="1"/>
    <col min="527" max="768" width="9.08984375" style="1004"/>
    <col min="769" max="769" width="4.6328125" style="1004" customWidth="1"/>
    <col min="770" max="770" width="10.54296875" style="1004" customWidth="1"/>
    <col min="771" max="771" width="49.08984375" style="1004" customWidth="1"/>
    <col min="772" max="772" width="68.54296875" style="1004" customWidth="1"/>
    <col min="773" max="773" width="35.453125" style="1004" customWidth="1"/>
    <col min="774" max="774" width="21" style="1004" customWidth="1"/>
    <col min="775" max="775" width="28.453125" style="1004" customWidth="1"/>
    <col min="776" max="776" width="30.6328125" style="1004" customWidth="1"/>
    <col min="777" max="777" width="29.54296875" style="1004" customWidth="1"/>
    <col min="778" max="778" width="33.54296875" style="1004" customWidth="1"/>
    <col min="779" max="779" width="26.54296875" style="1004" customWidth="1"/>
    <col min="780" max="780" width="31.54296875" style="1004" customWidth="1"/>
    <col min="781" max="781" width="34.36328125" style="1004" customWidth="1"/>
    <col min="782" max="782" width="45.08984375" style="1004" customWidth="1"/>
    <col min="783" max="1024" width="9.08984375" style="1004"/>
    <col min="1025" max="1025" width="4.6328125" style="1004" customWidth="1"/>
    <col min="1026" max="1026" width="10.54296875" style="1004" customWidth="1"/>
    <col min="1027" max="1027" width="49.08984375" style="1004" customWidth="1"/>
    <col min="1028" max="1028" width="68.54296875" style="1004" customWidth="1"/>
    <col min="1029" max="1029" width="35.453125" style="1004" customWidth="1"/>
    <col min="1030" max="1030" width="21" style="1004" customWidth="1"/>
    <col min="1031" max="1031" width="28.453125" style="1004" customWidth="1"/>
    <col min="1032" max="1032" width="30.6328125" style="1004" customWidth="1"/>
    <col min="1033" max="1033" width="29.54296875" style="1004" customWidth="1"/>
    <col min="1034" max="1034" width="33.54296875" style="1004" customWidth="1"/>
    <col min="1035" max="1035" width="26.54296875" style="1004" customWidth="1"/>
    <col min="1036" max="1036" width="31.54296875" style="1004" customWidth="1"/>
    <col min="1037" max="1037" width="34.36328125" style="1004" customWidth="1"/>
    <col min="1038" max="1038" width="45.08984375" style="1004" customWidth="1"/>
    <col min="1039" max="1280" width="9.08984375" style="1004"/>
    <col min="1281" max="1281" width="4.6328125" style="1004" customWidth="1"/>
    <col min="1282" max="1282" width="10.54296875" style="1004" customWidth="1"/>
    <col min="1283" max="1283" width="49.08984375" style="1004" customWidth="1"/>
    <col min="1284" max="1284" width="68.54296875" style="1004" customWidth="1"/>
    <col min="1285" max="1285" width="35.453125" style="1004" customWidth="1"/>
    <col min="1286" max="1286" width="21" style="1004" customWidth="1"/>
    <col min="1287" max="1287" width="28.453125" style="1004" customWidth="1"/>
    <col min="1288" max="1288" width="30.6328125" style="1004" customWidth="1"/>
    <col min="1289" max="1289" width="29.54296875" style="1004" customWidth="1"/>
    <col min="1290" max="1290" width="33.54296875" style="1004" customWidth="1"/>
    <col min="1291" max="1291" width="26.54296875" style="1004" customWidth="1"/>
    <col min="1292" max="1292" width="31.54296875" style="1004" customWidth="1"/>
    <col min="1293" max="1293" width="34.36328125" style="1004" customWidth="1"/>
    <col min="1294" max="1294" width="45.08984375" style="1004" customWidth="1"/>
    <col min="1295" max="1536" width="9.08984375" style="1004"/>
    <col min="1537" max="1537" width="4.6328125" style="1004" customWidth="1"/>
    <col min="1538" max="1538" width="10.54296875" style="1004" customWidth="1"/>
    <col min="1539" max="1539" width="49.08984375" style="1004" customWidth="1"/>
    <col min="1540" max="1540" width="68.54296875" style="1004" customWidth="1"/>
    <col min="1541" max="1541" width="35.453125" style="1004" customWidth="1"/>
    <col min="1542" max="1542" width="21" style="1004" customWidth="1"/>
    <col min="1543" max="1543" width="28.453125" style="1004" customWidth="1"/>
    <col min="1544" max="1544" width="30.6328125" style="1004" customWidth="1"/>
    <col min="1545" max="1545" width="29.54296875" style="1004" customWidth="1"/>
    <col min="1546" max="1546" width="33.54296875" style="1004" customWidth="1"/>
    <col min="1547" max="1547" width="26.54296875" style="1004" customWidth="1"/>
    <col min="1548" max="1548" width="31.54296875" style="1004" customWidth="1"/>
    <col min="1549" max="1549" width="34.36328125" style="1004" customWidth="1"/>
    <col min="1550" max="1550" width="45.08984375" style="1004" customWidth="1"/>
    <col min="1551" max="1792" width="9.08984375" style="1004"/>
    <col min="1793" max="1793" width="4.6328125" style="1004" customWidth="1"/>
    <col min="1794" max="1794" width="10.54296875" style="1004" customWidth="1"/>
    <col min="1795" max="1795" width="49.08984375" style="1004" customWidth="1"/>
    <col min="1796" max="1796" width="68.54296875" style="1004" customWidth="1"/>
    <col min="1797" max="1797" width="35.453125" style="1004" customWidth="1"/>
    <col min="1798" max="1798" width="21" style="1004" customWidth="1"/>
    <col min="1799" max="1799" width="28.453125" style="1004" customWidth="1"/>
    <col min="1800" max="1800" width="30.6328125" style="1004" customWidth="1"/>
    <col min="1801" max="1801" width="29.54296875" style="1004" customWidth="1"/>
    <col min="1802" max="1802" width="33.54296875" style="1004" customWidth="1"/>
    <col min="1803" max="1803" width="26.54296875" style="1004" customWidth="1"/>
    <col min="1804" max="1804" width="31.54296875" style="1004" customWidth="1"/>
    <col min="1805" max="1805" width="34.36328125" style="1004" customWidth="1"/>
    <col min="1806" max="1806" width="45.08984375" style="1004" customWidth="1"/>
    <col min="1807" max="2048" width="9.08984375" style="1004"/>
    <col min="2049" max="2049" width="4.6328125" style="1004" customWidth="1"/>
    <col min="2050" max="2050" width="10.54296875" style="1004" customWidth="1"/>
    <col min="2051" max="2051" width="49.08984375" style="1004" customWidth="1"/>
    <col min="2052" max="2052" width="68.54296875" style="1004" customWidth="1"/>
    <col min="2053" max="2053" width="35.453125" style="1004" customWidth="1"/>
    <col min="2054" max="2054" width="21" style="1004" customWidth="1"/>
    <col min="2055" max="2055" width="28.453125" style="1004" customWidth="1"/>
    <col min="2056" max="2056" width="30.6328125" style="1004" customWidth="1"/>
    <col min="2057" max="2057" width="29.54296875" style="1004" customWidth="1"/>
    <col min="2058" max="2058" width="33.54296875" style="1004" customWidth="1"/>
    <col min="2059" max="2059" width="26.54296875" style="1004" customWidth="1"/>
    <col min="2060" max="2060" width="31.54296875" style="1004" customWidth="1"/>
    <col min="2061" max="2061" width="34.36328125" style="1004" customWidth="1"/>
    <col min="2062" max="2062" width="45.08984375" style="1004" customWidth="1"/>
    <col min="2063" max="2304" width="9.08984375" style="1004"/>
    <col min="2305" max="2305" width="4.6328125" style="1004" customWidth="1"/>
    <col min="2306" max="2306" width="10.54296875" style="1004" customWidth="1"/>
    <col min="2307" max="2307" width="49.08984375" style="1004" customWidth="1"/>
    <col min="2308" max="2308" width="68.54296875" style="1004" customWidth="1"/>
    <col min="2309" max="2309" width="35.453125" style="1004" customWidth="1"/>
    <col min="2310" max="2310" width="21" style="1004" customWidth="1"/>
    <col min="2311" max="2311" width="28.453125" style="1004" customWidth="1"/>
    <col min="2312" max="2312" width="30.6328125" style="1004" customWidth="1"/>
    <col min="2313" max="2313" width="29.54296875" style="1004" customWidth="1"/>
    <col min="2314" max="2314" width="33.54296875" style="1004" customWidth="1"/>
    <col min="2315" max="2315" width="26.54296875" style="1004" customWidth="1"/>
    <col min="2316" max="2316" width="31.54296875" style="1004" customWidth="1"/>
    <col min="2317" max="2317" width="34.36328125" style="1004" customWidth="1"/>
    <col min="2318" max="2318" width="45.08984375" style="1004" customWidth="1"/>
    <col min="2319" max="2560" width="9.08984375" style="1004"/>
    <col min="2561" max="2561" width="4.6328125" style="1004" customWidth="1"/>
    <col min="2562" max="2562" width="10.54296875" style="1004" customWidth="1"/>
    <col min="2563" max="2563" width="49.08984375" style="1004" customWidth="1"/>
    <col min="2564" max="2564" width="68.54296875" style="1004" customWidth="1"/>
    <col min="2565" max="2565" width="35.453125" style="1004" customWidth="1"/>
    <col min="2566" max="2566" width="21" style="1004" customWidth="1"/>
    <col min="2567" max="2567" width="28.453125" style="1004" customWidth="1"/>
    <col min="2568" max="2568" width="30.6328125" style="1004" customWidth="1"/>
    <col min="2569" max="2569" width="29.54296875" style="1004" customWidth="1"/>
    <col min="2570" max="2570" width="33.54296875" style="1004" customWidth="1"/>
    <col min="2571" max="2571" width="26.54296875" style="1004" customWidth="1"/>
    <col min="2572" max="2572" width="31.54296875" style="1004" customWidth="1"/>
    <col min="2573" max="2573" width="34.36328125" style="1004" customWidth="1"/>
    <col min="2574" max="2574" width="45.08984375" style="1004" customWidth="1"/>
    <col min="2575" max="2816" width="9.08984375" style="1004"/>
    <col min="2817" max="2817" width="4.6328125" style="1004" customWidth="1"/>
    <col min="2818" max="2818" width="10.54296875" style="1004" customWidth="1"/>
    <col min="2819" max="2819" width="49.08984375" style="1004" customWidth="1"/>
    <col min="2820" max="2820" width="68.54296875" style="1004" customWidth="1"/>
    <col min="2821" max="2821" width="35.453125" style="1004" customWidth="1"/>
    <col min="2822" max="2822" width="21" style="1004" customWidth="1"/>
    <col min="2823" max="2823" width="28.453125" style="1004" customWidth="1"/>
    <col min="2824" max="2824" width="30.6328125" style="1004" customWidth="1"/>
    <col min="2825" max="2825" width="29.54296875" style="1004" customWidth="1"/>
    <col min="2826" max="2826" width="33.54296875" style="1004" customWidth="1"/>
    <col min="2827" max="2827" width="26.54296875" style="1004" customWidth="1"/>
    <col min="2828" max="2828" width="31.54296875" style="1004" customWidth="1"/>
    <col min="2829" max="2829" width="34.36328125" style="1004" customWidth="1"/>
    <col min="2830" max="2830" width="45.08984375" style="1004" customWidth="1"/>
    <col min="2831" max="3072" width="9.08984375" style="1004"/>
    <col min="3073" max="3073" width="4.6328125" style="1004" customWidth="1"/>
    <col min="3074" max="3074" width="10.54296875" style="1004" customWidth="1"/>
    <col min="3075" max="3075" width="49.08984375" style="1004" customWidth="1"/>
    <col min="3076" max="3076" width="68.54296875" style="1004" customWidth="1"/>
    <col min="3077" max="3077" width="35.453125" style="1004" customWidth="1"/>
    <col min="3078" max="3078" width="21" style="1004" customWidth="1"/>
    <col min="3079" max="3079" width="28.453125" style="1004" customWidth="1"/>
    <col min="3080" max="3080" width="30.6328125" style="1004" customWidth="1"/>
    <col min="3081" max="3081" width="29.54296875" style="1004" customWidth="1"/>
    <col min="3082" max="3082" width="33.54296875" style="1004" customWidth="1"/>
    <col min="3083" max="3083" width="26.54296875" style="1004" customWidth="1"/>
    <col min="3084" max="3084" width="31.54296875" style="1004" customWidth="1"/>
    <col min="3085" max="3085" width="34.36328125" style="1004" customWidth="1"/>
    <col min="3086" max="3086" width="45.08984375" style="1004" customWidth="1"/>
    <col min="3087" max="3328" width="9.08984375" style="1004"/>
    <col min="3329" max="3329" width="4.6328125" style="1004" customWidth="1"/>
    <col min="3330" max="3330" width="10.54296875" style="1004" customWidth="1"/>
    <col min="3331" max="3331" width="49.08984375" style="1004" customWidth="1"/>
    <col min="3332" max="3332" width="68.54296875" style="1004" customWidth="1"/>
    <col min="3333" max="3333" width="35.453125" style="1004" customWidth="1"/>
    <col min="3334" max="3334" width="21" style="1004" customWidth="1"/>
    <col min="3335" max="3335" width="28.453125" style="1004" customWidth="1"/>
    <col min="3336" max="3336" width="30.6328125" style="1004" customWidth="1"/>
    <col min="3337" max="3337" width="29.54296875" style="1004" customWidth="1"/>
    <col min="3338" max="3338" width="33.54296875" style="1004" customWidth="1"/>
    <col min="3339" max="3339" width="26.54296875" style="1004" customWidth="1"/>
    <col min="3340" max="3340" width="31.54296875" style="1004" customWidth="1"/>
    <col min="3341" max="3341" width="34.36328125" style="1004" customWidth="1"/>
    <col min="3342" max="3342" width="45.08984375" style="1004" customWidth="1"/>
    <col min="3343" max="3584" width="9.08984375" style="1004"/>
    <col min="3585" max="3585" width="4.6328125" style="1004" customWidth="1"/>
    <col min="3586" max="3586" width="10.54296875" style="1004" customWidth="1"/>
    <col min="3587" max="3587" width="49.08984375" style="1004" customWidth="1"/>
    <col min="3588" max="3588" width="68.54296875" style="1004" customWidth="1"/>
    <col min="3589" max="3589" width="35.453125" style="1004" customWidth="1"/>
    <col min="3590" max="3590" width="21" style="1004" customWidth="1"/>
    <col min="3591" max="3591" width="28.453125" style="1004" customWidth="1"/>
    <col min="3592" max="3592" width="30.6328125" style="1004" customWidth="1"/>
    <col min="3593" max="3593" width="29.54296875" style="1004" customWidth="1"/>
    <col min="3594" max="3594" width="33.54296875" style="1004" customWidth="1"/>
    <col min="3595" max="3595" width="26.54296875" style="1004" customWidth="1"/>
    <col min="3596" max="3596" width="31.54296875" style="1004" customWidth="1"/>
    <col min="3597" max="3597" width="34.36328125" style="1004" customWidth="1"/>
    <col min="3598" max="3598" width="45.08984375" style="1004" customWidth="1"/>
    <col min="3599" max="3840" width="9.08984375" style="1004"/>
    <col min="3841" max="3841" width="4.6328125" style="1004" customWidth="1"/>
    <col min="3842" max="3842" width="10.54296875" style="1004" customWidth="1"/>
    <col min="3843" max="3843" width="49.08984375" style="1004" customWidth="1"/>
    <col min="3844" max="3844" width="68.54296875" style="1004" customWidth="1"/>
    <col min="3845" max="3845" width="35.453125" style="1004" customWidth="1"/>
    <col min="3846" max="3846" width="21" style="1004" customWidth="1"/>
    <col min="3847" max="3847" width="28.453125" style="1004" customWidth="1"/>
    <col min="3848" max="3848" width="30.6328125" style="1004" customWidth="1"/>
    <col min="3849" max="3849" width="29.54296875" style="1004" customWidth="1"/>
    <col min="3850" max="3850" width="33.54296875" style="1004" customWidth="1"/>
    <col min="3851" max="3851" width="26.54296875" style="1004" customWidth="1"/>
    <col min="3852" max="3852" width="31.54296875" style="1004" customWidth="1"/>
    <col min="3853" max="3853" width="34.36328125" style="1004" customWidth="1"/>
    <col min="3854" max="3854" width="45.08984375" style="1004" customWidth="1"/>
    <col min="3855" max="4096" width="9.08984375" style="1004"/>
    <col min="4097" max="4097" width="4.6328125" style="1004" customWidth="1"/>
    <col min="4098" max="4098" width="10.54296875" style="1004" customWidth="1"/>
    <col min="4099" max="4099" width="49.08984375" style="1004" customWidth="1"/>
    <col min="4100" max="4100" width="68.54296875" style="1004" customWidth="1"/>
    <col min="4101" max="4101" width="35.453125" style="1004" customWidth="1"/>
    <col min="4102" max="4102" width="21" style="1004" customWidth="1"/>
    <col min="4103" max="4103" width="28.453125" style="1004" customWidth="1"/>
    <col min="4104" max="4104" width="30.6328125" style="1004" customWidth="1"/>
    <col min="4105" max="4105" width="29.54296875" style="1004" customWidth="1"/>
    <col min="4106" max="4106" width="33.54296875" style="1004" customWidth="1"/>
    <col min="4107" max="4107" width="26.54296875" style="1004" customWidth="1"/>
    <col min="4108" max="4108" width="31.54296875" style="1004" customWidth="1"/>
    <col min="4109" max="4109" width="34.36328125" style="1004" customWidth="1"/>
    <col min="4110" max="4110" width="45.08984375" style="1004" customWidth="1"/>
    <col min="4111" max="4352" width="9.08984375" style="1004"/>
    <col min="4353" max="4353" width="4.6328125" style="1004" customWidth="1"/>
    <col min="4354" max="4354" width="10.54296875" style="1004" customWidth="1"/>
    <col min="4355" max="4355" width="49.08984375" style="1004" customWidth="1"/>
    <col min="4356" max="4356" width="68.54296875" style="1004" customWidth="1"/>
    <col min="4357" max="4357" width="35.453125" style="1004" customWidth="1"/>
    <col min="4358" max="4358" width="21" style="1004" customWidth="1"/>
    <col min="4359" max="4359" width="28.453125" style="1004" customWidth="1"/>
    <col min="4360" max="4360" width="30.6328125" style="1004" customWidth="1"/>
    <col min="4361" max="4361" width="29.54296875" style="1004" customWidth="1"/>
    <col min="4362" max="4362" width="33.54296875" style="1004" customWidth="1"/>
    <col min="4363" max="4363" width="26.54296875" style="1004" customWidth="1"/>
    <col min="4364" max="4364" width="31.54296875" style="1004" customWidth="1"/>
    <col min="4365" max="4365" width="34.36328125" style="1004" customWidth="1"/>
    <col min="4366" max="4366" width="45.08984375" style="1004" customWidth="1"/>
    <col min="4367" max="4608" width="9.08984375" style="1004"/>
    <col min="4609" max="4609" width="4.6328125" style="1004" customWidth="1"/>
    <col min="4610" max="4610" width="10.54296875" style="1004" customWidth="1"/>
    <col min="4611" max="4611" width="49.08984375" style="1004" customWidth="1"/>
    <col min="4612" max="4612" width="68.54296875" style="1004" customWidth="1"/>
    <col min="4613" max="4613" width="35.453125" style="1004" customWidth="1"/>
    <col min="4614" max="4614" width="21" style="1004" customWidth="1"/>
    <col min="4615" max="4615" width="28.453125" style="1004" customWidth="1"/>
    <col min="4616" max="4616" width="30.6328125" style="1004" customWidth="1"/>
    <col min="4617" max="4617" width="29.54296875" style="1004" customWidth="1"/>
    <col min="4618" max="4618" width="33.54296875" style="1004" customWidth="1"/>
    <col min="4619" max="4619" width="26.54296875" style="1004" customWidth="1"/>
    <col min="4620" max="4620" width="31.54296875" style="1004" customWidth="1"/>
    <col min="4621" max="4621" width="34.36328125" style="1004" customWidth="1"/>
    <col min="4622" max="4622" width="45.08984375" style="1004" customWidth="1"/>
    <col min="4623" max="4864" width="9.08984375" style="1004"/>
    <col min="4865" max="4865" width="4.6328125" style="1004" customWidth="1"/>
    <col min="4866" max="4866" width="10.54296875" style="1004" customWidth="1"/>
    <col min="4867" max="4867" width="49.08984375" style="1004" customWidth="1"/>
    <col min="4868" max="4868" width="68.54296875" style="1004" customWidth="1"/>
    <col min="4869" max="4869" width="35.453125" style="1004" customWidth="1"/>
    <col min="4870" max="4870" width="21" style="1004" customWidth="1"/>
    <col min="4871" max="4871" width="28.453125" style="1004" customWidth="1"/>
    <col min="4872" max="4872" width="30.6328125" style="1004" customWidth="1"/>
    <col min="4873" max="4873" width="29.54296875" style="1004" customWidth="1"/>
    <col min="4874" max="4874" width="33.54296875" style="1004" customWidth="1"/>
    <col min="4875" max="4875" width="26.54296875" style="1004" customWidth="1"/>
    <col min="4876" max="4876" width="31.54296875" style="1004" customWidth="1"/>
    <col min="4877" max="4877" width="34.36328125" style="1004" customWidth="1"/>
    <col min="4878" max="4878" width="45.08984375" style="1004" customWidth="1"/>
    <col min="4879" max="5120" width="9.08984375" style="1004"/>
    <col min="5121" max="5121" width="4.6328125" style="1004" customWidth="1"/>
    <col min="5122" max="5122" width="10.54296875" style="1004" customWidth="1"/>
    <col min="5123" max="5123" width="49.08984375" style="1004" customWidth="1"/>
    <col min="5124" max="5124" width="68.54296875" style="1004" customWidth="1"/>
    <col min="5125" max="5125" width="35.453125" style="1004" customWidth="1"/>
    <col min="5126" max="5126" width="21" style="1004" customWidth="1"/>
    <col min="5127" max="5127" width="28.453125" style="1004" customWidth="1"/>
    <col min="5128" max="5128" width="30.6328125" style="1004" customWidth="1"/>
    <col min="5129" max="5129" width="29.54296875" style="1004" customWidth="1"/>
    <col min="5130" max="5130" width="33.54296875" style="1004" customWidth="1"/>
    <col min="5131" max="5131" width="26.54296875" style="1004" customWidth="1"/>
    <col min="5132" max="5132" width="31.54296875" style="1004" customWidth="1"/>
    <col min="5133" max="5133" width="34.36328125" style="1004" customWidth="1"/>
    <col min="5134" max="5134" width="45.08984375" style="1004" customWidth="1"/>
    <col min="5135" max="5376" width="9.08984375" style="1004"/>
    <col min="5377" max="5377" width="4.6328125" style="1004" customWidth="1"/>
    <col min="5378" max="5378" width="10.54296875" style="1004" customWidth="1"/>
    <col min="5379" max="5379" width="49.08984375" style="1004" customWidth="1"/>
    <col min="5380" max="5380" width="68.54296875" style="1004" customWidth="1"/>
    <col min="5381" max="5381" width="35.453125" style="1004" customWidth="1"/>
    <col min="5382" max="5382" width="21" style="1004" customWidth="1"/>
    <col min="5383" max="5383" width="28.453125" style="1004" customWidth="1"/>
    <col min="5384" max="5384" width="30.6328125" style="1004" customWidth="1"/>
    <col min="5385" max="5385" width="29.54296875" style="1004" customWidth="1"/>
    <col min="5386" max="5386" width="33.54296875" style="1004" customWidth="1"/>
    <col min="5387" max="5387" width="26.54296875" style="1004" customWidth="1"/>
    <col min="5388" max="5388" width="31.54296875" style="1004" customWidth="1"/>
    <col min="5389" max="5389" width="34.36328125" style="1004" customWidth="1"/>
    <col min="5390" max="5390" width="45.08984375" style="1004" customWidth="1"/>
    <col min="5391" max="5632" width="9.08984375" style="1004"/>
    <col min="5633" max="5633" width="4.6328125" style="1004" customWidth="1"/>
    <col min="5634" max="5634" width="10.54296875" style="1004" customWidth="1"/>
    <col min="5635" max="5635" width="49.08984375" style="1004" customWidth="1"/>
    <col min="5636" max="5636" width="68.54296875" style="1004" customWidth="1"/>
    <col min="5637" max="5637" width="35.453125" style="1004" customWidth="1"/>
    <col min="5638" max="5638" width="21" style="1004" customWidth="1"/>
    <col min="5639" max="5639" width="28.453125" style="1004" customWidth="1"/>
    <col min="5640" max="5640" width="30.6328125" style="1004" customWidth="1"/>
    <col min="5641" max="5641" width="29.54296875" style="1004" customWidth="1"/>
    <col min="5642" max="5642" width="33.54296875" style="1004" customWidth="1"/>
    <col min="5643" max="5643" width="26.54296875" style="1004" customWidth="1"/>
    <col min="5644" max="5644" width="31.54296875" style="1004" customWidth="1"/>
    <col min="5645" max="5645" width="34.36328125" style="1004" customWidth="1"/>
    <col min="5646" max="5646" width="45.08984375" style="1004" customWidth="1"/>
    <col min="5647" max="5888" width="9.08984375" style="1004"/>
    <col min="5889" max="5889" width="4.6328125" style="1004" customWidth="1"/>
    <col min="5890" max="5890" width="10.54296875" style="1004" customWidth="1"/>
    <col min="5891" max="5891" width="49.08984375" style="1004" customWidth="1"/>
    <col min="5892" max="5892" width="68.54296875" style="1004" customWidth="1"/>
    <col min="5893" max="5893" width="35.453125" style="1004" customWidth="1"/>
    <col min="5894" max="5894" width="21" style="1004" customWidth="1"/>
    <col min="5895" max="5895" width="28.453125" style="1004" customWidth="1"/>
    <col min="5896" max="5896" width="30.6328125" style="1004" customWidth="1"/>
    <col min="5897" max="5897" width="29.54296875" style="1004" customWidth="1"/>
    <col min="5898" max="5898" width="33.54296875" style="1004" customWidth="1"/>
    <col min="5899" max="5899" width="26.54296875" style="1004" customWidth="1"/>
    <col min="5900" max="5900" width="31.54296875" style="1004" customWidth="1"/>
    <col min="5901" max="5901" width="34.36328125" style="1004" customWidth="1"/>
    <col min="5902" max="5902" width="45.08984375" style="1004" customWidth="1"/>
    <col min="5903" max="6144" width="9.08984375" style="1004"/>
    <col min="6145" max="6145" width="4.6328125" style="1004" customWidth="1"/>
    <col min="6146" max="6146" width="10.54296875" style="1004" customWidth="1"/>
    <col min="6147" max="6147" width="49.08984375" style="1004" customWidth="1"/>
    <col min="6148" max="6148" width="68.54296875" style="1004" customWidth="1"/>
    <col min="6149" max="6149" width="35.453125" style="1004" customWidth="1"/>
    <col min="6150" max="6150" width="21" style="1004" customWidth="1"/>
    <col min="6151" max="6151" width="28.453125" style="1004" customWidth="1"/>
    <col min="6152" max="6152" width="30.6328125" style="1004" customWidth="1"/>
    <col min="6153" max="6153" width="29.54296875" style="1004" customWidth="1"/>
    <col min="6154" max="6154" width="33.54296875" style="1004" customWidth="1"/>
    <col min="6155" max="6155" width="26.54296875" style="1004" customWidth="1"/>
    <col min="6156" max="6156" width="31.54296875" style="1004" customWidth="1"/>
    <col min="6157" max="6157" width="34.36328125" style="1004" customWidth="1"/>
    <col min="6158" max="6158" width="45.08984375" style="1004" customWidth="1"/>
    <col min="6159" max="6400" width="9.08984375" style="1004"/>
    <col min="6401" max="6401" width="4.6328125" style="1004" customWidth="1"/>
    <col min="6402" max="6402" width="10.54296875" style="1004" customWidth="1"/>
    <col min="6403" max="6403" width="49.08984375" style="1004" customWidth="1"/>
    <col min="6404" max="6404" width="68.54296875" style="1004" customWidth="1"/>
    <col min="6405" max="6405" width="35.453125" style="1004" customWidth="1"/>
    <col min="6406" max="6406" width="21" style="1004" customWidth="1"/>
    <col min="6407" max="6407" width="28.453125" style="1004" customWidth="1"/>
    <col min="6408" max="6408" width="30.6328125" style="1004" customWidth="1"/>
    <col min="6409" max="6409" width="29.54296875" style="1004" customWidth="1"/>
    <col min="6410" max="6410" width="33.54296875" style="1004" customWidth="1"/>
    <col min="6411" max="6411" width="26.54296875" style="1004" customWidth="1"/>
    <col min="6412" max="6412" width="31.54296875" style="1004" customWidth="1"/>
    <col min="6413" max="6413" width="34.36328125" style="1004" customWidth="1"/>
    <col min="6414" max="6414" width="45.08984375" style="1004" customWidth="1"/>
    <col min="6415" max="6656" width="9.08984375" style="1004"/>
    <col min="6657" max="6657" width="4.6328125" style="1004" customWidth="1"/>
    <col min="6658" max="6658" width="10.54296875" style="1004" customWidth="1"/>
    <col min="6659" max="6659" width="49.08984375" style="1004" customWidth="1"/>
    <col min="6660" max="6660" width="68.54296875" style="1004" customWidth="1"/>
    <col min="6661" max="6661" width="35.453125" style="1004" customWidth="1"/>
    <col min="6662" max="6662" width="21" style="1004" customWidth="1"/>
    <col min="6663" max="6663" width="28.453125" style="1004" customWidth="1"/>
    <col min="6664" max="6664" width="30.6328125" style="1004" customWidth="1"/>
    <col min="6665" max="6665" width="29.54296875" style="1004" customWidth="1"/>
    <col min="6666" max="6666" width="33.54296875" style="1004" customWidth="1"/>
    <col min="6667" max="6667" width="26.54296875" style="1004" customWidth="1"/>
    <col min="6668" max="6668" width="31.54296875" style="1004" customWidth="1"/>
    <col min="6669" max="6669" width="34.36328125" style="1004" customWidth="1"/>
    <col min="6670" max="6670" width="45.08984375" style="1004" customWidth="1"/>
    <col min="6671" max="6912" width="9.08984375" style="1004"/>
    <col min="6913" max="6913" width="4.6328125" style="1004" customWidth="1"/>
    <col min="6914" max="6914" width="10.54296875" style="1004" customWidth="1"/>
    <col min="6915" max="6915" width="49.08984375" style="1004" customWidth="1"/>
    <col min="6916" max="6916" width="68.54296875" style="1004" customWidth="1"/>
    <col min="6917" max="6917" width="35.453125" style="1004" customWidth="1"/>
    <col min="6918" max="6918" width="21" style="1004" customWidth="1"/>
    <col min="6919" max="6919" width="28.453125" style="1004" customWidth="1"/>
    <col min="6920" max="6920" width="30.6328125" style="1004" customWidth="1"/>
    <col min="6921" max="6921" width="29.54296875" style="1004" customWidth="1"/>
    <col min="6922" max="6922" width="33.54296875" style="1004" customWidth="1"/>
    <col min="6923" max="6923" width="26.54296875" style="1004" customWidth="1"/>
    <col min="6924" max="6924" width="31.54296875" style="1004" customWidth="1"/>
    <col min="6925" max="6925" width="34.36328125" style="1004" customWidth="1"/>
    <col min="6926" max="6926" width="45.08984375" style="1004" customWidth="1"/>
    <col min="6927" max="7168" width="9.08984375" style="1004"/>
    <col min="7169" max="7169" width="4.6328125" style="1004" customWidth="1"/>
    <col min="7170" max="7170" width="10.54296875" style="1004" customWidth="1"/>
    <col min="7171" max="7171" width="49.08984375" style="1004" customWidth="1"/>
    <col min="7172" max="7172" width="68.54296875" style="1004" customWidth="1"/>
    <col min="7173" max="7173" width="35.453125" style="1004" customWidth="1"/>
    <col min="7174" max="7174" width="21" style="1004" customWidth="1"/>
    <col min="7175" max="7175" width="28.453125" style="1004" customWidth="1"/>
    <col min="7176" max="7176" width="30.6328125" style="1004" customWidth="1"/>
    <col min="7177" max="7177" width="29.54296875" style="1004" customWidth="1"/>
    <col min="7178" max="7178" width="33.54296875" style="1004" customWidth="1"/>
    <col min="7179" max="7179" width="26.54296875" style="1004" customWidth="1"/>
    <col min="7180" max="7180" width="31.54296875" style="1004" customWidth="1"/>
    <col min="7181" max="7181" width="34.36328125" style="1004" customWidth="1"/>
    <col min="7182" max="7182" width="45.08984375" style="1004" customWidth="1"/>
    <col min="7183" max="7424" width="9.08984375" style="1004"/>
    <col min="7425" max="7425" width="4.6328125" style="1004" customWidth="1"/>
    <col min="7426" max="7426" width="10.54296875" style="1004" customWidth="1"/>
    <col min="7427" max="7427" width="49.08984375" style="1004" customWidth="1"/>
    <col min="7428" max="7428" width="68.54296875" style="1004" customWidth="1"/>
    <col min="7429" max="7429" width="35.453125" style="1004" customWidth="1"/>
    <col min="7430" max="7430" width="21" style="1004" customWidth="1"/>
    <col min="7431" max="7431" width="28.453125" style="1004" customWidth="1"/>
    <col min="7432" max="7432" width="30.6328125" style="1004" customWidth="1"/>
    <col min="7433" max="7433" width="29.54296875" style="1004" customWidth="1"/>
    <col min="7434" max="7434" width="33.54296875" style="1004" customWidth="1"/>
    <col min="7435" max="7435" width="26.54296875" style="1004" customWidth="1"/>
    <col min="7436" max="7436" width="31.54296875" style="1004" customWidth="1"/>
    <col min="7437" max="7437" width="34.36328125" style="1004" customWidth="1"/>
    <col min="7438" max="7438" width="45.08984375" style="1004" customWidth="1"/>
    <col min="7439" max="7680" width="9.08984375" style="1004"/>
    <col min="7681" max="7681" width="4.6328125" style="1004" customWidth="1"/>
    <col min="7682" max="7682" width="10.54296875" style="1004" customWidth="1"/>
    <col min="7683" max="7683" width="49.08984375" style="1004" customWidth="1"/>
    <col min="7684" max="7684" width="68.54296875" style="1004" customWidth="1"/>
    <col min="7685" max="7685" width="35.453125" style="1004" customWidth="1"/>
    <col min="7686" max="7686" width="21" style="1004" customWidth="1"/>
    <col min="7687" max="7687" width="28.453125" style="1004" customWidth="1"/>
    <col min="7688" max="7688" width="30.6328125" style="1004" customWidth="1"/>
    <col min="7689" max="7689" width="29.54296875" style="1004" customWidth="1"/>
    <col min="7690" max="7690" width="33.54296875" style="1004" customWidth="1"/>
    <col min="7691" max="7691" width="26.54296875" style="1004" customWidth="1"/>
    <col min="7692" max="7692" width="31.54296875" style="1004" customWidth="1"/>
    <col min="7693" max="7693" width="34.36328125" style="1004" customWidth="1"/>
    <col min="7694" max="7694" width="45.08984375" style="1004" customWidth="1"/>
    <col min="7695" max="7936" width="9.08984375" style="1004"/>
    <col min="7937" max="7937" width="4.6328125" style="1004" customWidth="1"/>
    <col min="7938" max="7938" width="10.54296875" style="1004" customWidth="1"/>
    <col min="7939" max="7939" width="49.08984375" style="1004" customWidth="1"/>
    <col min="7940" max="7940" width="68.54296875" style="1004" customWidth="1"/>
    <col min="7941" max="7941" width="35.453125" style="1004" customWidth="1"/>
    <col min="7942" max="7942" width="21" style="1004" customWidth="1"/>
    <col min="7943" max="7943" width="28.453125" style="1004" customWidth="1"/>
    <col min="7944" max="7944" width="30.6328125" style="1004" customWidth="1"/>
    <col min="7945" max="7945" width="29.54296875" style="1004" customWidth="1"/>
    <col min="7946" max="7946" width="33.54296875" style="1004" customWidth="1"/>
    <col min="7947" max="7947" width="26.54296875" style="1004" customWidth="1"/>
    <col min="7948" max="7948" width="31.54296875" style="1004" customWidth="1"/>
    <col min="7949" max="7949" width="34.36328125" style="1004" customWidth="1"/>
    <col min="7950" max="7950" width="45.08984375" style="1004" customWidth="1"/>
    <col min="7951" max="8192" width="9.08984375" style="1004"/>
    <col min="8193" max="8193" width="4.6328125" style="1004" customWidth="1"/>
    <col min="8194" max="8194" width="10.54296875" style="1004" customWidth="1"/>
    <col min="8195" max="8195" width="49.08984375" style="1004" customWidth="1"/>
    <col min="8196" max="8196" width="68.54296875" style="1004" customWidth="1"/>
    <col min="8197" max="8197" width="35.453125" style="1004" customWidth="1"/>
    <col min="8198" max="8198" width="21" style="1004" customWidth="1"/>
    <col min="8199" max="8199" width="28.453125" style="1004" customWidth="1"/>
    <col min="8200" max="8200" width="30.6328125" style="1004" customWidth="1"/>
    <col min="8201" max="8201" width="29.54296875" style="1004" customWidth="1"/>
    <col min="8202" max="8202" width="33.54296875" style="1004" customWidth="1"/>
    <col min="8203" max="8203" width="26.54296875" style="1004" customWidth="1"/>
    <col min="8204" max="8204" width="31.54296875" style="1004" customWidth="1"/>
    <col min="8205" max="8205" width="34.36328125" style="1004" customWidth="1"/>
    <col min="8206" max="8206" width="45.08984375" style="1004" customWidth="1"/>
    <col min="8207" max="8448" width="9.08984375" style="1004"/>
    <col min="8449" max="8449" width="4.6328125" style="1004" customWidth="1"/>
    <col min="8450" max="8450" width="10.54296875" style="1004" customWidth="1"/>
    <col min="8451" max="8451" width="49.08984375" style="1004" customWidth="1"/>
    <col min="8452" max="8452" width="68.54296875" style="1004" customWidth="1"/>
    <col min="8453" max="8453" width="35.453125" style="1004" customWidth="1"/>
    <col min="8454" max="8454" width="21" style="1004" customWidth="1"/>
    <col min="8455" max="8455" width="28.453125" style="1004" customWidth="1"/>
    <col min="8456" max="8456" width="30.6328125" style="1004" customWidth="1"/>
    <col min="8457" max="8457" width="29.54296875" style="1004" customWidth="1"/>
    <col min="8458" max="8458" width="33.54296875" style="1004" customWidth="1"/>
    <col min="8459" max="8459" width="26.54296875" style="1004" customWidth="1"/>
    <col min="8460" max="8460" width="31.54296875" style="1004" customWidth="1"/>
    <col min="8461" max="8461" width="34.36328125" style="1004" customWidth="1"/>
    <col min="8462" max="8462" width="45.08984375" style="1004" customWidth="1"/>
    <col min="8463" max="8704" width="9.08984375" style="1004"/>
    <col min="8705" max="8705" width="4.6328125" style="1004" customWidth="1"/>
    <col min="8706" max="8706" width="10.54296875" style="1004" customWidth="1"/>
    <col min="8707" max="8707" width="49.08984375" style="1004" customWidth="1"/>
    <col min="8708" max="8708" width="68.54296875" style="1004" customWidth="1"/>
    <col min="8709" max="8709" width="35.453125" style="1004" customWidth="1"/>
    <col min="8710" max="8710" width="21" style="1004" customWidth="1"/>
    <col min="8711" max="8711" width="28.453125" style="1004" customWidth="1"/>
    <col min="8712" max="8712" width="30.6328125" style="1004" customWidth="1"/>
    <col min="8713" max="8713" width="29.54296875" style="1004" customWidth="1"/>
    <col min="8714" max="8714" width="33.54296875" style="1004" customWidth="1"/>
    <col min="8715" max="8715" width="26.54296875" style="1004" customWidth="1"/>
    <col min="8716" max="8716" width="31.54296875" style="1004" customWidth="1"/>
    <col min="8717" max="8717" width="34.36328125" style="1004" customWidth="1"/>
    <col min="8718" max="8718" width="45.08984375" style="1004" customWidth="1"/>
    <col min="8719" max="8960" width="9.08984375" style="1004"/>
    <col min="8961" max="8961" width="4.6328125" style="1004" customWidth="1"/>
    <col min="8962" max="8962" width="10.54296875" style="1004" customWidth="1"/>
    <col min="8963" max="8963" width="49.08984375" style="1004" customWidth="1"/>
    <col min="8964" max="8964" width="68.54296875" style="1004" customWidth="1"/>
    <col min="8965" max="8965" width="35.453125" style="1004" customWidth="1"/>
    <col min="8966" max="8966" width="21" style="1004" customWidth="1"/>
    <col min="8967" max="8967" width="28.453125" style="1004" customWidth="1"/>
    <col min="8968" max="8968" width="30.6328125" style="1004" customWidth="1"/>
    <col min="8969" max="8969" width="29.54296875" style="1004" customWidth="1"/>
    <col min="8970" max="8970" width="33.54296875" style="1004" customWidth="1"/>
    <col min="8971" max="8971" width="26.54296875" style="1004" customWidth="1"/>
    <col min="8972" max="8972" width="31.54296875" style="1004" customWidth="1"/>
    <col min="8973" max="8973" width="34.36328125" style="1004" customWidth="1"/>
    <col min="8974" max="8974" width="45.08984375" style="1004" customWidth="1"/>
    <col min="8975" max="9216" width="9.08984375" style="1004"/>
    <col min="9217" max="9217" width="4.6328125" style="1004" customWidth="1"/>
    <col min="9218" max="9218" width="10.54296875" style="1004" customWidth="1"/>
    <col min="9219" max="9219" width="49.08984375" style="1004" customWidth="1"/>
    <col min="9220" max="9220" width="68.54296875" style="1004" customWidth="1"/>
    <col min="9221" max="9221" width="35.453125" style="1004" customWidth="1"/>
    <col min="9222" max="9222" width="21" style="1004" customWidth="1"/>
    <col min="9223" max="9223" width="28.453125" style="1004" customWidth="1"/>
    <col min="9224" max="9224" width="30.6328125" style="1004" customWidth="1"/>
    <col min="9225" max="9225" width="29.54296875" style="1004" customWidth="1"/>
    <col min="9226" max="9226" width="33.54296875" style="1004" customWidth="1"/>
    <col min="9227" max="9227" width="26.54296875" style="1004" customWidth="1"/>
    <col min="9228" max="9228" width="31.54296875" style="1004" customWidth="1"/>
    <col min="9229" max="9229" width="34.36328125" style="1004" customWidth="1"/>
    <col min="9230" max="9230" width="45.08984375" style="1004" customWidth="1"/>
    <col min="9231" max="9472" width="9.08984375" style="1004"/>
    <col min="9473" max="9473" width="4.6328125" style="1004" customWidth="1"/>
    <col min="9474" max="9474" width="10.54296875" style="1004" customWidth="1"/>
    <col min="9475" max="9475" width="49.08984375" style="1004" customWidth="1"/>
    <col min="9476" max="9476" width="68.54296875" style="1004" customWidth="1"/>
    <col min="9477" max="9477" width="35.453125" style="1004" customWidth="1"/>
    <col min="9478" max="9478" width="21" style="1004" customWidth="1"/>
    <col min="9479" max="9479" width="28.453125" style="1004" customWidth="1"/>
    <col min="9480" max="9480" width="30.6328125" style="1004" customWidth="1"/>
    <col min="9481" max="9481" width="29.54296875" style="1004" customWidth="1"/>
    <col min="9482" max="9482" width="33.54296875" style="1004" customWidth="1"/>
    <col min="9483" max="9483" width="26.54296875" style="1004" customWidth="1"/>
    <col min="9484" max="9484" width="31.54296875" style="1004" customWidth="1"/>
    <col min="9485" max="9485" width="34.36328125" style="1004" customWidth="1"/>
    <col min="9486" max="9486" width="45.08984375" style="1004" customWidth="1"/>
    <col min="9487" max="9728" width="9.08984375" style="1004"/>
    <col min="9729" max="9729" width="4.6328125" style="1004" customWidth="1"/>
    <col min="9730" max="9730" width="10.54296875" style="1004" customWidth="1"/>
    <col min="9731" max="9731" width="49.08984375" style="1004" customWidth="1"/>
    <col min="9732" max="9732" width="68.54296875" style="1004" customWidth="1"/>
    <col min="9733" max="9733" width="35.453125" style="1004" customWidth="1"/>
    <col min="9734" max="9734" width="21" style="1004" customWidth="1"/>
    <col min="9735" max="9735" width="28.453125" style="1004" customWidth="1"/>
    <col min="9736" max="9736" width="30.6328125" style="1004" customWidth="1"/>
    <col min="9737" max="9737" width="29.54296875" style="1004" customWidth="1"/>
    <col min="9738" max="9738" width="33.54296875" style="1004" customWidth="1"/>
    <col min="9739" max="9739" width="26.54296875" style="1004" customWidth="1"/>
    <col min="9740" max="9740" width="31.54296875" style="1004" customWidth="1"/>
    <col min="9741" max="9741" width="34.36328125" style="1004" customWidth="1"/>
    <col min="9742" max="9742" width="45.08984375" style="1004" customWidth="1"/>
    <col min="9743" max="9984" width="9.08984375" style="1004"/>
    <col min="9985" max="9985" width="4.6328125" style="1004" customWidth="1"/>
    <col min="9986" max="9986" width="10.54296875" style="1004" customWidth="1"/>
    <col min="9987" max="9987" width="49.08984375" style="1004" customWidth="1"/>
    <col min="9988" max="9988" width="68.54296875" style="1004" customWidth="1"/>
    <col min="9989" max="9989" width="35.453125" style="1004" customWidth="1"/>
    <col min="9990" max="9990" width="21" style="1004" customWidth="1"/>
    <col min="9991" max="9991" width="28.453125" style="1004" customWidth="1"/>
    <col min="9992" max="9992" width="30.6328125" style="1004" customWidth="1"/>
    <col min="9993" max="9993" width="29.54296875" style="1004" customWidth="1"/>
    <col min="9994" max="9994" width="33.54296875" style="1004" customWidth="1"/>
    <col min="9995" max="9995" width="26.54296875" style="1004" customWidth="1"/>
    <col min="9996" max="9996" width="31.54296875" style="1004" customWidth="1"/>
    <col min="9997" max="9997" width="34.36328125" style="1004" customWidth="1"/>
    <col min="9998" max="9998" width="45.08984375" style="1004" customWidth="1"/>
    <col min="9999" max="10240" width="9.08984375" style="1004"/>
    <col min="10241" max="10241" width="4.6328125" style="1004" customWidth="1"/>
    <col min="10242" max="10242" width="10.54296875" style="1004" customWidth="1"/>
    <col min="10243" max="10243" width="49.08984375" style="1004" customWidth="1"/>
    <col min="10244" max="10244" width="68.54296875" style="1004" customWidth="1"/>
    <col min="10245" max="10245" width="35.453125" style="1004" customWidth="1"/>
    <col min="10246" max="10246" width="21" style="1004" customWidth="1"/>
    <col min="10247" max="10247" width="28.453125" style="1004" customWidth="1"/>
    <col min="10248" max="10248" width="30.6328125" style="1004" customWidth="1"/>
    <col min="10249" max="10249" width="29.54296875" style="1004" customWidth="1"/>
    <col min="10250" max="10250" width="33.54296875" style="1004" customWidth="1"/>
    <col min="10251" max="10251" width="26.54296875" style="1004" customWidth="1"/>
    <col min="10252" max="10252" width="31.54296875" style="1004" customWidth="1"/>
    <col min="10253" max="10253" width="34.36328125" style="1004" customWidth="1"/>
    <col min="10254" max="10254" width="45.08984375" style="1004" customWidth="1"/>
    <col min="10255" max="10496" width="9.08984375" style="1004"/>
    <col min="10497" max="10497" width="4.6328125" style="1004" customWidth="1"/>
    <col min="10498" max="10498" width="10.54296875" style="1004" customWidth="1"/>
    <col min="10499" max="10499" width="49.08984375" style="1004" customWidth="1"/>
    <col min="10500" max="10500" width="68.54296875" style="1004" customWidth="1"/>
    <col min="10501" max="10501" width="35.453125" style="1004" customWidth="1"/>
    <col min="10502" max="10502" width="21" style="1004" customWidth="1"/>
    <col min="10503" max="10503" width="28.453125" style="1004" customWidth="1"/>
    <col min="10504" max="10504" width="30.6328125" style="1004" customWidth="1"/>
    <col min="10505" max="10505" width="29.54296875" style="1004" customWidth="1"/>
    <col min="10506" max="10506" width="33.54296875" style="1004" customWidth="1"/>
    <col min="10507" max="10507" width="26.54296875" style="1004" customWidth="1"/>
    <col min="10508" max="10508" width="31.54296875" style="1004" customWidth="1"/>
    <col min="10509" max="10509" width="34.36328125" style="1004" customWidth="1"/>
    <col min="10510" max="10510" width="45.08984375" style="1004" customWidth="1"/>
    <col min="10511" max="10752" width="9.08984375" style="1004"/>
    <col min="10753" max="10753" width="4.6328125" style="1004" customWidth="1"/>
    <col min="10754" max="10754" width="10.54296875" style="1004" customWidth="1"/>
    <col min="10755" max="10755" width="49.08984375" style="1004" customWidth="1"/>
    <col min="10756" max="10756" width="68.54296875" style="1004" customWidth="1"/>
    <col min="10757" max="10757" width="35.453125" style="1004" customWidth="1"/>
    <col min="10758" max="10758" width="21" style="1004" customWidth="1"/>
    <col min="10759" max="10759" width="28.453125" style="1004" customWidth="1"/>
    <col min="10760" max="10760" width="30.6328125" style="1004" customWidth="1"/>
    <col min="10761" max="10761" width="29.54296875" style="1004" customWidth="1"/>
    <col min="10762" max="10762" width="33.54296875" style="1004" customWidth="1"/>
    <col min="10763" max="10763" width="26.54296875" style="1004" customWidth="1"/>
    <col min="10764" max="10764" width="31.54296875" style="1004" customWidth="1"/>
    <col min="10765" max="10765" width="34.36328125" style="1004" customWidth="1"/>
    <col min="10766" max="10766" width="45.08984375" style="1004" customWidth="1"/>
    <col min="10767" max="11008" width="9.08984375" style="1004"/>
    <col min="11009" max="11009" width="4.6328125" style="1004" customWidth="1"/>
    <col min="11010" max="11010" width="10.54296875" style="1004" customWidth="1"/>
    <col min="11011" max="11011" width="49.08984375" style="1004" customWidth="1"/>
    <col min="11012" max="11012" width="68.54296875" style="1004" customWidth="1"/>
    <col min="11013" max="11013" width="35.453125" style="1004" customWidth="1"/>
    <col min="11014" max="11014" width="21" style="1004" customWidth="1"/>
    <col min="11015" max="11015" width="28.453125" style="1004" customWidth="1"/>
    <col min="11016" max="11016" width="30.6328125" style="1004" customWidth="1"/>
    <col min="11017" max="11017" width="29.54296875" style="1004" customWidth="1"/>
    <col min="11018" max="11018" width="33.54296875" style="1004" customWidth="1"/>
    <col min="11019" max="11019" width="26.54296875" style="1004" customWidth="1"/>
    <col min="11020" max="11020" width="31.54296875" style="1004" customWidth="1"/>
    <col min="11021" max="11021" width="34.36328125" style="1004" customWidth="1"/>
    <col min="11022" max="11022" width="45.08984375" style="1004" customWidth="1"/>
    <col min="11023" max="11264" width="9.08984375" style="1004"/>
    <col min="11265" max="11265" width="4.6328125" style="1004" customWidth="1"/>
    <col min="11266" max="11266" width="10.54296875" style="1004" customWidth="1"/>
    <col min="11267" max="11267" width="49.08984375" style="1004" customWidth="1"/>
    <col min="11268" max="11268" width="68.54296875" style="1004" customWidth="1"/>
    <col min="11269" max="11269" width="35.453125" style="1004" customWidth="1"/>
    <col min="11270" max="11270" width="21" style="1004" customWidth="1"/>
    <col min="11271" max="11271" width="28.453125" style="1004" customWidth="1"/>
    <col min="11272" max="11272" width="30.6328125" style="1004" customWidth="1"/>
    <col min="11273" max="11273" width="29.54296875" style="1004" customWidth="1"/>
    <col min="11274" max="11274" width="33.54296875" style="1004" customWidth="1"/>
    <col min="11275" max="11275" width="26.54296875" style="1004" customWidth="1"/>
    <col min="11276" max="11276" width="31.54296875" style="1004" customWidth="1"/>
    <col min="11277" max="11277" width="34.36328125" style="1004" customWidth="1"/>
    <col min="11278" max="11278" width="45.08984375" style="1004" customWidth="1"/>
    <col min="11279" max="11520" width="9.08984375" style="1004"/>
    <col min="11521" max="11521" width="4.6328125" style="1004" customWidth="1"/>
    <col min="11522" max="11522" width="10.54296875" style="1004" customWidth="1"/>
    <col min="11523" max="11523" width="49.08984375" style="1004" customWidth="1"/>
    <col min="11524" max="11524" width="68.54296875" style="1004" customWidth="1"/>
    <col min="11525" max="11525" width="35.453125" style="1004" customWidth="1"/>
    <col min="11526" max="11526" width="21" style="1004" customWidth="1"/>
    <col min="11527" max="11527" width="28.453125" style="1004" customWidth="1"/>
    <col min="11528" max="11528" width="30.6328125" style="1004" customWidth="1"/>
    <col min="11529" max="11529" width="29.54296875" style="1004" customWidth="1"/>
    <col min="11530" max="11530" width="33.54296875" style="1004" customWidth="1"/>
    <col min="11531" max="11531" width="26.54296875" style="1004" customWidth="1"/>
    <col min="11532" max="11532" width="31.54296875" style="1004" customWidth="1"/>
    <col min="11533" max="11533" width="34.36328125" style="1004" customWidth="1"/>
    <col min="11534" max="11534" width="45.08984375" style="1004" customWidth="1"/>
    <col min="11535" max="11776" width="9.08984375" style="1004"/>
    <col min="11777" max="11777" width="4.6328125" style="1004" customWidth="1"/>
    <col min="11778" max="11778" width="10.54296875" style="1004" customWidth="1"/>
    <col min="11779" max="11779" width="49.08984375" style="1004" customWidth="1"/>
    <col min="11780" max="11780" width="68.54296875" style="1004" customWidth="1"/>
    <col min="11781" max="11781" width="35.453125" style="1004" customWidth="1"/>
    <col min="11782" max="11782" width="21" style="1004" customWidth="1"/>
    <col min="11783" max="11783" width="28.453125" style="1004" customWidth="1"/>
    <col min="11784" max="11784" width="30.6328125" style="1004" customWidth="1"/>
    <col min="11785" max="11785" width="29.54296875" style="1004" customWidth="1"/>
    <col min="11786" max="11786" width="33.54296875" style="1004" customWidth="1"/>
    <col min="11787" max="11787" width="26.54296875" style="1004" customWidth="1"/>
    <col min="11788" max="11788" width="31.54296875" style="1004" customWidth="1"/>
    <col min="11789" max="11789" width="34.36328125" style="1004" customWidth="1"/>
    <col min="11790" max="11790" width="45.08984375" style="1004" customWidth="1"/>
    <col min="11791" max="12032" width="9.08984375" style="1004"/>
    <col min="12033" max="12033" width="4.6328125" style="1004" customWidth="1"/>
    <col min="12034" max="12034" width="10.54296875" style="1004" customWidth="1"/>
    <col min="12035" max="12035" width="49.08984375" style="1004" customWidth="1"/>
    <col min="12036" max="12036" width="68.54296875" style="1004" customWidth="1"/>
    <col min="12037" max="12037" width="35.453125" style="1004" customWidth="1"/>
    <col min="12038" max="12038" width="21" style="1004" customWidth="1"/>
    <col min="12039" max="12039" width="28.453125" style="1004" customWidth="1"/>
    <col min="12040" max="12040" width="30.6328125" style="1004" customWidth="1"/>
    <col min="12041" max="12041" width="29.54296875" style="1004" customWidth="1"/>
    <col min="12042" max="12042" width="33.54296875" style="1004" customWidth="1"/>
    <col min="12043" max="12043" width="26.54296875" style="1004" customWidth="1"/>
    <col min="12044" max="12044" width="31.54296875" style="1004" customWidth="1"/>
    <col min="12045" max="12045" width="34.36328125" style="1004" customWidth="1"/>
    <col min="12046" max="12046" width="45.08984375" style="1004" customWidth="1"/>
    <col min="12047" max="12288" width="9.08984375" style="1004"/>
    <col min="12289" max="12289" width="4.6328125" style="1004" customWidth="1"/>
    <col min="12290" max="12290" width="10.54296875" style="1004" customWidth="1"/>
    <col min="12291" max="12291" width="49.08984375" style="1004" customWidth="1"/>
    <col min="12292" max="12292" width="68.54296875" style="1004" customWidth="1"/>
    <col min="12293" max="12293" width="35.453125" style="1004" customWidth="1"/>
    <col min="12294" max="12294" width="21" style="1004" customWidth="1"/>
    <col min="12295" max="12295" width="28.453125" style="1004" customWidth="1"/>
    <col min="12296" max="12296" width="30.6328125" style="1004" customWidth="1"/>
    <col min="12297" max="12297" width="29.54296875" style="1004" customWidth="1"/>
    <col min="12298" max="12298" width="33.54296875" style="1004" customWidth="1"/>
    <col min="12299" max="12299" width="26.54296875" style="1004" customWidth="1"/>
    <col min="12300" max="12300" width="31.54296875" style="1004" customWidth="1"/>
    <col min="12301" max="12301" width="34.36328125" style="1004" customWidth="1"/>
    <col min="12302" max="12302" width="45.08984375" style="1004" customWidth="1"/>
    <col min="12303" max="12544" width="9.08984375" style="1004"/>
    <col min="12545" max="12545" width="4.6328125" style="1004" customWidth="1"/>
    <col min="12546" max="12546" width="10.54296875" style="1004" customWidth="1"/>
    <col min="12547" max="12547" width="49.08984375" style="1004" customWidth="1"/>
    <col min="12548" max="12548" width="68.54296875" style="1004" customWidth="1"/>
    <col min="12549" max="12549" width="35.453125" style="1004" customWidth="1"/>
    <col min="12550" max="12550" width="21" style="1004" customWidth="1"/>
    <col min="12551" max="12551" width="28.453125" style="1004" customWidth="1"/>
    <col min="12552" max="12552" width="30.6328125" style="1004" customWidth="1"/>
    <col min="12553" max="12553" width="29.54296875" style="1004" customWidth="1"/>
    <col min="12554" max="12554" width="33.54296875" style="1004" customWidth="1"/>
    <col min="12555" max="12555" width="26.54296875" style="1004" customWidth="1"/>
    <col min="12556" max="12556" width="31.54296875" style="1004" customWidth="1"/>
    <col min="12557" max="12557" width="34.36328125" style="1004" customWidth="1"/>
    <col min="12558" max="12558" width="45.08984375" style="1004" customWidth="1"/>
    <col min="12559" max="12800" width="9.08984375" style="1004"/>
    <col min="12801" max="12801" width="4.6328125" style="1004" customWidth="1"/>
    <col min="12802" max="12802" width="10.54296875" style="1004" customWidth="1"/>
    <col min="12803" max="12803" width="49.08984375" style="1004" customWidth="1"/>
    <col min="12804" max="12804" width="68.54296875" style="1004" customWidth="1"/>
    <col min="12805" max="12805" width="35.453125" style="1004" customWidth="1"/>
    <col min="12806" max="12806" width="21" style="1004" customWidth="1"/>
    <col min="12807" max="12807" width="28.453125" style="1004" customWidth="1"/>
    <col min="12808" max="12808" width="30.6328125" style="1004" customWidth="1"/>
    <col min="12809" max="12809" width="29.54296875" style="1004" customWidth="1"/>
    <col min="12810" max="12810" width="33.54296875" style="1004" customWidth="1"/>
    <col min="12811" max="12811" width="26.54296875" style="1004" customWidth="1"/>
    <col min="12812" max="12812" width="31.54296875" style="1004" customWidth="1"/>
    <col min="12813" max="12813" width="34.36328125" style="1004" customWidth="1"/>
    <col min="12814" max="12814" width="45.08984375" style="1004" customWidth="1"/>
    <col min="12815" max="13056" width="9.08984375" style="1004"/>
    <col min="13057" max="13057" width="4.6328125" style="1004" customWidth="1"/>
    <col min="13058" max="13058" width="10.54296875" style="1004" customWidth="1"/>
    <col min="13059" max="13059" width="49.08984375" style="1004" customWidth="1"/>
    <col min="13060" max="13060" width="68.54296875" style="1004" customWidth="1"/>
    <col min="13061" max="13061" width="35.453125" style="1004" customWidth="1"/>
    <col min="13062" max="13062" width="21" style="1004" customWidth="1"/>
    <col min="13063" max="13063" width="28.453125" style="1004" customWidth="1"/>
    <col min="13064" max="13064" width="30.6328125" style="1004" customWidth="1"/>
    <col min="13065" max="13065" width="29.54296875" style="1004" customWidth="1"/>
    <col min="13066" max="13066" width="33.54296875" style="1004" customWidth="1"/>
    <col min="13067" max="13067" width="26.54296875" style="1004" customWidth="1"/>
    <col min="13068" max="13068" width="31.54296875" style="1004" customWidth="1"/>
    <col min="13069" max="13069" width="34.36328125" style="1004" customWidth="1"/>
    <col min="13070" max="13070" width="45.08984375" style="1004" customWidth="1"/>
    <col min="13071" max="13312" width="9.08984375" style="1004"/>
    <col min="13313" max="13313" width="4.6328125" style="1004" customWidth="1"/>
    <col min="13314" max="13314" width="10.54296875" style="1004" customWidth="1"/>
    <col min="13315" max="13315" width="49.08984375" style="1004" customWidth="1"/>
    <col min="13316" max="13316" width="68.54296875" style="1004" customWidth="1"/>
    <col min="13317" max="13317" width="35.453125" style="1004" customWidth="1"/>
    <col min="13318" max="13318" width="21" style="1004" customWidth="1"/>
    <col min="13319" max="13319" width="28.453125" style="1004" customWidth="1"/>
    <col min="13320" max="13320" width="30.6328125" style="1004" customWidth="1"/>
    <col min="13321" max="13321" width="29.54296875" style="1004" customWidth="1"/>
    <col min="13322" max="13322" width="33.54296875" style="1004" customWidth="1"/>
    <col min="13323" max="13323" width="26.54296875" style="1004" customWidth="1"/>
    <col min="13324" max="13324" width="31.54296875" style="1004" customWidth="1"/>
    <col min="13325" max="13325" width="34.36328125" style="1004" customWidth="1"/>
    <col min="13326" max="13326" width="45.08984375" style="1004" customWidth="1"/>
    <col min="13327" max="13568" width="9.08984375" style="1004"/>
    <col min="13569" max="13569" width="4.6328125" style="1004" customWidth="1"/>
    <col min="13570" max="13570" width="10.54296875" style="1004" customWidth="1"/>
    <col min="13571" max="13571" width="49.08984375" style="1004" customWidth="1"/>
    <col min="13572" max="13572" width="68.54296875" style="1004" customWidth="1"/>
    <col min="13573" max="13573" width="35.453125" style="1004" customWidth="1"/>
    <col min="13574" max="13574" width="21" style="1004" customWidth="1"/>
    <col min="13575" max="13575" width="28.453125" style="1004" customWidth="1"/>
    <col min="13576" max="13576" width="30.6328125" style="1004" customWidth="1"/>
    <col min="13577" max="13577" width="29.54296875" style="1004" customWidth="1"/>
    <col min="13578" max="13578" width="33.54296875" style="1004" customWidth="1"/>
    <col min="13579" max="13579" width="26.54296875" style="1004" customWidth="1"/>
    <col min="13580" max="13580" width="31.54296875" style="1004" customWidth="1"/>
    <col min="13581" max="13581" width="34.36328125" style="1004" customWidth="1"/>
    <col min="13582" max="13582" width="45.08984375" style="1004" customWidth="1"/>
    <col min="13583" max="13824" width="9.08984375" style="1004"/>
    <col min="13825" max="13825" width="4.6328125" style="1004" customWidth="1"/>
    <col min="13826" max="13826" width="10.54296875" style="1004" customWidth="1"/>
    <col min="13827" max="13827" width="49.08984375" style="1004" customWidth="1"/>
    <col min="13828" max="13828" width="68.54296875" style="1004" customWidth="1"/>
    <col min="13829" max="13829" width="35.453125" style="1004" customWidth="1"/>
    <col min="13830" max="13830" width="21" style="1004" customWidth="1"/>
    <col min="13831" max="13831" width="28.453125" style="1004" customWidth="1"/>
    <col min="13832" max="13832" width="30.6328125" style="1004" customWidth="1"/>
    <col min="13833" max="13833" width="29.54296875" style="1004" customWidth="1"/>
    <col min="13834" max="13834" width="33.54296875" style="1004" customWidth="1"/>
    <col min="13835" max="13835" width="26.54296875" style="1004" customWidth="1"/>
    <col min="13836" max="13836" width="31.54296875" style="1004" customWidth="1"/>
    <col min="13837" max="13837" width="34.36328125" style="1004" customWidth="1"/>
    <col min="13838" max="13838" width="45.08984375" style="1004" customWidth="1"/>
    <col min="13839" max="14080" width="9.08984375" style="1004"/>
    <col min="14081" max="14081" width="4.6328125" style="1004" customWidth="1"/>
    <col min="14082" max="14082" width="10.54296875" style="1004" customWidth="1"/>
    <col min="14083" max="14083" width="49.08984375" style="1004" customWidth="1"/>
    <col min="14084" max="14084" width="68.54296875" style="1004" customWidth="1"/>
    <col min="14085" max="14085" width="35.453125" style="1004" customWidth="1"/>
    <col min="14086" max="14086" width="21" style="1004" customWidth="1"/>
    <col min="14087" max="14087" width="28.453125" style="1004" customWidth="1"/>
    <col min="14088" max="14088" width="30.6328125" style="1004" customWidth="1"/>
    <col min="14089" max="14089" width="29.54296875" style="1004" customWidth="1"/>
    <col min="14090" max="14090" width="33.54296875" style="1004" customWidth="1"/>
    <col min="14091" max="14091" width="26.54296875" style="1004" customWidth="1"/>
    <col min="14092" max="14092" width="31.54296875" style="1004" customWidth="1"/>
    <col min="14093" max="14093" width="34.36328125" style="1004" customWidth="1"/>
    <col min="14094" max="14094" width="45.08984375" style="1004" customWidth="1"/>
    <col min="14095" max="14336" width="9.08984375" style="1004"/>
    <col min="14337" max="14337" width="4.6328125" style="1004" customWidth="1"/>
    <col min="14338" max="14338" width="10.54296875" style="1004" customWidth="1"/>
    <col min="14339" max="14339" width="49.08984375" style="1004" customWidth="1"/>
    <col min="14340" max="14340" width="68.54296875" style="1004" customWidth="1"/>
    <col min="14341" max="14341" width="35.453125" style="1004" customWidth="1"/>
    <col min="14342" max="14342" width="21" style="1004" customWidth="1"/>
    <col min="14343" max="14343" width="28.453125" style="1004" customWidth="1"/>
    <col min="14344" max="14344" width="30.6328125" style="1004" customWidth="1"/>
    <col min="14345" max="14345" width="29.54296875" style="1004" customWidth="1"/>
    <col min="14346" max="14346" width="33.54296875" style="1004" customWidth="1"/>
    <col min="14347" max="14347" width="26.54296875" style="1004" customWidth="1"/>
    <col min="14348" max="14348" width="31.54296875" style="1004" customWidth="1"/>
    <col min="14349" max="14349" width="34.36328125" style="1004" customWidth="1"/>
    <col min="14350" max="14350" width="45.08984375" style="1004" customWidth="1"/>
    <col min="14351" max="14592" width="9.08984375" style="1004"/>
    <col min="14593" max="14593" width="4.6328125" style="1004" customWidth="1"/>
    <col min="14594" max="14594" width="10.54296875" style="1004" customWidth="1"/>
    <col min="14595" max="14595" width="49.08984375" style="1004" customWidth="1"/>
    <col min="14596" max="14596" width="68.54296875" style="1004" customWidth="1"/>
    <col min="14597" max="14597" width="35.453125" style="1004" customWidth="1"/>
    <col min="14598" max="14598" width="21" style="1004" customWidth="1"/>
    <col min="14599" max="14599" width="28.453125" style="1004" customWidth="1"/>
    <col min="14600" max="14600" width="30.6328125" style="1004" customWidth="1"/>
    <col min="14601" max="14601" width="29.54296875" style="1004" customWidth="1"/>
    <col min="14602" max="14602" width="33.54296875" style="1004" customWidth="1"/>
    <col min="14603" max="14603" width="26.54296875" style="1004" customWidth="1"/>
    <col min="14604" max="14604" width="31.54296875" style="1004" customWidth="1"/>
    <col min="14605" max="14605" width="34.36328125" style="1004" customWidth="1"/>
    <col min="14606" max="14606" width="45.08984375" style="1004" customWidth="1"/>
    <col min="14607" max="14848" width="9.08984375" style="1004"/>
    <col min="14849" max="14849" width="4.6328125" style="1004" customWidth="1"/>
    <col min="14850" max="14850" width="10.54296875" style="1004" customWidth="1"/>
    <col min="14851" max="14851" width="49.08984375" style="1004" customWidth="1"/>
    <col min="14852" max="14852" width="68.54296875" style="1004" customWidth="1"/>
    <col min="14853" max="14853" width="35.453125" style="1004" customWidth="1"/>
    <col min="14854" max="14854" width="21" style="1004" customWidth="1"/>
    <col min="14855" max="14855" width="28.453125" style="1004" customWidth="1"/>
    <col min="14856" max="14856" width="30.6328125" style="1004" customWidth="1"/>
    <col min="14857" max="14857" width="29.54296875" style="1004" customWidth="1"/>
    <col min="14858" max="14858" width="33.54296875" style="1004" customWidth="1"/>
    <col min="14859" max="14859" width="26.54296875" style="1004" customWidth="1"/>
    <col min="14860" max="14860" width="31.54296875" style="1004" customWidth="1"/>
    <col min="14861" max="14861" width="34.36328125" style="1004" customWidth="1"/>
    <col min="14862" max="14862" width="45.08984375" style="1004" customWidth="1"/>
    <col min="14863" max="15104" width="9.08984375" style="1004"/>
    <col min="15105" max="15105" width="4.6328125" style="1004" customWidth="1"/>
    <col min="15106" max="15106" width="10.54296875" style="1004" customWidth="1"/>
    <col min="15107" max="15107" width="49.08984375" style="1004" customWidth="1"/>
    <col min="15108" max="15108" width="68.54296875" style="1004" customWidth="1"/>
    <col min="15109" max="15109" width="35.453125" style="1004" customWidth="1"/>
    <col min="15110" max="15110" width="21" style="1004" customWidth="1"/>
    <col min="15111" max="15111" width="28.453125" style="1004" customWidth="1"/>
    <col min="15112" max="15112" width="30.6328125" style="1004" customWidth="1"/>
    <col min="15113" max="15113" width="29.54296875" style="1004" customWidth="1"/>
    <col min="15114" max="15114" width="33.54296875" style="1004" customWidth="1"/>
    <col min="15115" max="15115" width="26.54296875" style="1004" customWidth="1"/>
    <col min="15116" max="15116" width="31.54296875" style="1004" customWidth="1"/>
    <col min="15117" max="15117" width="34.36328125" style="1004" customWidth="1"/>
    <col min="15118" max="15118" width="45.08984375" style="1004" customWidth="1"/>
    <col min="15119" max="15360" width="9.08984375" style="1004"/>
    <col min="15361" max="15361" width="4.6328125" style="1004" customWidth="1"/>
    <col min="15362" max="15362" width="10.54296875" style="1004" customWidth="1"/>
    <col min="15363" max="15363" width="49.08984375" style="1004" customWidth="1"/>
    <col min="15364" max="15364" width="68.54296875" style="1004" customWidth="1"/>
    <col min="15365" max="15365" width="35.453125" style="1004" customWidth="1"/>
    <col min="15366" max="15366" width="21" style="1004" customWidth="1"/>
    <col min="15367" max="15367" width="28.453125" style="1004" customWidth="1"/>
    <col min="15368" max="15368" width="30.6328125" style="1004" customWidth="1"/>
    <col min="15369" max="15369" width="29.54296875" style="1004" customWidth="1"/>
    <col min="15370" max="15370" width="33.54296875" style="1004" customWidth="1"/>
    <col min="15371" max="15371" width="26.54296875" style="1004" customWidth="1"/>
    <col min="15372" max="15372" width="31.54296875" style="1004" customWidth="1"/>
    <col min="15373" max="15373" width="34.36328125" style="1004" customWidth="1"/>
    <col min="15374" max="15374" width="45.08984375" style="1004" customWidth="1"/>
    <col min="15375" max="15616" width="9.08984375" style="1004"/>
    <col min="15617" max="15617" width="4.6328125" style="1004" customWidth="1"/>
    <col min="15618" max="15618" width="10.54296875" style="1004" customWidth="1"/>
    <col min="15619" max="15619" width="49.08984375" style="1004" customWidth="1"/>
    <col min="15620" max="15620" width="68.54296875" style="1004" customWidth="1"/>
    <col min="15621" max="15621" width="35.453125" style="1004" customWidth="1"/>
    <col min="15622" max="15622" width="21" style="1004" customWidth="1"/>
    <col min="15623" max="15623" width="28.453125" style="1004" customWidth="1"/>
    <col min="15624" max="15624" width="30.6328125" style="1004" customWidth="1"/>
    <col min="15625" max="15625" width="29.54296875" style="1004" customWidth="1"/>
    <col min="15626" max="15626" width="33.54296875" style="1004" customWidth="1"/>
    <col min="15627" max="15627" width="26.54296875" style="1004" customWidth="1"/>
    <col min="15628" max="15628" width="31.54296875" style="1004" customWidth="1"/>
    <col min="15629" max="15629" width="34.36328125" style="1004" customWidth="1"/>
    <col min="15630" max="15630" width="45.08984375" style="1004" customWidth="1"/>
    <col min="15631" max="15872" width="9.08984375" style="1004"/>
    <col min="15873" max="15873" width="4.6328125" style="1004" customWidth="1"/>
    <col min="15874" max="15874" width="10.54296875" style="1004" customWidth="1"/>
    <col min="15875" max="15875" width="49.08984375" style="1004" customWidth="1"/>
    <col min="15876" max="15876" width="68.54296875" style="1004" customWidth="1"/>
    <col min="15877" max="15877" width="35.453125" style="1004" customWidth="1"/>
    <col min="15878" max="15878" width="21" style="1004" customWidth="1"/>
    <col min="15879" max="15879" width="28.453125" style="1004" customWidth="1"/>
    <col min="15880" max="15880" width="30.6328125" style="1004" customWidth="1"/>
    <col min="15881" max="15881" width="29.54296875" style="1004" customWidth="1"/>
    <col min="15882" max="15882" width="33.54296875" style="1004" customWidth="1"/>
    <col min="15883" max="15883" width="26.54296875" style="1004" customWidth="1"/>
    <col min="15884" max="15884" width="31.54296875" style="1004" customWidth="1"/>
    <col min="15885" max="15885" width="34.36328125" style="1004" customWidth="1"/>
    <col min="15886" max="15886" width="45.08984375" style="1004" customWidth="1"/>
    <col min="15887" max="16128" width="9.08984375" style="1004"/>
    <col min="16129" max="16129" width="4.6328125" style="1004" customWidth="1"/>
    <col min="16130" max="16130" width="10.54296875" style="1004" customWidth="1"/>
    <col min="16131" max="16131" width="49.08984375" style="1004" customWidth="1"/>
    <col min="16132" max="16132" width="68.54296875" style="1004" customWidth="1"/>
    <col min="16133" max="16133" width="35.453125" style="1004" customWidth="1"/>
    <col min="16134" max="16134" width="21" style="1004" customWidth="1"/>
    <col min="16135" max="16135" width="28.453125" style="1004" customWidth="1"/>
    <col min="16136" max="16136" width="30.6328125" style="1004" customWidth="1"/>
    <col min="16137" max="16137" width="29.54296875" style="1004" customWidth="1"/>
    <col min="16138" max="16138" width="33.54296875" style="1004" customWidth="1"/>
    <col min="16139" max="16139" width="26.54296875" style="1004" customWidth="1"/>
    <col min="16140" max="16140" width="31.54296875" style="1004" customWidth="1"/>
    <col min="16141" max="16141" width="34.36328125" style="1004" customWidth="1"/>
    <col min="16142" max="16142" width="45.08984375" style="1004" customWidth="1"/>
    <col min="16143" max="16384" width="9.08984375" style="1004"/>
  </cols>
  <sheetData>
    <row r="1" spans="2:14">
      <c r="C1" s="1005"/>
      <c r="D1" s="1005"/>
    </row>
    <row r="2" spans="2:14" ht="31.5" customHeight="1">
      <c r="C2" s="974"/>
      <c r="D2" s="974"/>
      <c r="E2" s="974"/>
      <c r="F2" s="974"/>
      <c r="G2" s="974"/>
      <c r="H2" s="974"/>
      <c r="I2" s="974"/>
      <c r="J2" s="974"/>
      <c r="K2" s="974"/>
      <c r="L2" s="974"/>
      <c r="M2" s="974"/>
      <c r="N2" s="974"/>
    </row>
    <row r="3" spans="2:14" s="932" customFormat="1">
      <c r="B3" s="22"/>
      <c r="C3" s="973"/>
      <c r="D3" s="22"/>
      <c r="E3" s="22"/>
      <c r="F3" s="22"/>
      <c r="G3" s="22"/>
      <c r="H3" s="891" t="str">
        <f>Index!B2</f>
        <v xml:space="preserve">      Maharashtra State Power Generation Company Ltd.</v>
      </c>
    </row>
    <row r="4" spans="2:14" s="932" customFormat="1">
      <c r="B4" s="974"/>
      <c r="C4" s="973"/>
      <c r="D4" s="959"/>
      <c r="E4" s="959"/>
      <c r="F4" s="959"/>
      <c r="G4" s="959"/>
      <c r="H4" s="930" t="s">
        <v>1049</v>
      </c>
    </row>
    <row r="5" spans="2:14" s="932" customFormat="1">
      <c r="B5" s="974"/>
      <c r="C5" s="973"/>
      <c r="D5" s="959"/>
      <c r="E5" s="959"/>
      <c r="F5" s="959"/>
      <c r="G5" s="959"/>
      <c r="H5" s="1007" t="s">
        <v>1285</v>
      </c>
    </row>
    <row r="6" spans="2:14" s="932" customFormat="1">
      <c r="B6" s="974"/>
      <c r="C6" s="973"/>
      <c r="D6" s="959"/>
      <c r="E6" s="959"/>
      <c r="F6" s="959"/>
      <c r="G6" s="959"/>
      <c r="H6" s="1007"/>
    </row>
    <row r="7" spans="2:14" ht="81" customHeight="1">
      <c r="B7" s="1008" t="s">
        <v>340</v>
      </c>
      <c r="C7" s="1008" t="s">
        <v>1286</v>
      </c>
      <c r="D7" s="1008" t="s">
        <v>1287</v>
      </c>
      <c r="E7" s="1008" t="s">
        <v>1288</v>
      </c>
      <c r="F7" s="1008" t="s">
        <v>1289</v>
      </c>
      <c r="G7" s="1008" t="s">
        <v>1290</v>
      </c>
      <c r="H7" s="1008" t="s">
        <v>1291</v>
      </c>
      <c r="I7" s="1008" t="s">
        <v>1292</v>
      </c>
      <c r="J7" s="1008" t="s">
        <v>1293</v>
      </c>
      <c r="K7" s="1008" t="s">
        <v>1294</v>
      </c>
      <c r="L7" s="1008" t="s">
        <v>1295</v>
      </c>
      <c r="M7" s="1009" t="s">
        <v>1296</v>
      </c>
      <c r="N7" s="1008" t="s">
        <v>1297</v>
      </c>
    </row>
    <row r="8" spans="2:14">
      <c r="B8" s="1010"/>
      <c r="C8" s="994"/>
      <c r="D8" s="994"/>
      <c r="E8" s="994"/>
      <c r="F8" s="994"/>
      <c r="G8" s="994"/>
      <c r="H8" s="994"/>
      <c r="I8" s="994"/>
      <c r="J8" s="994"/>
      <c r="K8" s="994"/>
      <c r="L8" s="994"/>
      <c r="M8" s="994"/>
      <c r="N8" s="994"/>
    </row>
    <row r="9" spans="2:14" s="1011" customFormat="1">
      <c r="B9" s="1010"/>
      <c r="C9" s="994"/>
      <c r="D9" s="994"/>
      <c r="E9" s="994"/>
      <c r="F9" s="994"/>
      <c r="G9" s="994"/>
      <c r="H9" s="994"/>
      <c r="I9" s="994"/>
      <c r="J9" s="994"/>
      <c r="K9" s="994"/>
      <c r="L9" s="994"/>
      <c r="M9" s="994"/>
      <c r="N9" s="994"/>
    </row>
    <row r="10" spans="2:14">
      <c r="B10" s="1010"/>
      <c r="C10" s="994"/>
      <c r="D10" s="994"/>
      <c r="E10" s="994"/>
      <c r="F10" s="994"/>
      <c r="G10" s="994"/>
      <c r="H10" s="994"/>
      <c r="I10" s="994"/>
      <c r="J10" s="994"/>
      <c r="K10" s="994"/>
      <c r="L10" s="994"/>
      <c r="M10" s="994"/>
      <c r="N10" s="994"/>
    </row>
    <row r="11" spans="2:14">
      <c r="B11" s="1010"/>
      <c r="C11" s="994"/>
      <c r="D11" s="994"/>
      <c r="E11" s="994"/>
      <c r="F11" s="994"/>
      <c r="G11" s="994"/>
      <c r="H11" s="994"/>
      <c r="I11" s="994"/>
      <c r="J11" s="994"/>
      <c r="K11" s="994"/>
      <c r="L11" s="994"/>
      <c r="M11" s="994"/>
      <c r="N11" s="994"/>
    </row>
    <row r="12" spans="2:14">
      <c r="B12" s="1010"/>
      <c r="C12" s="994"/>
      <c r="D12" s="994"/>
      <c r="E12" s="994"/>
      <c r="F12" s="994"/>
      <c r="G12" s="994"/>
      <c r="H12" s="994"/>
      <c r="I12" s="994"/>
      <c r="J12" s="994"/>
      <c r="K12" s="994"/>
      <c r="L12" s="994"/>
      <c r="M12" s="994"/>
      <c r="N12" s="994"/>
    </row>
    <row r="13" spans="2:14" ht="14.5" thickBot="1">
      <c r="B13" s="1012"/>
      <c r="C13" s="994"/>
      <c r="D13" s="994"/>
      <c r="E13" s="994"/>
      <c r="F13" s="994"/>
      <c r="G13" s="994"/>
      <c r="H13" s="994"/>
      <c r="I13" s="994"/>
      <c r="J13" s="994"/>
      <c r="K13" s="994"/>
      <c r="L13" s="994"/>
      <c r="M13" s="994"/>
      <c r="N13" s="994"/>
    </row>
    <row r="14" spans="2:14">
      <c r="M14" s="1004"/>
    </row>
    <row r="15" spans="2:14">
      <c r="M15" s="1004"/>
    </row>
    <row r="16" spans="2:14">
      <c r="M16" s="1004"/>
    </row>
    <row r="17" spans="3:13">
      <c r="M17" s="1004"/>
    </row>
    <row r="18" spans="3:13">
      <c r="M18" s="1004"/>
    </row>
    <row r="19" spans="3:13">
      <c r="M19" s="1004"/>
    </row>
    <row r="20" spans="3:13">
      <c r="M20" s="1004"/>
    </row>
    <row r="21" spans="3:13">
      <c r="M21" s="1004"/>
    </row>
    <row r="22" spans="3:13">
      <c r="M22" s="1004"/>
    </row>
    <row r="23" spans="3:13" ht="27.75" customHeight="1">
      <c r="M23" s="1004"/>
    </row>
    <row r="24" spans="3:13" ht="27.75" customHeight="1">
      <c r="M24" s="1004"/>
    </row>
    <row r="25" spans="3:13">
      <c r="M25" s="1004"/>
    </row>
    <row r="26" spans="3:13">
      <c r="M26" s="1004"/>
    </row>
    <row r="27" spans="3:13">
      <c r="M27" s="1004"/>
    </row>
    <row r="28" spans="3:13">
      <c r="M28" s="1004"/>
    </row>
    <row r="29" spans="3:13" ht="29.4" customHeight="1">
      <c r="C29" s="1013"/>
      <c r="M29" s="1004"/>
    </row>
    <row r="30" spans="3:13">
      <c r="M30" s="1004"/>
    </row>
    <row r="31" spans="3:13">
      <c r="M31" s="1004"/>
    </row>
    <row r="32" spans="3:13">
      <c r="M32" s="1004"/>
    </row>
    <row r="33" spans="13:14">
      <c r="M33" s="1004"/>
    </row>
    <row r="34" spans="13:14">
      <c r="M34" s="1004"/>
    </row>
    <row r="35" spans="13:14">
      <c r="M35" s="1004"/>
    </row>
    <row r="36" spans="13:14">
      <c r="M36" s="1004"/>
    </row>
    <row r="37" spans="13:14">
      <c r="M37" s="1004"/>
    </row>
    <row r="38" spans="13:14">
      <c r="M38" s="1004"/>
    </row>
    <row r="39" spans="13:14">
      <c r="M39" s="1004"/>
    </row>
    <row r="40" spans="13:14">
      <c r="M40" s="1004"/>
    </row>
    <row r="41" spans="13:14">
      <c r="M41" s="1004"/>
    </row>
    <row r="42" spans="13:14">
      <c r="M42" s="1004"/>
    </row>
    <row r="43" spans="13:14">
      <c r="M43" s="1004"/>
    </row>
    <row r="44" spans="13:14">
      <c r="M44" s="1004"/>
    </row>
    <row r="45" spans="13:14">
      <c r="M45" s="1004"/>
      <c r="N45" s="1014"/>
    </row>
    <row r="46" spans="13:14">
      <c r="M46" s="1004"/>
    </row>
    <row r="47" spans="13:14">
      <c r="M47" s="1004"/>
    </row>
    <row r="48" spans="13:14">
      <c r="M48" s="1004"/>
    </row>
    <row r="49" spans="4:14">
      <c r="M49" s="1004"/>
    </row>
    <row r="50" spans="4:14">
      <c r="M50" s="1004"/>
    </row>
    <row r="51" spans="4:14">
      <c r="M51" s="1004"/>
    </row>
    <row r="52" spans="4:14">
      <c r="M52" s="1004"/>
    </row>
    <row r="53" spans="4:14">
      <c r="M53" s="1004"/>
    </row>
    <row r="54" spans="4:14">
      <c r="M54" s="1004"/>
    </row>
    <row r="55" spans="4:14">
      <c r="M55" s="1004"/>
    </row>
    <row r="56" spans="4:14">
      <c r="M56" s="1004"/>
    </row>
    <row r="57" spans="4:14">
      <c r="M57" s="1004"/>
    </row>
    <row r="58" spans="4:14">
      <c r="M58" s="1004"/>
    </row>
    <row r="59" spans="4:14">
      <c r="M59" s="1004"/>
      <c r="N59" s="1014"/>
    </row>
    <row r="60" spans="4:14">
      <c r="M60" s="1004"/>
    </row>
    <row r="61" spans="4:14">
      <c r="M61" s="1004"/>
    </row>
    <row r="62" spans="4:14">
      <c r="M62" s="1015"/>
    </row>
    <row r="63" spans="4:14">
      <c r="M63" s="1016"/>
    </row>
    <row r="64" spans="4:14">
      <c r="D64" s="1017"/>
    </row>
    <row r="65" spans="13:13">
      <c r="M65" s="1016"/>
    </row>
    <row r="70" spans="13:13">
      <c r="M70" s="1015"/>
    </row>
    <row r="73" spans="13:13">
      <c r="M73" s="1015"/>
    </row>
    <row r="75" spans="13:13">
      <c r="M75" s="1018"/>
    </row>
    <row r="76" spans="13:13">
      <c r="M76" s="1019"/>
    </row>
  </sheetData>
  <printOptions horizontalCentered="1"/>
  <pageMargins left="0.55118110236220474" right="0.51181102362204722" top="1.1811023622047245" bottom="0.98425196850393704" header="0.39370078740157483" footer="0.31496062992125984"/>
  <pageSetup paperSize="9" scale="63"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R20"/>
  <sheetViews>
    <sheetView view="pageBreakPreview" zoomScale="70" zoomScaleNormal="75" zoomScaleSheetLayoutView="70" workbookViewId="0">
      <selection activeCell="I25" sqref="I25"/>
    </sheetView>
  </sheetViews>
  <sheetFormatPr defaultColWidth="9.36328125" defaultRowHeight="14"/>
  <cols>
    <col min="1" max="1" width="8.36328125" style="171" customWidth="1"/>
    <col min="2" max="2" width="33.81640625" style="171" customWidth="1"/>
    <col min="3" max="3" width="11.08984375" style="171" customWidth="1"/>
    <col min="4" max="4" width="14.453125" style="171" customWidth="1"/>
    <col min="5" max="5" width="10.08984375" style="171" customWidth="1"/>
    <col min="6" max="6" width="11.08984375" style="171" customWidth="1"/>
    <col min="7" max="7" width="14.1796875" style="171" customWidth="1"/>
    <col min="8" max="8" width="7.90625" style="171" customWidth="1"/>
    <col min="9" max="9" width="11.08984375" style="171" customWidth="1"/>
    <col min="10" max="10" width="14.1796875" style="171" customWidth="1"/>
    <col min="11" max="11" width="15.81640625" style="171" customWidth="1"/>
    <col min="12" max="12" width="12.453125" style="171" customWidth="1"/>
    <col min="13" max="14" width="12.90625" style="171" customWidth="1"/>
    <col min="15" max="15" width="13.1796875" style="171" customWidth="1"/>
    <col min="16" max="16" width="13.81640625" style="171" customWidth="1"/>
    <col min="17" max="17" width="12.54296875" style="171" customWidth="1"/>
    <col min="18" max="16384" width="9.36328125" style="171"/>
  </cols>
  <sheetData>
    <row r="1" spans="1:18">
      <c r="A1" s="168"/>
      <c r="B1" s="169"/>
      <c r="C1" s="170"/>
      <c r="D1" s="170"/>
      <c r="E1" s="170"/>
      <c r="F1" s="170"/>
    </row>
    <row r="2" spans="1:18">
      <c r="A2" s="1800" t="str">
        <f>Index!B2</f>
        <v xml:space="preserve">      Maharashtra State Power Generation Company Ltd.</v>
      </c>
      <c r="B2" s="1800"/>
      <c r="C2" s="1800"/>
      <c r="D2" s="1800"/>
      <c r="E2" s="1800"/>
      <c r="F2" s="1800"/>
      <c r="G2" s="1800"/>
      <c r="H2" s="1800"/>
      <c r="I2" s="638"/>
      <c r="J2" s="1800" t="str">
        <f>Index!B2</f>
        <v xml:space="preserve">      Maharashtra State Power Generation Company Ltd.</v>
      </c>
      <c r="K2" s="1800"/>
      <c r="L2" s="1800"/>
      <c r="M2" s="1800"/>
      <c r="N2" s="1800"/>
      <c r="O2" s="1800"/>
      <c r="P2" s="1800"/>
      <c r="Q2" s="1800"/>
      <c r="R2" s="543"/>
    </row>
    <row r="3" spans="1:18">
      <c r="A3" s="1800" t="str">
        <f>Index!B3</f>
        <v>MYT Petition Formats for Parli 8</v>
      </c>
      <c r="B3" s="1800"/>
      <c r="C3" s="1800"/>
      <c r="D3" s="1800"/>
      <c r="E3" s="1800"/>
      <c r="F3" s="1800"/>
      <c r="G3" s="1800"/>
      <c r="H3" s="1800"/>
      <c r="I3" s="638"/>
      <c r="J3" s="1800" t="str">
        <f>Index!B3</f>
        <v>MYT Petition Formats for Parli 8</v>
      </c>
      <c r="K3" s="1800"/>
      <c r="L3" s="1800"/>
      <c r="M3" s="1800"/>
      <c r="N3" s="1800"/>
      <c r="O3" s="1800"/>
      <c r="P3" s="1800"/>
      <c r="Q3" s="1800"/>
      <c r="R3" s="543"/>
    </row>
    <row r="4" spans="1:18">
      <c r="A4" s="1801" t="s">
        <v>369</v>
      </c>
      <c r="B4" s="1801"/>
      <c r="C4" s="1801"/>
      <c r="D4" s="1801"/>
      <c r="E4" s="1801"/>
      <c r="F4" s="1801"/>
      <c r="G4" s="1801"/>
      <c r="H4" s="1801"/>
      <c r="I4" s="639"/>
      <c r="J4" s="1801" t="s">
        <v>369</v>
      </c>
      <c r="K4" s="1801"/>
      <c r="L4" s="1801"/>
      <c r="M4" s="1801"/>
      <c r="N4" s="1801"/>
      <c r="O4" s="1801"/>
      <c r="P4" s="1801"/>
      <c r="Q4" s="1801"/>
      <c r="R4" s="544"/>
    </row>
    <row r="5" spans="1:18" s="229" customFormat="1" ht="36" customHeight="1">
      <c r="A5" s="172"/>
      <c r="B5" s="170"/>
      <c r="C5" s="170"/>
      <c r="D5" s="170"/>
      <c r="E5" s="170"/>
      <c r="F5" s="170"/>
      <c r="H5" s="300"/>
      <c r="I5" s="171"/>
      <c r="J5" s="171"/>
      <c r="K5" s="171"/>
      <c r="L5" s="171"/>
      <c r="M5" s="171"/>
      <c r="N5" s="171"/>
      <c r="O5" s="171"/>
      <c r="P5" s="171"/>
      <c r="Q5" s="171"/>
    </row>
    <row r="6" spans="1:18" s="229" customFormat="1" ht="15.65" customHeight="1">
      <c r="A6" s="1791" t="s">
        <v>340</v>
      </c>
      <c r="B6" s="1787" t="s">
        <v>36</v>
      </c>
      <c r="C6" s="1793" t="s">
        <v>508</v>
      </c>
      <c r="D6" s="1794"/>
      <c r="E6" s="1795"/>
      <c r="F6" s="1793" t="s">
        <v>509</v>
      </c>
      <c r="G6" s="1794"/>
      <c r="H6" s="1795"/>
      <c r="I6" s="1793" t="s">
        <v>510</v>
      </c>
      <c r="J6" s="1794"/>
      <c r="K6" s="1795"/>
      <c r="L6" s="1775" t="s">
        <v>957</v>
      </c>
      <c r="M6" s="1775"/>
      <c r="N6" s="1775"/>
      <c r="O6" s="1775"/>
      <c r="P6" s="1775"/>
      <c r="Q6" s="1785" t="s">
        <v>26</v>
      </c>
    </row>
    <row r="7" spans="1:18" s="229" customFormat="1" ht="28">
      <c r="A7" s="1792"/>
      <c r="B7" s="1788"/>
      <c r="C7" s="303" t="s">
        <v>956</v>
      </c>
      <c r="D7" s="625" t="s">
        <v>914</v>
      </c>
      <c r="E7" s="303" t="s">
        <v>7</v>
      </c>
      <c r="F7" s="303" t="s">
        <v>956</v>
      </c>
      <c r="G7" s="625" t="s">
        <v>914</v>
      </c>
      <c r="H7" s="301" t="s">
        <v>7</v>
      </c>
      <c r="I7" s="303" t="s">
        <v>450</v>
      </c>
      <c r="J7" s="625" t="s">
        <v>914</v>
      </c>
      <c r="K7" s="301" t="s">
        <v>680</v>
      </c>
      <c r="L7" s="709" t="s">
        <v>958</v>
      </c>
      <c r="M7" s="709" t="s">
        <v>959</v>
      </c>
      <c r="N7" s="709" t="s">
        <v>960</v>
      </c>
      <c r="O7" s="709" t="s">
        <v>961</v>
      </c>
      <c r="P7" s="709" t="s">
        <v>962</v>
      </c>
      <c r="Q7" s="1786"/>
    </row>
    <row r="8" spans="1:18" s="541" customFormat="1" ht="15">
      <c r="A8" s="702"/>
      <c r="B8" s="701"/>
      <c r="C8" s="303"/>
      <c r="D8" s="625"/>
      <c r="E8" s="303"/>
      <c r="F8" s="303"/>
      <c r="G8" s="625"/>
      <c r="H8" s="699"/>
      <c r="I8" s="303"/>
      <c r="J8" s="625"/>
      <c r="K8" s="699"/>
      <c r="L8" s="709" t="s">
        <v>21</v>
      </c>
      <c r="M8" s="709" t="s">
        <v>21</v>
      </c>
      <c r="N8" s="709" t="s">
        <v>21</v>
      </c>
      <c r="O8" s="709" t="s">
        <v>21</v>
      </c>
      <c r="P8" s="709" t="s">
        <v>21</v>
      </c>
      <c r="Q8" s="700"/>
    </row>
    <row r="9" spans="1:18" s="677" customFormat="1">
      <c r="A9" s="671">
        <v>1</v>
      </c>
      <c r="B9" s="672" t="s">
        <v>635</v>
      </c>
      <c r="C9" s="673">
        <f>'F1'!E27-'F1'!E11</f>
        <v>375.20063635048837</v>
      </c>
      <c r="D9" s="674">
        <f>SUM('F1'!F13:F22,'F1'!F24)-'F1'!F26</f>
        <v>370.15723169559857</v>
      </c>
      <c r="E9" s="674">
        <f>SUM('F1'!G13:G22,'F1'!G24)-'F1'!G26</f>
        <v>409.50469400259658</v>
      </c>
      <c r="F9" s="674">
        <f>'F1'!$I$27-'F1'!$I$11</f>
        <v>384.02883515903341</v>
      </c>
      <c r="G9" s="674">
        <f>SUM('F1'!J13:J22,'F1'!J24)-'F1'!J26</f>
        <v>400.99309933329999</v>
      </c>
      <c r="H9" s="674">
        <f>SUM('F1'!K13:K22,'F1'!K24)-'F1'!K26</f>
        <v>476.80312222480296</v>
      </c>
      <c r="I9" s="675">
        <f>'F1'!$M$27-'F1'!$M$11</f>
        <v>384.66144463966737</v>
      </c>
      <c r="J9" s="675">
        <f ca="1">SUM('F1'!N13:N22,'F1'!N24)-'F1'!N26</f>
        <v>416.18823188732989</v>
      </c>
      <c r="K9" s="675">
        <f ca="1">SUM('F1'!Q13:Q22,'F1'!Q24)-'F1'!Q26</f>
        <v>457.29130576357534</v>
      </c>
      <c r="L9" s="675">
        <f ca="1">SUM('F1'!S13:S22,'F1'!S24)-'F1'!S26</f>
        <v>449.4364880683313</v>
      </c>
      <c r="M9" s="675">
        <f ca="1">SUM('F1'!T13:T22,'F1'!T24)-'F1'!T26</f>
        <v>458.8484463493408</v>
      </c>
      <c r="N9" s="675">
        <f ca="1">SUM('F1'!U13:U22,'F1'!U24)-'F1'!U26</f>
        <v>464.63240841130965</v>
      </c>
      <c r="O9" s="675">
        <f ca="1">SUM('F1'!V13:V22,'F1'!V24)-'F1'!V26</f>
        <v>467.74617839075114</v>
      </c>
      <c r="P9" s="675">
        <f ca="1">SUM('F1'!W13:W22,'F1'!W24)-'F1'!W26</f>
        <v>465.16313076954225</v>
      </c>
      <c r="Q9" s="676"/>
    </row>
    <row r="10" spans="1:18" s="677" customFormat="1">
      <c r="A10" s="678"/>
      <c r="B10" s="119"/>
      <c r="C10" s="119"/>
      <c r="D10" s="679"/>
      <c r="E10" s="679"/>
      <c r="F10" s="679"/>
      <c r="G10" s="622"/>
      <c r="H10" s="622"/>
      <c r="I10" s="622"/>
      <c r="J10" s="622"/>
      <c r="K10" s="622"/>
      <c r="L10" s="622"/>
      <c r="M10" s="622"/>
      <c r="N10" s="622"/>
      <c r="O10" s="622"/>
      <c r="P10" s="622"/>
      <c r="Q10" s="676"/>
    </row>
    <row r="11" spans="1:18" s="684" customFormat="1">
      <c r="A11" s="623">
        <v>2</v>
      </c>
      <c r="B11" s="680" t="s">
        <v>417</v>
      </c>
      <c r="C11" s="681">
        <f>'F2.2'!$E$157</f>
        <v>4.3226677740395827</v>
      </c>
      <c r="D11" s="682">
        <f>'F2.2'!F157</f>
        <v>4.7880920648839931</v>
      </c>
      <c r="E11" s="682">
        <f>'F2.2'!G157</f>
        <v>5.5525573396170955</v>
      </c>
      <c r="F11" s="683">
        <f>'F2.2'!$I$157</f>
        <v>5.016249717797459</v>
      </c>
      <c r="G11" s="682">
        <f>'F2.2'!J157</f>
        <v>5.4198533594472087</v>
      </c>
      <c r="H11" s="682">
        <f>'F2.2'!K157</f>
        <v>5.5019079637295887</v>
      </c>
      <c r="I11" s="683">
        <f>'F2.2'!$M$157</f>
        <v>5.0518799317948355</v>
      </c>
      <c r="J11" s="682">
        <f>'F2.2'!N157</f>
        <v>5.3841163386089894</v>
      </c>
      <c r="K11" s="682">
        <f>'F2.2'!Q157</f>
        <v>5.5759194784998476</v>
      </c>
      <c r="L11" s="682">
        <f>'F2.2'!S157</f>
        <v>5.752349985030353</v>
      </c>
      <c r="M11" s="682">
        <f>'F2.2'!T157</f>
        <v>6.0399674842818722</v>
      </c>
      <c r="N11" s="682">
        <f>'F2.2'!U157</f>
        <v>6.2017679017684477</v>
      </c>
      <c r="O11" s="682">
        <f>'F2.2'!V157</f>
        <v>6.5034421644777449</v>
      </c>
      <c r="P11" s="682">
        <f>'F2.2'!W157</f>
        <v>6.8202001403225054</v>
      </c>
      <c r="Q11" s="624"/>
    </row>
    <row r="12" spans="1:18" s="677" customFormat="1">
      <c r="A12" s="678"/>
      <c r="B12" s="119"/>
      <c r="C12" s="119"/>
      <c r="D12" s="679"/>
      <c r="E12" s="679"/>
      <c r="F12" s="679"/>
      <c r="G12" s="622"/>
      <c r="H12" s="622"/>
      <c r="I12" s="622"/>
      <c r="J12" s="622"/>
      <c r="K12" s="622"/>
      <c r="L12" s="622"/>
      <c r="M12" s="622"/>
      <c r="N12" s="622"/>
      <c r="O12" s="622"/>
      <c r="P12" s="622"/>
      <c r="Q12" s="676"/>
    </row>
    <row r="13" spans="1:18" s="685" customFormat="1" ht="17.25" customHeight="1">
      <c r="A13" s="623">
        <v>3</v>
      </c>
      <c r="B13" s="680" t="s">
        <v>418</v>
      </c>
      <c r="C13" s="680"/>
      <c r="D13" s="622"/>
      <c r="E13" s="623"/>
      <c r="F13" s="623"/>
      <c r="G13" s="623"/>
      <c r="H13" s="622"/>
      <c r="I13" s="622"/>
      <c r="J13" s="622"/>
      <c r="K13" s="622"/>
      <c r="L13" s="622"/>
      <c r="M13" s="622"/>
      <c r="N13" s="622"/>
      <c r="O13" s="622"/>
      <c r="P13" s="622"/>
      <c r="Q13" s="624"/>
    </row>
    <row r="14" spans="1:18" s="229" customFormat="1" ht="17.75" customHeight="1">
      <c r="A14" s="1789"/>
      <c r="B14" s="1790"/>
      <c r="C14" s="1790"/>
      <c r="D14" s="1790"/>
      <c r="E14" s="1790"/>
      <c r="F14" s="1790"/>
      <c r="G14" s="1790"/>
      <c r="H14" s="302"/>
      <c r="I14" s="541"/>
      <c r="K14" s="300"/>
      <c r="L14" s="541"/>
      <c r="M14" s="541"/>
      <c r="N14" s="541"/>
      <c r="O14" s="541"/>
      <c r="P14" s="541"/>
    </row>
    <row r="15" spans="1:18" s="229" customFormat="1" ht="17.75" customHeight="1">
      <c r="A15" s="1796" t="s">
        <v>143</v>
      </c>
      <c r="B15" s="1797"/>
      <c r="C15" s="1797"/>
      <c r="D15" s="1797"/>
      <c r="E15" s="541"/>
      <c r="F15" s="541"/>
      <c r="G15" s="541"/>
      <c r="H15" s="541"/>
      <c r="I15" s="541"/>
      <c r="K15" s="300"/>
      <c r="L15" s="541"/>
      <c r="M15" s="541"/>
      <c r="N15" s="541"/>
      <c r="O15" s="541"/>
      <c r="P15" s="541"/>
    </row>
    <row r="16" spans="1:18" s="229" customFormat="1" ht="17.25" customHeight="1">
      <c r="A16" s="1783" t="s">
        <v>1550</v>
      </c>
      <c r="B16" s="1798"/>
      <c r="C16" s="1798"/>
      <c r="D16" s="1798"/>
      <c r="E16" s="541"/>
      <c r="F16" s="541"/>
      <c r="G16" s="541"/>
      <c r="H16" s="541"/>
      <c r="I16" s="541"/>
      <c r="K16" s="300"/>
      <c r="L16" s="541"/>
      <c r="M16" s="541"/>
      <c r="N16" s="541"/>
      <c r="O16" s="541"/>
      <c r="P16" s="541"/>
    </row>
    <row r="17" spans="1:16" s="229" customFormat="1" ht="17.75" customHeight="1">
      <c r="A17" s="1783" t="s">
        <v>1551</v>
      </c>
      <c r="B17" s="1799"/>
      <c r="C17" s="1799"/>
      <c r="D17" s="1799"/>
      <c r="E17" s="541"/>
      <c r="F17" s="541"/>
      <c r="G17" s="541"/>
      <c r="H17" s="541"/>
      <c r="I17" s="541"/>
      <c r="K17" s="300"/>
      <c r="L17" s="541"/>
      <c r="M17" s="541"/>
      <c r="N17" s="541"/>
      <c r="O17" s="541"/>
      <c r="P17" s="541"/>
    </row>
    <row r="18" spans="1:16" s="229" customFormat="1" ht="17.75" customHeight="1">
      <c r="A18" s="1783"/>
      <c r="B18" s="1784"/>
      <c r="C18" s="1784"/>
      <c r="D18" s="1784"/>
      <c r="E18" s="1784"/>
      <c r="F18" s="1784"/>
      <c r="G18" s="1784"/>
      <c r="H18" s="299"/>
      <c r="I18" s="541"/>
      <c r="K18" s="300"/>
      <c r="L18" s="541"/>
      <c r="M18" s="541"/>
      <c r="N18" s="541"/>
      <c r="O18" s="541"/>
      <c r="P18" s="541"/>
    </row>
    <row r="19" spans="1:16">
      <c r="A19" s="172"/>
      <c r="B19" s="170"/>
      <c r="C19" s="170"/>
      <c r="D19" s="170"/>
      <c r="E19" s="170"/>
      <c r="F19" s="170"/>
      <c r="G19" s="173" t="s">
        <v>368</v>
      </c>
      <c r="H19" s="173"/>
    </row>
    <row r="20" spans="1:16">
      <c r="A20" s="170"/>
      <c r="B20" s="170"/>
      <c r="C20" s="170"/>
      <c r="D20" s="170"/>
      <c r="E20" s="170"/>
      <c r="F20" s="170"/>
      <c r="G20" s="170"/>
      <c r="H20" s="170"/>
    </row>
  </sheetData>
  <mergeCells count="18">
    <mergeCell ref="A2:H2"/>
    <mergeCell ref="A3:H3"/>
    <mergeCell ref="A4:H4"/>
    <mergeCell ref="J2:Q2"/>
    <mergeCell ref="J3:Q3"/>
    <mergeCell ref="J4:Q4"/>
    <mergeCell ref="A18:G18"/>
    <mergeCell ref="Q6:Q7"/>
    <mergeCell ref="B6:B7"/>
    <mergeCell ref="A14:G14"/>
    <mergeCell ref="A6:A7"/>
    <mergeCell ref="C6:E6"/>
    <mergeCell ref="I6:K6"/>
    <mergeCell ref="F6:H6"/>
    <mergeCell ref="L6:P6"/>
    <mergeCell ref="A15:D15"/>
    <mergeCell ref="A16:D16"/>
    <mergeCell ref="A17:D17"/>
  </mergeCells>
  <pageMargins left="0.74803149606299213" right="6.4960629921259843" top="0.98425196850393704" bottom="0.98425196850393704" header="0.51181102362204722" footer="0.51181102362204722"/>
  <pageSetup scale="40" fitToHeight="2" orientation="landscape" horizontalDpi="300" verticalDpi="300" r:id="rId1"/>
  <headerFooter alignWithMargins="0">
    <oddHeader>&amp;A</oddHeader>
    <oddFooter>&amp;L&amp;F&amp;C&amp;P/&amp;N&amp;R&amp;D&amp;T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T29"/>
  <sheetViews>
    <sheetView showGridLines="0" view="pageBreakPreview" zoomScale="80" zoomScaleSheetLayoutView="80" workbookViewId="0">
      <selection activeCell="G2" sqref="G2"/>
    </sheetView>
  </sheetViews>
  <sheetFormatPr defaultColWidth="9.08984375" defaultRowHeight="14"/>
  <cols>
    <col min="1" max="1" width="9.08984375" style="1"/>
    <col min="2" max="2" width="24.6328125" style="1" customWidth="1"/>
    <col min="3" max="4" width="12.453125" style="1" customWidth="1"/>
    <col min="5" max="5" width="13.36328125" style="1" customWidth="1"/>
    <col min="6" max="7" width="12.453125" style="1" customWidth="1"/>
    <col min="8" max="8" width="13.453125" style="1" customWidth="1"/>
    <col min="9" max="10" width="12.453125" style="1" customWidth="1"/>
    <col min="11" max="14" width="13.36328125" style="1" customWidth="1"/>
    <col min="15" max="16" width="12.453125" style="1" customWidth="1"/>
    <col min="17" max="17" width="13.36328125" style="1" customWidth="1"/>
    <col min="18" max="19" width="16.6328125" style="1" customWidth="1"/>
    <col min="20" max="20" width="26.6328125" style="1" customWidth="1"/>
    <col min="21" max="260" width="9.08984375" style="1"/>
    <col min="261" max="261" width="71" style="1" customWidth="1"/>
    <col min="262" max="262" width="22.6328125" style="1" bestFit="1" customWidth="1"/>
    <col min="263" max="263" width="33" style="1" bestFit="1" customWidth="1"/>
    <col min="264" max="264" width="26.54296875" style="1" bestFit="1" customWidth="1"/>
    <col min="265" max="265" width="22.6328125" style="1" bestFit="1" customWidth="1"/>
    <col min="266" max="266" width="33" style="1" bestFit="1" customWidth="1"/>
    <col min="267" max="267" width="26.54296875" style="1" customWidth="1"/>
    <col min="268" max="268" width="22.6328125" style="1" bestFit="1" customWidth="1"/>
    <col min="269" max="270" width="33" style="1" bestFit="1" customWidth="1"/>
    <col min="271" max="271" width="22.6328125" style="1" bestFit="1" customWidth="1"/>
    <col min="272" max="272" width="33" style="1" bestFit="1" customWidth="1"/>
    <col min="273" max="273" width="25.6328125" style="1" customWidth="1"/>
    <col min="274" max="275" width="16.6328125" style="1" customWidth="1"/>
    <col min="276" max="276" width="26.6328125" style="1" customWidth="1"/>
    <col min="277" max="516" width="9.08984375" style="1"/>
    <col min="517" max="517" width="71" style="1" customWidth="1"/>
    <col min="518" max="518" width="22.6328125" style="1" bestFit="1" customWidth="1"/>
    <col min="519" max="519" width="33" style="1" bestFit="1" customWidth="1"/>
    <col min="520" max="520" width="26.54296875" style="1" bestFit="1" customWidth="1"/>
    <col min="521" max="521" width="22.6328125" style="1" bestFit="1" customWidth="1"/>
    <col min="522" max="522" width="33" style="1" bestFit="1" customWidth="1"/>
    <col min="523" max="523" width="26.54296875" style="1" customWidth="1"/>
    <col min="524" max="524" width="22.6328125" style="1" bestFit="1" customWidth="1"/>
    <col min="525" max="526" width="33" style="1" bestFit="1" customWidth="1"/>
    <col min="527" max="527" width="22.6328125" style="1" bestFit="1" customWidth="1"/>
    <col min="528" max="528" width="33" style="1" bestFit="1" customWidth="1"/>
    <col min="529" max="529" width="25.6328125" style="1" customWidth="1"/>
    <col min="530" max="531" width="16.6328125" style="1" customWidth="1"/>
    <col min="532" max="532" width="26.6328125" style="1" customWidth="1"/>
    <col min="533" max="772" width="9.08984375" style="1"/>
    <col min="773" max="773" width="71" style="1" customWidth="1"/>
    <col min="774" max="774" width="22.6328125" style="1" bestFit="1" customWidth="1"/>
    <col min="775" max="775" width="33" style="1" bestFit="1" customWidth="1"/>
    <col min="776" max="776" width="26.54296875" style="1" bestFit="1" customWidth="1"/>
    <col min="777" max="777" width="22.6328125" style="1" bestFit="1" customWidth="1"/>
    <col min="778" max="778" width="33" style="1" bestFit="1" customWidth="1"/>
    <col min="779" max="779" width="26.54296875" style="1" customWidth="1"/>
    <col min="780" max="780" width="22.6328125" style="1" bestFit="1" customWidth="1"/>
    <col min="781" max="782" width="33" style="1" bestFit="1" customWidth="1"/>
    <col min="783" max="783" width="22.6328125" style="1" bestFit="1" customWidth="1"/>
    <col min="784" max="784" width="33" style="1" bestFit="1" customWidth="1"/>
    <col min="785" max="785" width="25.6328125" style="1" customWidth="1"/>
    <col min="786" max="787" width="16.6328125" style="1" customWidth="1"/>
    <col min="788" max="788" width="26.6328125" style="1" customWidth="1"/>
    <col min="789" max="1028" width="9.08984375" style="1"/>
    <col min="1029" max="1029" width="71" style="1" customWidth="1"/>
    <col min="1030" max="1030" width="22.6328125" style="1" bestFit="1" customWidth="1"/>
    <col min="1031" max="1031" width="33" style="1" bestFit="1" customWidth="1"/>
    <col min="1032" max="1032" width="26.54296875" style="1" bestFit="1" customWidth="1"/>
    <col min="1033" max="1033" width="22.6328125" style="1" bestFit="1" customWidth="1"/>
    <col min="1034" max="1034" width="33" style="1" bestFit="1" customWidth="1"/>
    <col min="1035" max="1035" width="26.54296875" style="1" customWidth="1"/>
    <col min="1036" max="1036" width="22.6328125" style="1" bestFit="1" customWidth="1"/>
    <col min="1037" max="1038" width="33" style="1" bestFit="1" customWidth="1"/>
    <col min="1039" max="1039" width="22.6328125" style="1" bestFit="1" customWidth="1"/>
    <col min="1040" max="1040" width="33" style="1" bestFit="1" customWidth="1"/>
    <col min="1041" max="1041" width="25.6328125" style="1" customWidth="1"/>
    <col min="1042" max="1043" width="16.6328125" style="1" customWidth="1"/>
    <col min="1044" max="1044" width="26.6328125" style="1" customWidth="1"/>
    <col min="1045" max="1284" width="9.08984375" style="1"/>
    <col min="1285" max="1285" width="71" style="1" customWidth="1"/>
    <col min="1286" max="1286" width="22.6328125" style="1" bestFit="1" customWidth="1"/>
    <col min="1287" max="1287" width="33" style="1" bestFit="1" customWidth="1"/>
    <col min="1288" max="1288" width="26.54296875" style="1" bestFit="1" customWidth="1"/>
    <col min="1289" max="1289" width="22.6328125" style="1" bestFit="1" customWidth="1"/>
    <col min="1290" max="1290" width="33" style="1" bestFit="1" customWidth="1"/>
    <col min="1291" max="1291" width="26.54296875" style="1" customWidth="1"/>
    <col min="1292" max="1292" width="22.6328125" style="1" bestFit="1" customWidth="1"/>
    <col min="1293" max="1294" width="33" style="1" bestFit="1" customWidth="1"/>
    <col min="1295" max="1295" width="22.6328125" style="1" bestFit="1" customWidth="1"/>
    <col min="1296" max="1296" width="33" style="1" bestFit="1" customWidth="1"/>
    <col min="1297" max="1297" width="25.6328125" style="1" customWidth="1"/>
    <col min="1298" max="1299" width="16.6328125" style="1" customWidth="1"/>
    <col min="1300" max="1300" width="26.6328125" style="1" customWidth="1"/>
    <col min="1301" max="1540" width="9.08984375" style="1"/>
    <col min="1541" max="1541" width="71" style="1" customWidth="1"/>
    <col min="1542" max="1542" width="22.6328125" style="1" bestFit="1" customWidth="1"/>
    <col min="1543" max="1543" width="33" style="1" bestFit="1" customWidth="1"/>
    <col min="1544" max="1544" width="26.54296875" style="1" bestFit="1" customWidth="1"/>
    <col min="1545" max="1545" width="22.6328125" style="1" bestFit="1" customWidth="1"/>
    <col min="1546" max="1546" width="33" style="1" bestFit="1" customWidth="1"/>
    <col min="1547" max="1547" width="26.54296875" style="1" customWidth="1"/>
    <col min="1548" max="1548" width="22.6328125" style="1" bestFit="1" customWidth="1"/>
    <col min="1549" max="1550" width="33" style="1" bestFit="1" customWidth="1"/>
    <col min="1551" max="1551" width="22.6328125" style="1" bestFit="1" customWidth="1"/>
    <col min="1552" max="1552" width="33" style="1" bestFit="1" customWidth="1"/>
    <col min="1553" max="1553" width="25.6328125" style="1" customWidth="1"/>
    <col min="1554" max="1555" width="16.6328125" style="1" customWidth="1"/>
    <col min="1556" max="1556" width="26.6328125" style="1" customWidth="1"/>
    <col min="1557" max="1796" width="9.08984375" style="1"/>
    <col min="1797" max="1797" width="71" style="1" customWidth="1"/>
    <col min="1798" max="1798" width="22.6328125" style="1" bestFit="1" customWidth="1"/>
    <col min="1799" max="1799" width="33" style="1" bestFit="1" customWidth="1"/>
    <col min="1800" max="1800" width="26.54296875" style="1" bestFit="1" customWidth="1"/>
    <col min="1801" max="1801" width="22.6328125" style="1" bestFit="1" customWidth="1"/>
    <col min="1802" max="1802" width="33" style="1" bestFit="1" customWidth="1"/>
    <col min="1803" max="1803" width="26.54296875" style="1" customWidth="1"/>
    <col min="1804" max="1804" width="22.6328125" style="1" bestFit="1" customWidth="1"/>
    <col min="1805" max="1806" width="33" style="1" bestFit="1" customWidth="1"/>
    <col min="1807" max="1807" width="22.6328125" style="1" bestFit="1" customWidth="1"/>
    <col min="1808" max="1808" width="33" style="1" bestFit="1" customWidth="1"/>
    <col min="1809" max="1809" width="25.6328125" style="1" customWidth="1"/>
    <col min="1810" max="1811" width="16.6328125" style="1" customWidth="1"/>
    <col min="1812" max="1812" width="26.6328125" style="1" customWidth="1"/>
    <col min="1813" max="2052" width="9.08984375" style="1"/>
    <col min="2053" max="2053" width="71" style="1" customWidth="1"/>
    <col min="2054" max="2054" width="22.6328125" style="1" bestFit="1" customWidth="1"/>
    <col min="2055" max="2055" width="33" style="1" bestFit="1" customWidth="1"/>
    <col min="2056" max="2056" width="26.54296875" style="1" bestFit="1" customWidth="1"/>
    <col min="2057" max="2057" width="22.6328125" style="1" bestFit="1" customWidth="1"/>
    <col min="2058" max="2058" width="33" style="1" bestFit="1" customWidth="1"/>
    <col min="2059" max="2059" width="26.54296875" style="1" customWidth="1"/>
    <col min="2060" max="2060" width="22.6328125" style="1" bestFit="1" customWidth="1"/>
    <col min="2061" max="2062" width="33" style="1" bestFit="1" customWidth="1"/>
    <col min="2063" max="2063" width="22.6328125" style="1" bestFit="1" customWidth="1"/>
    <col min="2064" max="2064" width="33" style="1" bestFit="1" customWidth="1"/>
    <col min="2065" max="2065" width="25.6328125" style="1" customWidth="1"/>
    <col min="2066" max="2067" width="16.6328125" style="1" customWidth="1"/>
    <col min="2068" max="2068" width="26.6328125" style="1" customWidth="1"/>
    <col min="2069" max="2308" width="9.08984375" style="1"/>
    <col min="2309" max="2309" width="71" style="1" customWidth="1"/>
    <col min="2310" max="2310" width="22.6328125" style="1" bestFit="1" customWidth="1"/>
    <col min="2311" max="2311" width="33" style="1" bestFit="1" customWidth="1"/>
    <col min="2312" max="2312" width="26.54296875" style="1" bestFit="1" customWidth="1"/>
    <col min="2313" max="2313" width="22.6328125" style="1" bestFit="1" customWidth="1"/>
    <col min="2314" max="2314" width="33" style="1" bestFit="1" customWidth="1"/>
    <col min="2315" max="2315" width="26.54296875" style="1" customWidth="1"/>
    <col min="2316" max="2316" width="22.6328125" style="1" bestFit="1" customWidth="1"/>
    <col min="2317" max="2318" width="33" style="1" bestFit="1" customWidth="1"/>
    <col min="2319" max="2319" width="22.6328125" style="1" bestFit="1" customWidth="1"/>
    <col min="2320" max="2320" width="33" style="1" bestFit="1" customWidth="1"/>
    <col min="2321" max="2321" width="25.6328125" style="1" customWidth="1"/>
    <col min="2322" max="2323" width="16.6328125" style="1" customWidth="1"/>
    <col min="2324" max="2324" width="26.6328125" style="1" customWidth="1"/>
    <col min="2325" max="2564" width="9.08984375" style="1"/>
    <col min="2565" max="2565" width="71" style="1" customWidth="1"/>
    <col min="2566" max="2566" width="22.6328125" style="1" bestFit="1" customWidth="1"/>
    <col min="2567" max="2567" width="33" style="1" bestFit="1" customWidth="1"/>
    <col min="2568" max="2568" width="26.54296875" style="1" bestFit="1" customWidth="1"/>
    <col min="2569" max="2569" width="22.6328125" style="1" bestFit="1" customWidth="1"/>
    <col min="2570" max="2570" width="33" style="1" bestFit="1" customWidth="1"/>
    <col min="2571" max="2571" width="26.54296875" style="1" customWidth="1"/>
    <col min="2572" max="2572" width="22.6328125" style="1" bestFit="1" customWidth="1"/>
    <col min="2573" max="2574" width="33" style="1" bestFit="1" customWidth="1"/>
    <col min="2575" max="2575" width="22.6328125" style="1" bestFit="1" customWidth="1"/>
    <col min="2576" max="2576" width="33" style="1" bestFit="1" customWidth="1"/>
    <col min="2577" max="2577" width="25.6328125" style="1" customWidth="1"/>
    <col min="2578" max="2579" width="16.6328125" style="1" customWidth="1"/>
    <col min="2580" max="2580" width="26.6328125" style="1" customWidth="1"/>
    <col min="2581" max="2820" width="9.08984375" style="1"/>
    <col min="2821" max="2821" width="71" style="1" customWidth="1"/>
    <col min="2822" max="2822" width="22.6328125" style="1" bestFit="1" customWidth="1"/>
    <col min="2823" max="2823" width="33" style="1" bestFit="1" customWidth="1"/>
    <col min="2824" max="2824" width="26.54296875" style="1" bestFit="1" customWidth="1"/>
    <col min="2825" max="2825" width="22.6328125" style="1" bestFit="1" customWidth="1"/>
    <col min="2826" max="2826" width="33" style="1" bestFit="1" customWidth="1"/>
    <col min="2827" max="2827" width="26.54296875" style="1" customWidth="1"/>
    <col min="2828" max="2828" width="22.6328125" style="1" bestFit="1" customWidth="1"/>
    <col min="2829" max="2830" width="33" style="1" bestFit="1" customWidth="1"/>
    <col min="2831" max="2831" width="22.6328125" style="1" bestFit="1" customWidth="1"/>
    <col min="2832" max="2832" width="33" style="1" bestFit="1" customWidth="1"/>
    <col min="2833" max="2833" width="25.6328125" style="1" customWidth="1"/>
    <col min="2834" max="2835" width="16.6328125" style="1" customWidth="1"/>
    <col min="2836" max="2836" width="26.6328125" style="1" customWidth="1"/>
    <col min="2837" max="3076" width="9.08984375" style="1"/>
    <col min="3077" max="3077" width="71" style="1" customWidth="1"/>
    <col min="3078" max="3078" width="22.6328125" style="1" bestFit="1" customWidth="1"/>
    <col min="3079" max="3079" width="33" style="1" bestFit="1" customWidth="1"/>
    <col min="3080" max="3080" width="26.54296875" style="1" bestFit="1" customWidth="1"/>
    <col min="3081" max="3081" width="22.6328125" style="1" bestFit="1" customWidth="1"/>
    <col min="3082" max="3082" width="33" style="1" bestFit="1" customWidth="1"/>
    <col min="3083" max="3083" width="26.54296875" style="1" customWidth="1"/>
    <col min="3084" max="3084" width="22.6328125" style="1" bestFit="1" customWidth="1"/>
    <col min="3085" max="3086" width="33" style="1" bestFit="1" customWidth="1"/>
    <col min="3087" max="3087" width="22.6328125" style="1" bestFit="1" customWidth="1"/>
    <col min="3088" max="3088" width="33" style="1" bestFit="1" customWidth="1"/>
    <col min="3089" max="3089" width="25.6328125" style="1" customWidth="1"/>
    <col min="3090" max="3091" width="16.6328125" style="1" customWidth="1"/>
    <col min="3092" max="3092" width="26.6328125" style="1" customWidth="1"/>
    <col min="3093" max="3332" width="9.08984375" style="1"/>
    <col min="3333" max="3333" width="71" style="1" customWidth="1"/>
    <col min="3334" max="3334" width="22.6328125" style="1" bestFit="1" customWidth="1"/>
    <col min="3335" max="3335" width="33" style="1" bestFit="1" customWidth="1"/>
    <col min="3336" max="3336" width="26.54296875" style="1" bestFit="1" customWidth="1"/>
    <col min="3337" max="3337" width="22.6328125" style="1" bestFit="1" customWidth="1"/>
    <col min="3338" max="3338" width="33" style="1" bestFit="1" customWidth="1"/>
    <col min="3339" max="3339" width="26.54296875" style="1" customWidth="1"/>
    <col min="3340" max="3340" width="22.6328125" style="1" bestFit="1" customWidth="1"/>
    <col min="3341" max="3342" width="33" style="1" bestFit="1" customWidth="1"/>
    <col min="3343" max="3343" width="22.6328125" style="1" bestFit="1" customWidth="1"/>
    <col min="3344" max="3344" width="33" style="1" bestFit="1" customWidth="1"/>
    <col min="3345" max="3345" width="25.6328125" style="1" customWidth="1"/>
    <col min="3346" max="3347" width="16.6328125" style="1" customWidth="1"/>
    <col min="3348" max="3348" width="26.6328125" style="1" customWidth="1"/>
    <col min="3349" max="3588" width="9.08984375" style="1"/>
    <col min="3589" max="3589" width="71" style="1" customWidth="1"/>
    <col min="3590" max="3590" width="22.6328125" style="1" bestFit="1" customWidth="1"/>
    <col min="3591" max="3591" width="33" style="1" bestFit="1" customWidth="1"/>
    <col min="3592" max="3592" width="26.54296875" style="1" bestFit="1" customWidth="1"/>
    <col min="3593" max="3593" width="22.6328125" style="1" bestFit="1" customWidth="1"/>
    <col min="3594" max="3594" width="33" style="1" bestFit="1" customWidth="1"/>
    <col min="3595" max="3595" width="26.54296875" style="1" customWidth="1"/>
    <col min="3596" max="3596" width="22.6328125" style="1" bestFit="1" customWidth="1"/>
    <col min="3597" max="3598" width="33" style="1" bestFit="1" customWidth="1"/>
    <col min="3599" max="3599" width="22.6328125" style="1" bestFit="1" customWidth="1"/>
    <col min="3600" max="3600" width="33" style="1" bestFit="1" customWidth="1"/>
    <col min="3601" max="3601" width="25.6328125" style="1" customWidth="1"/>
    <col min="3602" max="3603" width="16.6328125" style="1" customWidth="1"/>
    <col min="3604" max="3604" width="26.6328125" style="1" customWidth="1"/>
    <col min="3605" max="3844" width="9.08984375" style="1"/>
    <col min="3845" max="3845" width="71" style="1" customWidth="1"/>
    <col min="3846" max="3846" width="22.6328125" style="1" bestFit="1" customWidth="1"/>
    <col min="3847" max="3847" width="33" style="1" bestFit="1" customWidth="1"/>
    <col min="3848" max="3848" width="26.54296875" style="1" bestFit="1" customWidth="1"/>
    <col min="3849" max="3849" width="22.6328125" style="1" bestFit="1" customWidth="1"/>
    <col min="3850" max="3850" width="33" style="1" bestFit="1" customWidth="1"/>
    <col min="3851" max="3851" width="26.54296875" style="1" customWidth="1"/>
    <col min="3852" max="3852" width="22.6328125" style="1" bestFit="1" customWidth="1"/>
    <col min="3853" max="3854" width="33" style="1" bestFit="1" customWidth="1"/>
    <col min="3855" max="3855" width="22.6328125" style="1" bestFit="1" customWidth="1"/>
    <col min="3856" max="3856" width="33" style="1" bestFit="1" customWidth="1"/>
    <col min="3857" max="3857" width="25.6328125" style="1" customWidth="1"/>
    <col min="3858" max="3859" width="16.6328125" style="1" customWidth="1"/>
    <col min="3860" max="3860" width="26.6328125" style="1" customWidth="1"/>
    <col min="3861" max="4100" width="9.08984375" style="1"/>
    <col min="4101" max="4101" width="71" style="1" customWidth="1"/>
    <col min="4102" max="4102" width="22.6328125" style="1" bestFit="1" customWidth="1"/>
    <col min="4103" max="4103" width="33" style="1" bestFit="1" customWidth="1"/>
    <col min="4104" max="4104" width="26.54296875" style="1" bestFit="1" customWidth="1"/>
    <col min="4105" max="4105" width="22.6328125" style="1" bestFit="1" customWidth="1"/>
    <col min="4106" max="4106" width="33" style="1" bestFit="1" customWidth="1"/>
    <col min="4107" max="4107" width="26.54296875" style="1" customWidth="1"/>
    <col min="4108" max="4108" width="22.6328125" style="1" bestFit="1" customWidth="1"/>
    <col min="4109" max="4110" width="33" style="1" bestFit="1" customWidth="1"/>
    <col min="4111" max="4111" width="22.6328125" style="1" bestFit="1" customWidth="1"/>
    <col min="4112" max="4112" width="33" style="1" bestFit="1" customWidth="1"/>
    <col min="4113" max="4113" width="25.6328125" style="1" customWidth="1"/>
    <col min="4114" max="4115" width="16.6328125" style="1" customWidth="1"/>
    <col min="4116" max="4116" width="26.6328125" style="1" customWidth="1"/>
    <col min="4117" max="4356" width="9.08984375" style="1"/>
    <col min="4357" max="4357" width="71" style="1" customWidth="1"/>
    <col min="4358" max="4358" width="22.6328125" style="1" bestFit="1" customWidth="1"/>
    <col min="4359" max="4359" width="33" style="1" bestFit="1" customWidth="1"/>
    <col min="4360" max="4360" width="26.54296875" style="1" bestFit="1" customWidth="1"/>
    <col min="4361" max="4361" width="22.6328125" style="1" bestFit="1" customWidth="1"/>
    <col min="4362" max="4362" width="33" style="1" bestFit="1" customWidth="1"/>
    <col min="4363" max="4363" width="26.54296875" style="1" customWidth="1"/>
    <col min="4364" max="4364" width="22.6328125" style="1" bestFit="1" customWidth="1"/>
    <col min="4365" max="4366" width="33" style="1" bestFit="1" customWidth="1"/>
    <col min="4367" max="4367" width="22.6328125" style="1" bestFit="1" customWidth="1"/>
    <col min="4368" max="4368" width="33" style="1" bestFit="1" customWidth="1"/>
    <col min="4369" max="4369" width="25.6328125" style="1" customWidth="1"/>
    <col min="4370" max="4371" width="16.6328125" style="1" customWidth="1"/>
    <col min="4372" max="4372" width="26.6328125" style="1" customWidth="1"/>
    <col min="4373" max="4612" width="9.08984375" style="1"/>
    <col min="4613" max="4613" width="71" style="1" customWidth="1"/>
    <col min="4614" max="4614" width="22.6328125" style="1" bestFit="1" customWidth="1"/>
    <col min="4615" max="4615" width="33" style="1" bestFit="1" customWidth="1"/>
    <col min="4616" max="4616" width="26.54296875" style="1" bestFit="1" customWidth="1"/>
    <col min="4617" max="4617" width="22.6328125" style="1" bestFit="1" customWidth="1"/>
    <col min="4618" max="4618" width="33" style="1" bestFit="1" customWidth="1"/>
    <col min="4619" max="4619" width="26.54296875" style="1" customWidth="1"/>
    <col min="4620" max="4620" width="22.6328125" style="1" bestFit="1" customWidth="1"/>
    <col min="4621" max="4622" width="33" style="1" bestFit="1" customWidth="1"/>
    <col min="4623" max="4623" width="22.6328125" style="1" bestFit="1" customWidth="1"/>
    <col min="4624" max="4624" width="33" style="1" bestFit="1" customWidth="1"/>
    <col min="4625" max="4625" width="25.6328125" style="1" customWidth="1"/>
    <col min="4626" max="4627" width="16.6328125" style="1" customWidth="1"/>
    <col min="4628" max="4628" width="26.6328125" style="1" customWidth="1"/>
    <col min="4629" max="4868" width="9.08984375" style="1"/>
    <col min="4869" max="4869" width="71" style="1" customWidth="1"/>
    <col min="4870" max="4870" width="22.6328125" style="1" bestFit="1" customWidth="1"/>
    <col min="4871" max="4871" width="33" style="1" bestFit="1" customWidth="1"/>
    <col min="4872" max="4872" width="26.54296875" style="1" bestFit="1" customWidth="1"/>
    <col min="4873" max="4873" width="22.6328125" style="1" bestFit="1" customWidth="1"/>
    <col min="4874" max="4874" width="33" style="1" bestFit="1" customWidth="1"/>
    <col min="4875" max="4875" width="26.54296875" style="1" customWidth="1"/>
    <col min="4876" max="4876" width="22.6328125" style="1" bestFit="1" customWidth="1"/>
    <col min="4877" max="4878" width="33" style="1" bestFit="1" customWidth="1"/>
    <col min="4879" max="4879" width="22.6328125" style="1" bestFit="1" customWidth="1"/>
    <col min="4880" max="4880" width="33" style="1" bestFit="1" customWidth="1"/>
    <col min="4881" max="4881" width="25.6328125" style="1" customWidth="1"/>
    <col min="4882" max="4883" width="16.6328125" style="1" customWidth="1"/>
    <col min="4884" max="4884" width="26.6328125" style="1" customWidth="1"/>
    <col min="4885" max="5124" width="9.08984375" style="1"/>
    <col min="5125" max="5125" width="71" style="1" customWidth="1"/>
    <col min="5126" max="5126" width="22.6328125" style="1" bestFit="1" customWidth="1"/>
    <col min="5127" max="5127" width="33" style="1" bestFit="1" customWidth="1"/>
    <col min="5128" max="5128" width="26.54296875" style="1" bestFit="1" customWidth="1"/>
    <col min="5129" max="5129" width="22.6328125" style="1" bestFit="1" customWidth="1"/>
    <col min="5130" max="5130" width="33" style="1" bestFit="1" customWidth="1"/>
    <col min="5131" max="5131" width="26.54296875" style="1" customWidth="1"/>
    <col min="5132" max="5132" width="22.6328125" style="1" bestFit="1" customWidth="1"/>
    <col min="5133" max="5134" width="33" style="1" bestFit="1" customWidth="1"/>
    <col min="5135" max="5135" width="22.6328125" style="1" bestFit="1" customWidth="1"/>
    <col min="5136" max="5136" width="33" style="1" bestFit="1" customWidth="1"/>
    <col min="5137" max="5137" width="25.6328125" style="1" customWidth="1"/>
    <col min="5138" max="5139" width="16.6328125" style="1" customWidth="1"/>
    <col min="5140" max="5140" width="26.6328125" style="1" customWidth="1"/>
    <col min="5141" max="5380" width="9.08984375" style="1"/>
    <col min="5381" max="5381" width="71" style="1" customWidth="1"/>
    <col min="5382" max="5382" width="22.6328125" style="1" bestFit="1" customWidth="1"/>
    <col min="5383" max="5383" width="33" style="1" bestFit="1" customWidth="1"/>
    <col min="5384" max="5384" width="26.54296875" style="1" bestFit="1" customWidth="1"/>
    <col min="5385" max="5385" width="22.6328125" style="1" bestFit="1" customWidth="1"/>
    <col min="5386" max="5386" width="33" style="1" bestFit="1" customWidth="1"/>
    <col min="5387" max="5387" width="26.54296875" style="1" customWidth="1"/>
    <col min="5388" max="5388" width="22.6328125" style="1" bestFit="1" customWidth="1"/>
    <col min="5389" max="5390" width="33" style="1" bestFit="1" customWidth="1"/>
    <col min="5391" max="5391" width="22.6328125" style="1" bestFit="1" customWidth="1"/>
    <col min="5392" max="5392" width="33" style="1" bestFit="1" customWidth="1"/>
    <col min="5393" max="5393" width="25.6328125" style="1" customWidth="1"/>
    <col min="5394" max="5395" width="16.6328125" style="1" customWidth="1"/>
    <col min="5396" max="5396" width="26.6328125" style="1" customWidth="1"/>
    <col min="5397" max="5636" width="9.08984375" style="1"/>
    <col min="5637" max="5637" width="71" style="1" customWidth="1"/>
    <col min="5638" max="5638" width="22.6328125" style="1" bestFit="1" customWidth="1"/>
    <col min="5639" max="5639" width="33" style="1" bestFit="1" customWidth="1"/>
    <col min="5640" max="5640" width="26.54296875" style="1" bestFit="1" customWidth="1"/>
    <col min="5641" max="5641" width="22.6328125" style="1" bestFit="1" customWidth="1"/>
    <col min="5642" max="5642" width="33" style="1" bestFit="1" customWidth="1"/>
    <col min="5643" max="5643" width="26.54296875" style="1" customWidth="1"/>
    <col min="5644" max="5644" width="22.6328125" style="1" bestFit="1" customWidth="1"/>
    <col min="5645" max="5646" width="33" style="1" bestFit="1" customWidth="1"/>
    <col min="5647" max="5647" width="22.6328125" style="1" bestFit="1" customWidth="1"/>
    <col min="5648" max="5648" width="33" style="1" bestFit="1" customWidth="1"/>
    <col min="5649" max="5649" width="25.6328125" style="1" customWidth="1"/>
    <col min="5650" max="5651" width="16.6328125" style="1" customWidth="1"/>
    <col min="5652" max="5652" width="26.6328125" style="1" customWidth="1"/>
    <col min="5653" max="5892" width="9.08984375" style="1"/>
    <col min="5893" max="5893" width="71" style="1" customWidth="1"/>
    <col min="5894" max="5894" width="22.6328125" style="1" bestFit="1" customWidth="1"/>
    <col min="5895" max="5895" width="33" style="1" bestFit="1" customWidth="1"/>
    <col min="5896" max="5896" width="26.54296875" style="1" bestFit="1" customWidth="1"/>
    <col min="5897" max="5897" width="22.6328125" style="1" bestFit="1" customWidth="1"/>
    <col min="5898" max="5898" width="33" style="1" bestFit="1" customWidth="1"/>
    <col min="5899" max="5899" width="26.54296875" style="1" customWidth="1"/>
    <col min="5900" max="5900" width="22.6328125" style="1" bestFit="1" customWidth="1"/>
    <col min="5901" max="5902" width="33" style="1" bestFit="1" customWidth="1"/>
    <col min="5903" max="5903" width="22.6328125" style="1" bestFit="1" customWidth="1"/>
    <col min="5904" max="5904" width="33" style="1" bestFit="1" customWidth="1"/>
    <col min="5905" max="5905" width="25.6328125" style="1" customWidth="1"/>
    <col min="5906" max="5907" width="16.6328125" style="1" customWidth="1"/>
    <col min="5908" max="5908" width="26.6328125" style="1" customWidth="1"/>
    <col min="5909" max="6148" width="9.08984375" style="1"/>
    <col min="6149" max="6149" width="71" style="1" customWidth="1"/>
    <col min="6150" max="6150" width="22.6328125" style="1" bestFit="1" customWidth="1"/>
    <col min="6151" max="6151" width="33" style="1" bestFit="1" customWidth="1"/>
    <col min="6152" max="6152" width="26.54296875" style="1" bestFit="1" customWidth="1"/>
    <col min="6153" max="6153" width="22.6328125" style="1" bestFit="1" customWidth="1"/>
    <col min="6154" max="6154" width="33" style="1" bestFit="1" customWidth="1"/>
    <col min="6155" max="6155" width="26.54296875" style="1" customWidth="1"/>
    <col min="6156" max="6156" width="22.6328125" style="1" bestFit="1" customWidth="1"/>
    <col min="6157" max="6158" width="33" style="1" bestFit="1" customWidth="1"/>
    <col min="6159" max="6159" width="22.6328125" style="1" bestFit="1" customWidth="1"/>
    <col min="6160" max="6160" width="33" style="1" bestFit="1" customWidth="1"/>
    <col min="6161" max="6161" width="25.6328125" style="1" customWidth="1"/>
    <col min="6162" max="6163" width="16.6328125" style="1" customWidth="1"/>
    <col min="6164" max="6164" width="26.6328125" style="1" customWidth="1"/>
    <col min="6165" max="6404" width="9.08984375" style="1"/>
    <col min="6405" max="6405" width="71" style="1" customWidth="1"/>
    <col min="6406" max="6406" width="22.6328125" style="1" bestFit="1" customWidth="1"/>
    <col min="6407" max="6407" width="33" style="1" bestFit="1" customWidth="1"/>
    <col min="6408" max="6408" width="26.54296875" style="1" bestFit="1" customWidth="1"/>
    <col min="6409" max="6409" width="22.6328125" style="1" bestFit="1" customWidth="1"/>
    <col min="6410" max="6410" width="33" style="1" bestFit="1" customWidth="1"/>
    <col min="6411" max="6411" width="26.54296875" style="1" customWidth="1"/>
    <col min="6412" max="6412" width="22.6328125" style="1" bestFit="1" customWidth="1"/>
    <col min="6413" max="6414" width="33" style="1" bestFit="1" customWidth="1"/>
    <col min="6415" max="6415" width="22.6328125" style="1" bestFit="1" customWidth="1"/>
    <col min="6416" max="6416" width="33" style="1" bestFit="1" customWidth="1"/>
    <col min="6417" max="6417" width="25.6328125" style="1" customWidth="1"/>
    <col min="6418" max="6419" width="16.6328125" style="1" customWidth="1"/>
    <col min="6420" max="6420" width="26.6328125" style="1" customWidth="1"/>
    <col min="6421" max="6660" width="9.08984375" style="1"/>
    <col min="6661" max="6661" width="71" style="1" customWidth="1"/>
    <col min="6662" max="6662" width="22.6328125" style="1" bestFit="1" customWidth="1"/>
    <col min="6663" max="6663" width="33" style="1" bestFit="1" customWidth="1"/>
    <col min="6664" max="6664" width="26.54296875" style="1" bestFit="1" customWidth="1"/>
    <col min="6665" max="6665" width="22.6328125" style="1" bestFit="1" customWidth="1"/>
    <col min="6666" max="6666" width="33" style="1" bestFit="1" customWidth="1"/>
    <col min="6667" max="6667" width="26.54296875" style="1" customWidth="1"/>
    <col min="6668" max="6668" width="22.6328125" style="1" bestFit="1" customWidth="1"/>
    <col min="6669" max="6670" width="33" style="1" bestFit="1" customWidth="1"/>
    <col min="6671" max="6671" width="22.6328125" style="1" bestFit="1" customWidth="1"/>
    <col min="6672" max="6672" width="33" style="1" bestFit="1" customWidth="1"/>
    <col min="6673" max="6673" width="25.6328125" style="1" customWidth="1"/>
    <col min="6674" max="6675" width="16.6328125" style="1" customWidth="1"/>
    <col min="6676" max="6676" width="26.6328125" style="1" customWidth="1"/>
    <col min="6677" max="6916" width="9.08984375" style="1"/>
    <col min="6917" max="6917" width="71" style="1" customWidth="1"/>
    <col min="6918" max="6918" width="22.6328125" style="1" bestFit="1" customWidth="1"/>
    <col min="6919" max="6919" width="33" style="1" bestFit="1" customWidth="1"/>
    <col min="6920" max="6920" width="26.54296875" style="1" bestFit="1" customWidth="1"/>
    <col min="6921" max="6921" width="22.6328125" style="1" bestFit="1" customWidth="1"/>
    <col min="6922" max="6922" width="33" style="1" bestFit="1" customWidth="1"/>
    <col min="6923" max="6923" width="26.54296875" style="1" customWidth="1"/>
    <col min="6924" max="6924" width="22.6328125" style="1" bestFit="1" customWidth="1"/>
    <col min="6925" max="6926" width="33" style="1" bestFit="1" customWidth="1"/>
    <col min="6927" max="6927" width="22.6328125" style="1" bestFit="1" customWidth="1"/>
    <col min="6928" max="6928" width="33" style="1" bestFit="1" customWidth="1"/>
    <col min="6929" max="6929" width="25.6328125" style="1" customWidth="1"/>
    <col min="6930" max="6931" width="16.6328125" style="1" customWidth="1"/>
    <col min="6932" max="6932" width="26.6328125" style="1" customWidth="1"/>
    <col min="6933" max="7172" width="9.08984375" style="1"/>
    <col min="7173" max="7173" width="71" style="1" customWidth="1"/>
    <col min="7174" max="7174" width="22.6328125" style="1" bestFit="1" customWidth="1"/>
    <col min="7175" max="7175" width="33" style="1" bestFit="1" customWidth="1"/>
    <col min="7176" max="7176" width="26.54296875" style="1" bestFit="1" customWidth="1"/>
    <col min="7177" max="7177" width="22.6328125" style="1" bestFit="1" customWidth="1"/>
    <col min="7178" max="7178" width="33" style="1" bestFit="1" customWidth="1"/>
    <col min="7179" max="7179" width="26.54296875" style="1" customWidth="1"/>
    <col min="7180" max="7180" width="22.6328125" style="1" bestFit="1" customWidth="1"/>
    <col min="7181" max="7182" width="33" style="1" bestFit="1" customWidth="1"/>
    <col min="7183" max="7183" width="22.6328125" style="1" bestFit="1" customWidth="1"/>
    <col min="7184" max="7184" width="33" style="1" bestFit="1" customWidth="1"/>
    <col min="7185" max="7185" width="25.6328125" style="1" customWidth="1"/>
    <col min="7186" max="7187" width="16.6328125" style="1" customWidth="1"/>
    <col min="7188" max="7188" width="26.6328125" style="1" customWidth="1"/>
    <col min="7189" max="7428" width="9.08984375" style="1"/>
    <col min="7429" max="7429" width="71" style="1" customWidth="1"/>
    <col min="7430" max="7430" width="22.6328125" style="1" bestFit="1" customWidth="1"/>
    <col min="7431" max="7431" width="33" style="1" bestFit="1" customWidth="1"/>
    <col min="7432" max="7432" width="26.54296875" style="1" bestFit="1" customWidth="1"/>
    <col min="7433" max="7433" width="22.6328125" style="1" bestFit="1" customWidth="1"/>
    <col min="7434" max="7434" width="33" style="1" bestFit="1" customWidth="1"/>
    <col min="7435" max="7435" width="26.54296875" style="1" customWidth="1"/>
    <col min="7436" max="7436" width="22.6328125" style="1" bestFit="1" customWidth="1"/>
    <col min="7437" max="7438" width="33" style="1" bestFit="1" customWidth="1"/>
    <col min="7439" max="7439" width="22.6328125" style="1" bestFit="1" customWidth="1"/>
    <col min="7440" max="7440" width="33" style="1" bestFit="1" customWidth="1"/>
    <col min="7441" max="7441" width="25.6328125" style="1" customWidth="1"/>
    <col min="7442" max="7443" width="16.6328125" style="1" customWidth="1"/>
    <col min="7444" max="7444" width="26.6328125" style="1" customWidth="1"/>
    <col min="7445" max="7684" width="9.08984375" style="1"/>
    <col min="7685" max="7685" width="71" style="1" customWidth="1"/>
    <col min="7686" max="7686" width="22.6328125" style="1" bestFit="1" customWidth="1"/>
    <col min="7687" max="7687" width="33" style="1" bestFit="1" customWidth="1"/>
    <col min="7688" max="7688" width="26.54296875" style="1" bestFit="1" customWidth="1"/>
    <col min="7689" max="7689" width="22.6328125" style="1" bestFit="1" customWidth="1"/>
    <col min="7690" max="7690" width="33" style="1" bestFit="1" customWidth="1"/>
    <col min="7691" max="7691" width="26.54296875" style="1" customWidth="1"/>
    <col min="7692" max="7692" width="22.6328125" style="1" bestFit="1" customWidth="1"/>
    <col min="7693" max="7694" width="33" style="1" bestFit="1" customWidth="1"/>
    <col min="7695" max="7695" width="22.6328125" style="1" bestFit="1" customWidth="1"/>
    <col min="7696" max="7696" width="33" style="1" bestFit="1" customWidth="1"/>
    <col min="7697" max="7697" width="25.6328125" style="1" customWidth="1"/>
    <col min="7698" max="7699" width="16.6328125" style="1" customWidth="1"/>
    <col min="7700" max="7700" width="26.6328125" style="1" customWidth="1"/>
    <col min="7701" max="7940" width="9.08984375" style="1"/>
    <col min="7941" max="7941" width="71" style="1" customWidth="1"/>
    <col min="7942" max="7942" width="22.6328125" style="1" bestFit="1" customWidth="1"/>
    <col min="7943" max="7943" width="33" style="1" bestFit="1" customWidth="1"/>
    <col min="7944" max="7944" width="26.54296875" style="1" bestFit="1" customWidth="1"/>
    <col min="7945" max="7945" width="22.6328125" style="1" bestFit="1" customWidth="1"/>
    <col min="7946" max="7946" width="33" style="1" bestFit="1" customWidth="1"/>
    <col min="7947" max="7947" width="26.54296875" style="1" customWidth="1"/>
    <col min="7948" max="7948" width="22.6328125" style="1" bestFit="1" customWidth="1"/>
    <col min="7949" max="7950" width="33" style="1" bestFit="1" customWidth="1"/>
    <col min="7951" max="7951" width="22.6328125" style="1" bestFit="1" customWidth="1"/>
    <col min="7952" max="7952" width="33" style="1" bestFit="1" customWidth="1"/>
    <col min="7953" max="7953" width="25.6328125" style="1" customWidth="1"/>
    <col min="7954" max="7955" width="16.6328125" style="1" customWidth="1"/>
    <col min="7956" max="7956" width="26.6328125" style="1" customWidth="1"/>
    <col min="7957" max="8196" width="9.08984375" style="1"/>
    <col min="8197" max="8197" width="71" style="1" customWidth="1"/>
    <col min="8198" max="8198" width="22.6328125" style="1" bestFit="1" customWidth="1"/>
    <col min="8199" max="8199" width="33" style="1" bestFit="1" customWidth="1"/>
    <col min="8200" max="8200" width="26.54296875" style="1" bestFit="1" customWidth="1"/>
    <col min="8201" max="8201" width="22.6328125" style="1" bestFit="1" customWidth="1"/>
    <col min="8202" max="8202" width="33" style="1" bestFit="1" customWidth="1"/>
    <col min="8203" max="8203" width="26.54296875" style="1" customWidth="1"/>
    <col min="8204" max="8204" width="22.6328125" style="1" bestFit="1" customWidth="1"/>
    <col min="8205" max="8206" width="33" style="1" bestFit="1" customWidth="1"/>
    <col min="8207" max="8207" width="22.6328125" style="1" bestFit="1" customWidth="1"/>
    <col min="8208" max="8208" width="33" style="1" bestFit="1" customWidth="1"/>
    <col min="8209" max="8209" width="25.6328125" style="1" customWidth="1"/>
    <col min="8210" max="8211" width="16.6328125" style="1" customWidth="1"/>
    <col min="8212" max="8212" width="26.6328125" style="1" customWidth="1"/>
    <col min="8213" max="8452" width="9.08984375" style="1"/>
    <col min="8453" max="8453" width="71" style="1" customWidth="1"/>
    <col min="8454" max="8454" width="22.6328125" style="1" bestFit="1" customWidth="1"/>
    <col min="8455" max="8455" width="33" style="1" bestFit="1" customWidth="1"/>
    <col min="8456" max="8456" width="26.54296875" style="1" bestFit="1" customWidth="1"/>
    <col min="8457" max="8457" width="22.6328125" style="1" bestFit="1" customWidth="1"/>
    <col min="8458" max="8458" width="33" style="1" bestFit="1" customWidth="1"/>
    <col min="8459" max="8459" width="26.54296875" style="1" customWidth="1"/>
    <col min="8460" max="8460" width="22.6328125" style="1" bestFit="1" customWidth="1"/>
    <col min="8461" max="8462" width="33" style="1" bestFit="1" customWidth="1"/>
    <col min="8463" max="8463" width="22.6328125" style="1" bestFit="1" customWidth="1"/>
    <col min="8464" max="8464" width="33" style="1" bestFit="1" customWidth="1"/>
    <col min="8465" max="8465" width="25.6328125" style="1" customWidth="1"/>
    <col min="8466" max="8467" width="16.6328125" style="1" customWidth="1"/>
    <col min="8468" max="8468" width="26.6328125" style="1" customWidth="1"/>
    <col min="8469" max="8708" width="9.08984375" style="1"/>
    <col min="8709" max="8709" width="71" style="1" customWidth="1"/>
    <col min="8710" max="8710" width="22.6328125" style="1" bestFit="1" customWidth="1"/>
    <col min="8711" max="8711" width="33" style="1" bestFit="1" customWidth="1"/>
    <col min="8712" max="8712" width="26.54296875" style="1" bestFit="1" customWidth="1"/>
    <col min="8713" max="8713" width="22.6328125" style="1" bestFit="1" customWidth="1"/>
    <col min="8714" max="8714" width="33" style="1" bestFit="1" customWidth="1"/>
    <col min="8715" max="8715" width="26.54296875" style="1" customWidth="1"/>
    <col min="8716" max="8716" width="22.6328125" style="1" bestFit="1" customWidth="1"/>
    <col min="8717" max="8718" width="33" style="1" bestFit="1" customWidth="1"/>
    <col min="8719" max="8719" width="22.6328125" style="1" bestFit="1" customWidth="1"/>
    <col min="8720" max="8720" width="33" style="1" bestFit="1" customWidth="1"/>
    <col min="8721" max="8721" width="25.6328125" style="1" customWidth="1"/>
    <col min="8722" max="8723" width="16.6328125" style="1" customWidth="1"/>
    <col min="8724" max="8724" width="26.6328125" style="1" customWidth="1"/>
    <col min="8725" max="8964" width="9.08984375" style="1"/>
    <col min="8965" max="8965" width="71" style="1" customWidth="1"/>
    <col min="8966" max="8966" width="22.6328125" style="1" bestFit="1" customWidth="1"/>
    <col min="8967" max="8967" width="33" style="1" bestFit="1" customWidth="1"/>
    <col min="8968" max="8968" width="26.54296875" style="1" bestFit="1" customWidth="1"/>
    <col min="8969" max="8969" width="22.6328125" style="1" bestFit="1" customWidth="1"/>
    <col min="8970" max="8970" width="33" style="1" bestFit="1" customWidth="1"/>
    <col min="8971" max="8971" width="26.54296875" style="1" customWidth="1"/>
    <col min="8972" max="8972" width="22.6328125" style="1" bestFit="1" customWidth="1"/>
    <col min="8973" max="8974" width="33" style="1" bestFit="1" customWidth="1"/>
    <col min="8975" max="8975" width="22.6328125" style="1" bestFit="1" customWidth="1"/>
    <col min="8976" max="8976" width="33" style="1" bestFit="1" customWidth="1"/>
    <col min="8977" max="8977" width="25.6328125" style="1" customWidth="1"/>
    <col min="8978" max="8979" width="16.6328125" style="1" customWidth="1"/>
    <col min="8980" max="8980" width="26.6328125" style="1" customWidth="1"/>
    <col min="8981" max="9220" width="9.08984375" style="1"/>
    <col min="9221" max="9221" width="71" style="1" customWidth="1"/>
    <col min="9222" max="9222" width="22.6328125" style="1" bestFit="1" customWidth="1"/>
    <col min="9223" max="9223" width="33" style="1" bestFit="1" customWidth="1"/>
    <col min="9224" max="9224" width="26.54296875" style="1" bestFit="1" customWidth="1"/>
    <col min="9225" max="9225" width="22.6328125" style="1" bestFit="1" customWidth="1"/>
    <col min="9226" max="9226" width="33" style="1" bestFit="1" customWidth="1"/>
    <col min="9227" max="9227" width="26.54296875" style="1" customWidth="1"/>
    <col min="9228" max="9228" width="22.6328125" style="1" bestFit="1" customWidth="1"/>
    <col min="9229" max="9230" width="33" style="1" bestFit="1" customWidth="1"/>
    <col min="9231" max="9231" width="22.6328125" style="1" bestFit="1" customWidth="1"/>
    <col min="9232" max="9232" width="33" style="1" bestFit="1" customWidth="1"/>
    <col min="9233" max="9233" width="25.6328125" style="1" customWidth="1"/>
    <col min="9234" max="9235" width="16.6328125" style="1" customWidth="1"/>
    <col min="9236" max="9236" width="26.6328125" style="1" customWidth="1"/>
    <col min="9237" max="9476" width="9.08984375" style="1"/>
    <col min="9477" max="9477" width="71" style="1" customWidth="1"/>
    <col min="9478" max="9478" width="22.6328125" style="1" bestFit="1" customWidth="1"/>
    <col min="9479" max="9479" width="33" style="1" bestFit="1" customWidth="1"/>
    <col min="9480" max="9480" width="26.54296875" style="1" bestFit="1" customWidth="1"/>
    <col min="9481" max="9481" width="22.6328125" style="1" bestFit="1" customWidth="1"/>
    <col min="9482" max="9482" width="33" style="1" bestFit="1" customWidth="1"/>
    <col min="9483" max="9483" width="26.54296875" style="1" customWidth="1"/>
    <col min="9484" max="9484" width="22.6328125" style="1" bestFit="1" customWidth="1"/>
    <col min="9485" max="9486" width="33" style="1" bestFit="1" customWidth="1"/>
    <col min="9487" max="9487" width="22.6328125" style="1" bestFit="1" customWidth="1"/>
    <col min="9488" max="9488" width="33" style="1" bestFit="1" customWidth="1"/>
    <col min="9489" max="9489" width="25.6328125" style="1" customWidth="1"/>
    <col min="9490" max="9491" width="16.6328125" style="1" customWidth="1"/>
    <col min="9492" max="9492" width="26.6328125" style="1" customWidth="1"/>
    <col min="9493" max="9732" width="9.08984375" style="1"/>
    <col min="9733" max="9733" width="71" style="1" customWidth="1"/>
    <col min="9734" max="9734" width="22.6328125" style="1" bestFit="1" customWidth="1"/>
    <col min="9735" max="9735" width="33" style="1" bestFit="1" customWidth="1"/>
    <col min="9736" max="9736" width="26.54296875" style="1" bestFit="1" customWidth="1"/>
    <col min="9737" max="9737" width="22.6328125" style="1" bestFit="1" customWidth="1"/>
    <col min="9738" max="9738" width="33" style="1" bestFit="1" customWidth="1"/>
    <col min="9739" max="9739" width="26.54296875" style="1" customWidth="1"/>
    <col min="9740" max="9740" width="22.6328125" style="1" bestFit="1" customWidth="1"/>
    <col min="9741" max="9742" width="33" style="1" bestFit="1" customWidth="1"/>
    <col min="9743" max="9743" width="22.6328125" style="1" bestFit="1" customWidth="1"/>
    <col min="9744" max="9744" width="33" style="1" bestFit="1" customWidth="1"/>
    <col min="9745" max="9745" width="25.6328125" style="1" customWidth="1"/>
    <col min="9746" max="9747" width="16.6328125" style="1" customWidth="1"/>
    <col min="9748" max="9748" width="26.6328125" style="1" customWidth="1"/>
    <col min="9749" max="9988" width="9.08984375" style="1"/>
    <col min="9989" max="9989" width="71" style="1" customWidth="1"/>
    <col min="9990" max="9990" width="22.6328125" style="1" bestFit="1" customWidth="1"/>
    <col min="9991" max="9991" width="33" style="1" bestFit="1" customWidth="1"/>
    <col min="9992" max="9992" width="26.54296875" style="1" bestFit="1" customWidth="1"/>
    <col min="9993" max="9993" width="22.6328125" style="1" bestFit="1" customWidth="1"/>
    <col min="9994" max="9994" width="33" style="1" bestFit="1" customWidth="1"/>
    <col min="9995" max="9995" width="26.54296875" style="1" customWidth="1"/>
    <col min="9996" max="9996" width="22.6328125" style="1" bestFit="1" customWidth="1"/>
    <col min="9997" max="9998" width="33" style="1" bestFit="1" customWidth="1"/>
    <col min="9999" max="9999" width="22.6328125" style="1" bestFit="1" customWidth="1"/>
    <col min="10000" max="10000" width="33" style="1" bestFit="1" customWidth="1"/>
    <col min="10001" max="10001" width="25.6328125" style="1" customWidth="1"/>
    <col min="10002" max="10003" width="16.6328125" style="1" customWidth="1"/>
    <col min="10004" max="10004" width="26.6328125" style="1" customWidth="1"/>
    <col min="10005" max="10244" width="9.08984375" style="1"/>
    <col min="10245" max="10245" width="71" style="1" customWidth="1"/>
    <col min="10246" max="10246" width="22.6328125" style="1" bestFit="1" customWidth="1"/>
    <col min="10247" max="10247" width="33" style="1" bestFit="1" customWidth="1"/>
    <col min="10248" max="10248" width="26.54296875" style="1" bestFit="1" customWidth="1"/>
    <col min="10249" max="10249" width="22.6328125" style="1" bestFit="1" customWidth="1"/>
    <col min="10250" max="10250" width="33" style="1" bestFit="1" customWidth="1"/>
    <col min="10251" max="10251" width="26.54296875" style="1" customWidth="1"/>
    <col min="10252" max="10252" width="22.6328125" style="1" bestFit="1" customWidth="1"/>
    <col min="10253" max="10254" width="33" style="1" bestFit="1" customWidth="1"/>
    <col min="10255" max="10255" width="22.6328125" style="1" bestFit="1" customWidth="1"/>
    <col min="10256" max="10256" width="33" style="1" bestFit="1" customWidth="1"/>
    <col min="10257" max="10257" width="25.6328125" style="1" customWidth="1"/>
    <col min="10258" max="10259" width="16.6328125" style="1" customWidth="1"/>
    <col min="10260" max="10260" width="26.6328125" style="1" customWidth="1"/>
    <col min="10261" max="10500" width="9.08984375" style="1"/>
    <col min="10501" max="10501" width="71" style="1" customWidth="1"/>
    <col min="10502" max="10502" width="22.6328125" style="1" bestFit="1" customWidth="1"/>
    <col min="10503" max="10503" width="33" style="1" bestFit="1" customWidth="1"/>
    <col min="10504" max="10504" width="26.54296875" style="1" bestFit="1" customWidth="1"/>
    <col min="10505" max="10505" width="22.6328125" style="1" bestFit="1" customWidth="1"/>
    <col min="10506" max="10506" width="33" style="1" bestFit="1" customWidth="1"/>
    <col min="10507" max="10507" width="26.54296875" style="1" customWidth="1"/>
    <col min="10508" max="10508" width="22.6328125" style="1" bestFit="1" customWidth="1"/>
    <col min="10509" max="10510" width="33" style="1" bestFit="1" customWidth="1"/>
    <col min="10511" max="10511" width="22.6328125" style="1" bestFit="1" customWidth="1"/>
    <col min="10512" max="10512" width="33" style="1" bestFit="1" customWidth="1"/>
    <col min="10513" max="10513" width="25.6328125" style="1" customWidth="1"/>
    <col min="10514" max="10515" width="16.6328125" style="1" customWidth="1"/>
    <col min="10516" max="10516" width="26.6328125" style="1" customWidth="1"/>
    <col min="10517" max="10756" width="9.08984375" style="1"/>
    <col min="10757" max="10757" width="71" style="1" customWidth="1"/>
    <col min="10758" max="10758" width="22.6328125" style="1" bestFit="1" customWidth="1"/>
    <col min="10759" max="10759" width="33" style="1" bestFit="1" customWidth="1"/>
    <col min="10760" max="10760" width="26.54296875" style="1" bestFit="1" customWidth="1"/>
    <col min="10761" max="10761" width="22.6328125" style="1" bestFit="1" customWidth="1"/>
    <col min="10762" max="10762" width="33" style="1" bestFit="1" customWidth="1"/>
    <col min="10763" max="10763" width="26.54296875" style="1" customWidth="1"/>
    <col min="10764" max="10764" width="22.6328125" style="1" bestFit="1" customWidth="1"/>
    <col min="10765" max="10766" width="33" style="1" bestFit="1" customWidth="1"/>
    <col min="10767" max="10767" width="22.6328125" style="1" bestFit="1" customWidth="1"/>
    <col min="10768" max="10768" width="33" style="1" bestFit="1" customWidth="1"/>
    <col min="10769" max="10769" width="25.6328125" style="1" customWidth="1"/>
    <col min="10770" max="10771" width="16.6328125" style="1" customWidth="1"/>
    <col min="10772" max="10772" width="26.6328125" style="1" customWidth="1"/>
    <col min="10773" max="11012" width="9.08984375" style="1"/>
    <col min="11013" max="11013" width="71" style="1" customWidth="1"/>
    <col min="11014" max="11014" width="22.6328125" style="1" bestFit="1" customWidth="1"/>
    <col min="11015" max="11015" width="33" style="1" bestFit="1" customWidth="1"/>
    <col min="11016" max="11016" width="26.54296875" style="1" bestFit="1" customWidth="1"/>
    <col min="11017" max="11017" width="22.6328125" style="1" bestFit="1" customWidth="1"/>
    <col min="11018" max="11018" width="33" style="1" bestFit="1" customWidth="1"/>
    <col min="11019" max="11019" width="26.54296875" style="1" customWidth="1"/>
    <col min="11020" max="11020" width="22.6328125" style="1" bestFit="1" customWidth="1"/>
    <col min="11021" max="11022" width="33" style="1" bestFit="1" customWidth="1"/>
    <col min="11023" max="11023" width="22.6328125" style="1" bestFit="1" customWidth="1"/>
    <col min="11024" max="11024" width="33" style="1" bestFit="1" customWidth="1"/>
    <col min="11025" max="11025" width="25.6328125" style="1" customWidth="1"/>
    <col min="11026" max="11027" width="16.6328125" style="1" customWidth="1"/>
    <col min="11028" max="11028" width="26.6328125" style="1" customWidth="1"/>
    <col min="11029" max="11268" width="9.08984375" style="1"/>
    <col min="11269" max="11269" width="71" style="1" customWidth="1"/>
    <col min="11270" max="11270" width="22.6328125" style="1" bestFit="1" customWidth="1"/>
    <col min="11271" max="11271" width="33" style="1" bestFit="1" customWidth="1"/>
    <col min="11272" max="11272" width="26.54296875" style="1" bestFit="1" customWidth="1"/>
    <col min="11273" max="11273" width="22.6328125" style="1" bestFit="1" customWidth="1"/>
    <col min="11274" max="11274" width="33" style="1" bestFit="1" customWidth="1"/>
    <col min="11275" max="11275" width="26.54296875" style="1" customWidth="1"/>
    <col min="11276" max="11276" width="22.6328125" style="1" bestFit="1" customWidth="1"/>
    <col min="11277" max="11278" width="33" style="1" bestFit="1" customWidth="1"/>
    <col min="11279" max="11279" width="22.6328125" style="1" bestFit="1" customWidth="1"/>
    <col min="11280" max="11280" width="33" style="1" bestFit="1" customWidth="1"/>
    <col min="11281" max="11281" width="25.6328125" style="1" customWidth="1"/>
    <col min="11282" max="11283" width="16.6328125" style="1" customWidth="1"/>
    <col min="11284" max="11284" width="26.6328125" style="1" customWidth="1"/>
    <col min="11285" max="11524" width="9.08984375" style="1"/>
    <col min="11525" max="11525" width="71" style="1" customWidth="1"/>
    <col min="11526" max="11526" width="22.6328125" style="1" bestFit="1" customWidth="1"/>
    <col min="11527" max="11527" width="33" style="1" bestFit="1" customWidth="1"/>
    <col min="11528" max="11528" width="26.54296875" style="1" bestFit="1" customWidth="1"/>
    <col min="11529" max="11529" width="22.6328125" style="1" bestFit="1" customWidth="1"/>
    <col min="11530" max="11530" width="33" style="1" bestFit="1" customWidth="1"/>
    <col min="11531" max="11531" width="26.54296875" style="1" customWidth="1"/>
    <col min="11532" max="11532" width="22.6328125" style="1" bestFit="1" customWidth="1"/>
    <col min="11533" max="11534" width="33" style="1" bestFit="1" customWidth="1"/>
    <col min="11535" max="11535" width="22.6328125" style="1" bestFit="1" customWidth="1"/>
    <col min="11536" max="11536" width="33" style="1" bestFit="1" customWidth="1"/>
    <col min="11537" max="11537" width="25.6328125" style="1" customWidth="1"/>
    <col min="11538" max="11539" width="16.6328125" style="1" customWidth="1"/>
    <col min="11540" max="11540" width="26.6328125" style="1" customWidth="1"/>
    <col min="11541" max="11780" width="9.08984375" style="1"/>
    <col min="11781" max="11781" width="71" style="1" customWidth="1"/>
    <col min="11782" max="11782" width="22.6328125" style="1" bestFit="1" customWidth="1"/>
    <col min="11783" max="11783" width="33" style="1" bestFit="1" customWidth="1"/>
    <col min="11784" max="11784" width="26.54296875" style="1" bestFit="1" customWidth="1"/>
    <col min="11785" max="11785" width="22.6328125" style="1" bestFit="1" customWidth="1"/>
    <col min="11786" max="11786" width="33" style="1" bestFit="1" customWidth="1"/>
    <col min="11787" max="11787" width="26.54296875" style="1" customWidth="1"/>
    <col min="11788" max="11788" width="22.6328125" style="1" bestFit="1" customWidth="1"/>
    <col min="11789" max="11790" width="33" style="1" bestFit="1" customWidth="1"/>
    <col min="11791" max="11791" width="22.6328125" style="1" bestFit="1" customWidth="1"/>
    <col min="11792" max="11792" width="33" style="1" bestFit="1" customWidth="1"/>
    <col min="11793" max="11793" width="25.6328125" style="1" customWidth="1"/>
    <col min="11794" max="11795" width="16.6328125" style="1" customWidth="1"/>
    <col min="11796" max="11796" width="26.6328125" style="1" customWidth="1"/>
    <col min="11797" max="12036" width="9.08984375" style="1"/>
    <col min="12037" max="12037" width="71" style="1" customWidth="1"/>
    <col min="12038" max="12038" width="22.6328125" style="1" bestFit="1" customWidth="1"/>
    <col min="12039" max="12039" width="33" style="1" bestFit="1" customWidth="1"/>
    <col min="12040" max="12040" width="26.54296875" style="1" bestFit="1" customWidth="1"/>
    <col min="12041" max="12041" width="22.6328125" style="1" bestFit="1" customWidth="1"/>
    <col min="12042" max="12042" width="33" style="1" bestFit="1" customWidth="1"/>
    <col min="12043" max="12043" width="26.54296875" style="1" customWidth="1"/>
    <col min="12044" max="12044" width="22.6328125" style="1" bestFit="1" customWidth="1"/>
    <col min="12045" max="12046" width="33" style="1" bestFit="1" customWidth="1"/>
    <col min="12047" max="12047" width="22.6328125" style="1" bestFit="1" customWidth="1"/>
    <col min="12048" max="12048" width="33" style="1" bestFit="1" customWidth="1"/>
    <col min="12049" max="12049" width="25.6328125" style="1" customWidth="1"/>
    <col min="12050" max="12051" width="16.6328125" style="1" customWidth="1"/>
    <col min="12052" max="12052" width="26.6328125" style="1" customWidth="1"/>
    <col min="12053" max="12292" width="9.08984375" style="1"/>
    <col min="12293" max="12293" width="71" style="1" customWidth="1"/>
    <col min="12294" max="12294" width="22.6328125" style="1" bestFit="1" customWidth="1"/>
    <col min="12295" max="12295" width="33" style="1" bestFit="1" customWidth="1"/>
    <col min="12296" max="12296" width="26.54296875" style="1" bestFit="1" customWidth="1"/>
    <col min="12297" max="12297" width="22.6328125" style="1" bestFit="1" customWidth="1"/>
    <col min="12298" max="12298" width="33" style="1" bestFit="1" customWidth="1"/>
    <col min="12299" max="12299" width="26.54296875" style="1" customWidth="1"/>
    <col min="12300" max="12300" width="22.6328125" style="1" bestFit="1" customWidth="1"/>
    <col min="12301" max="12302" width="33" style="1" bestFit="1" customWidth="1"/>
    <col min="12303" max="12303" width="22.6328125" style="1" bestFit="1" customWidth="1"/>
    <col min="12304" max="12304" width="33" style="1" bestFit="1" customWidth="1"/>
    <col min="12305" max="12305" width="25.6328125" style="1" customWidth="1"/>
    <col min="12306" max="12307" width="16.6328125" style="1" customWidth="1"/>
    <col min="12308" max="12308" width="26.6328125" style="1" customWidth="1"/>
    <col min="12309" max="12548" width="9.08984375" style="1"/>
    <col min="12549" max="12549" width="71" style="1" customWidth="1"/>
    <col min="12550" max="12550" width="22.6328125" style="1" bestFit="1" customWidth="1"/>
    <col min="12551" max="12551" width="33" style="1" bestFit="1" customWidth="1"/>
    <col min="12552" max="12552" width="26.54296875" style="1" bestFit="1" customWidth="1"/>
    <col min="12553" max="12553" width="22.6328125" style="1" bestFit="1" customWidth="1"/>
    <col min="12554" max="12554" width="33" style="1" bestFit="1" customWidth="1"/>
    <col min="12555" max="12555" width="26.54296875" style="1" customWidth="1"/>
    <col min="12556" max="12556" width="22.6328125" style="1" bestFit="1" customWidth="1"/>
    <col min="12557" max="12558" width="33" style="1" bestFit="1" customWidth="1"/>
    <col min="12559" max="12559" width="22.6328125" style="1" bestFit="1" customWidth="1"/>
    <col min="12560" max="12560" width="33" style="1" bestFit="1" customWidth="1"/>
    <col min="12561" max="12561" width="25.6328125" style="1" customWidth="1"/>
    <col min="12562" max="12563" width="16.6328125" style="1" customWidth="1"/>
    <col min="12564" max="12564" width="26.6328125" style="1" customWidth="1"/>
    <col min="12565" max="12804" width="9.08984375" style="1"/>
    <col min="12805" max="12805" width="71" style="1" customWidth="1"/>
    <col min="12806" max="12806" width="22.6328125" style="1" bestFit="1" customWidth="1"/>
    <col min="12807" max="12807" width="33" style="1" bestFit="1" customWidth="1"/>
    <col min="12808" max="12808" width="26.54296875" style="1" bestFit="1" customWidth="1"/>
    <col min="12809" max="12809" width="22.6328125" style="1" bestFit="1" customWidth="1"/>
    <col min="12810" max="12810" width="33" style="1" bestFit="1" customWidth="1"/>
    <col min="12811" max="12811" width="26.54296875" style="1" customWidth="1"/>
    <col min="12812" max="12812" width="22.6328125" style="1" bestFit="1" customWidth="1"/>
    <col min="12813" max="12814" width="33" style="1" bestFit="1" customWidth="1"/>
    <col min="12815" max="12815" width="22.6328125" style="1" bestFit="1" customWidth="1"/>
    <col min="12816" max="12816" width="33" style="1" bestFit="1" customWidth="1"/>
    <col min="12817" max="12817" width="25.6328125" style="1" customWidth="1"/>
    <col min="12818" max="12819" width="16.6328125" style="1" customWidth="1"/>
    <col min="12820" max="12820" width="26.6328125" style="1" customWidth="1"/>
    <col min="12821" max="13060" width="9.08984375" style="1"/>
    <col min="13061" max="13061" width="71" style="1" customWidth="1"/>
    <col min="13062" max="13062" width="22.6328125" style="1" bestFit="1" customWidth="1"/>
    <col min="13063" max="13063" width="33" style="1" bestFit="1" customWidth="1"/>
    <col min="13064" max="13064" width="26.54296875" style="1" bestFit="1" customWidth="1"/>
    <col min="13065" max="13065" width="22.6328125" style="1" bestFit="1" customWidth="1"/>
    <col min="13066" max="13066" width="33" style="1" bestFit="1" customWidth="1"/>
    <col min="13067" max="13067" width="26.54296875" style="1" customWidth="1"/>
    <col min="13068" max="13068" width="22.6328125" style="1" bestFit="1" customWidth="1"/>
    <col min="13069" max="13070" width="33" style="1" bestFit="1" customWidth="1"/>
    <col min="13071" max="13071" width="22.6328125" style="1" bestFit="1" customWidth="1"/>
    <col min="13072" max="13072" width="33" style="1" bestFit="1" customWidth="1"/>
    <col min="13073" max="13073" width="25.6328125" style="1" customWidth="1"/>
    <col min="13074" max="13075" width="16.6328125" style="1" customWidth="1"/>
    <col min="13076" max="13076" width="26.6328125" style="1" customWidth="1"/>
    <col min="13077" max="13316" width="9.08984375" style="1"/>
    <col min="13317" max="13317" width="71" style="1" customWidth="1"/>
    <col min="13318" max="13318" width="22.6328125" style="1" bestFit="1" customWidth="1"/>
    <col min="13319" max="13319" width="33" style="1" bestFit="1" customWidth="1"/>
    <col min="13320" max="13320" width="26.54296875" style="1" bestFit="1" customWidth="1"/>
    <col min="13321" max="13321" width="22.6328125" style="1" bestFit="1" customWidth="1"/>
    <col min="13322" max="13322" width="33" style="1" bestFit="1" customWidth="1"/>
    <col min="13323" max="13323" width="26.54296875" style="1" customWidth="1"/>
    <col min="13324" max="13324" width="22.6328125" style="1" bestFit="1" customWidth="1"/>
    <col min="13325" max="13326" width="33" style="1" bestFit="1" customWidth="1"/>
    <col min="13327" max="13327" width="22.6328125" style="1" bestFit="1" customWidth="1"/>
    <col min="13328" max="13328" width="33" style="1" bestFit="1" customWidth="1"/>
    <col min="13329" max="13329" width="25.6328125" style="1" customWidth="1"/>
    <col min="13330" max="13331" width="16.6328125" style="1" customWidth="1"/>
    <col min="13332" max="13332" width="26.6328125" style="1" customWidth="1"/>
    <col min="13333" max="13572" width="9.08984375" style="1"/>
    <col min="13573" max="13573" width="71" style="1" customWidth="1"/>
    <col min="13574" max="13574" width="22.6328125" style="1" bestFit="1" customWidth="1"/>
    <col min="13575" max="13575" width="33" style="1" bestFit="1" customWidth="1"/>
    <col min="13576" max="13576" width="26.54296875" style="1" bestFit="1" customWidth="1"/>
    <col min="13577" max="13577" width="22.6328125" style="1" bestFit="1" customWidth="1"/>
    <col min="13578" max="13578" width="33" style="1" bestFit="1" customWidth="1"/>
    <col min="13579" max="13579" width="26.54296875" style="1" customWidth="1"/>
    <col min="13580" max="13580" width="22.6328125" style="1" bestFit="1" customWidth="1"/>
    <col min="13581" max="13582" width="33" style="1" bestFit="1" customWidth="1"/>
    <col min="13583" max="13583" width="22.6328125" style="1" bestFit="1" customWidth="1"/>
    <col min="13584" max="13584" width="33" style="1" bestFit="1" customWidth="1"/>
    <col min="13585" max="13585" width="25.6328125" style="1" customWidth="1"/>
    <col min="13586" max="13587" width="16.6328125" style="1" customWidth="1"/>
    <col min="13588" max="13588" width="26.6328125" style="1" customWidth="1"/>
    <col min="13589" max="13828" width="9.08984375" style="1"/>
    <col min="13829" max="13829" width="71" style="1" customWidth="1"/>
    <col min="13830" max="13830" width="22.6328125" style="1" bestFit="1" customWidth="1"/>
    <col min="13831" max="13831" width="33" style="1" bestFit="1" customWidth="1"/>
    <col min="13832" max="13832" width="26.54296875" style="1" bestFit="1" customWidth="1"/>
    <col min="13833" max="13833" width="22.6328125" style="1" bestFit="1" customWidth="1"/>
    <col min="13834" max="13834" width="33" style="1" bestFit="1" customWidth="1"/>
    <col min="13835" max="13835" width="26.54296875" style="1" customWidth="1"/>
    <col min="13836" max="13836" width="22.6328125" style="1" bestFit="1" customWidth="1"/>
    <col min="13837" max="13838" width="33" style="1" bestFit="1" customWidth="1"/>
    <col min="13839" max="13839" width="22.6328125" style="1" bestFit="1" customWidth="1"/>
    <col min="13840" max="13840" width="33" style="1" bestFit="1" customWidth="1"/>
    <col min="13841" max="13841" width="25.6328125" style="1" customWidth="1"/>
    <col min="13842" max="13843" width="16.6328125" style="1" customWidth="1"/>
    <col min="13844" max="13844" width="26.6328125" style="1" customWidth="1"/>
    <col min="13845" max="14084" width="9.08984375" style="1"/>
    <col min="14085" max="14085" width="71" style="1" customWidth="1"/>
    <col min="14086" max="14086" width="22.6328125" style="1" bestFit="1" customWidth="1"/>
    <col min="14087" max="14087" width="33" style="1" bestFit="1" customWidth="1"/>
    <col min="14088" max="14088" width="26.54296875" style="1" bestFit="1" customWidth="1"/>
    <col min="14089" max="14089" width="22.6328125" style="1" bestFit="1" customWidth="1"/>
    <col min="14090" max="14090" width="33" style="1" bestFit="1" customWidth="1"/>
    <col min="14091" max="14091" width="26.54296875" style="1" customWidth="1"/>
    <col min="14092" max="14092" width="22.6328125" style="1" bestFit="1" customWidth="1"/>
    <col min="14093" max="14094" width="33" style="1" bestFit="1" customWidth="1"/>
    <col min="14095" max="14095" width="22.6328125" style="1" bestFit="1" customWidth="1"/>
    <col min="14096" max="14096" width="33" style="1" bestFit="1" customWidth="1"/>
    <col min="14097" max="14097" width="25.6328125" style="1" customWidth="1"/>
    <col min="14098" max="14099" width="16.6328125" style="1" customWidth="1"/>
    <col min="14100" max="14100" width="26.6328125" style="1" customWidth="1"/>
    <col min="14101" max="14340" width="9.08984375" style="1"/>
    <col min="14341" max="14341" width="71" style="1" customWidth="1"/>
    <col min="14342" max="14342" width="22.6328125" style="1" bestFit="1" customWidth="1"/>
    <col min="14343" max="14343" width="33" style="1" bestFit="1" customWidth="1"/>
    <col min="14344" max="14344" width="26.54296875" style="1" bestFit="1" customWidth="1"/>
    <col min="14345" max="14345" width="22.6328125" style="1" bestFit="1" customWidth="1"/>
    <col min="14346" max="14346" width="33" style="1" bestFit="1" customWidth="1"/>
    <col min="14347" max="14347" width="26.54296875" style="1" customWidth="1"/>
    <col min="14348" max="14348" width="22.6328125" style="1" bestFit="1" customWidth="1"/>
    <col min="14349" max="14350" width="33" style="1" bestFit="1" customWidth="1"/>
    <col min="14351" max="14351" width="22.6328125" style="1" bestFit="1" customWidth="1"/>
    <col min="14352" max="14352" width="33" style="1" bestFit="1" customWidth="1"/>
    <col min="14353" max="14353" width="25.6328125" style="1" customWidth="1"/>
    <col min="14354" max="14355" width="16.6328125" style="1" customWidth="1"/>
    <col min="14356" max="14356" width="26.6328125" style="1" customWidth="1"/>
    <col min="14357" max="14596" width="9.08984375" style="1"/>
    <col min="14597" max="14597" width="71" style="1" customWidth="1"/>
    <col min="14598" max="14598" width="22.6328125" style="1" bestFit="1" customWidth="1"/>
    <col min="14599" max="14599" width="33" style="1" bestFit="1" customWidth="1"/>
    <col min="14600" max="14600" width="26.54296875" style="1" bestFit="1" customWidth="1"/>
    <col min="14601" max="14601" width="22.6328125" style="1" bestFit="1" customWidth="1"/>
    <col min="14602" max="14602" width="33" style="1" bestFit="1" customWidth="1"/>
    <col min="14603" max="14603" width="26.54296875" style="1" customWidth="1"/>
    <col min="14604" max="14604" width="22.6328125" style="1" bestFit="1" customWidth="1"/>
    <col min="14605" max="14606" width="33" style="1" bestFit="1" customWidth="1"/>
    <col min="14607" max="14607" width="22.6328125" style="1" bestFit="1" customWidth="1"/>
    <col min="14608" max="14608" width="33" style="1" bestFit="1" customWidth="1"/>
    <col min="14609" max="14609" width="25.6328125" style="1" customWidth="1"/>
    <col min="14610" max="14611" width="16.6328125" style="1" customWidth="1"/>
    <col min="14612" max="14612" width="26.6328125" style="1" customWidth="1"/>
    <col min="14613" max="14852" width="9.08984375" style="1"/>
    <col min="14853" max="14853" width="71" style="1" customWidth="1"/>
    <col min="14854" max="14854" width="22.6328125" style="1" bestFit="1" customWidth="1"/>
    <col min="14855" max="14855" width="33" style="1" bestFit="1" customWidth="1"/>
    <col min="14856" max="14856" width="26.54296875" style="1" bestFit="1" customWidth="1"/>
    <col min="14857" max="14857" width="22.6328125" style="1" bestFit="1" customWidth="1"/>
    <col min="14858" max="14858" width="33" style="1" bestFit="1" customWidth="1"/>
    <col min="14859" max="14859" width="26.54296875" style="1" customWidth="1"/>
    <col min="14860" max="14860" width="22.6328125" style="1" bestFit="1" customWidth="1"/>
    <col min="14861" max="14862" width="33" style="1" bestFit="1" customWidth="1"/>
    <col min="14863" max="14863" width="22.6328125" style="1" bestFit="1" customWidth="1"/>
    <col min="14864" max="14864" width="33" style="1" bestFit="1" customWidth="1"/>
    <col min="14865" max="14865" width="25.6328125" style="1" customWidth="1"/>
    <col min="14866" max="14867" width="16.6328125" style="1" customWidth="1"/>
    <col min="14868" max="14868" width="26.6328125" style="1" customWidth="1"/>
    <col min="14869" max="15108" width="9.08984375" style="1"/>
    <col min="15109" max="15109" width="71" style="1" customWidth="1"/>
    <col min="15110" max="15110" width="22.6328125" style="1" bestFit="1" customWidth="1"/>
    <col min="15111" max="15111" width="33" style="1" bestFit="1" customWidth="1"/>
    <col min="15112" max="15112" width="26.54296875" style="1" bestFit="1" customWidth="1"/>
    <col min="15113" max="15113" width="22.6328125" style="1" bestFit="1" customWidth="1"/>
    <col min="15114" max="15114" width="33" style="1" bestFit="1" customWidth="1"/>
    <col min="15115" max="15115" width="26.54296875" style="1" customWidth="1"/>
    <col min="15116" max="15116" width="22.6328125" style="1" bestFit="1" customWidth="1"/>
    <col min="15117" max="15118" width="33" style="1" bestFit="1" customWidth="1"/>
    <col min="15119" max="15119" width="22.6328125" style="1" bestFit="1" customWidth="1"/>
    <col min="15120" max="15120" width="33" style="1" bestFit="1" customWidth="1"/>
    <col min="15121" max="15121" width="25.6328125" style="1" customWidth="1"/>
    <col min="15122" max="15123" width="16.6328125" style="1" customWidth="1"/>
    <col min="15124" max="15124" width="26.6328125" style="1" customWidth="1"/>
    <col min="15125" max="15364" width="9.08984375" style="1"/>
    <col min="15365" max="15365" width="71" style="1" customWidth="1"/>
    <col min="15366" max="15366" width="22.6328125" style="1" bestFit="1" customWidth="1"/>
    <col min="15367" max="15367" width="33" style="1" bestFit="1" customWidth="1"/>
    <col min="15368" max="15368" width="26.54296875" style="1" bestFit="1" customWidth="1"/>
    <col min="15369" max="15369" width="22.6328125" style="1" bestFit="1" customWidth="1"/>
    <col min="15370" max="15370" width="33" style="1" bestFit="1" customWidth="1"/>
    <col min="15371" max="15371" width="26.54296875" style="1" customWidth="1"/>
    <col min="15372" max="15372" width="22.6328125" style="1" bestFit="1" customWidth="1"/>
    <col min="15373" max="15374" width="33" style="1" bestFit="1" customWidth="1"/>
    <col min="15375" max="15375" width="22.6328125" style="1" bestFit="1" customWidth="1"/>
    <col min="15376" max="15376" width="33" style="1" bestFit="1" customWidth="1"/>
    <col min="15377" max="15377" width="25.6328125" style="1" customWidth="1"/>
    <col min="15378" max="15379" width="16.6328125" style="1" customWidth="1"/>
    <col min="15380" max="15380" width="26.6328125" style="1" customWidth="1"/>
    <col min="15381" max="15620" width="9.08984375" style="1"/>
    <col min="15621" max="15621" width="71" style="1" customWidth="1"/>
    <col min="15622" max="15622" width="22.6328125" style="1" bestFit="1" customWidth="1"/>
    <col min="15623" max="15623" width="33" style="1" bestFit="1" customWidth="1"/>
    <col min="15624" max="15624" width="26.54296875" style="1" bestFit="1" customWidth="1"/>
    <col min="15625" max="15625" width="22.6328125" style="1" bestFit="1" customWidth="1"/>
    <col min="15626" max="15626" width="33" style="1" bestFit="1" customWidth="1"/>
    <col min="15627" max="15627" width="26.54296875" style="1" customWidth="1"/>
    <col min="15628" max="15628" width="22.6328125" style="1" bestFit="1" customWidth="1"/>
    <col min="15629" max="15630" width="33" style="1" bestFit="1" customWidth="1"/>
    <col min="15631" max="15631" width="22.6328125" style="1" bestFit="1" customWidth="1"/>
    <col min="15632" max="15632" width="33" style="1" bestFit="1" customWidth="1"/>
    <col min="15633" max="15633" width="25.6328125" style="1" customWidth="1"/>
    <col min="15634" max="15635" width="16.6328125" style="1" customWidth="1"/>
    <col min="15636" max="15636" width="26.6328125" style="1" customWidth="1"/>
    <col min="15637" max="15876" width="9.08984375" style="1"/>
    <col min="15877" max="15877" width="71" style="1" customWidth="1"/>
    <col min="15878" max="15878" width="22.6328125" style="1" bestFit="1" customWidth="1"/>
    <col min="15879" max="15879" width="33" style="1" bestFit="1" customWidth="1"/>
    <col min="15880" max="15880" width="26.54296875" style="1" bestFit="1" customWidth="1"/>
    <col min="15881" max="15881" width="22.6328125" style="1" bestFit="1" customWidth="1"/>
    <col min="15882" max="15882" width="33" style="1" bestFit="1" customWidth="1"/>
    <col min="15883" max="15883" width="26.54296875" style="1" customWidth="1"/>
    <col min="15884" max="15884" width="22.6328125" style="1" bestFit="1" customWidth="1"/>
    <col min="15885" max="15886" width="33" style="1" bestFit="1" customWidth="1"/>
    <col min="15887" max="15887" width="22.6328125" style="1" bestFit="1" customWidth="1"/>
    <col min="15888" max="15888" width="33" style="1" bestFit="1" customWidth="1"/>
    <col min="15889" max="15889" width="25.6328125" style="1" customWidth="1"/>
    <col min="15890" max="15891" width="16.6328125" style="1" customWidth="1"/>
    <col min="15892" max="15892" width="26.6328125" style="1" customWidth="1"/>
    <col min="15893" max="16132" width="9.08984375" style="1"/>
    <col min="16133" max="16133" width="71" style="1" customWidth="1"/>
    <col min="16134" max="16134" width="22.6328125" style="1" bestFit="1" customWidth="1"/>
    <col min="16135" max="16135" width="33" style="1" bestFit="1" customWidth="1"/>
    <col min="16136" max="16136" width="26.54296875" style="1" bestFit="1" customWidth="1"/>
    <col min="16137" max="16137" width="22.6328125" style="1" bestFit="1" customWidth="1"/>
    <col min="16138" max="16138" width="33" style="1" bestFit="1" customWidth="1"/>
    <col min="16139" max="16139" width="26.54296875" style="1" customWidth="1"/>
    <col min="16140" max="16140" width="22.6328125" style="1" bestFit="1" customWidth="1"/>
    <col min="16141" max="16142" width="33" style="1" bestFit="1" customWidth="1"/>
    <col min="16143" max="16143" width="22.6328125" style="1" bestFit="1" customWidth="1"/>
    <col min="16144" max="16144" width="33" style="1" bestFit="1" customWidth="1"/>
    <col min="16145" max="16145" width="25.6328125" style="1" customWidth="1"/>
    <col min="16146" max="16147" width="16.6328125" style="1" customWidth="1"/>
    <col min="16148" max="16148" width="26.6328125" style="1" customWidth="1"/>
    <col min="16149" max="16384" width="9.08984375" style="1"/>
  </cols>
  <sheetData>
    <row r="2" spans="2:18">
      <c r="B2" s="22"/>
      <c r="C2" s="22"/>
      <c r="D2" s="22"/>
      <c r="E2" s="22"/>
      <c r="F2" s="22"/>
      <c r="G2" s="891" t="str">
        <f>Index!B2</f>
        <v xml:space="preserve">      Maharashtra State Power Generation Company Ltd.</v>
      </c>
      <c r="H2" s="22"/>
      <c r="I2" s="22"/>
      <c r="J2" s="22"/>
      <c r="K2" s="22"/>
      <c r="L2" s="22"/>
      <c r="M2" s="22"/>
      <c r="N2" s="22"/>
      <c r="O2" s="22"/>
      <c r="P2" s="22"/>
      <c r="Q2" s="22"/>
      <c r="R2" s="22"/>
    </row>
    <row r="3" spans="2:18">
      <c r="B3" s="287"/>
      <c r="C3" s="287"/>
      <c r="D3" s="287"/>
      <c r="E3" s="287"/>
      <c r="F3" s="287"/>
      <c r="G3" s="930" t="s">
        <v>1049</v>
      </c>
      <c r="H3" s="287"/>
      <c r="I3" s="287"/>
      <c r="J3" s="287"/>
      <c r="K3" s="287"/>
      <c r="L3" s="287"/>
      <c r="M3" s="287"/>
      <c r="N3" s="287"/>
      <c r="O3" s="287"/>
      <c r="P3" s="287"/>
      <c r="Q3" s="287"/>
      <c r="R3" s="287"/>
    </row>
    <row r="4" spans="2:18">
      <c r="B4" s="22"/>
      <c r="C4" s="22"/>
      <c r="D4" s="22"/>
      <c r="E4" s="22"/>
      <c r="F4" s="22"/>
      <c r="G4" s="1007" t="s">
        <v>1298</v>
      </c>
      <c r="H4" s="22"/>
      <c r="I4" s="22"/>
      <c r="J4" s="22"/>
      <c r="K4" s="22"/>
      <c r="L4" s="22"/>
      <c r="M4" s="22"/>
      <c r="N4" s="22"/>
      <c r="O4" s="22"/>
      <c r="P4" s="22"/>
      <c r="Q4" s="22"/>
      <c r="R4" s="22"/>
    </row>
    <row r="6" spans="2:18">
      <c r="B6" s="44" t="s">
        <v>1299</v>
      </c>
      <c r="C6" s="44"/>
      <c r="D6" s="44"/>
      <c r="E6" s="44"/>
      <c r="F6" s="44"/>
      <c r="G6" s="44"/>
      <c r="H6" s="44"/>
      <c r="I6" s="44"/>
      <c r="J6" s="44"/>
      <c r="K6" s="44"/>
      <c r="L6" s="44"/>
      <c r="M6" s="44"/>
      <c r="N6" s="44"/>
      <c r="O6" s="44"/>
      <c r="P6" s="44"/>
      <c r="Q6" s="44"/>
    </row>
    <row r="7" spans="2:18">
      <c r="B7" s="44" t="s">
        <v>1300</v>
      </c>
      <c r="C7" s="44"/>
      <c r="D7" s="44"/>
      <c r="E7" s="44"/>
      <c r="F7" s="44"/>
      <c r="G7" s="44"/>
      <c r="H7" s="44"/>
      <c r="I7" s="44"/>
      <c r="J7" s="44"/>
      <c r="K7" s="44"/>
      <c r="L7" s="44"/>
      <c r="M7" s="44"/>
      <c r="N7" s="44"/>
      <c r="O7" s="44"/>
      <c r="P7" s="44"/>
      <c r="Q7" s="44"/>
    </row>
    <row r="9" spans="2:18" ht="32.4" customHeight="1">
      <c r="B9" s="187"/>
      <c r="C9" s="1988" t="s">
        <v>1301</v>
      </c>
      <c r="D9" s="1989"/>
      <c r="E9" s="1990"/>
      <c r="F9" s="1988" t="s">
        <v>1302</v>
      </c>
      <c r="G9" s="1989"/>
      <c r="H9" s="1990"/>
      <c r="I9" s="1988" t="s">
        <v>1303</v>
      </c>
      <c r="J9" s="1989"/>
      <c r="K9" s="1990"/>
      <c r="L9" s="1988" t="s">
        <v>1304</v>
      </c>
      <c r="M9" s="1989"/>
      <c r="N9" s="1990"/>
      <c r="O9" s="1988" t="s">
        <v>1305</v>
      </c>
      <c r="P9" s="1989"/>
      <c r="Q9" s="1990"/>
    </row>
    <row r="10" spans="2:18" ht="70">
      <c r="B10" s="1020"/>
      <c r="C10" s="898" t="s">
        <v>1306</v>
      </c>
      <c r="D10" s="898" t="s">
        <v>1307</v>
      </c>
      <c r="E10" s="898" t="s">
        <v>1308</v>
      </c>
      <c r="F10" s="898" t="s">
        <v>1309</v>
      </c>
      <c r="G10" s="898" t="s">
        <v>1307</v>
      </c>
      <c r="H10" s="898" t="s">
        <v>1308</v>
      </c>
      <c r="I10" s="898" t="s">
        <v>1309</v>
      </c>
      <c r="J10" s="898" t="s">
        <v>1307</v>
      </c>
      <c r="K10" s="898" t="s">
        <v>1308</v>
      </c>
      <c r="L10" s="898" t="s">
        <v>1309</v>
      </c>
      <c r="M10" s="898" t="s">
        <v>1307</v>
      </c>
      <c r="N10" s="898" t="s">
        <v>1308</v>
      </c>
      <c r="O10" s="898" t="s">
        <v>1309</v>
      </c>
      <c r="P10" s="898" t="s">
        <v>1307</v>
      </c>
      <c r="Q10" s="898" t="s">
        <v>1308</v>
      </c>
    </row>
    <row r="11" spans="2:18">
      <c r="B11" s="1021" t="s">
        <v>1310</v>
      </c>
      <c r="C11" s="1022"/>
      <c r="D11" s="1022"/>
      <c r="E11" s="1022"/>
      <c r="F11" s="1022"/>
      <c r="G11" s="1022"/>
      <c r="H11" s="1022"/>
      <c r="I11" s="1022"/>
      <c r="J11" s="1022"/>
      <c r="K11" s="1022"/>
      <c r="L11" s="1022"/>
      <c r="M11" s="1022"/>
      <c r="N11" s="1022"/>
      <c r="O11" s="1022"/>
      <c r="P11" s="1022"/>
      <c r="Q11" s="1022"/>
      <c r="R11" s="1023"/>
    </row>
    <row r="12" spans="2:18">
      <c r="B12" s="9" t="s">
        <v>1063</v>
      </c>
      <c r="C12" s="1022"/>
      <c r="D12" s="1022"/>
      <c r="E12" s="1022"/>
      <c r="F12" s="1022"/>
      <c r="G12" s="1022"/>
      <c r="H12" s="1022"/>
      <c r="I12" s="1022"/>
      <c r="J12" s="1022"/>
      <c r="K12" s="1022"/>
      <c r="L12" s="1022"/>
      <c r="M12" s="1022"/>
      <c r="N12" s="1022"/>
      <c r="O12" s="1022"/>
      <c r="P12" s="1022"/>
      <c r="Q12" s="1022"/>
      <c r="R12" s="1024"/>
    </row>
    <row r="13" spans="2:18">
      <c r="B13" s="9" t="s">
        <v>1063</v>
      </c>
      <c r="C13" s="1022"/>
      <c r="D13" s="1022"/>
      <c r="E13" s="1022"/>
      <c r="F13" s="1022"/>
      <c r="G13" s="1022"/>
      <c r="H13" s="1022"/>
      <c r="I13" s="1022"/>
      <c r="J13" s="1022"/>
      <c r="K13" s="1022"/>
      <c r="L13" s="1022"/>
      <c r="M13" s="1022"/>
      <c r="N13" s="1022"/>
      <c r="O13" s="1022"/>
      <c r="P13" s="1022"/>
      <c r="Q13" s="1022"/>
    </row>
    <row r="14" spans="2:18">
      <c r="B14" s="40" t="s">
        <v>1311</v>
      </c>
      <c r="C14" s="1022"/>
      <c r="D14" s="1022"/>
      <c r="E14" s="1022"/>
      <c r="F14" s="1022"/>
      <c r="G14" s="1022"/>
      <c r="H14" s="1022"/>
      <c r="I14" s="1022"/>
      <c r="J14" s="1022"/>
      <c r="K14" s="1022"/>
      <c r="L14" s="1022"/>
      <c r="M14" s="1022"/>
      <c r="N14" s="1022"/>
      <c r="O14" s="1022"/>
      <c r="P14" s="1022"/>
      <c r="Q14" s="1022"/>
      <c r="R14" s="1025"/>
    </row>
    <row r="15" spans="2:18">
      <c r="B15" s="9" t="s">
        <v>1312</v>
      </c>
      <c r="C15" s="1022"/>
      <c r="D15" s="1022"/>
      <c r="E15" s="1022"/>
      <c r="F15" s="1022"/>
      <c r="G15" s="1022"/>
      <c r="H15" s="1022"/>
      <c r="I15" s="1022"/>
      <c r="J15" s="1022"/>
      <c r="K15" s="1022"/>
      <c r="L15" s="1022"/>
      <c r="M15" s="1022"/>
      <c r="N15" s="1022"/>
      <c r="O15" s="1022"/>
      <c r="P15" s="1022"/>
      <c r="Q15" s="1022"/>
    </row>
    <row r="16" spans="2:18">
      <c r="B16" s="1026" t="s">
        <v>1313</v>
      </c>
      <c r="C16" s="1022"/>
      <c r="D16" s="1022"/>
      <c r="E16" s="1022"/>
      <c r="F16" s="1022"/>
      <c r="G16" s="1022"/>
      <c r="H16" s="1022"/>
      <c r="I16" s="1022"/>
      <c r="J16" s="1022"/>
      <c r="K16" s="1022"/>
      <c r="L16" s="1022"/>
      <c r="M16" s="1022"/>
      <c r="N16" s="1022"/>
      <c r="O16" s="1022"/>
      <c r="P16" s="1022"/>
      <c r="Q16" s="1022"/>
      <c r="R16" s="1025"/>
    </row>
    <row r="17" spans="2:20">
      <c r="B17" s="1027" t="s">
        <v>1314</v>
      </c>
      <c r="C17" s="1022"/>
      <c r="D17" s="1022"/>
      <c r="E17" s="1022"/>
      <c r="F17" s="1022"/>
      <c r="G17" s="1022"/>
      <c r="H17" s="1022"/>
      <c r="I17" s="1022"/>
      <c r="J17" s="1022"/>
      <c r="K17" s="1022"/>
      <c r="L17" s="1022"/>
      <c r="M17" s="1022"/>
      <c r="N17" s="1022"/>
      <c r="O17" s="1022"/>
      <c r="P17" s="1022"/>
      <c r="Q17" s="1022"/>
      <c r="R17" s="1028"/>
    </row>
    <row r="18" spans="2:20">
      <c r="B18" s="1026" t="s">
        <v>1315</v>
      </c>
      <c r="C18" s="1022"/>
      <c r="D18" s="1022"/>
      <c r="E18" s="1022"/>
      <c r="F18" s="1022"/>
      <c r="G18" s="1022"/>
      <c r="H18" s="1022"/>
      <c r="I18" s="1022"/>
      <c r="J18" s="1022"/>
      <c r="K18" s="1022"/>
      <c r="L18" s="1022"/>
      <c r="M18" s="1022"/>
      <c r="N18" s="1022"/>
      <c r="O18" s="1022"/>
      <c r="P18" s="1022"/>
      <c r="Q18" s="1022"/>
      <c r="R18" s="1023"/>
      <c r="T18" s="1023"/>
    </row>
    <row r="19" spans="2:20">
      <c r="B19" s="40" t="s">
        <v>1316</v>
      </c>
      <c r="C19" s="1022"/>
      <c r="D19" s="1022"/>
      <c r="E19" s="1022"/>
      <c r="F19" s="1022"/>
      <c r="G19" s="1022"/>
      <c r="H19" s="1022"/>
      <c r="I19" s="1022"/>
      <c r="J19" s="1022"/>
      <c r="K19" s="1022"/>
      <c r="L19" s="1022"/>
      <c r="M19" s="1022"/>
      <c r="N19" s="1022"/>
      <c r="O19" s="1022"/>
      <c r="P19" s="1022"/>
      <c r="Q19" s="1022"/>
      <c r="R19" s="1029"/>
      <c r="T19" s="1023"/>
    </row>
    <row r="20" spans="2:20" s="44" customFormat="1">
      <c r="B20" s="40" t="s">
        <v>1317</v>
      </c>
      <c r="C20" s="1022"/>
      <c r="D20" s="1022"/>
      <c r="E20" s="1022"/>
      <c r="F20" s="1022"/>
      <c r="G20" s="1022"/>
      <c r="H20" s="1022"/>
      <c r="I20" s="1022"/>
      <c r="J20" s="1022"/>
      <c r="K20" s="1022"/>
      <c r="L20" s="1022"/>
      <c r="M20" s="1022"/>
      <c r="N20" s="1022"/>
      <c r="O20" s="1022"/>
      <c r="P20" s="1022"/>
      <c r="Q20" s="1022"/>
      <c r="R20" s="1030"/>
      <c r="S20" s="1030"/>
    </row>
    <row r="21" spans="2:20" ht="60.75" customHeight="1">
      <c r="B21" s="1031" t="s">
        <v>1318</v>
      </c>
      <c r="C21" s="1022"/>
      <c r="D21" s="1022"/>
      <c r="E21" s="1022"/>
      <c r="F21" s="1022"/>
      <c r="G21" s="1022"/>
      <c r="H21" s="1022"/>
      <c r="I21" s="1022"/>
      <c r="J21" s="1022"/>
      <c r="K21" s="1022"/>
      <c r="L21" s="1022"/>
      <c r="M21" s="1022"/>
      <c r="N21" s="1022"/>
      <c r="O21" s="1022"/>
      <c r="P21" s="1022"/>
      <c r="Q21" s="1022"/>
      <c r="R21" s="1025"/>
    </row>
    <row r="22" spans="2:20">
      <c r="B22" s="1032"/>
      <c r="C22" s="1033"/>
      <c r="D22" s="130"/>
      <c r="E22" s="1034"/>
      <c r="F22" s="1035"/>
      <c r="G22" s="1023"/>
      <c r="H22" s="1036"/>
      <c r="I22" s="1037"/>
      <c r="J22" s="1025"/>
      <c r="K22" s="1038"/>
      <c r="L22" s="1038"/>
      <c r="M22" s="1038"/>
      <c r="N22" s="1038"/>
      <c r="O22" s="1035"/>
      <c r="P22" s="1023"/>
      <c r="Q22" s="1038"/>
    </row>
    <row r="23" spans="2:20">
      <c r="B23" s="1" t="s">
        <v>1319</v>
      </c>
      <c r="G23" s="1023"/>
      <c r="H23" s="1039"/>
      <c r="I23" s="1039"/>
      <c r="J23" s="1025"/>
      <c r="K23" s="1039"/>
      <c r="L23" s="1039"/>
      <c r="M23" s="1039"/>
      <c r="N23" s="1039"/>
      <c r="P23" s="1023"/>
      <c r="Q23" s="1039"/>
      <c r="R23" s="1025"/>
    </row>
    <row r="24" spans="2:20">
      <c r="H24" s="1040"/>
      <c r="K24" s="1040"/>
      <c r="L24" s="1040"/>
      <c r="M24" s="1040"/>
      <c r="N24" s="1040"/>
      <c r="Q24" s="1040"/>
    </row>
    <row r="25" spans="2:20">
      <c r="C25" s="1023"/>
      <c r="D25" s="1023"/>
      <c r="E25" s="1023"/>
      <c r="F25" s="1023"/>
      <c r="G25" s="1023"/>
      <c r="H25" s="1023"/>
      <c r="I25" s="1023"/>
      <c r="J25" s="1023"/>
      <c r="K25" s="1023"/>
      <c r="L25" s="1023"/>
      <c r="M25" s="1023"/>
      <c r="N25" s="1023"/>
      <c r="O25" s="1023"/>
      <c r="P25" s="1023"/>
      <c r="Q25" s="1023"/>
    </row>
    <row r="26" spans="2:20">
      <c r="H26" s="1023"/>
      <c r="K26" s="1023"/>
      <c r="L26" s="1023"/>
      <c r="M26" s="1023"/>
      <c r="N26" s="1023"/>
      <c r="Q26" s="1023"/>
      <c r="S26" s="1023"/>
    </row>
    <row r="27" spans="2:20">
      <c r="C27" s="1023"/>
      <c r="D27" s="1023"/>
      <c r="F27" s="1023"/>
      <c r="G27" s="1023"/>
      <c r="H27" s="1023"/>
      <c r="I27" s="1023"/>
      <c r="J27" s="1023"/>
      <c r="K27" s="1023"/>
      <c r="L27" s="1023"/>
      <c r="M27" s="1023"/>
      <c r="N27" s="1023"/>
      <c r="O27" s="1023"/>
      <c r="P27" s="1023"/>
      <c r="Q27" s="1023"/>
    </row>
    <row r="29" spans="2:20" ht="29.4" customHeight="1">
      <c r="C29" s="507"/>
      <c r="E29" s="1023"/>
    </row>
  </sheetData>
  <mergeCells count="5">
    <mergeCell ref="C9:E9"/>
    <mergeCell ref="F9:H9"/>
    <mergeCell ref="I9:K9"/>
    <mergeCell ref="L9:N9"/>
    <mergeCell ref="O9:Q9"/>
  </mergeCells>
  <printOptions horizontalCentered="1" verticalCentered="1"/>
  <pageMargins left="0.39" right="0.55118110236220474" top="0.98425196850393704" bottom="0.98425196850393704" header="0.51181102362204722" footer="0.51181102362204722"/>
  <pageSetup paperSize="9" scale="61"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C37"/>
  <sheetViews>
    <sheetView showGridLines="0" view="pageBreakPreview" zoomScale="70" zoomScaleNormal="75" zoomScaleSheetLayoutView="70" workbookViewId="0">
      <selection activeCell="B3" sqref="B3:C3"/>
    </sheetView>
  </sheetViews>
  <sheetFormatPr defaultColWidth="9.08984375" defaultRowHeight="14"/>
  <cols>
    <col min="1" max="1" width="9.08984375" style="1"/>
    <col min="2" max="2" width="51" style="1" customWidth="1"/>
    <col min="3" max="3" width="124" style="1" customWidth="1"/>
    <col min="4" max="257" width="9.08984375" style="1"/>
    <col min="258" max="258" width="50.36328125" style="1" customWidth="1"/>
    <col min="259" max="259" width="90.54296875" style="1" customWidth="1"/>
    <col min="260" max="513" width="9.08984375" style="1"/>
    <col min="514" max="514" width="50.36328125" style="1" customWidth="1"/>
    <col min="515" max="515" width="90.54296875" style="1" customWidth="1"/>
    <col min="516" max="769" width="9.08984375" style="1"/>
    <col min="770" max="770" width="50.36328125" style="1" customWidth="1"/>
    <col min="771" max="771" width="90.54296875" style="1" customWidth="1"/>
    <col min="772" max="1025" width="9.08984375" style="1"/>
    <col min="1026" max="1026" width="50.36328125" style="1" customWidth="1"/>
    <col min="1027" max="1027" width="90.54296875" style="1" customWidth="1"/>
    <col min="1028" max="1281" width="9.08984375" style="1"/>
    <col min="1282" max="1282" width="50.36328125" style="1" customWidth="1"/>
    <col min="1283" max="1283" width="90.54296875" style="1" customWidth="1"/>
    <col min="1284" max="1537" width="9.08984375" style="1"/>
    <col min="1538" max="1538" width="50.36328125" style="1" customWidth="1"/>
    <col min="1539" max="1539" width="90.54296875" style="1" customWidth="1"/>
    <col min="1540" max="1793" width="9.08984375" style="1"/>
    <col min="1794" max="1794" width="50.36328125" style="1" customWidth="1"/>
    <col min="1795" max="1795" width="90.54296875" style="1" customWidth="1"/>
    <col min="1796" max="2049" width="9.08984375" style="1"/>
    <col min="2050" max="2050" width="50.36328125" style="1" customWidth="1"/>
    <col min="2051" max="2051" width="90.54296875" style="1" customWidth="1"/>
    <col min="2052" max="2305" width="9.08984375" style="1"/>
    <col min="2306" max="2306" width="50.36328125" style="1" customWidth="1"/>
    <col min="2307" max="2307" width="90.54296875" style="1" customWidth="1"/>
    <col min="2308" max="2561" width="9.08984375" style="1"/>
    <col min="2562" max="2562" width="50.36328125" style="1" customWidth="1"/>
    <col min="2563" max="2563" width="90.54296875" style="1" customWidth="1"/>
    <col min="2564" max="2817" width="9.08984375" style="1"/>
    <col min="2818" max="2818" width="50.36328125" style="1" customWidth="1"/>
    <col min="2819" max="2819" width="90.54296875" style="1" customWidth="1"/>
    <col min="2820" max="3073" width="9.08984375" style="1"/>
    <col min="3074" max="3074" width="50.36328125" style="1" customWidth="1"/>
    <col min="3075" max="3075" width="90.54296875" style="1" customWidth="1"/>
    <col min="3076" max="3329" width="9.08984375" style="1"/>
    <col min="3330" max="3330" width="50.36328125" style="1" customWidth="1"/>
    <col min="3331" max="3331" width="90.54296875" style="1" customWidth="1"/>
    <col min="3332" max="3585" width="9.08984375" style="1"/>
    <col min="3586" max="3586" width="50.36328125" style="1" customWidth="1"/>
    <col min="3587" max="3587" width="90.54296875" style="1" customWidth="1"/>
    <col min="3588" max="3841" width="9.08984375" style="1"/>
    <col min="3842" max="3842" width="50.36328125" style="1" customWidth="1"/>
    <col min="3843" max="3843" width="90.54296875" style="1" customWidth="1"/>
    <col min="3844" max="4097" width="9.08984375" style="1"/>
    <col min="4098" max="4098" width="50.36328125" style="1" customWidth="1"/>
    <col min="4099" max="4099" width="90.54296875" style="1" customWidth="1"/>
    <col min="4100" max="4353" width="9.08984375" style="1"/>
    <col min="4354" max="4354" width="50.36328125" style="1" customWidth="1"/>
    <col min="4355" max="4355" width="90.54296875" style="1" customWidth="1"/>
    <col min="4356" max="4609" width="9.08984375" style="1"/>
    <col min="4610" max="4610" width="50.36328125" style="1" customWidth="1"/>
    <col min="4611" max="4611" width="90.54296875" style="1" customWidth="1"/>
    <col min="4612" max="4865" width="9.08984375" style="1"/>
    <col min="4866" max="4866" width="50.36328125" style="1" customWidth="1"/>
    <col min="4867" max="4867" width="90.54296875" style="1" customWidth="1"/>
    <col min="4868" max="5121" width="9.08984375" style="1"/>
    <col min="5122" max="5122" width="50.36328125" style="1" customWidth="1"/>
    <col min="5123" max="5123" width="90.54296875" style="1" customWidth="1"/>
    <col min="5124" max="5377" width="9.08984375" style="1"/>
    <col min="5378" max="5378" width="50.36328125" style="1" customWidth="1"/>
    <col min="5379" max="5379" width="90.54296875" style="1" customWidth="1"/>
    <col min="5380" max="5633" width="9.08984375" style="1"/>
    <col min="5634" max="5634" width="50.36328125" style="1" customWidth="1"/>
    <col min="5635" max="5635" width="90.54296875" style="1" customWidth="1"/>
    <col min="5636" max="5889" width="9.08984375" style="1"/>
    <col min="5890" max="5890" width="50.36328125" style="1" customWidth="1"/>
    <col min="5891" max="5891" width="90.54296875" style="1" customWidth="1"/>
    <col min="5892" max="6145" width="9.08984375" style="1"/>
    <col min="6146" max="6146" width="50.36328125" style="1" customWidth="1"/>
    <col min="6147" max="6147" width="90.54296875" style="1" customWidth="1"/>
    <col min="6148" max="6401" width="9.08984375" style="1"/>
    <col min="6402" max="6402" width="50.36328125" style="1" customWidth="1"/>
    <col min="6403" max="6403" width="90.54296875" style="1" customWidth="1"/>
    <col min="6404" max="6657" width="9.08984375" style="1"/>
    <col min="6658" max="6658" width="50.36328125" style="1" customWidth="1"/>
    <col min="6659" max="6659" width="90.54296875" style="1" customWidth="1"/>
    <col min="6660" max="6913" width="9.08984375" style="1"/>
    <col min="6914" max="6914" width="50.36328125" style="1" customWidth="1"/>
    <col min="6915" max="6915" width="90.54296875" style="1" customWidth="1"/>
    <col min="6916" max="7169" width="9.08984375" style="1"/>
    <col min="7170" max="7170" width="50.36328125" style="1" customWidth="1"/>
    <col min="7171" max="7171" width="90.54296875" style="1" customWidth="1"/>
    <col min="7172" max="7425" width="9.08984375" style="1"/>
    <col min="7426" max="7426" width="50.36328125" style="1" customWidth="1"/>
    <col min="7427" max="7427" width="90.54296875" style="1" customWidth="1"/>
    <col min="7428" max="7681" width="9.08984375" style="1"/>
    <col min="7682" max="7682" width="50.36328125" style="1" customWidth="1"/>
    <col min="7683" max="7683" width="90.54296875" style="1" customWidth="1"/>
    <col min="7684" max="7937" width="9.08984375" style="1"/>
    <col min="7938" max="7938" width="50.36328125" style="1" customWidth="1"/>
    <col min="7939" max="7939" width="90.54296875" style="1" customWidth="1"/>
    <col min="7940" max="8193" width="9.08984375" style="1"/>
    <col min="8194" max="8194" width="50.36328125" style="1" customWidth="1"/>
    <col min="8195" max="8195" width="90.54296875" style="1" customWidth="1"/>
    <col min="8196" max="8449" width="9.08984375" style="1"/>
    <col min="8450" max="8450" width="50.36328125" style="1" customWidth="1"/>
    <col min="8451" max="8451" width="90.54296875" style="1" customWidth="1"/>
    <col min="8452" max="8705" width="9.08984375" style="1"/>
    <col min="8706" max="8706" width="50.36328125" style="1" customWidth="1"/>
    <col min="8707" max="8707" width="90.54296875" style="1" customWidth="1"/>
    <col min="8708" max="8961" width="9.08984375" style="1"/>
    <col min="8962" max="8962" width="50.36328125" style="1" customWidth="1"/>
    <col min="8963" max="8963" width="90.54296875" style="1" customWidth="1"/>
    <col min="8964" max="9217" width="9.08984375" style="1"/>
    <col min="9218" max="9218" width="50.36328125" style="1" customWidth="1"/>
    <col min="9219" max="9219" width="90.54296875" style="1" customWidth="1"/>
    <col min="9220" max="9473" width="9.08984375" style="1"/>
    <col min="9474" max="9474" width="50.36328125" style="1" customWidth="1"/>
    <col min="9475" max="9475" width="90.54296875" style="1" customWidth="1"/>
    <col min="9476" max="9729" width="9.08984375" style="1"/>
    <col min="9730" max="9730" width="50.36328125" style="1" customWidth="1"/>
    <col min="9731" max="9731" width="90.54296875" style="1" customWidth="1"/>
    <col min="9732" max="9985" width="9.08984375" style="1"/>
    <col min="9986" max="9986" width="50.36328125" style="1" customWidth="1"/>
    <col min="9987" max="9987" width="90.54296875" style="1" customWidth="1"/>
    <col min="9988" max="10241" width="9.08984375" style="1"/>
    <col min="10242" max="10242" width="50.36328125" style="1" customWidth="1"/>
    <col min="10243" max="10243" width="90.54296875" style="1" customWidth="1"/>
    <col min="10244" max="10497" width="9.08984375" style="1"/>
    <col min="10498" max="10498" width="50.36328125" style="1" customWidth="1"/>
    <col min="10499" max="10499" width="90.54296875" style="1" customWidth="1"/>
    <col min="10500" max="10753" width="9.08984375" style="1"/>
    <col min="10754" max="10754" width="50.36328125" style="1" customWidth="1"/>
    <col min="10755" max="10755" width="90.54296875" style="1" customWidth="1"/>
    <col min="10756" max="11009" width="9.08984375" style="1"/>
    <col min="11010" max="11010" width="50.36328125" style="1" customWidth="1"/>
    <col min="11011" max="11011" width="90.54296875" style="1" customWidth="1"/>
    <col min="11012" max="11265" width="9.08984375" style="1"/>
    <col min="11266" max="11266" width="50.36328125" style="1" customWidth="1"/>
    <col min="11267" max="11267" width="90.54296875" style="1" customWidth="1"/>
    <col min="11268" max="11521" width="9.08984375" style="1"/>
    <col min="11522" max="11522" width="50.36328125" style="1" customWidth="1"/>
    <col min="11523" max="11523" width="90.54296875" style="1" customWidth="1"/>
    <col min="11524" max="11777" width="9.08984375" style="1"/>
    <col min="11778" max="11778" width="50.36328125" style="1" customWidth="1"/>
    <col min="11779" max="11779" width="90.54296875" style="1" customWidth="1"/>
    <col min="11780" max="12033" width="9.08984375" style="1"/>
    <col min="12034" max="12034" width="50.36328125" style="1" customWidth="1"/>
    <col min="12035" max="12035" width="90.54296875" style="1" customWidth="1"/>
    <col min="12036" max="12289" width="9.08984375" style="1"/>
    <col min="12290" max="12290" width="50.36328125" style="1" customWidth="1"/>
    <col min="12291" max="12291" width="90.54296875" style="1" customWidth="1"/>
    <col min="12292" max="12545" width="9.08984375" style="1"/>
    <col min="12546" max="12546" width="50.36328125" style="1" customWidth="1"/>
    <col min="12547" max="12547" width="90.54296875" style="1" customWidth="1"/>
    <col min="12548" max="12801" width="9.08984375" style="1"/>
    <col min="12802" max="12802" width="50.36328125" style="1" customWidth="1"/>
    <col min="12803" max="12803" width="90.54296875" style="1" customWidth="1"/>
    <col min="12804" max="13057" width="9.08984375" style="1"/>
    <col min="13058" max="13058" width="50.36328125" style="1" customWidth="1"/>
    <col min="13059" max="13059" width="90.54296875" style="1" customWidth="1"/>
    <col min="13060" max="13313" width="9.08984375" style="1"/>
    <col min="13314" max="13314" width="50.36328125" style="1" customWidth="1"/>
    <col min="13315" max="13315" width="90.54296875" style="1" customWidth="1"/>
    <col min="13316" max="13569" width="9.08984375" style="1"/>
    <col min="13570" max="13570" width="50.36328125" style="1" customWidth="1"/>
    <col min="13571" max="13571" width="90.54296875" style="1" customWidth="1"/>
    <col min="13572" max="13825" width="9.08984375" style="1"/>
    <col min="13826" max="13826" width="50.36328125" style="1" customWidth="1"/>
    <col min="13827" max="13827" width="90.54296875" style="1" customWidth="1"/>
    <col min="13828" max="14081" width="9.08984375" style="1"/>
    <col min="14082" max="14082" width="50.36328125" style="1" customWidth="1"/>
    <col min="14083" max="14083" width="90.54296875" style="1" customWidth="1"/>
    <col min="14084" max="14337" width="9.08984375" style="1"/>
    <col min="14338" max="14338" width="50.36328125" style="1" customWidth="1"/>
    <col min="14339" max="14339" width="90.54296875" style="1" customWidth="1"/>
    <col min="14340" max="14593" width="9.08984375" style="1"/>
    <col min="14594" max="14594" width="50.36328125" style="1" customWidth="1"/>
    <col min="14595" max="14595" width="90.54296875" style="1" customWidth="1"/>
    <col min="14596" max="14849" width="9.08984375" style="1"/>
    <col min="14850" max="14850" width="50.36328125" style="1" customWidth="1"/>
    <col min="14851" max="14851" width="90.54296875" style="1" customWidth="1"/>
    <col min="14852" max="15105" width="9.08984375" style="1"/>
    <col min="15106" max="15106" width="50.36328125" style="1" customWidth="1"/>
    <col min="15107" max="15107" width="90.54296875" style="1" customWidth="1"/>
    <col min="15108" max="15361" width="9.08984375" style="1"/>
    <col min="15362" max="15362" width="50.36328125" style="1" customWidth="1"/>
    <col min="15363" max="15363" width="90.54296875" style="1" customWidth="1"/>
    <col min="15364" max="15617" width="9.08984375" style="1"/>
    <col min="15618" max="15618" width="50.36328125" style="1" customWidth="1"/>
    <col min="15619" max="15619" width="90.54296875" style="1" customWidth="1"/>
    <col min="15620" max="15873" width="9.08984375" style="1"/>
    <col min="15874" max="15874" width="50.36328125" style="1" customWidth="1"/>
    <col min="15875" max="15875" width="90.54296875" style="1" customWidth="1"/>
    <col min="15876" max="16129" width="9.08984375" style="1"/>
    <col min="16130" max="16130" width="50.36328125" style="1" customWidth="1"/>
    <col min="16131" max="16131" width="90.54296875" style="1" customWidth="1"/>
    <col min="16132" max="16384" width="9.08984375" style="1"/>
  </cols>
  <sheetData>
    <row r="1" spans="2:3">
      <c r="C1" s="576"/>
    </row>
    <row r="2" spans="2:3">
      <c r="B2" s="1776" t="str">
        <f>Index!B2</f>
        <v xml:space="preserve">      Maharashtra State Power Generation Company Ltd.</v>
      </c>
      <c r="C2" s="1776"/>
    </row>
    <row r="3" spans="2:3" ht="16.5" customHeight="1">
      <c r="B3" s="1992" t="s">
        <v>1049</v>
      </c>
      <c r="C3" s="1992"/>
    </row>
    <row r="4" spans="2:3" ht="14" customHeight="1">
      <c r="B4" s="1993" t="s">
        <v>1320</v>
      </c>
      <c r="C4" s="1993"/>
    </row>
    <row r="7" spans="2:3">
      <c r="B7" s="897" t="s">
        <v>36</v>
      </c>
      <c r="C7" s="897" t="s">
        <v>1321</v>
      </c>
    </row>
    <row r="8" spans="2:3">
      <c r="B8" s="1041"/>
      <c r="C8" s="1042"/>
    </row>
    <row r="9" spans="2:3">
      <c r="B9" s="185" t="s">
        <v>1322</v>
      </c>
      <c r="C9" s="1042"/>
    </row>
    <row r="10" spans="2:3">
      <c r="B10" s="9" t="s">
        <v>1309</v>
      </c>
      <c r="C10" s="1042"/>
    </row>
    <row r="11" spans="2:3">
      <c r="B11" s="9" t="s">
        <v>1323</v>
      </c>
      <c r="C11" s="1042"/>
    </row>
    <row r="12" spans="2:3">
      <c r="B12" s="1043" t="s">
        <v>1324</v>
      </c>
      <c r="C12" s="1042"/>
    </row>
    <row r="13" spans="2:3">
      <c r="B13" s="9" t="s">
        <v>1325</v>
      </c>
      <c r="C13" s="1042"/>
    </row>
    <row r="14" spans="2:3">
      <c r="B14" s="161" t="s">
        <v>1326</v>
      </c>
      <c r="C14" s="1042"/>
    </row>
    <row r="15" spans="2:3">
      <c r="B15" s="9" t="s">
        <v>1327</v>
      </c>
      <c r="C15" s="1042"/>
    </row>
    <row r="16" spans="2:3">
      <c r="B16" s="9" t="s">
        <v>1328</v>
      </c>
      <c r="C16" s="1042"/>
    </row>
    <row r="17" spans="2:3">
      <c r="B17" s="9" t="s">
        <v>1329</v>
      </c>
      <c r="C17" s="1042"/>
    </row>
    <row r="18" spans="2:3">
      <c r="B18" s="9" t="s">
        <v>1330</v>
      </c>
      <c r="C18" s="1042"/>
    </row>
    <row r="19" spans="2:3">
      <c r="B19" s="9" t="s">
        <v>1331</v>
      </c>
      <c r="C19" s="1042"/>
    </row>
    <row r="20" spans="2:3">
      <c r="B20" s="9" t="s">
        <v>1332</v>
      </c>
      <c r="C20" s="1042"/>
    </row>
    <row r="21" spans="2:3">
      <c r="B21" s="9" t="s">
        <v>1333</v>
      </c>
      <c r="C21" s="1042"/>
    </row>
    <row r="22" spans="2:3">
      <c r="B22" s="9" t="s">
        <v>1334</v>
      </c>
      <c r="C22" s="1042"/>
    </row>
    <row r="23" spans="2:3">
      <c r="B23" s="9" t="s">
        <v>1335</v>
      </c>
      <c r="C23" s="1042"/>
    </row>
    <row r="24" spans="2:3">
      <c r="B24" s="9" t="s">
        <v>1336</v>
      </c>
      <c r="C24" s="1042"/>
    </row>
    <row r="25" spans="2:3">
      <c r="B25" s="9" t="s">
        <v>1337</v>
      </c>
      <c r="C25" s="1042"/>
    </row>
    <row r="27" spans="2:3">
      <c r="B27" s="1991" t="s">
        <v>1338</v>
      </c>
      <c r="C27" s="1991"/>
    </row>
    <row r="28" spans="2:3">
      <c r="B28" s="1991" t="s">
        <v>1339</v>
      </c>
      <c r="C28" s="1991"/>
    </row>
    <row r="29" spans="2:3" ht="29.4" customHeight="1">
      <c r="B29" s="1044" t="s">
        <v>1340</v>
      </c>
      <c r="C29" s="507"/>
    </row>
    <row r="30" spans="2:3">
      <c r="B30" s="1991" t="s">
        <v>1341</v>
      </c>
      <c r="C30" s="1991"/>
    </row>
    <row r="31" spans="2:3">
      <c r="B31" s="1991" t="s">
        <v>1342</v>
      </c>
      <c r="C31" s="1991"/>
    </row>
    <row r="32" spans="2:3">
      <c r="B32" s="1991" t="s">
        <v>1343</v>
      </c>
      <c r="C32" s="1991"/>
    </row>
    <row r="33" spans="2:3">
      <c r="B33" s="1991" t="s">
        <v>1344</v>
      </c>
      <c r="C33" s="1991"/>
    </row>
    <row r="34" spans="2:3">
      <c r="B34" s="1991" t="s">
        <v>1345</v>
      </c>
      <c r="C34" s="1991"/>
    </row>
    <row r="35" spans="2:3">
      <c r="B35" s="1991" t="s">
        <v>1346</v>
      </c>
      <c r="C35" s="1991"/>
    </row>
    <row r="36" spans="2:3">
      <c r="B36" s="1991" t="s">
        <v>1347</v>
      </c>
      <c r="C36" s="1991"/>
    </row>
    <row r="37" spans="2:3">
      <c r="B37" s="1991" t="s">
        <v>1348</v>
      </c>
      <c r="C37" s="1991"/>
    </row>
  </sheetData>
  <mergeCells count="13">
    <mergeCell ref="B37:C37"/>
    <mergeCell ref="B31:C31"/>
    <mergeCell ref="B32:C32"/>
    <mergeCell ref="B33:C33"/>
    <mergeCell ref="B34:C34"/>
    <mergeCell ref="B35:C35"/>
    <mergeCell ref="B36:C36"/>
    <mergeCell ref="B30:C30"/>
    <mergeCell ref="B2:C2"/>
    <mergeCell ref="B3:C3"/>
    <mergeCell ref="B4:C4"/>
    <mergeCell ref="B27:C27"/>
    <mergeCell ref="B28:C28"/>
  </mergeCells>
  <printOptions horizontalCentered="1" verticalCentered="1"/>
  <pageMargins left="0.96" right="0.47244094488188981" top="0.98425196850393704" bottom="0.49" header="0.51181102362204722" footer="0.44"/>
  <pageSetup paperSize="9" scale="72"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N29"/>
  <sheetViews>
    <sheetView showGridLines="0" view="pageBreakPreview" topLeftCell="D1" zoomScale="90" zoomScaleSheetLayoutView="90" workbookViewId="0">
      <selection activeCell="F3" sqref="F3"/>
    </sheetView>
  </sheetViews>
  <sheetFormatPr defaultColWidth="9.08984375" defaultRowHeight="14"/>
  <cols>
    <col min="1" max="1" width="9.08984375" style="970"/>
    <col min="2" max="2" width="4.6328125" style="970" customWidth="1"/>
    <col min="3" max="3" width="17.453125" style="970" customWidth="1"/>
    <col min="4" max="4" width="18.08984375" style="970" customWidth="1"/>
    <col min="5" max="5" width="20.36328125" style="1056" customWidth="1"/>
    <col min="6" max="6" width="16.08984375" style="972" customWidth="1"/>
    <col min="7" max="7" width="19.6328125" style="1056" customWidth="1"/>
    <col min="8" max="10" width="20" style="972" customWidth="1"/>
    <col min="11" max="11" width="20.6328125" style="1056" customWidth="1"/>
    <col min="12" max="12" width="14.36328125" style="972" customWidth="1"/>
    <col min="13" max="13" width="19.6328125" style="970" customWidth="1"/>
    <col min="14" max="14" width="20.453125" style="970" customWidth="1"/>
    <col min="15" max="259" width="9.08984375" style="970"/>
    <col min="260" max="260" width="4.6328125" style="970" customWidth="1"/>
    <col min="261" max="261" width="11.08984375" style="970" customWidth="1"/>
    <col min="262" max="262" width="23.453125" style="970" customWidth="1"/>
    <col min="263" max="263" width="16.6328125" style="970" customWidth="1"/>
    <col min="264" max="264" width="16.08984375" style="970" customWidth="1"/>
    <col min="265" max="265" width="15.08984375" style="970" customWidth="1"/>
    <col min="266" max="266" width="20" style="970" customWidth="1"/>
    <col min="267" max="267" width="16.6328125" style="970" customWidth="1"/>
    <col min="268" max="268" width="12.08984375" style="970" customWidth="1"/>
    <col min="269" max="515" width="9.08984375" style="970"/>
    <col min="516" max="516" width="4.6328125" style="970" customWidth="1"/>
    <col min="517" max="517" width="11.08984375" style="970" customWidth="1"/>
    <col min="518" max="518" width="23.453125" style="970" customWidth="1"/>
    <col min="519" max="519" width="16.6328125" style="970" customWidth="1"/>
    <col min="520" max="520" width="16.08984375" style="970" customWidth="1"/>
    <col min="521" max="521" width="15.08984375" style="970" customWidth="1"/>
    <col min="522" max="522" width="20" style="970" customWidth="1"/>
    <col min="523" max="523" width="16.6328125" style="970" customWidth="1"/>
    <col min="524" max="524" width="12.08984375" style="970" customWidth="1"/>
    <col min="525" max="771" width="9.08984375" style="970"/>
    <col min="772" max="772" width="4.6328125" style="970" customWidth="1"/>
    <col min="773" max="773" width="11.08984375" style="970" customWidth="1"/>
    <col min="774" max="774" width="23.453125" style="970" customWidth="1"/>
    <col min="775" max="775" width="16.6328125" style="970" customWidth="1"/>
    <col min="776" max="776" width="16.08984375" style="970" customWidth="1"/>
    <col min="777" max="777" width="15.08984375" style="970" customWidth="1"/>
    <col min="778" max="778" width="20" style="970" customWidth="1"/>
    <col min="779" max="779" width="16.6328125" style="970" customWidth="1"/>
    <col min="780" max="780" width="12.08984375" style="970" customWidth="1"/>
    <col min="781" max="1027" width="9.08984375" style="970"/>
    <col min="1028" max="1028" width="4.6328125" style="970" customWidth="1"/>
    <col min="1029" max="1029" width="11.08984375" style="970" customWidth="1"/>
    <col min="1030" max="1030" width="23.453125" style="970" customWidth="1"/>
    <col min="1031" max="1031" width="16.6328125" style="970" customWidth="1"/>
    <col min="1032" max="1032" width="16.08984375" style="970" customWidth="1"/>
    <col min="1033" max="1033" width="15.08984375" style="970" customWidth="1"/>
    <col min="1034" max="1034" width="20" style="970" customWidth="1"/>
    <col min="1035" max="1035" width="16.6328125" style="970" customWidth="1"/>
    <col min="1036" max="1036" width="12.08984375" style="970" customWidth="1"/>
    <col min="1037" max="1283" width="9.08984375" style="970"/>
    <col min="1284" max="1284" width="4.6328125" style="970" customWidth="1"/>
    <col min="1285" max="1285" width="11.08984375" style="970" customWidth="1"/>
    <col min="1286" max="1286" width="23.453125" style="970" customWidth="1"/>
    <col min="1287" max="1287" width="16.6328125" style="970" customWidth="1"/>
    <col min="1288" max="1288" width="16.08984375" style="970" customWidth="1"/>
    <col min="1289" max="1289" width="15.08984375" style="970" customWidth="1"/>
    <col min="1290" max="1290" width="20" style="970" customWidth="1"/>
    <col min="1291" max="1291" width="16.6328125" style="970" customWidth="1"/>
    <col min="1292" max="1292" width="12.08984375" style="970" customWidth="1"/>
    <col min="1293" max="1539" width="9.08984375" style="970"/>
    <col min="1540" max="1540" width="4.6328125" style="970" customWidth="1"/>
    <col min="1541" max="1541" width="11.08984375" style="970" customWidth="1"/>
    <col min="1542" max="1542" width="23.453125" style="970" customWidth="1"/>
    <col min="1543" max="1543" width="16.6328125" style="970" customWidth="1"/>
    <col min="1544" max="1544" width="16.08984375" style="970" customWidth="1"/>
    <col min="1545" max="1545" width="15.08984375" style="970" customWidth="1"/>
    <col min="1546" max="1546" width="20" style="970" customWidth="1"/>
    <col min="1547" max="1547" width="16.6328125" style="970" customWidth="1"/>
    <col min="1548" max="1548" width="12.08984375" style="970" customWidth="1"/>
    <col min="1549" max="1795" width="9.08984375" style="970"/>
    <col min="1796" max="1796" width="4.6328125" style="970" customWidth="1"/>
    <col min="1797" max="1797" width="11.08984375" style="970" customWidth="1"/>
    <col min="1798" max="1798" width="23.453125" style="970" customWidth="1"/>
    <col min="1799" max="1799" width="16.6328125" style="970" customWidth="1"/>
    <col min="1800" max="1800" width="16.08984375" style="970" customWidth="1"/>
    <col min="1801" max="1801" width="15.08984375" style="970" customWidth="1"/>
    <col min="1802" max="1802" width="20" style="970" customWidth="1"/>
    <col min="1803" max="1803" width="16.6328125" style="970" customWidth="1"/>
    <col min="1804" max="1804" width="12.08984375" style="970" customWidth="1"/>
    <col min="1805" max="2051" width="9.08984375" style="970"/>
    <col min="2052" max="2052" width="4.6328125" style="970" customWidth="1"/>
    <col min="2053" max="2053" width="11.08984375" style="970" customWidth="1"/>
    <col min="2054" max="2054" width="23.453125" style="970" customWidth="1"/>
    <col min="2055" max="2055" width="16.6328125" style="970" customWidth="1"/>
    <col min="2056" max="2056" width="16.08984375" style="970" customWidth="1"/>
    <col min="2057" max="2057" width="15.08984375" style="970" customWidth="1"/>
    <col min="2058" max="2058" width="20" style="970" customWidth="1"/>
    <col min="2059" max="2059" width="16.6328125" style="970" customWidth="1"/>
    <col min="2060" max="2060" width="12.08984375" style="970" customWidth="1"/>
    <col min="2061" max="2307" width="9.08984375" style="970"/>
    <col min="2308" max="2308" width="4.6328125" style="970" customWidth="1"/>
    <col min="2309" max="2309" width="11.08984375" style="970" customWidth="1"/>
    <col min="2310" max="2310" width="23.453125" style="970" customWidth="1"/>
    <col min="2311" max="2311" width="16.6328125" style="970" customWidth="1"/>
    <col min="2312" max="2312" width="16.08984375" style="970" customWidth="1"/>
    <col min="2313" max="2313" width="15.08984375" style="970" customWidth="1"/>
    <col min="2314" max="2314" width="20" style="970" customWidth="1"/>
    <col min="2315" max="2315" width="16.6328125" style="970" customWidth="1"/>
    <col min="2316" max="2316" width="12.08984375" style="970" customWidth="1"/>
    <col min="2317" max="2563" width="9.08984375" style="970"/>
    <col min="2564" max="2564" width="4.6328125" style="970" customWidth="1"/>
    <col min="2565" max="2565" width="11.08984375" style="970" customWidth="1"/>
    <col min="2566" max="2566" width="23.453125" style="970" customWidth="1"/>
    <col min="2567" max="2567" width="16.6328125" style="970" customWidth="1"/>
    <col min="2568" max="2568" width="16.08984375" style="970" customWidth="1"/>
    <col min="2569" max="2569" width="15.08984375" style="970" customWidth="1"/>
    <col min="2570" max="2570" width="20" style="970" customWidth="1"/>
    <col min="2571" max="2571" width="16.6328125" style="970" customWidth="1"/>
    <col min="2572" max="2572" width="12.08984375" style="970" customWidth="1"/>
    <col min="2573" max="2819" width="9.08984375" style="970"/>
    <col min="2820" max="2820" width="4.6328125" style="970" customWidth="1"/>
    <col min="2821" max="2821" width="11.08984375" style="970" customWidth="1"/>
    <col min="2822" max="2822" width="23.453125" style="970" customWidth="1"/>
    <col min="2823" max="2823" width="16.6328125" style="970" customWidth="1"/>
    <col min="2824" max="2824" width="16.08984375" style="970" customWidth="1"/>
    <col min="2825" max="2825" width="15.08984375" style="970" customWidth="1"/>
    <col min="2826" max="2826" width="20" style="970" customWidth="1"/>
    <col min="2827" max="2827" width="16.6328125" style="970" customWidth="1"/>
    <col min="2828" max="2828" width="12.08984375" style="970" customWidth="1"/>
    <col min="2829" max="3075" width="9.08984375" style="970"/>
    <col min="3076" max="3076" width="4.6328125" style="970" customWidth="1"/>
    <col min="3077" max="3077" width="11.08984375" style="970" customWidth="1"/>
    <col min="3078" max="3078" width="23.453125" style="970" customWidth="1"/>
    <col min="3079" max="3079" width="16.6328125" style="970" customWidth="1"/>
    <col min="3080" max="3080" width="16.08984375" style="970" customWidth="1"/>
    <col min="3081" max="3081" width="15.08984375" style="970" customWidth="1"/>
    <col min="3082" max="3082" width="20" style="970" customWidth="1"/>
    <col min="3083" max="3083" width="16.6328125" style="970" customWidth="1"/>
    <col min="3084" max="3084" width="12.08984375" style="970" customWidth="1"/>
    <col min="3085" max="3331" width="9.08984375" style="970"/>
    <col min="3332" max="3332" width="4.6328125" style="970" customWidth="1"/>
    <col min="3333" max="3333" width="11.08984375" style="970" customWidth="1"/>
    <col min="3334" max="3334" width="23.453125" style="970" customWidth="1"/>
    <col min="3335" max="3335" width="16.6328125" style="970" customWidth="1"/>
    <col min="3336" max="3336" width="16.08984375" style="970" customWidth="1"/>
    <col min="3337" max="3337" width="15.08984375" style="970" customWidth="1"/>
    <col min="3338" max="3338" width="20" style="970" customWidth="1"/>
    <col min="3339" max="3339" width="16.6328125" style="970" customWidth="1"/>
    <col min="3340" max="3340" width="12.08984375" style="970" customWidth="1"/>
    <col min="3341" max="3587" width="9.08984375" style="970"/>
    <col min="3588" max="3588" width="4.6328125" style="970" customWidth="1"/>
    <col min="3589" max="3589" width="11.08984375" style="970" customWidth="1"/>
    <col min="3590" max="3590" width="23.453125" style="970" customWidth="1"/>
    <col min="3591" max="3591" width="16.6328125" style="970" customWidth="1"/>
    <col min="3592" max="3592" width="16.08984375" style="970" customWidth="1"/>
    <col min="3593" max="3593" width="15.08984375" style="970" customWidth="1"/>
    <col min="3594" max="3594" width="20" style="970" customWidth="1"/>
    <col min="3595" max="3595" width="16.6328125" style="970" customWidth="1"/>
    <col min="3596" max="3596" width="12.08984375" style="970" customWidth="1"/>
    <col min="3597" max="3843" width="9.08984375" style="970"/>
    <col min="3844" max="3844" width="4.6328125" style="970" customWidth="1"/>
    <col min="3845" max="3845" width="11.08984375" style="970" customWidth="1"/>
    <col min="3846" max="3846" width="23.453125" style="970" customWidth="1"/>
    <col min="3847" max="3847" width="16.6328125" style="970" customWidth="1"/>
    <col min="3848" max="3848" width="16.08984375" style="970" customWidth="1"/>
    <col min="3849" max="3849" width="15.08984375" style="970" customWidth="1"/>
    <col min="3850" max="3850" width="20" style="970" customWidth="1"/>
    <col min="3851" max="3851" width="16.6328125" style="970" customWidth="1"/>
    <col min="3852" max="3852" width="12.08984375" style="970" customWidth="1"/>
    <col min="3853" max="4099" width="9.08984375" style="970"/>
    <col min="4100" max="4100" width="4.6328125" style="970" customWidth="1"/>
    <col min="4101" max="4101" width="11.08984375" style="970" customWidth="1"/>
    <col min="4102" max="4102" width="23.453125" style="970" customWidth="1"/>
    <col min="4103" max="4103" width="16.6328125" style="970" customWidth="1"/>
    <col min="4104" max="4104" width="16.08984375" style="970" customWidth="1"/>
    <col min="4105" max="4105" width="15.08984375" style="970" customWidth="1"/>
    <col min="4106" max="4106" width="20" style="970" customWidth="1"/>
    <col min="4107" max="4107" width="16.6328125" style="970" customWidth="1"/>
    <col min="4108" max="4108" width="12.08984375" style="970" customWidth="1"/>
    <col min="4109" max="4355" width="9.08984375" style="970"/>
    <col min="4356" max="4356" width="4.6328125" style="970" customWidth="1"/>
    <col min="4357" max="4357" width="11.08984375" style="970" customWidth="1"/>
    <col min="4358" max="4358" width="23.453125" style="970" customWidth="1"/>
    <col min="4359" max="4359" width="16.6328125" style="970" customWidth="1"/>
    <col min="4360" max="4360" width="16.08984375" style="970" customWidth="1"/>
    <col min="4361" max="4361" width="15.08984375" style="970" customWidth="1"/>
    <col min="4362" max="4362" width="20" style="970" customWidth="1"/>
    <col min="4363" max="4363" width="16.6328125" style="970" customWidth="1"/>
    <col min="4364" max="4364" width="12.08984375" style="970" customWidth="1"/>
    <col min="4365" max="4611" width="9.08984375" style="970"/>
    <col min="4612" max="4612" width="4.6328125" style="970" customWidth="1"/>
    <col min="4613" max="4613" width="11.08984375" style="970" customWidth="1"/>
    <col min="4614" max="4614" width="23.453125" style="970" customWidth="1"/>
    <col min="4615" max="4615" width="16.6328125" style="970" customWidth="1"/>
    <col min="4616" max="4616" width="16.08984375" style="970" customWidth="1"/>
    <col min="4617" max="4617" width="15.08984375" style="970" customWidth="1"/>
    <col min="4618" max="4618" width="20" style="970" customWidth="1"/>
    <col min="4619" max="4619" width="16.6328125" style="970" customWidth="1"/>
    <col min="4620" max="4620" width="12.08984375" style="970" customWidth="1"/>
    <col min="4621" max="4867" width="9.08984375" style="970"/>
    <col min="4868" max="4868" width="4.6328125" style="970" customWidth="1"/>
    <col min="4869" max="4869" width="11.08984375" style="970" customWidth="1"/>
    <col min="4870" max="4870" width="23.453125" style="970" customWidth="1"/>
    <col min="4871" max="4871" width="16.6328125" style="970" customWidth="1"/>
    <col min="4872" max="4872" width="16.08984375" style="970" customWidth="1"/>
    <col min="4873" max="4873" width="15.08984375" style="970" customWidth="1"/>
    <col min="4874" max="4874" width="20" style="970" customWidth="1"/>
    <col min="4875" max="4875" width="16.6328125" style="970" customWidth="1"/>
    <col min="4876" max="4876" width="12.08984375" style="970" customWidth="1"/>
    <col min="4877" max="5123" width="9.08984375" style="970"/>
    <col min="5124" max="5124" width="4.6328125" style="970" customWidth="1"/>
    <col min="5125" max="5125" width="11.08984375" style="970" customWidth="1"/>
    <col min="5126" max="5126" width="23.453125" style="970" customWidth="1"/>
    <col min="5127" max="5127" width="16.6328125" style="970" customWidth="1"/>
    <col min="5128" max="5128" width="16.08984375" style="970" customWidth="1"/>
    <col min="5129" max="5129" width="15.08984375" style="970" customWidth="1"/>
    <col min="5130" max="5130" width="20" style="970" customWidth="1"/>
    <col min="5131" max="5131" width="16.6328125" style="970" customWidth="1"/>
    <col min="5132" max="5132" width="12.08984375" style="970" customWidth="1"/>
    <col min="5133" max="5379" width="9.08984375" style="970"/>
    <col min="5380" max="5380" width="4.6328125" style="970" customWidth="1"/>
    <col min="5381" max="5381" width="11.08984375" style="970" customWidth="1"/>
    <col min="5382" max="5382" width="23.453125" style="970" customWidth="1"/>
    <col min="5383" max="5383" width="16.6328125" style="970" customWidth="1"/>
    <col min="5384" max="5384" width="16.08984375" style="970" customWidth="1"/>
    <col min="5385" max="5385" width="15.08984375" style="970" customWidth="1"/>
    <col min="5386" max="5386" width="20" style="970" customWidth="1"/>
    <col min="5387" max="5387" width="16.6328125" style="970" customWidth="1"/>
    <col min="5388" max="5388" width="12.08984375" style="970" customWidth="1"/>
    <col min="5389" max="5635" width="9.08984375" style="970"/>
    <col min="5636" max="5636" width="4.6328125" style="970" customWidth="1"/>
    <col min="5637" max="5637" width="11.08984375" style="970" customWidth="1"/>
    <col min="5638" max="5638" width="23.453125" style="970" customWidth="1"/>
    <col min="5639" max="5639" width="16.6328125" style="970" customWidth="1"/>
    <col min="5640" max="5640" width="16.08984375" style="970" customWidth="1"/>
    <col min="5641" max="5641" width="15.08984375" style="970" customWidth="1"/>
    <col min="5642" max="5642" width="20" style="970" customWidth="1"/>
    <col min="5643" max="5643" width="16.6328125" style="970" customWidth="1"/>
    <col min="5644" max="5644" width="12.08984375" style="970" customWidth="1"/>
    <col min="5645" max="5891" width="9.08984375" style="970"/>
    <col min="5892" max="5892" width="4.6328125" style="970" customWidth="1"/>
    <col min="5893" max="5893" width="11.08984375" style="970" customWidth="1"/>
    <col min="5894" max="5894" width="23.453125" style="970" customWidth="1"/>
    <col min="5895" max="5895" width="16.6328125" style="970" customWidth="1"/>
    <col min="5896" max="5896" width="16.08984375" style="970" customWidth="1"/>
    <col min="5897" max="5897" width="15.08984375" style="970" customWidth="1"/>
    <col min="5898" max="5898" width="20" style="970" customWidth="1"/>
    <col min="5899" max="5899" width="16.6328125" style="970" customWidth="1"/>
    <col min="5900" max="5900" width="12.08984375" style="970" customWidth="1"/>
    <col min="5901" max="6147" width="9.08984375" style="970"/>
    <col min="6148" max="6148" width="4.6328125" style="970" customWidth="1"/>
    <col min="6149" max="6149" width="11.08984375" style="970" customWidth="1"/>
    <col min="6150" max="6150" width="23.453125" style="970" customWidth="1"/>
    <col min="6151" max="6151" width="16.6328125" style="970" customWidth="1"/>
    <col min="6152" max="6152" width="16.08984375" style="970" customWidth="1"/>
    <col min="6153" max="6153" width="15.08984375" style="970" customWidth="1"/>
    <col min="6154" max="6154" width="20" style="970" customWidth="1"/>
    <col min="6155" max="6155" width="16.6328125" style="970" customWidth="1"/>
    <col min="6156" max="6156" width="12.08984375" style="970" customWidth="1"/>
    <col min="6157" max="6403" width="9.08984375" style="970"/>
    <col min="6404" max="6404" width="4.6328125" style="970" customWidth="1"/>
    <col min="6405" max="6405" width="11.08984375" style="970" customWidth="1"/>
    <col min="6406" max="6406" width="23.453125" style="970" customWidth="1"/>
    <col min="6407" max="6407" width="16.6328125" style="970" customWidth="1"/>
    <col min="6408" max="6408" width="16.08984375" style="970" customWidth="1"/>
    <col min="6409" max="6409" width="15.08984375" style="970" customWidth="1"/>
    <col min="6410" max="6410" width="20" style="970" customWidth="1"/>
    <col min="6411" max="6411" width="16.6328125" style="970" customWidth="1"/>
    <col min="6412" max="6412" width="12.08984375" style="970" customWidth="1"/>
    <col min="6413" max="6659" width="9.08984375" style="970"/>
    <col min="6660" max="6660" width="4.6328125" style="970" customWidth="1"/>
    <col min="6661" max="6661" width="11.08984375" style="970" customWidth="1"/>
    <col min="6662" max="6662" width="23.453125" style="970" customWidth="1"/>
    <col min="6663" max="6663" width="16.6328125" style="970" customWidth="1"/>
    <col min="6664" max="6664" width="16.08984375" style="970" customWidth="1"/>
    <col min="6665" max="6665" width="15.08984375" style="970" customWidth="1"/>
    <col min="6666" max="6666" width="20" style="970" customWidth="1"/>
    <col min="6667" max="6667" width="16.6328125" style="970" customWidth="1"/>
    <col min="6668" max="6668" width="12.08984375" style="970" customWidth="1"/>
    <col min="6669" max="6915" width="9.08984375" style="970"/>
    <col min="6916" max="6916" width="4.6328125" style="970" customWidth="1"/>
    <col min="6917" max="6917" width="11.08984375" style="970" customWidth="1"/>
    <col min="6918" max="6918" width="23.453125" style="970" customWidth="1"/>
    <col min="6919" max="6919" width="16.6328125" style="970" customWidth="1"/>
    <col min="6920" max="6920" width="16.08984375" style="970" customWidth="1"/>
    <col min="6921" max="6921" width="15.08984375" style="970" customWidth="1"/>
    <col min="6922" max="6922" width="20" style="970" customWidth="1"/>
    <col min="6923" max="6923" width="16.6328125" style="970" customWidth="1"/>
    <col min="6924" max="6924" width="12.08984375" style="970" customWidth="1"/>
    <col min="6925" max="7171" width="9.08984375" style="970"/>
    <col min="7172" max="7172" width="4.6328125" style="970" customWidth="1"/>
    <col min="7173" max="7173" width="11.08984375" style="970" customWidth="1"/>
    <col min="7174" max="7174" width="23.453125" style="970" customWidth="1"/>
    <col min="7175" max="7175" width="16.6328125" style="970" customWidth="1"/>
    <col min="7176" max="7176" width="16.08984375" style="970" customWidth="1"/>
    <col min="7177" max="7177" width="15.08984375" style="970" customWidth="1"/>
    <col min="7178" max="7178" width="20" style="970" customWidth="1"/>
    <col min="7179" max="7179" width="16.6328125" style="970" customWidth="1"/>
    <col min="7180" max="7180" width="12.08984375" style="970" customWidth="1"/>
    <col min="7181" max="7427" width="9.08984375" style="970"/>
    <col min="7428" max="7428" width="4.6328125" style="970" customWidth="1"/>
    <col min="7429" max="7429" width="11.08984375" style="970" customWidth="1"/>
    <col min="7430" max="7430" width="23.453125" style="970" customWidth="1"/>
    <col min="7431" max="7431" width="16.6328125" style="970" customWidth="1"/>
    <col min="7432" max="7432" width="16.08984375" style="970" customWidth="1"/>
    <col min="7433" max="7433" width="15.08984375" style="970" customWidth="1"/>
    <col min="7434" max="7434" width="20" style="970" customWidth="1"/>
    <col min="7435" max="7435" width="16.6328125" style="970" customWidth="1"/>
    <col min="7436" max="7436" width="12.08984375" style="970" customWidth="1"/>
    <col min="7437" max="7683" width="9.08984375" style="970"/>
    <col min="7684" max="7684" width="4.6328125" style="970" customWidth="1"/>
    <col min="7685" max="7685" width="11.08984375" style="970" customWidth="1"/>
    <col min="7686" max="7686" width="23.453125" style="970" customWidth="1"/>
    <col min="7687" max="7687" width="16.6328125" style="970" customWidth="1"/>
    <col min="7688" max="7688" width="16.08984375" style="970" customWidth="1"/>
    <col min="7689" max="7689" width="15.08984375" style="970" customWidth="1"/>
    <col min="7690" max="7690" width="20" style="970" customWidth="1"/>
    <col min="7691" max="7691" width="16.6328125" style="970" customWidth="1"/>
    <col min="7692" max="7692" width="12.08984375" style="970" customWidth="1"/>
    <col min="7693" max="7939" width="9.08984375" style="970"/>
    <col min="7940" max="7940" width="4.6328125" style="970" customWidth="1"/>
    <col min="7941" max="7941" width="11.08984375" style="970" customWidth="1"/>
    <col min="7942" max="7942" width="23.453125" style="970" customWidth="1"/>
    <col min="7943" max="7943" width="16.6328125" style="970" customWidth="1"/>
    <col min="7944" max="7944" width="16.08984375" style="970" customWidth="1"/>
    <col min="7945" max="7945" width="15.08984375" style="970" customWidth="1"/>
    <col min="7946" max="7946" width="20" style="970" customWidth="1"/>
    <col min="7947" max="7947" width="16.6328125" style="970" customWidth="1"/>
    <col min="7948" max="7948" width="12.08984375" style="970" customWidth="1"/>
    <col min="7949" max="8195" width="9.08984375" style="970"/>
    <col min="8196" max="8196" width="4.6328125" style="970" customWidth="1"/>
    <col min="8197" max="8197" width="11.08984375" style="970" customWidth="1"/>
    <col min="8198" max="8198" width="23.453125" style="970" customWidth="1"/>
    <col min="8199" max="8199" width="16.6328125" style="970" customWidth="1"/>
    <col min="8200" max="8200" width="16.08984375" style="970" customWidth="1"/>
    <col min="8201" max="8201" width="15.08984375" style="970" customWidth="1"/>
    <col min="8202" max="8202" width="20" style="970" customWidth="1"/>
    <col min="8203" max="8203" width="16.6328125" style="970" customWidth="1"/>
    <col min="8204" max="8204" width="12.08984375" style="970" customWidth="1"/>
    <col min="8205" max="8451" width="9.08984375" style="970"/>
    <col min="8452" max="8452" width="4.6328125" style="970" customWidth="1"/>
    <col min="8453" max="8453" width="11.08984375" style="970" customWidth="1"/>
    <col min="8454" max="8454" width="23.453125" style="970" customWidth="1"/>
    <col min="8455" max="8455" width="16.6328125" style="970" customWidth="1"/>
    <col min="8456" max="8456" width="16.08984375" style="970" customWidth="1"/>
    <col min="8457" max="8457" width="15.08984375" style="970" customWidth="1"/>
    <col min="8458" max="8458" width="20" style="970" customWidth="1"/>
    <col min="8459" max="8459" width="16.6328125" style="970" customWidth="1"/>
    <col min="8460" max="8460" width="12.08984375" style="970" customWidth="1"/>
    <col min="8461" max="8707" width="9.08984375" style="970"/>
    <col min="8708" max="8708" width="4.6328125" style="970" customWidth="1"/>
    <col min="8709" max="8709" width="11.08984375" style="970" customWidth="1"/>
    <col min="8710" max="8710" width="23.453125" style="970" customWidth="1"/>
    <col min="8711" max="8711" width="16.6328125" style="970" customWidth="1"/>
    <col min="8712" max="8712" width="16.08984375" style="970" customWidth="1"/>
    <col min="8713" max="8713" width="15.08984375" style="970" customWidth="1"/>
    <col min="8714" max="8714" width="20" style="970" customWidth="1"/>
    <col min="8715" max="8715" width="16.6328125" style="970" customWidth="1"/>
    <col min="8716" max="8716" width="12.08984375" style="970" customWidth="1"/>
    <col min="8717" max="8963" width="9.08984375" style="970"/>
    <col min="8964" max="8964" width="4.6328125" style="970" customWidth="1"/>
    <col min="8965" max="8965" width="11.08984375" style="970" customWidth="1"/>
    <col min="8966" max="8966" width="23.453125" style="970" customWidth="1"/>
    <col min="8967" max="8967" width="16.6328125" style="970" customWidth="1"/>
    <col min="8968" max="8968" width="16.08984375" style="970" customWidth="1"/>
    <col min="8969" max="8969" width="15.08984375" style="970" customWidth="1"/>
    <col min="8970" max="8970" width="20" style="970" customWidth="1"/>
    <col min="8971" max="8971" width="16.6328125" style="970" customWidth="1"/>
    <col min="8972" max="8972" width="12.08984375" style="970" customWidth="1"/>
    <col min="8973" max="9219" width="9.08984375" style="970"/>
    <col min="9220" max="9220" width="4.6328125" style="970" customWidth="1"/>
    <col min="9221" max="9221" width="11.08984375" style="970" customWidth="1"/>
    <col min="9222" max="9222" width="23.453125" style="970" customWidth="1"/>
    <col min="9223" max="9223" width="16.6328125" style="970" customWidth="1"/>
    <col min="9224" max="9224" width="16.08984375" style="970" customWidth="1"/>
    <col min="9225" max="9225" width="15.08984375" style="970" customWidth="1"/>
    <col min="9226" max="9226" width="20" style="970" customWidth="1"/>
    <col min="9227" max="9227" width="16.6328125" style="970" customWidth="1"/>
    <col min="9228" max="9228" width="12.08984375" style="970" customWidth="1"/>
    <col min="9229" max="9475" width="9.08984375" style="970"/>
    <col min="9476" max="9476" width="4.6328125" style="970" customWidth="1"/>
    <col min="9477" max="9477" width="11.08984375" style="970" customWidth="1"/>
    <col min="9478" max="9478" width="23.453125" style="970" customWidth="1"/>
    <col min="9479" max="9479" width="16.6328125" style="970" customWidth="1"/>
    <col min="9480" max="9480" width="16.08984375" style="970" customWidth="1"/>
    <col min="9481" max="9481" width="15.08984375" style="970" customWidth="1"/>
    <col min="9482" max="9482" width="20" style="970" customWidth="1"/>
    <col min="9483" max="9483" width="16.6328125" style="970" customWidth="1"/>
    <col min="9484" max="9484" width="12.08984375" style="970" customWidth="1"/>
    <col min="9485" max="9731" width="9.08984375" style="970"/>
    <col min="9732" max="9732" width="4.6328125" style="970" customWidth="1"/>
    <col min="9733" max="9733" width="11.08984375" style="970" customWidth="1"/>
    <col min="9734" max="9734" width="23.453125" style="970" customWidth="1"/>
    <col min="9735" max="9735" width="16.6328125" style="970" customWidth="1"/>
    <col min="9736" max="9736" width="16.08984375" style="970" customWidth="1"/>
    <col min="9737" max="9737" width="15.08984375" style="970" customWidth="1"/>
    <col min="9738" max="9738" width="20" style="970" customWidth="1"/>
    <col min="9739" max="9739" width="16.6328125" style="970" customWidth="1"/>
    <col min="9740" max="9740" width="12.08984375" style="970" customWidth="1"/>
    <col min="9741" max="9987" width="9.08984375" style="970"/>
    <col min="9988" max="9988" width="4.6328125" style="970" customWidth="1"/>
    <col min="9989" max="9989" width="11.08984375" style="970" customWidth="1"/>
    <col min="9990" max="9990" width="23.453125" style="970" customWidth="1"/>
    <col min="9991" max="9991" width="16.6328125" style="970" customWidth="1"/>
    <col min="9992" max="9992" width="16.08984375" style="970" customWidth="1"/>
    <col min="9993" max="9993" width="15.08984375" style="970" customWidth="1"/>
    <col min="9994" max="9994" width="20" style="970" customWidth="1"/>
    <col min="9995" max="9995" width="16.6328125" style="970" customWidth="1"/>
    <col min="9996" max="9996" width="12.08984375" style="970" customWidth="1"/>
    <col min="9997" max="10243" width="9.08984375" style="970"/>
    <col min="10244" max="10244" width="4.6328125" style="970" customWidth="1"/>
    <col min="10245" max="10245" width="11.08984375" style="970" customWidth="1"/>
    <col min="10246" max="10246" width="23.453125" style="970" customWidth="1"/>
    <col min="10247" max="10247" width="16.6328125" style="970" customWidth="1"/>
    <col min="10248" max="10248" width="16.08984375" style="970" customWidth="1"/>
    <col min="10249" max="10249" width="15.08984375" style="970" customWidth="1"/>
    <col min="10250" max="10250" width="20" style="970" customWidth="1"/>
    <col min="10251" max="10251" width="16.6328125" style="970" customWidth="1"/>
    <col min="10252" max="10252" width="12.08984375" style="970" customWidth="1"/>
    <col min="10253" max="10499" width="9.08984375" style="970"/>
    <col min="10500" max="10500" width="4.6328125" style="970" customWidth="1"/>
    <col min="10501" max="10501" width="11.08984375" style="970" customWidth="1"/>
    <col min="10502" max="10502" width="23.453125" style="970" customWidth="1"/>
    <col min="10503" max="10503" width="16.6328125" style="970" customWidth="1"/>
    <col min="10504" max="10504" width="16.08984375" style="970" customWidth="1"/>
    <col min="10505" max="10505" width="15.08984375" style="970" customWidth="1"/>
    <col min="10506" max="10506" width="20" style="970" customWidth="1"/>
    <col min="10507" max="10507" width="16.6328125" style="970" customWidth="1"/>
    <col min="10508" max="10508" width="12.08984375" style="970" customWidth="1"/>
    <col min="10509" max="10755" width="9.08984375" style="970"/>
    <col min="10756" max="10756" width="4.6328125" style="970" customWidth="1"/>
    <col min="10757" max="10757" width="11.08984375" style="970" customWidth="1"/>
    <col min="10758" max="10758" width="23.453125" style="970" customWidth="1"/>
    <col min="10759" max="10759" width="16.6328125" style="970" customWidth="1"/>
    <col min="10760" max="10760" width="16.08984375" style="970" customWidth="1"/>
    <col min="10761" max="10761" width="15.08984375" style="970" customWidth="1"/>
    <col min="10762" max="10762" width="20" style="970" customWidth="1"/>
    <col min="10763" max="10763" width="16.6328125" style="970" customWidth="1"/>
    <col min="10764" max="10764" width="12.08984375" style="970" customWidth="1"/>
    <col min="10765" max="11011" width="9.08984375" style="970"/>
    <col min="11012" max="11012" width="4.6328125" style="970" customWidth="1"/>
    <col min="11013" max="11013" width="11.08984375" style="970" customWidth="1"/>
    <col min="11014" max="11014" width="23.453125" style="970" customWidth="1"/>
    <col min="11015" max="11015" width="16.6328125" style="970" customWidth="1"/>
    <col min="11016" max="11016" width="16.08984375" style="970" customWidth="1"/>
    <col min="11017" max="11017" width="15.08984375" style="970" customWidth="1"/>
    <col min="11018" max="11018" width="20" style="970" customWidth="1"/>
    <col min="11019" max="11019" width="16.6328125" style="970" customWidth="1"/>
    <col min="11020" max="11020" width="12.08984375" style="970" customWidth="1"/>
    <col min="11021" max="11267" width="9.08984375" style="970"/>
    <col min="11268" max="11268" width="4.6328125" style="970" customWidth="1"/>
    <col min="11269" max="11269" width="11.08984375" style="970" customWidth="1"/>
    <col min="11270" max="11270" width="23.453125" style="970" customWidth="1"/>
    <col min="11271" max="11271" width="16.6328125" style="970" customWidth="1"/>
    <col min="11272" max="11272" width="16.08984375" style="970" customWidth="1"/>
    <col min="11273" max="11273" width="15.08984375" style="970" customWidth="1"/>
    <col min="11274" max="11274" width="20" style="970" customWidth="1"/>
    <col min="11275" max="11275" width="16.6328125" style="970" customWidth="1"/>
    <col min="11276" max="11276" width="12.08984375" style="970" customWidth="1"/>
    <col min="11277" max="11523" width="9.08984375" style="970"/>
    <col min="11524" max="11524" width="4.6328125" style="970" customWidth="1"/>
    <col min="11525" max="11525" width="11.08984375" style="970" customWidth="1"/>
    <col min="11526" max="11526" width="23.453125" style="970" customWidth="1"/>
    <col min="11527" max="11527" width="16.6328125" style="970" customWidth="1"/>
    <col min="11528" max="11528" width="16.08984375" style="970" customWidth="1"/>
    <col min="11529" max="11529" width="15.08984375" style="970" customWidth="1"/>
    <col min="11530" max="11530" width="20" style="970" customWidth="1"/>
    <col min="11531" max="11531" width="16.6328125" style="970" customWidth="1"/>
    <col min="11532" max="11532" width="12.08984375" style="970" customWidth="1"/>
    <col min="11533" max="11779" width="9.08984375" style="970"/>
    <col min="11780" max="11780" width="4.6328125" style="970" customWidth="1"/>
    <col min="11781" max="11781" width="11.08984375" style="970" customWidth="1"/>
    <col min="11782" max="11782" width="23.453125" style="970" customWidth="1"/>
    <col min="11783" max="11783" width="16.6328125" style="970" customWidth="1"/>
    <col min="11784" max="11784" width="16.08984375" style="970" customWidth="1"/>
    <col min="11785" max="11785" width="15.08984375" style="970" customWidth="1"/>
    <col min="11786" max="11786" width="20" style="970" customWidth="1"/>
    <col min="11787" max="11787" width="16.6328125" style="970" customWidth="1"/>
    <col min="11788" max="11788" width="12.08984375" style="970" customWidth="1"/>
    <col min="11789" max="12035" width="9.08984375" style="970"/>
    <col min="12036" max="12036" width="4.6328125" style="970" customWidth="1"/>
    <col min="12037" max="12037" width="11.08984375" style="970" customWidth="1"/>
    <col min="12038" max="12038" width="23.453125" style="970" customWidth="1"/>
    <col min="12039" max="12039" width="16.6328125" style="970" customWidth="1"/>
    <col min="12040" max="12040" width="16.08984375" style="970" customWidth="1"/>
    <col min="12041" max="12041" width="15.08984375" style="970" customWidth="1"/>
    <col min="12042" max="12042" width="20" style="970" customWidth="1"/>
    <col min="12043" max="12043" width="16.6328125" style="970" customWidth="1"/>
    <col min="12044" max="12044" width="12.08984375" style="970" customWidth="1"/>
    <col min="12045" max="12291" width="9.08984375" style="970"/>
    <col min="12292" max="12292" width="4.6328125" style="970" customWidth="1"/>
    <col min="12293" max="12293" width="11.08984375" style="970" customWidth="1"/>
    <col min="12294" max="12294" width="23.453125" style="970" customWidth="1"/>
    <col min="12295" max="12295" width="16.6328125" style="970" customWidth="1"/>
    <col min="12296" max="12296" width="16.08984375" style="970" customWidth="1"/>
    <col min="12297" max="12297" width="15.08984375" style="970" customWidth="1"/>
    <col min="12298" max="12298" width="20" style="970" customWidth="1"/>
    <col min="12299" max="12299" width="16.6328125" style="970" customWidth="1"/>
    <col min="12300" max="12300" width="12.08984375" style="970" customWidth="1"/>
    <col min="12301" max="12547" width="9.08984375" style="970"/>
    <col min="12548" max="12548" width="4.6328125" style="970" customWidth="1"/>
    <col min="12549" max="12549" width="11.08984375" style="970" customWidth="1"/>
    <col min="12550" max="12550" width="23.453125" style="970" customWidth="1"/>
    <col min="12551" max="12551" width="16.6328125" style="970" customWidth="1"/>
    <col min="12552" max="12552" width="16.08984375" style="970" customWidth="1"/>
    <col min="12553" max="12553" width="15.08984375" style="970" customWidth="1"/>
    <col min="12554" max="12554" width="20" style="970" customWidth="1"/>
    <col min="12555" max="12555" width="16.6328125" style="970" customWidth="1"/>
    <col min="12556" max="12556" width="12.08984375" style="970" customWidth="1"/>
    <col min="12557" max="12803" width="9.08984375" style="970"/>
    <col min="12804" max="12804" width="4.6328125" style="970" customWidth="1"/>
    <col min="12805" max="12805" width="11.08984375" style="970" customWidth="1"/>
    <col min="12806" max="12806" width="23.453125" style="970" customWidth="1"/>
    <col min="12807" max="12807" width="16.6328125" style="970" customWidth="1"/>
    <col min="12808" max="12808" width="16.08984375" style="970" customWidth="1"/>
    <col min="12809" max="12809" width="15.08984375" style="970" customWidth="1"/>
    <col min="12810" max="12810" width="20" style="970" customWidth="1"/>
    <col min="12811" max="12811" width="16.6328125" style="970" customWidth="1"/>
    <col min="12812" max="12812" width="12.08984375" style="970" customWidth="1"/>
    <col min="12813" max="13059" width="9.08984375" style="970"/>
    <col min="13060" max="13060" width="4.6328125" style="970" customWidth="1"/>
    <col min="13061" max="13061" width="11.08984375" style="970" customWidth="1"/>
    <col min="13062" max="13062" width="23.453125" style="970" customWidth="1"/>
    <col min="13063" max="13063" width="16.6328125" style="970" customWidth="1"/>
    <col min="13064" max="13064" width="16.08984375" style="970" customWidth="1"/>
    <col min="13065" max="13065" width="15.08984375" style="970" customWidth="1"/>
    <col min="13066" max="13066" width="20" style="970" customWidth="1"/>
    <col min="13067" max="13067" width="16.6328125" style="970" customWidth="1"/>
    <col min="13068" max="13068" width="12.08984375" style="970" customWidth="1"/>
    <col min="13069" max="13315" width="9.08984375" style="970"/>
    <col min="13316" max="13316" width="4.6328125" style="970" customWidth="1"/>
    <col min="13317" max="13317" width="11.08984375" style="970" customWidth="1"/>
    <col min="13318" max="13318" width="23.453125" style="970" customWidth="1"/>
    <col min="13319" max="13319" width="16.6328125" style="970" customWidth="1"/>
    <col min="13320" max="13320" width="16.08984375" style="970" customWidth="1"/>
    <col min="13321" max="13321" width="15.08984375" style="970" customWidth="1"/>
    <col min="13322" max="13322" width="20" style="970" customWidth="1"/>
    <col min="13323" max="13323" width="16.6328125" style="970" customWidth="1"/>
    <col min="13324" max="13324" width="12.08984375" style="970" customWidth="1"/>
    <col min="13325" max="13571" width="9.08984375" style="970"/>
    <col min="13572" max="13572" width="4.6328125" style="970" customWidth="1"/>
    <col min="13573" max="13573" width="11.08984375" style="970" customWidth="1"/>
    <col min="13574" max="13574" width="23.453125" style="970" customWidth="1"/>
    <col min="13575" max="13575" width="16.6328125" style="970" customWidth="1"/>
    <col min="13576" max="13576" width="16.08984375" style="970" customWidth="1"/>
    <col min="13577" max="13577" width="15.08984375" style="970" customWidth="1"/>
    <col min="13578" max="13578" width="20" style="970" customWidth="1"/>
    <col min="13579" max="13579" width="16.6328125" style="970" customWidth="1"/>
    <col min="13580" max="13580" width="12.08984375" style="970" customWidth="1"/>
    <col min="13581" max="13827" width="9.08984375" style="970"/>
    <col min="13828" max="13828" width="4.6328125" style="970" customWidth="1"/>
    <col min="13829" max="13829" width="11.08984375" style="970" customWidth="1"/>
    <col min="13830" max="13830" width="23.453125" style="970" customWidth="1"/>
    <col min="13831" max="13831" width="16.6328125" style="970" customWidth="1"/>
    <col min="13832" max="13832" width="16.08984375" style="970" customWidth="1"/>
    <col min="13833" max="13833" width="15.08984375" style="970" customWidth="1"/>
    <col min="13834" max="13834" width="20" style="970" customWidth="1"/>
    <col min="13835" max="13835" width="16.6328125" style="970" customWidth="1"/>
    <col min="13836" max="13836" width="12.08984375" style="970" customWidth="1"/>
    <col min="13837" max="14083" width="9.08984375" style="970"/>
    <col min="14084" max="14084" width="4.6328125" style="970" customWidth="1"/>
    <col min="14085" max="14085" width="11.08984375" style="970" customWidth="1"/>
    <col min="14086" max="14086" width="23.453125" style="970" customWidth="1"/>
    <col min="14087" max="14087" width="16.6328125" style="970" customWidth="1"/>
    <col min="14088" max="14088" width="16.08984375" style="970" customWidth="1"/>
    <col min="14089" max="14089" width="15.08984375" style="970" customWidth="1"/>
    <col min="14090" max="14090" width="20" style="970" customWidth="1"/>
    <col min="14091" max="14091" width="16.6328125" style="970" customWidth="1"/>
    <col min="14092" max="14092" width="12.08984375" style="970" customWidth="1"/>
    <col min="14093" max="14339" width="9.08984375" style="970"/>
    <col min="14340" max="14340" width="4.6328125" style="970" customWidth="1"/>
    <col min="14341" max="14341" width="11.08984375" style="970" customWidth="1"/>
    <col min="14342" max="14342" width="23.453125" style="970" customWidth="1"/>
    <col min="14343" max="14343" width="16.6328125" style="970" customWidth="1"/>
    <col min="14344" max="14344" width="16.08984375" style="970" customWidth="1"/>
    <col min="14345" max="14345" width="15.08984375" style="970" customWidth="1"/>
    <col min="14346" max="14346" width="20" style="970" customWidth="1"/>
    <col min="14347" max="14347" width="16.6328125" style="970" customWidth="1"/>
    <col min="14348" max="14348" width="12.08984375" style="970" customWidth="1"/>
    <col min="14349" max="14595" width="9.08984375" style="970"/>
    <col min="14596" max="14596" width="4.6328125" style="970" customWidth="1"/>
    <col min="14597" max="14597" width="11.08984375" style="970" customWidth="1"/>
    <col min="14598" max="14598" width="23.453125" style="970" customWidth="1"/>
    <col min="14599" max="14599" width="16.6328125" style="970" customWidth="1"/>
    <col min="14600" max="14600" width="16.08984375" style="970" customWidth="1"/>
    <col min="14601" max="14601" width="15.08984375" style="970" customWidth="1"/>
    <col min="14602" max="14602" width="20" style="970" customWidth="1"/>
    <col min="14603" max="14603" width="16.6328125" style="970" customWidth="1"/>
    <col min="14604" max="14604" width="12.08984375" style="970" customWidth="1"/>
    <col min="14605" max="14851" width="9.08984375" style="970"/>
    <col min="14852" max="14852" width="4.6328125" style="970" customWidth="1"/>
    <col min="14853" max="14853" width="11.08984375" style="970" customWidth="1"/>
    <col min="14854" max="14854" width="23.453125" style="970" customWidth="1"/>
    <col min="14855" max="14855" width="16.6328125" style="970" customWidth="1"/>
    <col min="14856" max="14856" width="16.08984375" style="970" customWidth="1"/>
    <col min="14857" max="14857" width="15.08984375" style="970" customWidth="1"/>
    <col min="14858" max="14858" width="20" style="970" customWidth="1"/>
    <col min="14859" max="14859" width="16.6328125" style="970" customWidth="1"/>
    <col min="14860" max="14860" width="12.08984375" style="970" customWidth="1"/>
    <col min="14861" max="15107" width="9.08984375" style="970"/>
    <col min="15108" max="15108" width="4.6328125" style="970" customWidth="1"/>
    <col min="15109" max="15109" width="11.08984375" style="970" customWidth="1"/>
    <col min="15110" max="15110" width="23.453125" style="970" customWidth="1"/>
    <col min="15111" max="15111" width="16.6328125" style="970" customWidth="1"/>
    <col min="15112" max="15112" width="16.08984375" style="970" customWidth="1"/>
    <col min="15113" max="15113" width="15.08984375" style="970" customWidth="1"/>
    <col min="15114" max="15114" width="20" style="970" customWidth="1"/>
    <col min="15115" max="15115" width="16.6328125" style="970" customWidth="1"/>
    <col min="15116" max="15116" width="12.08984375" style="970" customWidth="1"/>
    <col min="15117" max="15363" width="9.08984375" style="970"/>
    <col min="15364" max="15364" width="4.6328125" style="970" customWidth="1"/>
    <col min="15365" max="15365" width="11.08984375" style="970" customWidth="1"/>
    <col min="15366" max="15366" width="23.453125" style="970" customWidth="1"/>
    <col min="15367" max="15367" width="16.6328125" style="970" customWidth="1"/>
    <col min="15368" max="15368" width="16.08984375" style="970" customWidth="1"/>
    <col min="15369" max="15369" width="15.08984375" style="970" customWidth="1"/>
    <col min="15370" max="15370" width="20" style="970" customWidth="1"/>
    <col min="15371" max="15371" width="16.6328125" style="970" customWidth="1"/>
    <col min="15372" max="15372" width="12.08984375" style="970" customWidth="1"/>
    <col min="15373" max="15619" width="9.08984375" style="970"/>
    <col min="15620" max="15620" width="4.6328125" style="970" customWidth="1"/>
    <col min="15621" max="15621" width="11.08984375" style="970" customWidth="1"/>
    <col min="15622" max="15622" width="23.453125" style="970" customWidth="1"/>
    <col min="15623" max="15623" width="16.6328125" style="970" customWidth="1"/>
    <col min="15624" max="15624" width="16.08984375" style="970" customWidth="1"/>
    <col min="15625" max="15625" width="15.08984375" style="970" customWidth="1"/>
    <col min="15626" max="15626" width="20" style="970" customWidth="1"/>
    <col min="15627" max="15627" width="16.6328125" style="970" customWidth="1"/>
    <col min="15628" max="15628" width="12.08984375" style="970" customWidth="1"/>
    <col min="15629" max="15875" width="9.08984375" style="970"/>
    <col min="15876" max="15876" width="4.6328125" style="970" customWidth="1"/>
    <col min="15877" max="15877" width="11.08984375" style="970" customWidth="1"/>
    <col min="15878" max="15878" width="23.453125" style="970" customWidth="1"/>
    <col min="15879" max="15879" width="16.6328125" style="970" customWidth="1"/>
    <col min="15880" max="15880" width="16.08984375" style="970" customWidth="1"/>
    <col min="15881" max="15881" width="15.08984375" style="970" customWidth="1"/>
    <col min="15882" max="15882" width="20" style="970" customWidth="1"/>
    <col min="15883" max="15883" width="16.6328125" style="970" customWidth="1"/>
    <col min="15884" max="15884" width="12.08984375" style="970" customWidth="1"/>
    <col min="15885" max="16131" width="9.08984375" style="970"/>
    <col min="16132" max="16132" width="4.6328125" style="970" customWidth="1"/>
    <col min="16133" max="16133" width="11.08984375" style="970" customWidth="1"/>
    <col min="16134" max="16134" width="23.453125" style="970" customWidth="1"/>
    <col min="16135" max="16135" width="16.6328125" style="970" customWidth="1"/>
    <col min="16136" max="16136" width="16.08984375" style="970" customWidth="1"/>
    <col min="16137" max="16137" width="15.08984375" style="970" customWidth="1"/>
    <col min="16138" max="16138" width="20" style="970" customWidth="1"/>
    <col min="16139" max="16139" width="16.6328125" style="970" customWidth="1"/>
    <col min="16140" max="16140" width="12.08984375" style="970" customWidth="1"/>
    <col min="16141" max="16384" width="9.08984375" style="970"/>
  </cols>
  <sheetData>
    <row r="1" spans="2:14">
      <c r="B1" s="969"/>
      <c r="C1" s="969"/>
      <c r="E1" s="970"/>
      <c r="F1" s="970"/>
      <c r="G1" s="970"/>
      <c r="H1" s="970"/>
      <c r="I1" s="970"/>
      <c r="J1" s="970"/>
      <c r="K1" s="970"/>
      <c r="L1" s="970"/>
    </row>
    <row r="2" spans="2:14">
      <c r="B2" s="22"/>
      <c r="C2" s="22"/>
      <c r="D2" s="22"/>
      <c r="E2" s="22"/>
      <c r="F2" s="891" t="str">
        <f>Index!B2</f>
        <v xml:space="preserve">      Maharashtra State Power Generation Company Ltd.</v>
      </c>
      <c r="G2" s="22"/>
      <c r="H2" s="22"/>
      <c r="I2" s="22"/>
      <c r="J2" s="22"/>
      <c r="K2" s="22"/>
      <c r="L2" s="22"/>
    </row>
    <row r="3" spans="2:14">
      <c r="C3" s="1045"/>
      <c r="D3" s="1045"/>
      <c r="E3" s="1045"/>
      <c r="F3" s="930" t="s">
        <v>1049</v>
      </c>
      <c r="G3" s="1045"/>
      <c r="H3" s="1045"/>
      <c r="I3" s="1045"/>
      <c r="J3" s="1045"/>
      <c r="K3" s="1045"/>
      <c r="L3" s="1045"/>
    </row>
    <row r="4" spans="2:14">
      <c r="B4" s="22"/>
      <c r="C4" s="22"/>
      <c r="D4" s="22"/>
      <c r="E4" s="22"/>
      <c r="F4" s="1046" t="s">
        <v>1349</v>
      </c>
      <c r="G4" s="22"/>
      <c r="H4" s="22"/>
      <c r="I4" s="22"/>
      <c r="J4" s="22"/>
      <c r="K4" s="22"/>
      <c r="L4" s="22"/>
    </row>
    <row r="5" spans="2:14">
      <c r="E5" s="970"/>
      <c r="F5" s="970"/>
      <c r="G5" s="970"/>
      <c r="H5" s="970"/>
      <c r="I5" s="970"/>
      <c r="J5" s="970"/>
      <c r="K5" s="970"/>
      <c r="L5" s="970"/>
    </row>
    <row r="6" spans="2:14">
      <c r="E6" s="970"/>
      <c r="F6" s="970"/>
      <c r="G6" s="970"/>
      <c r="H6" s="970"/>
      <c r="I6" s="970"/>
      <c r="J6" s="970"/>
      <c r="K6" s="970"/>
      <c r="L6" s="970"/>
    </row>
    <row r="7" spans="2:14" s="977" customFormat="1">
      <c r="B7" s="1984" t="s">
        <v>340</v>
      </c>
      <c r="C7" s="1984" t="s">
        <v>413</v>
      </c>
      <c r="D7" s="1984" t="s">
        <v>1350</v>
      </c>
      <c r="E7" s="1994" t="s">
        <v>958</v>
      </c>
      <c r="F7" s="1995"/>
      <c r="G7" s="1994" t="s">
        <v>959</v>
      </c>
      <c r="H7" s="1995"/>
      <c r="I7" s="1994" t="s">
        <v>960</v>
      </c>
      <c r="J7" s="1995"/>
      <c r="K7" s="1994" t="s">
        <v>961</v>
      </c>
      <c r="L7" s="1995"/>
      <c r="M7" s="1994" t="s">
        <v>962</v>
      </c>
      <c r="N7" s="1995"/>
    </row>
    <row r="8" spans="2:14" ht="42">
      <c r="B8" s="1986"/>
      <c r="C8" s="1986"/>
      <c r="D8" s="1986"/>
      <c r="E8" s="1047" t="s">
        <v>1351</v>
      </c>
      <c r="F8" s="1047" t="s">
        <v>1352</v>
      </c>
      <c r="G8" s="1047" t="s">
        <v>1351</v>
      </c>
      <c r="H8" s="1047" t="s">
        <v>1352</v>
      </c>
      <c r="I8" s="1047" t="s">
        <v>1351</v>
      </c>
      <c r="J8" s="1047" t="s">
        <v>1352</v>
      </c>
      <c r="K8" s="1047" t="s">
        <v>1351</v>
      </c>
      <c r="L8" s="1047" t="s">
        <v>1352</v>
      </c>
      <c r="M8" s="1047" t="s">
        <v>1351</v>
      </c>
      <c r="N8" s="1047" t="s">
        <v>1352</v>
      </c>
    </row>
    <row r="9" spans="2:14">
      <c r="B9" s="1048"/>
      <c r="C9" s="1048"/>
      <c r="D9" s="1049"/>
      <c r="E9" s="1049"/>
      <c r="F9" s="1049"/>
      <c r="G9" s="1049"/>
      <c r="H9" s="1049"/>
      <c r="I9" s="1049"/>
      <c r="J9" s="1049"/>
      <c r="K9" s="1049"/>
      <c r="L9" s="1049"/>
      <c r="M9" s="1049"/>
      <c r="N9" s="1049"/>
    </row>
    <row r="10" spans="2:14">
      <c r="B10" s="1050" t="s">
        <v>1353</v>
      </c>
      <c r="C10" s="1051" t="s">
        <v>1354</v>
      </c>
      <c r="D10" s="1049"/>
      <c r="E10" s="1049"/>
      <c r="F10" s="1049"/>
      <c r="G10" s="1049"/>
      <c r="H10" s="1049"/>
      <c r="I10" s="1049"/>
      <c r="J10" s="1049"/>
      <c r="K10" s="1049"/>
      <c r="L10" s="1049"/>
      <c r="M10" s="1049"/>
      <c r="N10" s="1049"/>
    </row>
    <row r="11" spans="2:14">
      <c r="B11" s="1052"/>
      <c r="C11" s="1053"/>
      <c r="D11" s="1049"/>
      <c r="E11" s="1049"/>
      <c r="F11" s="1049"/>
      <c r="G11" s="1049"/>
      <c r="H11" s="1049"/>
      <c r="I11" s="1049"/>
      <c r="J11" s="1049"/>
      <c r="K11" s="1049"/>
      <c r="L11" s="1049"/>
      <c r="M11" s="1049"/>
      <c r="N11" s="1049"/>
    </row>
    <row r="12" spans="2:14">
      <c r="B12" s="1052"/>
      <c r="C12" s="1053"/>
      <c r="D12" s="1049"/>
      <c r="E12" s="1049"/>
      <c r="F12" s="1049"/>
      <c r="G12" s="1049"/>
      <c r="H12" s="1049"/>
      <c r="I12" s="1049"/>
      <c r="J12" s="1049"/>
      <c r="K12" s="1049"/>
      <c r="L12" s="1049"/>
      <c r="M12" s="1049"/>
      <c r="N12" s="1049"/>
    </row>
    <row r="13" spans="2:14">
      <c r="B13" s="1052"/>
      <c r="C13" s="1053"/>
      <c r="D13" s="1049"/>
      <c r="E13" s="1049"/>
      <c r="F13" s="1049"/>
      <c r="G13" s="1049"/>
      <c r="H13" s="1049"/>
      <c r="I13" s="1049"/>
      <c r="J13" s="1049"/>
      <c r="K13" s="1049"/>
      <c r="L13" s="1049"/>
      <c r="M13" s="1049"/>
      <c r="N13" s="1049"/>
    </row>
    <row r="14" spans="2:14">
      <c r="B14" s="1052" t="s">
        <v>184</v>
      </c>
      <c r="C14" s="1053" t="s">
        <v>1355</v>
      </c>
      <c r="D14" s="1049"/>
      <c r="E14" s="1049"/>
      <c r="F14" s="1049"/>
      <c r="G14" s="1049"/>
      <c r="H14" s="1049"/>
      <c r="I14" s="1049"/>
      <c r="J14" s="1049"/>
      <c r="K14" s="1049"/>
      <c r="L14" s="1049"/>
      <c r="M14" s="1049"/>
      <c r="N14" s="1049"/>
    </row>
    <row r="15" spans="2:14">
      <c r="B15" s="1052"/>
      <c r="C15" s="1053"/>
      <c r="D15" s="1049"/>
      <c r="E15" s="1049"/>
      <c r="F15" s="1049"/>
      <c r="G15" s="1049"/>
      <c r="H15" s="1049"/>
      <c r="I15" s="1049"/>
      <c r="J15" s="1049"/>
      <c r="K15" s="1049"/>
      <c r="L15" s="1049"/>
      <c r="M15" s="1049"/>
      <c r="N15" s="1049"/>
    </row>
    <row r="16" spans="2:14">
      <c r="B16" s="1052"/>
      <c r="C16" s="1053"/>
      <c r="D16" s="1049"/>
      <c r="E16" s="1049"/>
      <c r="F16" s="1049"/>
      <c r="G16" s="1049"/>
      <c r="H16" s="1049"/>
      <c r="I16" s="1049"/>
      <c r="J16" s="1049"/>
      <c r="K16" s="1049"/>
      <c r="L16" s="1049"/>
      <c r="M16" s="1049"/>
      <c r="N16" s="1049"/>
    </row>
    <row r="17" spans="2:14" s="985" customFormat="1" ht="14.5" thickBot="1">
      <c r="B17" s="1054"/>
      <c r="C17" s="1055" t="s">
        <v>271</v>
      </c>
      <c r="D17" s="1049"/>
      <c r="E17" s="1049"/>
      <c r="F17" s="1049"/>
      <c r="G17" s="1049"/>
      <c r="H17" s="1049"/>
      <c r="I17" s="1049"/>
      <c r="J17" s="1049"/>
      <c r="K17" s="1049"/>
      <c r="L17" s="1049"/>
      <c r="M17" s="1049"/>
      <c r="N17" s="1049"/>
    </row>
    <row r="19" spans="2:14">
      <c r="C19" s="970" t="s">
        <v>1356</v>
      </c>
    </row>
    <row r="20" spans="2:14">
      <c r="C20" s="970" t="s">
        <v>1357</v>
      </c>
    </row>
    <row r="21" spans="2:14">
      <c r="C21" s="970" t="s">
        <v>1358</v>
      </c>
    </row>
    <row r="29" spans="2:14" ht="29.4" customHeight="1">
      <c r="C29" s="975"/>
    </row>
  </sheetData>
  <mergeCells count="8">
    <mergeCell ref="K7:L7"/>
    <mergeCell ref="M7:N7"/>
    <mergeCell ref="B7:B8"/>
    <mergeCell ref="C7:C8"/>
    <mergeCell ref="D7:D8"/>
    <mergeCell ref="E7:F7"/>
    <mergeCell ref="G7:H7"/>
    <mergeCell ref="I7:J7"/>
  </mergeCells>
  <pageMargins left="0.74803149606299213" right="0.74803149606299213" top="0.69" bottom="0.48" header="0.51181102362204722" footer="0.37"/>
  <pageSetup paperSize="9" scale="53"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J29"/>
  <sheetViews>
    <sheetView showGridLines="0" view="pageBreakPreview" zoomScale="90" zoomScaleNormal="75" zoomScaleSheetLayoutView="90" workbookViewId="0">
      <selection activeCell="C3" sqref="C3"/>
    </sheetView>
  </sheetViews>
  <sheetFormatPr defaultColWidth="9.08984375" defaultRowHeight="14"/>
  <cols>
    <col min="1" max="1" width="9.08984375" style="932"/>
    <col min="2" max="2" width="39" style="932" customWidth="1"/>
    <col min="3" max="3" width="19.08984375" style="932" customWidth="1"/>
    <col min="4" max="7" width="15.6328125" style="932" customWidth="1"/>
    <col min="8" max="259" width="9.08984375" style="932"/>
    <col min="260" max="260" width="82.6328125" style="932" bestFit="1" customWidth="1"/>
    <col min="261" max="263" width="28.6328125" style="932" customWidth="1"/>
    <col min="264" max="515" width="9.08984375" style="932"/>
    <col min="516" max="516" width="82.6328125" style="932" bestFit="1" customWidth="1"/>
    <col min="517" max="519" width="28.6328125" style="932" customWidth="1"/>
    <col min="520" max="771" width="9.08984375" style="932"/>
    <col min="772" max="772" width="82.6328125" style="932" bestFit="1" customWidth="1"/>
    <col min="773" max="775" width="28.6328125" style="932" customWidth="1"/>
    <col min="776" max="1027" width="9.08984375" style="932"/>
    <col min="1028" max="1028" width="82.6328125" style="932" bestFit="1" customWidth="1"/>
    <col min="1029" max="1031" width="28.6328125" style="932" customWidth="1"/>
    <col min="1032" max="1283" width="9.08984375" style="932"/>
    <col min="1284" max="1284" width="82.6328125" style="932" bestFit="1" customWidth="1"/>
    <col min="1285" max="1287" width="28.6328125" style="932" customWidth="1"/>
    <col min="1288" max="1539" width="9.08984375" style="932"/>
    <col min="1540" max="1540" width="82.6328125" style="932" bestFit="1" customWidth="1"/>
    <col min="1541" max="1543" width="28.6328125" style="932" customWidth="1"/>
    <col min="1544" max="1795" width="9.08984375" style="932"/>
    <col min="1796" max="1796" width="82.6328125" style="932" bestFit="1" customWidth="1"/>
    <col min="1797" max="1799" width="28.6328125" style="932" customWidth="1"/>
    <col min="1800" max="2051" width="9.08984375" style="932"/>
    <col min="2052" max="2052" width="82.6328125" style="932" bestFit="1" customWidth="1"/>
    <col min="2053" max="2055" width="28.6328125" style="932" customWidth="1"/>
    <col min="2056" max="2307" width="9.08984375" style="932"/>
    <col min="2308" max="2308" width="82.6328125" style="932" bestFit="1" customWidth="1"/>
    <col min="2309" max="2311" width="28.6328125" style="932" customWidth="1"/>
    <col min="2312" max="2563" width="9.08984375" style="932"/>
    <col min="2564" max="2564" width="82.6328125" style="932" bestFit="1" customWidth="1"/>
    <col min="2565" max="2567" width="28.6328125" style="932" customWidth="1"/>
    <col min="2568" max="2819" width="9.08984375" style="932"/>
    <col min="2820" max="2820" width="82.6328125" style="932" bestFit="1" customWidth="1"/>
    <col min="2821" max="2823" width="28.6328125" style="932" customWidth="1"/>
    <col min="2824" max="3075" width="9.08984375" style="932"/>
    <col min="3076" max="3076" width="82.6328125" style="932" bestFit="1" customWidth="1"/>
    <col min="3077" max="3079" width="28.6328125" style="932" customWidth="1"/>
    <col min="3080" max="3331" width="9.08984375" style="932"/>
    <col min="3332" max="3332" width="82.6328125" style="932" bestFit="1" customWidth="1"/>
    <col min="3333" max="3335" width="28.6328125" style="932" customWidth="1"/>
    <col min="3336" max="3587" width="9.08984375" style="932"/>
    <col min="3588" max="3588" width="82.6328125" style="932" bestFit="1" customWidth="1"/>
    <col min="3589" max="3591" width="28.6328125" style="932" customWidth="1"/>
    <col min="3592" max="3843" width="9.08984375" style="932"/>
    <col min="3844" max="3844" width="82.6328125" style="932" bestFit="1" customWidth="1"/>
    <col min="3845" max="3847" width="28.6328125" style="932" customWidth="1"/>
    <col min="3848" max="4099" width="9.08984375" style="932"/>
    <col min="4100" max="4100" width="82.6328125" style="932" bestFit="1" customWidth="1"/>
    <col min="4101" max="4103" width="28.6328125" style="932" customWidth="1"/>
    <col min="4104" max="4355" width="9.08984375" style="932"/>
    <col min="4356" max="4356" width="82.6328125" style="932" bestFit="1" customWidth="1"/>
    <col min="4357" max="4359" width="28.6328125" style="932" customWidth="1"/>
    <col min="4360" max="4611" width="9.08984375" style="932"/>
    <col min="4612" max="4612" width="82.6328125" style="932" bestFit="1" customWidth="1"/>
    <col min="4613" max="4615" width="28.6328125" style="932" customWidth="1"/>
    <col min="4616" max="4867" width="9.08984375" style="932"/>
    <col min="4868" max="4868" width="82.6328125" style="932" bestFit="1" customWidth="1"/>
    <col min="4869" max="4871" width="28.6328125" style="932" customWidth="1"/>
    <col min="4872" max="5123" width="9.08984375" style="932"/>
    <col min="5124" max="5124" width="82.6328125" style="932" bestFit="1" customWidth="1"/>
    <col min="5125" max="5127" width="28.6328125" style="932" customWidth="1"/>
    <col min="5128" max="5379" width="9.08984375" style="932"/>
    <col min="5380" max="5380" width="82.6328125" style="932" bestFit="1" customWidth="1"/>
    <col min="5381" max="5383" width="28.6328125" style="932" customWidth="1"/>
    <col min="5384" max="5635" width="9.08984375" style="932"/>
    <col min="5636" max="5636" width="82.6328125" style="932" bestFit="1" customWidth="1"/>
    <col min="5637" max="5639" width="28.6328125" style="932" customWidth="1"/>
    <col min="5640" max="5891" width="9.08984375" style="932"/>
    <col min="5892" max="5892" width="82.6328125" style="932" bestFit="1" customWidth="1"/>
    <col min="5893" max="5895" width="28.6328125" style="932" customWidth="1"/>
    <col min="5896" max="6147" width="9.08984375" style="932"/>
    <col min="6148" max="6148" width="82.6328125" style="932" bestFit="1" customWidth="1"/>
    <col min="6149" max="6151" width="28.6328125" style="932" customWidth="1"/>
    <col min="6152" max="6403" width="9.08984375" style="932"/>
    <col min="6404" max="6404" width="82.6328125" style="932" bestFit="1" customWidth="1"/>
    <col min="6405" max="6407" width="28.6328125" style="932" customWidth="1"/>
    <col min="6408" max="6659" width="9.08984375" style="932"/>
    <col min="6660" max="6660" width="82.6328125" style="932" bestFit="1" customWidth="1"/>
    <col min="6661" max="6663" width="28.6328125" style="932" customWidth="1"/>
    <col min="6664" max="6915" width="9.08984375" style="932"/>
    <col min="6916" max="6916" width="82.6328125" style="932" bestFit="1" customWidth="1"/>
    <col min="6917" max="6919" width="28.6328125" style="932" customWidth="1"/>
    <col min="6920" max="7171" width="9.08984375" style="932"/>
    <col min="7172" max="7172" width="82.6328125" style="932" bestFit="1" customWidth="1"/>
    <col min="7173" max="7175" width="28.6328125" style="932" customWidth="1"/>
    <col min="7176" max="7427" width="9.08984375" style="932"/>
    <col min="7428" max="7428" width="82.6328125" style="932" bestFit="1" customWidth="1"/>
    <col min="7429" max="7431" width="28.6328125" style="932" customWidth="1"/>
    <col min="7432" max="7683" width="9.08984375" style="932"/>
    <col min="7684" max="7684" width="82.6328125" style="932" bestFit="1" customWidth="1"/>
    <col min="7685" max="7687" width="28.6328125" style="932" customWidth="1"/>
    <col min="7688" max="7939" width="9.08984375" style="932"/>
    <col min="7940" max="7940" width="82.6328125" style="932" bestFit="1" customWidth="1"/>
    <col min="7941" max="7943" width="28.6328125" style="932" customWidth="1"/>
    <col min="7944" max="8195" width="9.08984375" style="932"/>
    <col min="8196" max="8196" width="82.6328125" style="932" bestFit="1" customWidth="1"/>
    <col min="8197" max="8199" width="28.6328125" style="932" customWidth="1"/>
    <col min="8200" max="8451" width="9.08984375" style="932"/>
    <col min="8452" max="8452" width="82.6328125" style="932" bestFit="1" customWidth="1"/>
    <col min="8453" max="8455" width="28.6328125" style="932" customWidth="1"/>
    <col min="8456" max="8707" width="9.08984375" style="932"/>
    <col min="8708" max="8708" width="82.6328125" style="932" bestFit="1" customWidth="1"/>
    <col min="8709" max="8711" width="28.6328125" style="932" customWidth="1"/>
    <col min="8712" max="8963" width="9.08984375" style="932"/>
    <col min="8964" max="8964" width="82.6328125" style="932" bestFit="1" customWidth="1"/>
    <col min="8965" max="8967" width="28.6328125" style="932" customWidth="1"/>
    <col min="8968" max="9219" width="9.08984375" style="932"/>
    <col min="9220" max="9220" width="82.6328125" style="932" bestFit="1" customWidth="1"/>
    <col min="9221" max="9223" width="28.6328125" style="932" customWidth="1"/>
    <col min="9224" max="9475" width="9.08984375" style="932"/>
    <col min="9476" max="9476" width="82.6328125" style="932" bestFit="1" customWidth="1"/>
    <col min="9477" max="9479" width="28.6328125" style="932" customWidth="1"/>
    <col min="9480" max="9731" width="9.08984375" style="932"/>
    <col min="9732" max="9732" width="82.6328125" style="932" bestFit="1" customWidth="1"/>
    <col min="9733" max="9735" width="28.6328125" style="932" customWidth="1"/>
    <col min="9736" max="9987" width="9.08984375" style="932"/>
    <col min="9988" max="9988" width="82.6328125" style="932" bestFit="1" customWidth="1"/>
    <col min="9989" max="9991" width="28.6328125" style="932" customWidth="1"/>
    <col min="9992" max="10243" width="9.08984375" style="932"/>
    <col min="10244" max="10244" width="82.6328125" style="932" bestFit="1" customWidth="1"/>
    <col min="10245" max="10247" width="28.6328125" style="932" customWidth="1"/>
    <col min="10248" max="10499" width="9.08984375" style="932"/>
    <col min="10500" max="10500" width="82.6328125" style="932" bestFit="1" customWidth="1"/>
    <col min="10501" max="10503" width="28.6328125" style="932" customWidth="1"/>
    <col min="10504" max="10755" width="9.08984375" style="932"/>
    <col min="10756" max="10756" width="82.6328125" style="932" bestFit="1" customWidth="1"/>
    <col min="10757" max="10759" width="28.6328125" style="932" customWidth="1"/>
    <col min="10760" max="11011" width="9.08984375" style="932"/>
    <col min="11012" max="11012" width="82.6328125" style="932" bestFit="1" customWidth="1"/>
    <col min="11013" max="11015" width="28.6328125" style="932" customWidth="1"/>
    <col min="11016" max="11267" width="9.08984375" style="932"/>
    <col min="11268" max="11268" width="82.6328125" style="932" bestFit="1" customWidth="1"/>
    <col min="11269" max="11271" width="28.6328125" style="932" customWidth="1"/>
    <col min="11272" max="11523" width="9.08984375" style="932"/>
    <col min="11524" max="11524" width="82.6328125" style="932" bestFit="1" customWidth="1"/>
    <col min="11525" max="11527" width="28.6328125" style="932" customWidth="1"/>
    <col min="11528" max="11779" width="9.08984375" style="932"/>
    <col min="11780" max="11780" width="82.6328125" style="932" bestFit="1" customWidth="1"/>
    <col min="11781" max="11783" width="28.6328125" style="932" customWidth="1"/>
    <col min="11784" max="12035" width="9.08984375" style="932"/>
    <col min="12036" max="12036" width="82.6328125" style="932" bestFit="1" customWidth="1"/>
    <col min="12037" max="12039" width="28.6328125" style="932" customWidth="1"/>
    <col min="12040" max="12291" width="9.08984375" style="932"/>
    <col min="12292" max="12292" width="82.6328125" style="932" bestFit="1" customWidth="1"/>
    <col min="12293" max="12295" width="28.6328125" style="932" customWidth="1"/>
    <col min="12296" max="12547" width="9.08984375" style="932"/>
    <col min="12548" max="12548" width="82.6328125" style="932" bestFit="1" customWidth="1"/>
    <col min="12549" max="12551" width="28.6328125" style="932" customWidth="1"/>
    <col min="12552" max="12803" width="9.08984375" style="932"/>
    <col min="12804" max="12804" width="82.6328125" style="932" bestFit="1" customWidth="1"/>
    <col min="12805" max="12807" width="28.6328125" style="932" customWidth="1"/>
    <col min="12808" max="13059" width="9.08984375" style="932"/>
    <col min="13060" max="13060" width="82.6328125" style="932" bestFit="1" customWidth="1"/>
    <col min="13061" max="13063" width="28.6328125" style="932" customWidth="1"/>
    <col min="13064" max="13315" width="9.08984375" style="932"/>
    <col min="13316" max="13316" width="82.6328125" style="932" bestFit="1" customWidth="1"/>
    <col min="13317" max="13319" width="28.6328125" style="932" customWidth="1"/>
    <col min="13320" max="13571" width="9.08984375" style="932"/>
    <col min="13572" max="13572" width="82.6328125" style="932" bestFit="1" customWidth="1"/>
    <col min="13573" max="13575" width="28.6328125" style="932" customWidth="1"/>
    <col min="13576" max="13827" width="9.08984375" style="932"/>
    <col min="13828" max="13828" width="82.6328125" style="932" bestFit="1" customWidth="1"/>
    <col min="13829" max="13831" width="28.6328125" style="932" customWidth="1"/>
    <col min="13832" max="14083" width="9.08984375" style="932"/>
    <col min="14084" max="14084" width="82.6328125" style="932" bestFit="1" customWidth="1"/>
    <col min="14085" max="14087" width="28.6328125" style="932" customWidth="1"/>
    <col min="14088" max="14339" width="9.08984375" style="932"/>
    <col min="14340" max="14340" width="82.6328125" style="932" bestFit="1" customWidth="1"/>
    <col min="14341" max="14343" width="28.6328125" style="932" customWidth="1"/>
    <col min="14344" max="14595" width="9.08984375" style="932"/>
    <col min="14596" max="14596" width="82.6328125" style="932" bestFit="1" customWidth="1"/>
    <col min="14597" max="14599" width="28.6328125" style="932" customWidth="1"/>
    <col min="14600" max="14851" width="9.08984375" style="932"/>
    <col min="14852" max="14852" width="82.6328125" style="932" bestFit="1" customWidth="1"/>
    <col min="14853" max="14855" width="28.6328125" style="932" customWidth="1"/>
    <col min="14856" max="15107" width="9.08984375" style="932"/>
    <col min="15108" max="15108" width="82.6328125" style="932" bestFit="1" customWidth="1"/>
    <col min="15109" max="15111" width="28.6328125" style="932" customWidth="1"/>
    <col min="15112" max="15363" width="9.08984375" style="932"/>
    <col min="15364" max="15364" width="82.6328125" style="932" bestFit="1" customWidth="1"/>
    <col min="15365" max="15367" width="28.6328125" style="932" customWidth="1"/>
    <col min="15368" max="15619" width="9.08984375" style="932"/>
    <col min="15620" max="15620" width="82.6328125" style="932" bestFit="1" customWidth="1"/>
    <col min="15621" max="15623" width="28.6328125" style="932" customWidth="1"/>
    <col min="15624" max="15875" width="9.08984375" style="932"/>
    <col min="15876" max="15876" width="82.6328125" style="932" bestFit="1" customWidth="1"/>
    <col min="15877" max="15879" width="28.6328125" style="932" customWidth="1"/>
    <col min="15880" max="16131" width="9.08984375" style="932"/>
    <col min="16132" max="16132" width="82.6328125" style="932" bestFit="1" customWidth="1"/>
    <col min="16133" max="16135" width="28.6328125" style="932" customWidth="1"/>
    <col min="16136" max="16384" width="9.08984375" style="932"/>
  </cols>
  <sheetData>
    <row r="1" spans="2:10">
      <c r="B1" s="948"/>
    </row>
    <row r="2" spans="2:10">
      <c r="B2" s="22"/>
      <c r="C2" s="891" t="str">
        <f>Index!B2</f>
        <v xml:space="preserve">      Maharashtra State Power Generation Company Ltd.</v>
      </c>
      <c r="D2" s="891"/>
      <c r="E2" s="891"/>
      <c r="F2" s="22"/>
      <c r="G2" s="22"/>
    </row>
    <row r="3" spans="2:10">
      <c r="B3" s="959"/>
      <c r="C3" s="930" t="s">
        <v>1049</v>
      </c>
      <c r="D3" s="930"/>
      <c r="E3" s="930"/>
      <c r="F3" s="959"/>
      <c r="G3" s="959"/>
    </row>
    <row r="4" spans="2:10">
      <c r="B4" s="22"/>
      <c r="C4" s="1046" t="s">
        <v>1359</v>
      </c>
      <c r="D4" s="1046"/>
      <c r="E4" s="1046"/>
      <c r="F4" s="22"/>
      <c r="G4" s="22"/>
      <c r="J4" s="891"/>
    </row>
    <row r="5" spans="2:10">
      <c r="G5" s="1057" t="s">
        <v>10</v>
      </c>
      <c r="J5" s="930"/>
    </row>
    <row r="6" spans="2:10" s="1058" customFormat="1">
      <c r="B6" s="950" t="s">
        <v>1360</v>
      </c>
      <c r="C6" s="950" t="s">
        <v>958</v>
      </c>
      <c r="D6" s="950" t="s">
        <v>959</v>
      </c>
      <c r="E6" s="950" t="s">
        <v>960</v>
      </c>
      <c r="F6" s="950" t="s">
        <v>961</v>
      </c>
      <c r="G6" s="950" t="s">
        <v>962</v>
      </c>
      <c r="J6" s="1046"/>
    </row>
    <row r="7" spans="2:10">
      <c r="B7" s="1059"/>
      <c r="C7" s="965" t="s">
        <v>1361</v>
      </c>
      <c r="D7" s="965"/>
      <c r="E7" s="965"/>
      <c r="F7" s="965"/>
      <c r="G7" s="965"/>
    </row>
    <row r="8" spans="2:10">
      <c r="B8" s="1060" t="s">
        <v>1362</v>
      </c>
      <c r="C8" s="965"/>
      <c r="D8" s="965"/>
      <c r="E8" s="965"/>
      <c r="F8" s="965"/>
      <c r="G8" s="965"/>
    </row>
    <row r="9" spans="2:10">
      <c r="B9" s="1061"/>
      <c r="C9" s="965"/>
      <c r="D9" s="965"/>
      <c r="E9" s="965"/>
      <c r="F9" s="965"/>
      <c r="G9" s="965"/>
    </row>
    <row r="10" spans="2:10">
      <c r="B10" s="1061" t="s">
        <v>1363</v>
      </c>
      <c r="C10" s="965"/>
      <c r="D10" s="965"/>
      <c r="E10" s="965"/>
      <c r="F10" s="965"/>
      <c r="G10" s="965"/>
    </row>
    <row r="11" spans="2:10">
      <c r="B11" s="1060" t="s">
        <v>1063</v>
      </c>
      <c r="C11" s="965"/>
      <c r="D11" s="965"/>
      <c r="E11" s="965"/>
      <c r="F11" s="965"/>
      <c r="G11" s="965"/>
    </row>
    <row r="12" spans="2:10">
      <c r="B12" s="1060" t="s">
        <v>1064</v>
      </c>
      <c r="C12" s="965"/>
      <c r="D12" s="965"/>
      <c r="E12" s="965"/>
      <c r="F12" s="965"/>
      <c r="G12" s="965"/>
    </row>
    <row r="13" spans="2:10">
      <c r="B13" s="1060" t="s">
        <v>1060</v>
      </c>
      <c r="C13" s="965"/>
      <c r="D13" s="965"/>
      <c r="E13" s="965"/>
      <c r="F13" s="965"/>
      <c r="G13" s="965"/>
    </row>
    <row r="14" spans="2:10">
      <c r="B14" s="1062" t="s">
        <v>1311</v>
      </c>
      <c r="C14" s="965"/>
      <c r="D14" s="965"/>
      <c r="E14" s="965"/>
      <c r="F14" s="965"/>
      <c r="G14" s="965"/>
    </row>
    <row r="15" spans="2:10">
      <c r="B15" s="1059"/>
      <c r="C15" s="965"/>
      <c r="D15" s="965"/>
      <c r="E15" s="965"/>
      <c r="F15" s="965"/>
      <c r="G15" s="965"/>
    </row>
    <row r="16" spans="2:10">
      <c r="B16" s="1063" t="s">
        <v>1364</v>
      </c>
      <c r="C16" s="965"/>
      <c r="D16" s="965"/>
      <c r="E16" s="965"/>
      <c r="F16" s="965"/>
      <c r="G16" s="965"/>
    </row>
    <row r="17" spans="2:7">
      <c r="B17" s="1062" t="s">
        <v>1365</v>
      </c>
      <c r="C17" s="965"/>
      <c r="D17" s="965"/>
      <c r="E17" s="965"/>
      <c r="F17" s="965"/>
      <c r="G17" s="965"/>
    </row>
    <row r="18" spans="2:7">
      <c r="B18" s="1062" t="s">
        <v>1366</v>
      </c>
      <c r="C18" s="965"/>
      <c r="D18" s="965"/>
      <c r="E18" s="965"/>
      <c r="F18" s="965"/>
      <c r="G18" s="965"/>
    </row>
    <row r="19" spans="2:7">
      <c r="B19" s="1059"/>
      <c r="C19" s="965"/>
      <c r="D19" s="965"/>
      <c r="E19" s="965"/>
      <c r="F19" s="965"/>
      <c r="G19" s="965"/>
    </row>
    <row r="20" spans="2:7">
      <c r="B20" s="1062" t="s">
        <v>271</v>
      </c>
      <c r="C20" s="965"/>
      <c r="D20" s="965"/>
      <c r="E20" s="965"/>
      <c r="F20" s="965"/>
      <c r="G20" s="965"/>
    </row>
    <row r="21" spans="2:7">
      <c r="C21" s="956"/>
      <c r="D21" s="956"/>
      <c r="E21" s="956"/>
      <c r="F21" s="1064"/>
      <c r="G21" s="1025"/>
    </row>
    <row r="29" spans="2:7" ht="29.4" customHeight="1">
      <c r="C29" s="958"/>
    </row>
  </sheetData>
  <printOptions horizontalCentered="1" verticalCentered="1"/>
  <pageMargins left="1.1811023622047245" right="0.39370078740157483" top="0.74803149606299213" bottom="1.1811023622047245" header="0.31496062992125984" footer="0.31496062992125984"/>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1:Z55"/>
  <sheetViews>
    <sheetView view="pageBreakPreview" zoomScale="80" zoomScaleSheetLayoutView="80" workbookViewId="0">
      <pane ySplit="7" topLeftCell="A8" activePane="bottomLeft" state="frozen"/>
      <selection activeCell="E3" sqref="E3"/>
      <selection pane="bottomLeft" activeCell="L2" sqref="L2"/>
    </sheetView>
  </sheetViews>
  <sheetFormatPr defaultColWidth="9.08984375" defaultRowHeight="14"/>
  <cols>
    <col min="1" max="1" width="2.90625" style="1066" customWidth="1"/>
    <col min="2" max="2" width="9.6328125" style="1066" customWidth="1"/>
    <col min="3" max="3" width="36.36328125" style="1066" customWidth="1"/>
    <col min="4" max="20" width="9.08984375" style="1066" customWidth="1"/>
    <col min="21" max="23" width="9.08984375" style="1066"/>
    <col min="24" max="24" width="11.36328125" style="1066" customWidth="1"/>
    <col min="25" max="25" width="10.36328125" style="1066" customWidth="1"/>
    <col min="26" max="233" width="9.08984375" style="1066"/>
    <col min="234" max="234" width="2.90625" style="1066" customWidth="1"/>
    <col min="235" max="235" width="13.08984375" style="1066" customWidth="1"/>
    <col min="236" max="236" width="60.36328125" style="1066" customWidth="1"/>
    <col min="237" max="241" width="10.90625" style="1066" bestFit="1" customWidth="1"/>
    <col min="242" max="242" width="11.90625" style="1066" bestFit="1" customWidth="1"/>
    <col min="243" max="243" width="14.36328125" style="1066" bestFit="1" customWidth="1"/>
    <col min="244" max="244" width="17.453125" style="1066" bestFit="1" customWidth="1"/>
    <col min="245" max="247" width="17.54296875" style="1066" bestFit="1" customWidth="1"/>
    <col min="248" max="254" width="21" style="1066" bestFit="1" customWidth="1"/>
    <col min="255" max="262" width="21.08984375" style="1066" bestFit="1" customWidth="1"/>
    <col min="263" max="263" width="22.6328125" style="1066" customWidth="1"/>
    <col min="264" max="264" width="22" style="1066" customWidth="1"/>
    <col min="265" max="265" width="22.6328125" style="1066" customWidth="1"/>
    <col min="266" max="271" width="21.08984375" style="1066" bestFit="1" customWidth="1"/>
    <col min="272" max="272" width="19.54296875" style="1066" customWidth="1"/>
    <col min="273" max="273" width="21.08984375" style="1066" bestFit="1" customWidth="1"/>
    <col min="274" max="274" width="22.6328125" style="1066" customWidth="1"/>
    <col min="275" max="275" width="22" style="1066" customWidth="1"/>
    <col min="276" max="276" width="23.453125" style="1066" bestFit="1" customWidth="1"/>
    <col min="277" max="279" width="9.08984375" style="1066"/>
    <col min="280" max="280" width="11.36328125" style="1066" customWidth="1"/>
    <col min="281" max="281" width="10.36328125" style="1066" customWidth="1"/>
    <col min="282" max="489" width="9.08984375" style="1066"/>
    <col min="490" max="490" width="2.90625" style="1066" customWidth="1"/>
    <col min="491" max="491" width="13.08984375" style="1066" customWidth="1"/>
    <col min="492" max="492" width="60.36328125" style="1066" customWidth="1"/>
    <col min="493" max="497" width="10.90625" style="1066" bestFit="1" customWidth="1"/>
    <col min="498" max="498" width="11.90625" style="1066" bestFit="1" customWidth="1"/>
    <col min="499" max="499" width="14.36328125" style="1066" bestFit="1" customWidth="1"/>
    <col min="500" max="500" width="17.453125" style="1066" bestFit="1" customWidth="1"/>
    <col min="501" max="503" width="17.54296875" style="1066" bestFit="1" customWidth="1"/>
    <col min="504" max="510" width="21" style="1066" bestFit="1" customWidth="1"/>
    <col min="511" max="518" width="21.08984375" style="1066" bestFit="1" customWidth="1"/>
    <col min="519" max="519" width="22.6328125" style="1066" customWidth="1"/>
    <col min="520" max="520" width="22" style="1066" customWidth="1"/>
    <col min="521" max="521" width="22.6328125" style="1066" customWidth="1"/>
    <col min="522" max="527" width="21.08984375" style="1066" bestFit="1" customWidth="1"/>
    <col min="528" max="528" width="19.54296875" style="1066" customWidth="1"/>
    <col min="529" max="529" width="21.08984375" style="1066" bestFit="1" customWidth="1"/>
    <col min="530" max="530" width="22.6328125" style="1066" customWidth="1"/>
    <col min="531" max="531" width="22" style="1066" customWidth="1"/>
    <col min="532" max="532" width="23.453125" style="1066" bestFit="1" customWidth="1"/>
    <col min="533" max="535" width="9.08984375" style="1066"/>
    <col min="536" max="536" width="11.36328125" style="1066" customWidth="1"/>
    <col min="537" max="537" width="10.36328125" style="1066" customWidth="1"/>
    <col min="538" max="745" width="9.08984375" style="1066"/>
    <col min="746" max="746" width="2.90625" style="1066" customWidth="1"/>
    <col min="747" max="747" width="13.08984375" style="1066" customWidth="1"/>
    <col min="748" max="748" width="60.36328125" style="1066" customWidth="1"/>
    <col min="749" max="753" width="10.90625" style="1066" bestFit="1" customWidth="1"/>
    <col min="754" max="754" width="11.90625" style="1066" bestFit="1" customWidth="1"/>
    <col min="755" max="755" width="14.36328125" style="1066" bestFit="1" customWidth="1"/>
    <col min="756" max="756" width="17.453125" style="1066" bestFit="1" customWidth="1"/>
    <col min="757" max="759" width="17.54296875" style="1066" bestFit="1" customWidth="1"/>
    <col min="760" max="766" width="21" style="1066" bestFit="1" customWidth="1"/>
    <col min="767" max="774" width="21.08984375" style="1066" bestFit="1" customWidth="1"/>
    <col min="775" max="775" width="22.6328125" style="1066" customWidth="1"/>
    <col min="776" max="776" width="22" style="1066" customWidth="1"/>
    <col min="777" max="777" width="22.6328125" style="1066" customWidth="1"/>
    <col min="778" max="783" width="21.08984375" style="1066" bestFit="1" customWidth="1"/>
    <col min="784" max="784" width="19.54296875" style="1066" customWidth="1"/>
    <col min="785" max="785" width="21.08984375" style="1066" bestFit="1" customWidth="1"/>
    <col min="786" max="786" width="22.6328125" style="1066" customWidth="1"/>
    <col min="787" max="787" width="22" style="1066" customWidth="1"/>
    <col min="788" max="788" width="23.453125" style="1066" bestFit="1" customWidth="1"/>
    <col min="789" max="791" width="9.08984375" style="1066"/>
    <col min="792" max="792" width="11.36328125" style="1066" customWidth="1"/>
    <col min="793" max="793" width="10.36328125" style="1066" customWidth="1"/>
    <col min="794" max="1001" width="9.08984375" style="1066"/>
    <col min="1002" max="1002" width="2.90625" style="1066" customWidth="1"/>
    <col min="1003" max="1003" width="13.08984375" style="1066" customWidth="1"/>
    <col min="1004" max="1004" width="60.36328125" style="1066" customWidth="1"/>
    <col min="1005" max="1009" width="10.90625" style="1066" bestFit="1" customWidth="1"/>
    <col min="1010" max="1010" width="11.90625" style="1066" bestFit="1" customWidth="1"/>
    <col min="1011" max="1011" width="14.36328125" style="1066" bestFit="1" customWidth="1"/>
    <col min="1012" max="1012" width="17.453125" style="1066" bestFit="1" customWidth="1"/>
    <col min="1013" max="1015" width="17.54296875" style="1066" bestFit="1" customWidth="1"/>
    <col min="1016" max="1022" width="21" style="1066" bestFit="1" customWidth="1"/>
    <col min="1023" max="1030" width="21.08984375" style="1066" bestFit="1" customWidth="1"/>
    <col min="1031" max="1031" width="22.6328125" style="1066" customWidth="1"/>
    <col min="1032" max="1032" width="22" style="1066" customWidth="1"/>
    <col min="1033" max="1033" width="22.6328125" style="1066" customWidth="1"/>
    <col min="1034" max="1039" width="21.08984375" style="1066" bestFit="1" customWidth="1"/>
    <col min="1040" max="1040" width="19.54296875" style="1066" customWidth="1"/>
    <col min="1041" max="1041" width="21.08984375" style="1066" bestFit="1" customWidth="1"/>
    <col min="1042" max="1042" width="22.6328125" style="1066" customWidth="1"/>
    <col min="1043" max="1043" width="22" style="1066" customWidth="1"/>
    <col min="1044" max="1044" width="23.453125" style="1066" bestFit="1" customWidth="1"/>
    <col min="1045" max="1047" width="9.08984375" style="1066"/>
    <col min="1048" max="1048" width="11.36328125" style="1066" customWidth="1"/>
    <col min="1049" max="1049" width="10.36328125" style="1066" customWidth="1"/>
    <col min="1050" max="1257" width="9.08984375" style="1066"/>
    <col min="1258" max="1258" width="2.90625" style="1066" customWidth="1"/>
    <col min="1259" max="1259" width="13.08984375" style="1066" customWidth="1"/>
    <col min="1260" max="1260" width="60.36328125" style="1066" customWidth="1"/>
    <col min="1261" max="1265" width="10.90625" style="1066" bestFit="1" customWidth="1"/>
    <col min="1266" max="1266" width="11.90625" style="1066" bestFit="1" customWidth="1"/>
    <col min="1267" max="1267" width="14.36328125" style="1066" bestFit="1" customWidth="1"/>
    <col min="1268" max="1268" width="17.453125" style="1066" bestFit="1" customWidth="1"/>
    <col min="1269" max="1271" width="17.54296875" style="1066" bestFit="1" customWidth="1"/>
    <col min="1272" max="1278" width="21" style="1066" bestFit="1" customWidth="1"/>
    <col min="1279" max="1286" width="21.08984375" style="1066" bestFit="1" customWidth="1"/>
    <col min="1287" max="1287" width="22.6328125" style="1066" customWidth="1"/>
    <col min="1288" max="1288" width="22" style="1066" customWidth="1"/>
    <col min="1289" max="1289" width="22.6328125" style="1066" customWidth="1"/>
    <col min="1290" max="1295" width="21.08984375" style="1066" bestFit="1" customWidth="1"/>
    <col min="1296" max="1296" width="19.54296875" style="1066" customWidth="1"/>
    <col min="1297" max="1297" width="21.08984375" style="1066" bestFit="1" customWidth="1"/>
    <col min="1298" max="1298" width="22.6328125" style="1066" customWidth="1"/>
    <col min="1299" max="1299" width="22" style="1066" customWidth="1"/>
    <col min="1300" max="1300" width="23.453125" style="1066" bestFit="1" customWidth="1"/>
    <col min="1301" max="1303" width="9.08984375" style="1066"/>
    <col min="1304" max="1304" width="11.36328125" style="1066" customWidth="1"/>
    <col min="1305" max="1305" width="10.36328125" style="1066" customWidth="1"/>
    <col min="1306" max="1513" width="9.08984375" style="1066"/>
    <col min="1514" max="1514" width="2.90625" style="1066" customWidth="1"/>
    <col min="1515" max="1515" width="13.08984375" style="1066" customWidth="1"/>
    <col min="1516" max="1516" width="60.36328125" style="1066" customWidth="1"/>
    <col min="1517" max="1521" width="10.90625" style="1066" bestFit="1" customWidth="1"/>
    <col min="1522" max="1522" width="11.90625" style="1066" bestFit="1" customWidth="1"/>
    <col min="1523" max="1523" width="14.36328125" style="1066" bestFit="1" customWidth="1"/>
    <col min="1524" max="1524" width="17.453125" style="1066" bestFit="1" customWidth="1"/>
    <col min="1525" max="1527" width="17.54296875" style="1066" bestFit="1" customWidth="1"/>
    <col min="1528" max="1534" width="21" style="1066" bestFit="1" customWidth="1"/>
    <col min="1535" max="1542" width="21.08984375" style="1066" bestFit="1" customWidth="1"/>
    <col min="1543" max="1543" width="22.6328125" style="1066" customWidth="1"/>
    <col min="1544" max="1544" width="22" style="1066" customWidth="1"/>
    <col min="1545" max="1545" width="22.6328125" style="1066" customWidth="1"/>
    <col min="1546" max="1551" width="21.08984375" style="1066" bestFit="1" customWidth="1"/>
    <col min="1552" max="1552" width="19.54296875" style="1066" customWidth="1"/>
    <col min="1553" max="1553" width="21.08984375" style="1066" bestFit="1" customWidth="1"/>
    <col min="1554" max="1554" width="22.6328125" style="1066" customWidth="1"/>
    <col min="1555" max="1555" width="22" style="1066" customWidth="1"/>
    <col min="1556" max="1556" width="23.453125" style="1066" bestFit="1" customWidth="1"/>
    <col min="1557" max="1559" width="9.08984375" style="1066"/>
    <col min="1560" max="1560" width="11.36328125" style="1066" customWidth="1"/>
    <col min="1561" max="1561" width="10.36328125" style="1066" customWidth="1"/>
    <col min="1562" max="1769" width="9.08984375" style="1066"/>
    <col min="1770" max="1770" width="2.90625" style="1066" customWidth="1"/>
    <col min="1771" max="1771" width="13.08984375" style="1066" customWidth="1"/>
    <col min="1772" max="1772" width="60.36328125" style="1066" customWidth="1"/>
    <col min="1773" max="1777" width="10.90625" style="1066" bestFit="1" customWidth="1"/>
    <col min="1778" max="1778" width="11.90625" style="1066" bestFit="1" customWidth="1"/>
    <col min="1779" max="1779" width="14.36328125" style="1066" bestFit="1" customWidth="1"/>
    <col min="1780" max="1780" width="17.453125" style="1066" bestFit="1" customWidth="1"/>
    <col min="1781" max="1783" width="17.54296875" style="1066" bestFit="1" customWidth="1"/>
    <col min="1784" max="1790" width="21" style="1066" bestFit="1" customWidth="1"/>
    <col min="1791" max="1798" width="21.08984375" style="1066" bestFit="1" customWidth="1"/>
    <col min="1799" max="1799" width="22.6328125" style="1066" customWidth="1"/>
    <col min="1800" max="1800" width="22" style="1066" customWidth="1"/>
    <col min="1801" max="1801" width="22.6328125" style="1066" customWidth="1"/>
    <col min="1802" max="1807" width="21.08984375" style="1066" bestFit="1" customWidth="1"/>
    <col min="1808" max="1808" width="19.54296875" style="1066" customWidth="1"/>
    <col min="1809" max="1809" width="21.08984375" style="1066" bestFit="1" customWidth="1"/>
    <col min="1810" max="1810" width="22.6328125" style="1066" customWidth="1"/>
    <col min="1811" max="1811" width="22" style="1066" customWidth="1"/>
    <col min="1812" max="1812" width="23.453125" style="1066" bestFit="1" customWidth="1"/>
    <col min="1813" max="1815" width="9.08984375" style="1066"/>
    <col min="1816" max="1816" width="11.36328125" style="1066" customWidth="1"/>
    <col min="1817" max="1817" width="10.36328125" style="1066" customWidth="1"/>
    <col min="1818" max="2025" width="9.08984375" style="1066"/>
    <col min="2026" max="2026" width="2.90625" style="1066" customWidth="1"/>
    <col min="2027" max="2027" width="13.08984375" style="1066" customWidth="1"/>
    <col min="2028" max="2028" width="60.36328125" style="1066" customWidth="1"/>
    <col min="2029" max="2033" width="10.90625" style="1066" bestFit="1" customWidth="1"/>
    <col min="2034" max="2034" width="11.90625" style="1066" bestFit="1" customWidth="1"/>
    <col min="2035" max="2035" width="14.36328125" style="1066" bestFit="1" customWidth="1"/>
    <col min="2036" max="2036" width="17.453125" style="1066" bestFit="1" customWidth="1"/>
    <col min="2037" max="2039" width="17.54296875" style="1066" bestFit="1" customWidth="1"/>
    <col min="2040" max="2046" width="21" style="1066" bestFit="1" customWidth="1"/>
    <col min="2047" max="2054" width="21.08984375" style="1066" bestFit="1" customWidth="1"/>
    <col min="2055" max="2055" width="22.6328125" style="1066" customWidth="1"/>
    <col min="2056" max="2056" width="22" style="1066" customWidth="1"/>
    <col min="2057" max="2057" width="22.6328125" style="1066" customWidth="1"/>
    <col min="2058" max="2063" width="21.08984375" style="1066" bestFit="1" customWidth="1"/>
    <col min="2064" max="2064" width="19.54296875" style="1066" customWidth="1"/>
    <col min="2065" max="2065" width="21.08984375" style="1066" bestFit="1" customWidth="1"/>
    <col min="2066" max="2066" width="22.6328125" style="1066" customWidth="1"/>
    <col min="2067" max="2067" width="22" style="1066" customWidth="1"/>
    <col min="2068" max="2068" width="23.453125" style="1066" bestFit="1" customWidth="1"/>
    <col min="2069" max="2071" width="9.08984375" style="1066"/>
    <col min="2072" max="2072" width="11.36328125" style="1066" customWidth="1"/>
    <col min="2073" max="2073" width="10.36328125" style="1066" customWidth="1"/>
    <col min="2074" max="2281" width="9.08984375" style="1066"/>
    <col min="2282" max="2282" width="2.90625" style="1066" customWidth="1"/>
    <col min="2283" max="2283" width="13.08984375" style="1066" customWidth="1"/>
    <col min="2284" max="2284" width="60.36328125" style="1066" customWidth="1"/>
    <col min="2285" max="2289" width="10.90625" style="1066" bestFit="1" customWidth="1"/>
    <col min="2290" max="2290" width="11.90625" style="1066" bestFit="1" customWidth="1"/>
    <col min="2291" max="2291" width="14.36328125" style="1066" bestFit="1" customWidth="1"/>
    <col min="2292" max="2292" width="17.453125" style="1066" bestFit="1" customWidth="1"/>
    <col min="2293" max="2295" width="17.54296875" style="1066" bestFit="1" customWidth="1"/>
    <col min="2296" max="2302" width="21" style="1066" bestFit="1" customWidth="1"/>
    <col min="2303" max="2310" width="21.08984375" style="1066" bestFit="1" customWidth="1"/>
    <col min="2311" max="2311" width="22.6328125" style="1066" customWidth="1"/>
    <col min="2312" max="2312" width="22" style="1066" customWidth="1"/>
    <col min="2313" max="2313" width="22.6328125" style="1066" customWidth="1"/>
    <col min="2314" max="2319" width="21.08984375" style="1066" bestFit="1" customWidth="1"/>
    <col min="2320" max="2320" width="19.54296875" style="1066" customWidth="1"/>
    <col min="2321" max="2321" width="21.08984375" style="1066" bestFit="1" customWidth="1"/>
    <col min="2322" max="2322" width="22.6328125" style="1066" customWidth="1"/>
    <col min="2323" max="2323" width="22" style="1066" customWidth="1"/>
    <col min="2324" max="2324" width="23.453125" style="1066" bestFit="1" customWidth="1"/>
    <col min="2325" max="2327" width="9.08984375" style="1066"/>
    <col min="2328" max="2328" width="11.36328125" style="1066" customWidth="1"/>
    <col min="2329" max="2329" width="10.36328125" style="1066" customWidth="1"/>
    <col min="2330" max="2537" width="9.08984375" style="1066"/>
    <col min="2538" max="2538" width="2.90625" style="1066" customWidth="1"/>
    <col min="2539" max="2539" width="13.08984375" style="1066" customWidth="1"/>
    <col min="2540" max="2540" width="60.36328125" style="1066" customWidth="1"/>
    <col min="2541" max="2545" width="10.90625" style="1066" bestFit="1" customWidth="1"/>
    <col min="2546" max="2546" width="11.90625" style="1066" bestFit="1" customWidth="1"/>
    <col min="2547" max="2547" width="14.36328125" style="1066" bestFit="1" customWidth="1"/>
    <col min="2548" max="2548" width="17.453125" style="1066" bestFit="1" customWidth="1"/>
    <col min="2549" max="2551" width="17.54296875" style="1066" bestFit="1" customWidth="1"/>
    <col min="2552" max="2558" width="21" style="1066" bestFit="1" customWidth="1"/>
    <col min="2559" max="2566" width="21.08984375" style="1066" bestFit="1" customWidth="1"/>
    <col min="2567" max="2567" width="22.6328125" style="1066" customWidth="1"/>
    <col min="2568" max="2568" width="22" style="1066" customWidth="1"/>
    <col min="2569" max="2569" width="22.6328125" style="1066" customWidth="1"/>
    <col min="2570" max="2575" width="21.08984375" style="1066" bestFit="1" customWidth="1"/>
    <col min="2576" max="2576" width="19.54296875" style="1066" customWidth="1"/>
    <col min="2577" max="2577" width="21.08984375" style="1066" bestFit="1" customWidth="1"/>
    <col min="2578" max="2578" width="22.6328125" style="1066" customWidth="1"/>
    <col min="2579" max="2579" width="22" style="1066" customWidth="1"/>
    <col min="2580" max="2580" width="23.453125" style="1066" bestFit="1" customWidth="1"/>
    <col min="2581" max="2583" width="9.08984375" style="1066"/>
    <col min="2584" max="2584" width="11.36328125" style="1066" customWidth="1"/>
    <col min="2585" max="2585" width="10.36328125" style="1066" customWidth="1"/>
    <col min="2586" max="2793" width="9.08984375" style="1066"/>
    <col min="2794" max="2794" width="2.90625" style="1066" customWidth="1"/>
    <col min="2795" max="2795" width="13.08984375" style="1066" customWidth="1"/>
    <col min="2796" max="2796" width="60.36328125" style="1066" customWidth="1"/>
    <col min="2797" max="2801" width="10.90625" style="1066" bestFit="1" customWidth="1"/>
    <col min="2802" max="2802" width="11.90625" style="1066" bestFit="1" customWidth="1"/>
    <col min="2803" max="2803" width="14.36328125" style="1066" bestFit="1" customWidth="1"/>
    <col min="2804" max="2804" width="17.453125" style="1066" bestFit="1" customWidth="1"/>
    <col min="2805" max="2807" width="17.54296875" style="1066" bestFit="1" customWidth="1"/>
    <col min="2808" max="2814" width="21" style="1066" bestFit="1" customWidth="1"/>
    <col min="2815" max="2822" width="21.08984375" style="1066" bestFit="1" customWidth="1"/>
    <col min="2823" max="2823" width="22.6328125" style="1066" customWidth="1"/>
    <col min="2824" max="2824" width="22" style="1066" customWidth="1"/>
    <col min="2825" max="2825" width="22.6328125" style="1066" customWidth="1"/>
    <col min="2826" max="2831" width="21.08984375" style="1066" bestFit="1" customWidth="1"/>
    <col min="2832" max="2832" width="19.54296875" style="1066" customWidth="1"/>
    <col min="2833" max="2833" width="21.08984375" style="1066" bestFit="1" customWidth="1"/>
    <col min="2834" max="2834" width="22.6328125" style="1066" customWidth="1"/>
    <col min="2835" max="2835" width="22" style="1066" customWidth="1"/>
    <col min="2836" max="2836" width="23.453125" style="1066" bestFit="1" customWidth="1"/>
    <col min="2837" max="2839" width="9.08984375" style="1066"/>
    <col min="2840" max="2840" width="11.36328125" style="1066" customWidth="1"/>
    <col min="2841" max="2841" width="10.36328125" style="1066" customWidth="1"/>
    <col min="2842" max="3049" width="9.08984375" style="1066"/>
    <col min="3050" max="3050" width="2.90625" style="1066" customWidth="1"/>
    <col min="3051" max="3051" width="13.08984375" style="1066" customWidth="1"/>
    <col min="3052" max="3052" width="60.36328125" style="1066" customWidth="1"/>
    <col min="3053" max="3057" width="10.90625" style="1066" bestFit="1" customWidth="1"/>
    <col min="3058" max="3058" width="11.90625" style="1066" bestFit="1" customWidth="1"/>
    <col min="3059" max="3059" width="14.36328125" style="1066" bestFit="1" customWidth="1"/>
    <col min="3060" max="3060" width="17.453125" style="1066" bestFit="1" customWidth="1"/>
    <col min="3061" max="3063" width="17.54296875" style="1066" bestFit="1" customWidth="1"/>
    <col min="3064" max="3070" width="21" style="1066" bestFit="1" customWidth="1"/>
    <col min="3071" max="3078" width="21.08984375" style="1066" bestFit="1" customWidth="1"/>
    <col min="3079" max="3079" width="22.6328125" style="1066" customWidth="1"/>
    <col min="3080" max="3080" width="22" style="1066" customWidth="1"/>
    <col min="3081" max="3081" width="22.6328125" style="1066" customWidth="1"/>
    <col min="3082" max="3087" width="21.08984375" style="1066" bestFit="1" customWidth="1"/>
    <col min="3088" max="3088" width="19.54296875" style="1066" customWidth="1"/>
    <col min="3089" max="3089" width="21.08984375" style="1066" bestFit="1" customWidth="1"/>
    <col min="3090" max="3090" width="22.6328125" style="1066" customWidth="1"/>
    <col min="3091" max="3091" width="22" style="1066" customWidth="1"/>
    <col min="3092" max="3092" width="23.453125" style="1066" bestFit="1" customWidth="1"/>
    <col min="3093" max="3095" width="9.08984375" style="1066"/>
    <col min="3096" max="3096" width="11.36328125" style="1066" customWidth="1"/>
    <col min="3097" max="3097" width="10.36328125" style="1066" customWidth="1"/>
    <col min="3098" max="3305" width="9.08984375" style="1066"/>
    <col min="3306" max="3306" width="2.90625" style="1066" customWidth="1"/>
    <col min="3307" max="3307" width="13.08984375" style="1066" customWidth="1"/>
    <col min="3308" max="3308" width="60.36328125" style="1066" customWidth="1"/>
    <col min="3309" max="3313" width="10.90625" style="1066" bestFit="1" customWidth="1"/>
    <col min="3314" max="3314" width="11.90625" style="1066" bestFit="1" customWidth="1"/>
    <col min="3315" max="3315" width="14.36328125" style="1066" bestFit="1" customWidth="1"/>
    <col min="3316" max="3316" width="17.453125" style="1066" bestFit="1" customWidth="1"/>
    <col min="3317" max="3319" width="17.54296875" style="1066" bestFit="1" customWidth="1"/>
    <col min="3320" max="3326" width="21" style="1066" bestFit="1" customWidth="1"/>
    <col min="3327" max="3334" width="21.08984375" style="1066" bestFit="1" customWidth="1"/>
    <col min="3335" max="3335" width="22.6328125" style="1066" customWidth="1"/>
    <col min="3336" max="3336" width="22" style="1066" customWidth="1"/>
    <col min="3337" max="3337" width="22.6328125" style="1066" customWidth="1"/>
    <col min="3338" max="3343" width="21.08984375" style="1066" bestFit="1" customWidth="1"/>
    <col min="3344" max="3344" width="19.54296875" style="1066" customWidth="1"/>
    <col min="3345" max="3345" width="21.08984375" style="1066" bestFit="1" customWidth="1"/>
    <col min="3346" max="3346" width="22.6328125" style="1066" customWidth="1"/>
    <col min="3347" max="3347" width="22" style="1066" customWidth="1"/>
    <col min="3348" max="3348" width="23.453125" style="1066" bestFit="1" customWidth="1"/>
    <col min="3349" max="3351" width="9.08984375" style="1066"/>
    <col min="3352" max="3352" width="11.36328125" style="1066" customWidth="1"/>
    <col min="3353" max="3353" width="10.36328125" style="1066" customWidth="1"/>
    <col min="3354" max="3561" width="9.08984375" style="1066"/>
    <col min="3562" max="3562" width="2.90625" style="1066" customWidth="1"/>
    <col min="3563" max="3563" width="13.08984375" style="1066" customWidth="1"/>
    <col min="3564" max="3564" width="60.36328125" style="1066" customWidth="1"/>
    <col min="3565" max="3569" width="10.90625" style="1066" bestFit="1" customWidth="1"/>
    <col min="3570" max="3570" width="11.90625" style="1066" bestFit="1" customWidth="1"/>
    <col min="3571" max="3571" width="14.36328125" style="1066" bestFit="1" customWidth="1"/>
    <col min="3572" max="3572" width="17.453125" style="1066" bestFit="1" customWidth="1"/>
    <col min="3573" max="3575" width="17.54296875" style="1066" bestFit="1" customWidth="1"/>
    <col min="3576" max="3582" width="21" style="1066" bestFit="1" customWidth="1"/>
    <col min="3583" max="3590" width="21.08984375" style="1066" bestFit="1" customWidth="1"/>
    <col min="3591" max="3591" width="22.6328125" style="1066" customWidth="1"/>
    <col min="3592" max="3592" width="22" style="1066" customWidth="1"/>
    <col min="3593" max="3593" width="22.6328125" style="1066" customWidth="1"/>
    <col min="3594" max="3599" width="21.08984375" style="1066" bestFit="1" customWidth="1"/>
    <col min="3600" max="3600" width="19.54296875" style="1066" customWidth="1"/>
    <col min="3601" max="3601" width="21.08984375" style="1066" bestFit="1" customWidth="1"/>
    <col min="3602" max="3602" width="22.6328125" style="1066" customWidth="1"/>
    <col min="3603" max="3603" width="22" style="1066" customWidth="1"/>
    <col min="3604" max="3604" width="23.453125" style="1066" bestFit="1" customWidth="1"/>
    <col min="3605" max="3607" width="9.08984375" style="1066"/>
    <col min="3608" max="3608" width="11.36328125" style="1066" customWidth="1"/>
    <col min="3609" max="3609" width="10.36328125" style="1066" customWidth="1"/>
    <col min="3610" max="3817" width="9.08984375" style="1066"/>
    <col min="3818" max="3818" width="2.90625" style="1066" customWidth="1"/>
    <col min="3819" max="3819" width="13.08984375" style="1066" customWidth="1"/>
    <col min="3820" max="3820" width="60.36328125" style="1066" customWidth="1"/>
    <col min="3821" max="3825" width="10.90625" style="1066" bestFit="1" customWidth="1"/>
    <col min="3826" max="3826" width="11.90625" style="1066" bestFit="1" customWidth="1"/>
    <col min="3827" max="3827" width="14.36328125" style="1066" bestFit="1" customWidth="1"/>
    <col min="3828" max="3828" width="17.453125" style="1066" bestFit="1" customWidth="1"/>
    <col min="3829" max="3831" width="17.54296875" style="1066" bestFit="1" customWidth="1"/>
    <col min="3832" max="3838" width="21" style="1066" bestFit="1" customWidth="1"/>
    <col min="3839" max="3846" width="21.08984375" style="1066" bestFit="1" customWidth="1"/>
    <col min="3847" max="3847" width="22.6328125" style="1066" customWidth="1"/>
    <col min="3848" max="3848" width="22" style="1066" customWidth="1"/>
    <col min="3849" max="3849" width="22.6328125" style="1066" customWidth="1"/>
    <col min="3850" max="3855" width="21.08984375" style="1066" bestFit="1" customWidth="1"/>
    <col min="3856" max="3856" width="19.54296875" style="1066" customWidth="1"/>
    <col min="3857" max="3857" width="21.08984375" style="1066" bestFit="1" customWidth="1"/>
    <col min="3858" max="3858" width="22.6328125" style="1066" customWidth="1"/>
    <col min="3859" max="3859" width="22" style="1066" customWidth="1"/>
    <col min="3860" max="3860" width="23.453125" style="1066" bestFit="1" customWidth="1"/>
    <col min="3861" max="3863" width="9.08984375" style="1066"/>
    <col min="3864" max="3864" width="11.36328125" style="1066" customWidth="1"/>
    <col min="3865" max="3865" width="10.36328125" style="1066" customWidth="1"/>
    <col min="3866" max="4073" width="9.08984375" style="1066"/>
    <col min="4074" max="4074" width="2.90625" style="1066" customWidth="1"/>
    <col min="4075" max="4075" width="13.08984375" style="1066" customWidth="1"/>
    <col min="4076" max="4076" width="60.36328125" style="1066" customWidth="1"/>
    <col min="4077" max="4081" width="10.90625" style="1066" bestFit="1" customWidth="1"/>
    <col min="4082" max="4082" width="11.90625" style="1066" bestFit="1" customWidth="1"/>
    <col min="4083" max="4083" width="14.36328125" style="1066" bestFit="1" customWidth="1"/>
    <col min="4084" max="4084" width="17.453125" style="1066" bestFit="1" customWidth="1"/>
    <col min="4085" max="4087" width="17.54296875" style="1066" bestFit="1" customWidth="1"/>
    <col min="4088" max="4094" width="21" style="1066" bestFit="1" customWidth="1"/>
    <col min="4095" max="4102" width="21.08984375" style="1066" bestFit="1" customWidth="1"/>
    <col min="4103" max="4103" width="22.6328125" style="1066" customWidth="1"/>
    <col min="4104" max="4104" width="22" style="1066" customWidth="1"/>
    <col min="4105" max="4105" width="22.6328125" style="1066" customWidth="1"/>
    <col min="4106" max="4111" width="21.08984375" style="1066" bestFit="1" customWidth="1"/>
    <col min="4112" max="4112" width="19.54296875" style="1066" customWidth="1"/>
    <col min="4113" max="4113" width="21.08984375" style="1066" bestFit="1" customWidth="1"/>
    <col min="4114" max="4114" width="22.6328125" style="1066" customWidth="1"/>
    <col min="4115" max="4115" width="22" style="1066" customWidth="1"/>
    <col min="4116" max="4116" width="23.453125" style="1066" bestFit="1" customWidth="1"/>
    <col min="4117" max="4119" width="9.08984375" style="1066"/>
    <col min="4120" max="4120" width="11.36328125" style="1066" customWidth="1"/>
    <col min="4121" max="4121" width="10.36328125" style="1066" customWidth="1"/>
    <col min="4122" max="4329" width="9.08984375" style="1066"/>
    <col min="4330" max="4330" width="2.90625" style="1066" customWidth="1"/>
    <col min="4331" max="4331" width="13.08984375" style="1066" customWidth="1"/>
    <col min="4332" max="4332" width="60.36328125" style="1066" customWidth="1"/>
    <col min="4333" max="4337" width="10.90625" style="1066" bestFit="1" customWidth="1"/>
    <col min="4338" max="4338" width="11.90625" style="1066" bestFit="1" customWidth="1"/>
    <col min="4339" max="4339" width="14.36328125" style="1066" bestFit="1" customWidth="1"/>
    <col min="4340" max="4340" width="17.453125" style="1066" bestFit="1" customWidth="1"/>
    <col min="4341" max="4343" width="17.54296875" style="1066" bestFit="1" customWidth="1"/>
    <col min="4344" max="4350" width="21" style="1066" bestFit="1" customWidth="1"/>
    <col min="4351" max="4358" width="21.08984375" style="1066" bestFit="1" customWidth="1"/>
    <col min="4359" max="4359" width="22.6328125" style="1066" customWidth="1"/>
    <col min="4360" max="4360" width="22" style="1066" customWidth="1"/>
    <col min="4361" max="4361" width="22.6328125" style="1066" customWidth="1"/>
    <col min="4362" max="4367" width="21.08984375" style="1066" bestFit="1" customWidth="1"/>
    <col min="4368" max="4368" width="19.54296875" style="1066" customWidth="1"/>
    <col min="4369" max="4369" width="21.08984375" style="1066" bestFit="1" customWidth="1"/>
    <col min="4370" max="4370" width="22.6328125" style="1066" customWidth="1"/>
    <col min="4371" max="4371" width="22" style="1066" customWidth="1"/>
    <col min="4372" max="4372" width="23.453125" style="1066" bestFit="1" customWidth="1"/>
    <col min="4373" max="4375" width="9.08984375" style="1066"/>
    <col min="4376" max="4376" width="11.36328125" style="1066" customWidth="1"/>
    <col min="4377" max="4377" width="10.36328125" style="1066" customWidth="1"/>
    <col min="4378" max="4585" width="9.08984375" style="1066"/>
    <col min="4586" max="4586" width="2.90625" style="1066" customWidth="1"/>
    <col min="4587" max="4587" width="13.08984375" style="1066" customWidth="1"/>
    <col min="4588" max="4588" width="60.36328125" style="1066" customWidth="1"/>
    <col min="4589" max="4593" width="10.90625" style="1066" bestFit="1" customWidth="1"/>
    <col min="4594" max="4594" width="11.90625" style="1066" bestFit="1" customWidth="1"/>
    <col min="4595" max="4595" width="14.36328125" style="1066" bestFit="1" customWidth="1"/>
    <col min="4596" max="4596" width="17.453125" style="1066" bestFit="1" customWidth="1"/>
    <col min="4597" max="4599" width="17.54296875" style="1066" bestFit="1" customWidth="1"/>
    <col min="4600" max="4606" width="21" style="1066" bestFit="1" customWidth="1"/>
    <col min="4607" max="4614" width="21.08984375" style="1066" bestFit="1" customWidth="1"/>
    <col min="4615" max="4615" width="22.6328125" style="1066" customWidth="1"/>
    <col min="4616" max="4616" width="22" style="1066" customWidth="1"/>
    <col min="4617" max="4617" width="22.6328125" style="1066" customWidth="1"/>
    <col min="4618" max="4623" width="21.08984375" style="1066" bestFit="1" customWidth="1"/>
    <col min="4624" max="4624" width="19.54296875" style="1066" customWidth="1"/>
    <col min="4625" max="4625" width="21.08984375" style="1066" bestFit="1" customWidth="1"/>
    <col min="4626" max="4626" width="22.6328125" style="1066" customWidth="1"/>
    <col min="4627" max="4627" width="22" style="1066" customWidth="1"/>
    <col min="4628" max="4628" width="23.453125" style="1066" bestFit="1" customWidth="1"/>
    <col min="4629" max="4631" width="9.08984375" style="1066"/>
    <col min="4632" max="4632" width="11.36328125" style="1066" customWidth="1"/>
    <col min="4633" max="4633" width="10.36328125" style="1066" customWidth="1"/>
    <col min="4634" max="4841" width="9.08984375" style="1066"/>
    <col min="4842" max="4842" width="2.90625" style="1066" customWidth="1"/>
    <col min="4843" max="4843" width="13.08984375" style="1066" customWidth="1"/>
    <col min="4844" max="4844" width="60.36328125" style="1066" customWidth="1"/>
    <col min="4845" max="4849" width="10.90625" style="1066" bestFit="1" customWidth="1"/>
    <col min="4850" max="4850" width="11.90625" style="1066" bestFit="1" customWidth="1"/>
    <col min="4851" max="4851" width="14.36328125" style="1066" bestFit="1" customWidth="1"/>
    <col min="4852" max="4852" width="17.453125" style="1066" bestFit="1" customWidth="1"/>
    <col min="4853" max="4855" width="17.54296875" style="1066" bestFit="1" customWidth="1"/>
    <col min="4856" max="4862" width="21" style="1066" bestFit="1" customWidth="1"/>
    <col min="4863" max="4870" width="21.08984375" style="1066" bestFit="1" customWidth="1"/>
    <col min="4871" max="4871" width="22.6328125" style="1066" customWidth="1"/>
    <col min="4872" max="4872" width="22" style="1066" customWidth="1"/>
    <col min="4873" max="4873" width="22.6328125" style="1066" customWidth="1"/>
    <col min="4874" max="4879" width="21.08984375" style="1066" bestFit="1" customWidth="1"/>
    <col min="4880" max="4880" width="19.54296875" style="1066" customWidth="1"/>
    <col min="4881" max="4881" width="21.08984375" style="1066" bestFit="1" customWidth="1"/>
    <col min="4882" max="4882" width="22.6328125" style="1066" customWidth="1"/>
    <col min="4883" max="4883" width="22" style="1066" customWidth="1"/>
    <col min="4884" max="4884" width="23.453125" style="1066" bestFit="1" customWidth="1"/>
    <col min="4885" max="4887" width="9.08984375" style="1066"/>
    <col min="4888" max="4888" width="11.36328125" style="1066" customWidth="1"/>
    <col min="4889" max="4889" width="10.36328125" style="1066" customWidth="1"/>
    <col min="4890" max="5097" width="9.08984375" style="1066"/>
    <col min="5098" max="5098" width="2.90625" style="1066" customWidth="1"/>
    <col min="5099" max="5099" width="13.08984375" style="1066" customWidth="1"/>
    <col min="5100" max="5100" width="60.36328125" style="1066" customWidth="1"/>
    <col min="5101" max="5105" width="10.90625" style="1066" bestFit="1" customWidth="1"/>
    <col min="5106" max="5106" width="11.90625" style="1066" bestFit="1" customWidth="1"/>
    <col min="5107" max="5107" width="14.36328125" style="1066" bestFit="1" customWidth="1"/>
    <col min="5108" max="5108" width="17.453125" style="1066" bestFit="1" customWidth="1"/>
    <col min="5109" max="5111" width="17.54296875" style="1066" bestFit="1" customWidth="1"/>
    <col min="5112" max="5118" width="21" style="1066" bestFit="1" customWidth="1"/>
    <col min="5119" max="5126" width="21.08984375" style="1066" bestFit="1" customWidth="1"/>
    <col min="5127" max="5127" width="22.6328125" style="1066" customWidth="1"/>
    <col min="5128" max="5128" width="22" style="1066" customWidth="1"/>
    <col min="5129" max="5129" width="22.6328125" style="1066" customWidth="1"/>
    <col min="5130" max="5135" width="21.08984375" style="1066" bestFit="1" customWidth="1"/>
    <col min="5136" max="5136" width="19.54296875" style="1066" customWidth="1"/>
    <col min="5137" max="5137" width="21.08984375" style="1066" bestFit="1" customWidth="1"/>
    <col min="5138" max="5138" width="22.6328125" style="1066" customWidth="1"/>
    <col min="5139" max="5139" width="22" style="1066" customWidth="1"/>
    <col min="5140" max="5140" width="23.453125" style="1066" bestFit="1" customWidth="1"/>
    <col min="5141" max="5143" width="9.08984375" style="1066"/>
    <col min="5144" max="5144" width="11.36328125" style="1066" customWidth="1"/>
    <col min="5145" max="5145" width="10.36328125" style="1066" customWidth="1"/>
    <col min="5146" max="5353" width="9.08984375" style="1066"/>
    <col min="5354" max="5354" width="2.90625" style="1066" customWidth="1"/>
    <col min="5355" max="5355" width="13.08984375" style="1066" customWidth="1"/>
    <col min="5356" max="5356" width="60.36328125" style="1066" customWidth="1"/>
    <col min="5357" max="5361" width="10.90625" style="1066" bestFit="1" customWidth="1"/>
    <col min="5362" max="5362" width="11.90625" style="1066" bestFit="1" customWidth="1"/>
    <col min="5363" max="5363" width="14.36328125" style="1066" bestFit="1" customWidth="1"/>
    <col min="5364" max="5364" width="17.453125" style="1066" bestFit="1" customWidth="1"/>
    <col min="5365" max="5367" width="17.54296875" style="1066" bestFit="1" customWidth="1"/>
    <col min="5368" max="5374" width="21" style="1066" bestFit="1" customWidth="1"/>
    <col min="5375" max="5382" width="21.08984375" style="1066" bestFit="1" customWidth="1"/>
    <col min="5383" max="5383" width="22.6328125" style="1066" customWidth="1"/>
    <col min="5384" max="5384" width="22" style="1066" customWidth="1"/>
    <col min="5385" max="5385" width="22.6328125" style="1066" customWidth="1"/>
    <col min="5386" max="5391" width="21.08984375" style="1066" bestFit="1" customWidth="1"/>
    <col min="5392" max="5392" width="19.54296875" style="1066" customWidth="1"/>
    <col min="5393" max="5393" width="21.08984375" style="1066" bestFit="1" customWidth="1"/>
    <col min="5394" max="5394" width="22.6328125" style="1066" customWidth="1"/>
    <col min="5395" max="5395" width="22" style="1066" customWidth="1"/>
    <col min="5396" max="5396" width="23.453125" style="1066" bestFit="1" customWidth="1"/>
    <col min="5397" max="5399" width="9.08984375" style="1066"/>
    <col min="5400" max="5400" width="11.36328125" style="1066" customWidth="1"/>
    <col min="5401" max="5401" width="10.36328125" style="1066" customWidth="1"/>
    <col min="5402" max="5609" width="9.08984375" style="1066"/>
    <col min="5610" max="5610" width="2.90625" style="1066" customWidth="1"/>
    <col min="5611" max="5611" width="13.08984375" style="1066" customWidth="1"/>
    <col min="5612" max="5612" width="60.36328125" style="1066" customWidth="1"/>
    <col min="5613" max="5617" width="10.90625" style="1066" bestFit="1" customWidth="1"/>
    <col min="5618" max="5618" width="11.90625" style="1066" bestFit="1" customWidth="1"/>
    <col min="5619" max="5619" width="14.36328125" style="1066" bestFit="1" customWidth="1"/>
    <col min="5620" max="5620" width="17.453125" style="1066" bestFit="1" customWidth="1"/>
    <col min="5621" max="5623" width="17.54296875" style="1066" bestFit="1" customWidth="1"/>
    <col min="5624" max="5630" width="21" style="1066" bestFit="1" customWidth="1"/>
    <col min="5631" max="5638" width="21.08984375" style="1066" bestFit="1" customWidth="1"/>
    <col min="5639" max="5639" width="22.6328125" style="1066" customWidth="1"/>
    <col min="5640" max="5640" width="22" style="1066" customWidth="1"/>
    <col min="5641" max="5641" width="22.6328125" style="1066" customWidth="1"/>
    <col min="5642" max="5647" width="21.08984375" style="1066" bestFit="1" customWidth="1"/>
    <col min="5648" max="5648" width="19.54296875" style="1066" customWidth="1"/>
    <col min="5649" max="5649" width="21.08984375" style="1066" bestFit="1" customWidth="1"/>
    <col min="5650" max="5650" width="22.6328125" style="1066" customWidth="1"/>
    <col min="5651" max="5651" width="22" style="1066" customWidth="1"/>
    <col min="5652" max="5652" width="23.453125" style="1066" bestFit="1" customWidth="1"/>
    <col min="5653" max="5655" width="9.08984375" style="1066"/>
    <col min="5656" max="5656" width="11.36328125" style="1066" customWidth="1"/>
    <col min="5657" max="5657" width="10.36328125" style="1066" customWidth="1"/>
    <col min="5658" max="5865" width="9.08984375" style="1066"/>
    <col min="5866" max="5866" width="2.90625" style="1066" customWidth="1"/>
    <col min="5867" max="5867" width="13.08984375" style="1066" customWidth="1"/>
    <col min="5868" max="5868" width="60.36328125" style="1066" customWidth="1"/>
    <col min="5869" max="5873" width="10.90625" style="1066" bestFit="1" customWidth="1"/>
    <col min="5874" max="5874" width="11.90625" style="1066" bestFit="1" customWidth="1"/>
    <col min="5875" max="5875" width="14.36328125" style="1066" bestFit="1" customWidth="1"/>
    <col min="5876" max="5876" width="17.453125" style="1066" bestFit="1" customWidth="1"/>
    <col min="5877" max="5879" width="17.54296875" style="1066" bestFit="1" customWidth="1"/>
    <col min="5880" max="5886" width="21" style="1066" bestFit="1" customWidth="1"/>
    <col min="5887" max="5894" width="21.08984375" style="1066" bestFit="1" customWidth="1"/>
    <col min="5895" max="5895" width="22.6328125" style="1066" customWidth="1"/>
    <col min="5896" max="5896" width="22" style="1066" customWidth="1"/>
    <col min="5897" max="5897" width="22.6328125" style="1066" customWidth="1"/>
    <col min="5898" max="5903" width="21.08984375" style="1066" bestFit="1" customWidth="1"/>
    <col min="5904" max="5904" width="19.54296875" style="1066" customWidth="1"/>
    <col min="5905" max="5905" width="21.08984375" style="1066" bestFit="1" customWidth="1"/>
    <col min="5906" max="5906" width="22.6328125" style="1066" customWidth="1"/>
    <col min="5907" max="5907" width="22" style="1066" customWidth="1"/>
    <col min="5908" max="5908" width="23.453125" style="1066" bestFit="1" customWidth="1"/>
    <col min="5909" max="5911" width="9.08984375" style="1066"/>
    <col min="5912" max="5912" width="11.36328125" style="1066" customWidth="1"/>
    <col min="5913" max="5913" width="10.36328125" style="1066" customWidth="1"/>
    <col min="5914" max="6121" width="9.08984375" style="1066"/>
    <col min="6122" max="6122" width="2.90625" style="1066" customWidth="1"/>
    <col min="6123" max="6123" width="13.08984375" style="1066" customWidth="1"/>
    <col min="6124" max="6124" width="60.36328125" style="1066" customWidth="1"/>
    <col min="6125" max="6129" width="10.90625" style="1066" bestFit="1" customWidth="1"/>
    <col min="6130" max="6130" width="11.90625" style="1066" bestFit="1" customWidth="1"/>
    <col min="6131" max="6131" width="14.36328125" style="1066" bestFit="1" customWidth="1"/>
    <col min="6132" max="6132" width="17.453125" style="1066" bestFit="1" customWidth="1"/>
    <col min="6133" max="6135" width="17.54296875" style="1066" bestFit="1" customWidth="1"/>
    <col min="6136" max="6142" width="21" style="1066" bestFit="1" customWidth="1"/>
    <col min="6143" max="6150" width="21.08984375" style="1066" bestFit="1" customWidth="1"/>
    <col min="6151" max="6151" width="22.6328125" style="1066" customWidth="1"/>
    <col min="6152" max="6152" width="22" style="1066" customWidth="1"/>
    <col min="6153" max="6153" width="22.6328125" style="1066" customWidth="1"/>
    <col min="6154" max="6159" width="21.08984375" style="1066" bestFit="1" customWidth="1"/>
    <col min="6160" max="6160" width="19.54296875" style="1066" customWidth="1"/>
    <col min="6161" max="6161" width="21.08984375" style="1066" bestFit="1" customWidth="1"/>
    <col min="6162" max="6162" width="22.6328125" style="1066" customWidth="1"/>
    <col min="6163" max="6163" width="22" style="1066" customWidth="1"/>
    <col min="6164" max="6164" width="23.453125" style="1066" bestFit="1" customWidth="1"/>
    <col min="6165" max="6167" width="9.08984375" style="1066"/>
    <col min="6168" max="6168" width="11.36328125" style="1066" customWidth="1"/>
    <col min="6169" max="6169" width="10.36328125" style="1066" customWidth="1"/>
    <col min="6170" max="6377" width="9.08984375" style="1066"/>
    <col min="6378" max="6378" width="2.90625" style="1066" customWidth="1"/>
    <col min="6379" max="6379" width="13.08984375" style="1066" customWidth="1"/>
    <col min="6380" max="6380" width="60.36328125" style="1066" customWidth="1"/>
    <col min="6381" max="6385" width="10.90625" style="1066" bestFit="1" customWidth="1"/>
    <col min="6386" max="6386" width="11.90625" style="1066" bestFit="1" customWidth="1"/>
    <col min="6387" max="6387" width="14.36328125" style="1066" bestFit="1" customWidth="1"/>
    <col min="6388" max="6388" width="17.453125" style="1066" bestFit="1" customWidth="1"/>
    <col min="6389" max="6391" width="17.54296875" style="1066" bestFit="1" customWidth="1"/>
    <col min="6392" max="6398" width="21" style="1066" bestFit="1" customWidth="1"/>
    <col min="6399" max="6406" width="21.08984375" style="1066" bestFit="1" customWidth="1"/>
    <col min="6407" max="6407" width="22.6328125" style="1066" customWidth="1"/>
    <col min="6408" max="6408" width="22" style="1066" customWidth="1"/>
    <col min="6409" max="6409" width="22.6328125" style="1066" customWidth="1"/>
    <col min="6410" max="6415" width="21.08984375" style="1066" bestFit="1" customWidth="1"/>
    <col min="6416" max="6416" width="19.54296875" style="1066" customWidth="1"/>
    <col min="6417" max="6417" width="21.08984375" style="1066" bestFit="1" customWidth="1"/>
    <col min="6418" max="6418" width="22.6328125" style="1066" customWidth="1"/>
    <col min="6419" max="6419" width="22" style="1066" customWidth="1"/>
    <col min="6420" max="6420" width="23.453125" style="1066" bestFit="1" customWidth="1"/>
    <col min="6421" max="6423" width="9.08984375" style="1066"/>
    <col min="6424" max="6424" width="11.36328125" style="1066" customWidth="1"/>
    <col min="6425" max="6425" width="10.36328125" style="1066" customWidth="1"/>
    <col min="6426" max="6633" width="9.08984375" style="1066"/>
    <col min="6634" max="6634" width="2.90625" style="1066" customWidth="1"/>
    <col min="6635" max="6635" width="13.08984375" style="1066" customWidth="1"/>
    <col min="6636" max="6636" width="60.36328125" style="1066" customWidth="1"/>
    <col min="6637" max="6641" width="10.90625" style="1066" bestFit="1" customWidth="1"/>
    <col min="6642" max="6642" width="11.90625" style="1066" bestFit="1" customWidth="1"/>
    <col min="6643" max="6643" width="14.36328125" style="1066" bestFit="1" customWidth="1"/>
    <col min="6644" max="6644" width="17.453125" style="1066" bestFit="1" customWidth="1"/>
    <col min="6645" max="6647" width="17.54296875" style="1066" bestFit="1" customWidth="1"/>
    <col min="6648" max="6654" width="21" style="1066" bestFit="1" customWidth="1"/>
    <col min="6655" max="6662" width="21.08984375" style="1066" bestFit="1" customWidth="1"/>
    <col min="6663" max="6663" width="22.6328125" style="1066" customWidth="1"/>
    <col min="6664" max="6664" width="22" style="1066" customWidth="1"/>
    <col min="6665" max="6665" width="22.6328125" style="1066" customWidth="1"/>
    <col min="6666" max="6671" width="21.08984375" style="1066" bestFit="1" customWidth="1"/>
    <col min="6672" max="6672" width="19.54296875" style="1066" customWidth="1"/>
    <col min="6673" max="6673" width="21.08984375" style="1066" bestFit="1" customWidth="1"/>
    <col min="6674" max="6674" width="22.6328125" style="1066" customWidth="1"/>
    <col min="6675" max="6675" width="22" style="1066" customWidth="1"/>
    <col min="6676" max="6676" width="23.453125" style="1066" bestFit="1" customWidth="1"/>
    <col min="6677" max="6679" width="9.08984375" style="1066"/>
    <col min="6680" max="6680" width="11.36328125" style="1066" customWidth="1"/>
    <col min="6681" max="6681" width="10.36328125" style="1066" customWidth="1"/>
    <col min="6682" max="6889" width="9.08984375" style="1066"/>
    <col min="6890" max="6890" width="2.90625" style="1066" customWidth="1"/>
    <col min="6891" max="6891" width="13.08984375" style="1066" customWidth="1"/>
    <col min="6892" max="6892" width="60.36328125" style="1066" customWidth="1"/>
    <col min="6893" max="6897" width="10.90625" style="1066" bestFit="1" customWidth="1"/>
    <col min="6898" max="6898" width="11.90625" style="1066" bestFit="1" customWidth="1"/>
    <col min="6899" max="6899" width="14.36328125" style="1066" bestFit="1" customWidth="1"/>
    <col min="6900" max="6900" width="17.453125" style="1066" bestFit="1" customWidth="1"/>
    <col min="6901" max="6903" width="17.54296875" style="1066" bestFit="1" customWidth="1"/>
    <col min="6904" max="6910" width="21" style="1066" bestFit="1" customWidth="1"/>
    <col min="6911" max="6918" width="21.08984375" style="1066" bestFit="1" customWidth="1"/>
    <col min="6919" max="6919" width="22.6328125" style="1066" customWidth="1"/>
    <col min="6920" max="6920" width="22" style="1066" customWidth="1"/>
    <col min="6921" max="6921" width="22.6328125" style="1066" customWidth="1"/>
    <col min="6922" max="6927" width="21.08984375" style="1066" bestFit="1" customWidth="1"/>
    <col min="6928" max="6928" width="19.54296875" style="1066" customWidth="1"/>
    <col min="6929" max="6929" width="21.08984375" style="1066" bestFit="1" customWidth="1"/>
    <col min="6930" max="6930" width="22.6328125" style="1066" customWidth="1"/>
    <col min="6931" max="6931" width="22" style="1066" customWidth="1"/>
    <col min="6932" max="6932" width="23.453125" style="1066" bestFit="1" customWidth="1"/>
    <col min="6933" max="6935" width="9.08984375" style="1066"/>
    <col min="6936" max="6936" width="11.36328125" style="1066" customWidth="1"/>
    <col min="6937" max="6937" width="10.36328125" style="1066" customWidth="1"/>
    <col min="6938" max="7145" width="9.08984375" style="1066"/>
    <col min="7146" max="7146" width="2.90625" style="1066" customWidth="1"/>
    <col min="7147" max="7147" width="13.08984375" style="1066" customWidth="1"/>
    <col min="7148" max="7148" width="60.36328125" style="1066" customWidth="1"/>
    <col min="7149" max="7153" width="10.90625" style="1066" bestFit="1" customWidth="1"/>
    <col min="7154" max="7154" width="11.90625" style="1066" bestFit="1" customWidth="1"/>
    <col min="7155" max="7155" width="14.36328125" style="1066" bestFit="1" customWidth="1"/>
    <col min="7156" max="7156" width="17.453125" style="1066" bestFit="1" customWidth="1"/>
    <col min="7157" max="7159" width="17.54296875" style="1066" bestFit="1" customWidth="1"/>
    <col min="7160" max="7166" width="21" style="1066" bestFit="1" customWidth="1"/>
    <col min="7167" max="7174" width="21.08984375" style="1066" bestFit="1" customWidth="1"/>
    <col min="7175" max="7175" width="22.6328125" style="1066" customWidth="1"/>
    <col min="7176" max="7176" width="22" style="1066" customWidth="1"/>
    <col min="7177" max="7177" width="22.6328125" style="1066" customWidth="1"/>
    <col min="7178" max="7183" width="21.08984375" style="1066" bestFit="1" customWidth="1"/>
    <col min="7184" max="7184" width="19.54296875" style="1066" customWidth="1"/>
    <col min="7185" max="7185" width="21.08984375" style="1066" bestFit="1" customWidth="1"/>
    <col min="7186" max="7186" width="22.6328125" style="1066" customWidth="1"/>
    <col min="7187" max="7187" width="22" style="1066" customWidth="1"/>
    <col min="7188" max="7188" width="23.453125" style="1066" bestFit="1" customWidth="1"/>
    <col min="7189" max="7191" width="9.08984375" style="1066"/>
    <col min="7192" max="7192" width="11.36328125" style="1066" customWidth="1"/>
    <col min="7193" max="7193" width="10.36328125" style="1066" customWidth="1"/>
    <col min="7194" max="7401" width="9.08984375" style="1066"/>
    <col min="7402" max="7402" width="2.90625" style="1066" customWidth="1"/>
    <col min="7403" max="7403" width="13.08984375" style="1066" customWidth="1"/>
    <col min="7404" max="7404" width="60.36328125" style="1066" customWidth="1"/>
    <col min="7405" max="7409" width="10.90625" style="1066" bestFit="1" customWidth="1"/>
    <col min="7410" max="7410" width="11.90625" style="1066" bestFit="1" customWidth="1"/>
    <col min="7411" max="7411" width="14.36328125" style="1066" bestFit="1" customWidth="1"/>
    <col min="7412" max="7412" width="17.453125" style="1066" bestFit="1" customWidth="1"/>
    <col min="7413" max="7415" width="17.54296875" style="1066" bestFit="1" customWidth="1"/>
    <col min="7416" max="7422" width="21" style="1066" bestFit="1" customWidth="1"/>
    <col min="7423" max="7430" width="21.08984375" style="1066" bestFit="1" customWidth="1"/>
    <col min="7431" max="7431" width="22.6328125" style="1066" customWidth="1"/>
    <col min="7432" max="7432" width="22" style="1066" customWidth="1"/>
    <col min="7433" max="7433" width="22.6328125" style="1066" customWidth="1"/>
    <col min="7434" max="7439" width="21.08984375" style="1066" bestFit="1" customWidth="1"/>
    <col min="7440" max="7440" width="19.54296875" style="1066" customWidth="1"/>
    <col min="7441" max="7441" width="21.08984375" style="1066" bestFit="1" customWidth="1"/>
    <col min="7442" max="7442" width="22.6328125" style="1066" customWidth="1"/>
    <col min="7443" max="7443" width="22" style="1066" customWidth="1"/>
    <col min="7444" max="7444" width="23.453125" style="1066" bestFit="1" customWidth="1"/>
    <col min="7445" max="7447" width="9.08984375" style="1066"/>
    <col min="7448" max="7448" width="11.36328125" style="1066" customWidth="1"/>
    <col min="7449" max="7449" width="10.36328125" style="1066" customWidth="1"/>
    <col min="7450" max="7657" width="9.08984375" style="1066"/>
    <col min="7658" max="7658" width="2.90625" style="1066" customWidth="1"/>
    <col min="7659" max="7659" width="13.08984375" style="1066" customWidth="1"/>
    <col min="7660" max="7660" width="60.36328125" style="1066" customWidth="1"/>
    <col min="7661" max="7665" width="10.90625" style="1066" bestFit="1" customWidth="1"/>
    <col min="7666" max="7666" width="11.90625" style="1066" bestFit="1" customWidth="1"/>
    <col min="7667" max="7667" width="14.36328125" style="1066" bestFit="1" customWidth="1"/>
    <col min="7668" max="7668" width="17.453125" style="1066" bestFit="1" customWidth="1"/>
    <col min="7669" max="7671" width="17.54296875" style="1066" bestFit="1" customWidth="1"/>
    <col min="7672" max="7678" width="21" style="1066" bestFit="1" customWidth="1"/>
    <col min="7679" max="7686" width="21.08984375" style="1066" bestFit="1" customWidth="1"/>
    <col min="7687" max="7687" width="22.6328125" style="1066" customWidth="1"/>
    <col min="7688" max="7688" width="22" style="1066" customWidth="1"/>
    <col min="7689" max="7689" width="22.6328125" style="1066" customWidth="1"/>
    <col min="7690" max="7695" width="21.08984375" style="1066" bestFit="1" customWidth="1"/>
    <col min="7696" max="7696" width="19.54296875" style="1066" customWidth="1"/>
    <col min="7697" max="7697" width="21.08984375" style="1066" bestFit="1" customWidth="1"/>
    <col min="7698" max="7698" width="22.6328125" style="1066" customWidth="1"/>
    <col min="7699" max="7699" width="22" style="1066" customWidth="1"/>
    <col min="7700" max="7700" width="23.453125" style="1066" bestFit="1" customWidth="1"/>
    <col min="7701" max="7703" width="9.08984375" style="1066"/>
    <col min="7704" max="7704" width="11.36328125" style="1066" customWidth="1"/>
    <col min="7705" max="7705" width="10.36328125" style="1066" customWidth="1"/>
    <col min="7706" max="7913" width="9.08984375" style="1066"/>
    <col min="7914" max="7914" width="2.90625" style="1066" customWidth="1"/>
    <col min="7915" max="7915" width="13.08984375" style="1066" customWidth="1"/>
    <col min="7916" max="7916" width="60.36328125" style="1066" customWidth="1"/>
    <col min="7917" max="7921" width="10.90625" style="1066" bestFit="1" customWidth="1"/>
    <col min="7922" max="7922" width="11.90625" style="1066" bestFit="1" customWidth="1"/>
    <col min="7923" max="7923" width="14.36328125" style="1066" bestFit="1" customWidth="1"/>
    <col min="7924" max="7924" width="17.453125" style="1066" bestFit="1" customWidth="1"/>
    <col min="7925" max="7927" width="17.54296875" style="1066" bestFit="1" customWidth="1"/>
    <col min="7928" max="7934" width="21" style="1066" bestFit="1" customWidth="1"/>
    <col min="7935" max="7942" width="21.08984375" style="1066" bestFit="1" customWidth="1"/>
    <col min="7943" max="7943" width="22.6328125" style="1066" customWidth="1"/>
    <col min="7944" max="7944" width="22" style="1066" customWidth="1"/>
    <col min="7945" max="7945" width="22.6328125" style="1066" customWidth="1"/>
    <col min="7946" max="7951" width="21.08984375" style="1066" bestFit="1" customWidth="1"/>
    <col min="7952" max="7952" width="19.54296875" style="1066" customWidth="1"/>
    <col min="7953" max="7953" width="21.08984375" style="1066" bestFit="1" customWidth="1"/>
    <col min="7954" max="7954" width="22.6328125" style="1066" customWidth="1"/>
    <col min="7955" max="7955" width="22" style="1066" customWidth="1"/>
    <col min="7956" max="7956" width="23.453125" style="1066" bestFit="1" customWidth="1"/>
    <col min="7957" max="7959" width="9.08984375" style="1066"/>
    <col min="7960" max="7960" width="11.36328125" style="1066" customWidth="1"/>
    <col min="7961" max="7961" width="10.36328125" style="1066" customWidth="1"/>
    <col min="7962" max="8169" width="9.08984375" style="1066"/>
    <col min="8170" max="8170" width="2.90625" style="1066" customWidth="1"/>
    <col min="8171" max="8171" width="13.08984375" style="1066" customWidth="1"/>
    <col min="8172" max="8172" width="60.36328125" style="1066" customWidth="1"/>
    <col min="8173" max="8177" width="10.90625" style="1066" bestFit="1" customWidth="1"/>
    <col min="8178" max="8178" width="11.90625" style="1066" bestFit="1" customWidth="1"/>
    <col min="8179" max="8179" width="14.36328125" style="1066" bestFit="1" customWidth="1"/>
    <col min="8180" max="8180" width="17.453125" style="1066" bestFit="1" customWidth="1"/>
    <col min="8181" max="8183" width="17.54296875" style="1066" bestFit="1" customWidth="1"/>
    <col min="8184" max="8190" width="21" style="1066" bestFit="1" customWidth="1"/>
    <col min="8191" max="8198" width="21.08984375" style="1066" bestFit="1" customWidth="1"/>
    <col min="8199" max="8199" width="22.6328125" style="1066" customWidth="1"/>
    <col min="8200" max="8200" width="22" style="1066" customWidth="1"/>
    <col min="8201" max="8201" width="22.6328125" style="1066" customWidth="1"/>
    <col min="8202" max="8207" width="21.08984375" style="1066" bestFit="1" customWidth="1"/>
    <col min="8208" max="8208" width="19.54296875" style="1066" customWidth="1"/>
    <col min="8209" max="8209" width="21.08984375" style="1066" bestFit="1" customWidth="1"/>
    <col min="8210" max="8210" width="22.6328125" style="1066" customWidth="1"/>
    <col min="8211" max="8211" width="22" style="1066" customWidth="1"/>
    <col min="8212" max="8212" width="23.453125" style="1066" bestFit="1" customWidth="1"/>
    <col min="8213" max="8215" width="9.08984375" style="1066"/>
    <col min="8216" max="8216" width="11.36328125" style="1066" customWidth="1"/>
    <col min="8217" max="8217" width="10.36328125" style="1066" customWidth="1"/>
    <col min="8218" max="8425" width="9.08984375" style="1066"/>
    <col min="8426" max="8426" width="2.90625" style="1066" customWidth="1"/>
    <col min="8427" max="8427" width="13.08984375" style="1066" customWidth="1"/>
    <col min="8428" max="8428" width="60.36328125" style="1066" customWidth="1"/>
    <col min="8429" max="8433" width="10.90625" style="1066" bestFit="1" customWidth="1"/>
    <col min="8434" max="8434" width="11.90625" style="1066" bestFit="1" customWidth="1"/>
    <col min="8435" max="8435" width="14.36328125" style="1066" bestFit="1" customWidth="1"/>
    <col min="8436" max="8436" width="17.453125" style="1066" bestFit="1" customWidth="1"/>
    <col min="8437" max="8439" width="17.54296875" style="1066" bestFit="1" customWidth="1"/>
    <col min="8440" max="8446" width="21" style="1066" bestFit="1" customWidth="1"/>
    <col min="8447" max="8454" width="21.08984375" style="1066" bestFit="1" customWidth="1"/>
    <col min="8455" max="8455" width="22.6328125" style="1066" customWidth="1"/>
    <col min="8456" max="8456" width="22" style="1066" customWidth="1"/>
    <col min="8457" max="8457" width="22.6328125" style="1066" customWidth="1"/>
    <col min="8458" max="8463" width="21.08984375" style="1066" bestFit="1" customWidth="1"/>
    <col min="8464" max="8464" width="19.54296875" style="1066" customWidth="1"/>
    <col min="8465" max="8465" width="21.08984375" style="1066" bestFit="1" customWidth="1"/>
    <col min="8466" max="8466" width="22.6328125" style="1066" customWidth="1"/>
    <col min="8467" max="8467" width="22" style="1066" customWidth="1"/>
    <col min="8468" max="8468" width="23.453125" style="1066" bestFit="1" customWidth="1"/>
    <col min="8469" max="8471" width="9.08984375" style="1066"/>
    <col min="8472" max="8472" width="11.36328125" style="1066" customWidth="1"/>
    <col min="8473" max="8473" width="10.36328125" style="1066" customWidth="1"/>
    <col min="8474" max="8681" width="9.08984375" style="1066"/>
    <col min="8682" max="8682" width="2.90625" style="1066" customWidth="1"/>
    <col min="8683" max="8683" width="13.08984375" style="1066" customWidth="1"/>
    <col min="8684" max="8684" width="60.36328125" style="1066" customWidth="1"/>
    <col min="8685" max="8689" width="10.90625" style="1066" bestFit="1" customWidth="1"/>
    <col min="8690" max="8690" width="11.90625" style="1066" bestFit="1" customWidth="1"/>
    <col min="8691" max="8691" width="14.36328125" style="1066" bestFit="1" customWidth="1"/>
    <col min="8692" max="8692" width="17.453125" style="1066" bestFit="1" customWidth="1"/>
    <col min="8693" max="8695" width="17.54296875" style="1066" bestFit="1" customWidth="1"/>
    <col min="8696" max="8702" width="21" style="1066" bestFit="1" customWidth="1"/>
    <col min="8703" max="8710" width="21.08984375" style="1066" bestFit="1" customWidth="1"/>
    <col min="8711" max="8711" width="22.6328125" style="1066" customWidth="1"/>
    <col min="8712" max="8712" width="22" style="1066" customWidth="1"/>
    <col min="8713" max="8713" width="22.6328125" style="1066" customWidth="1"/>
    <col min="8714" max="8719" width="21.08984375" style="1066" bestFit="1" customWidth="1"/>
    <col min="8720" max="8720" width="19.54296875" style="1066" customWidth="1"/>
    <col min="8721" max="8721" width="21.08984375" style="1066" bestFit="1" customWidth="1"/>
    <col min="8722" max="8722" width="22.6328125" style="1066" customWidth="1"/>
    <col min="8723" max="8723" width="22" style="1066" customWidth="1"/>
    <col min="8724" max="8724" width="23.453125" style="1066" bestFit="1" customWidth="1"/>
    <col min="8725" max="8727" width="9.08984375" style="1066"/>
    <col min="8728" max="8728" width="11.36328125" style="1066" customWidth="1"/>
    <col min="8729" max="8729" width="10.36328125" style="1066" customWidth="1"/>
    <col min="8730" max="8937" width="9.08984375" style="1066"/>
    <col min="8938" max="8938" width="2.90625" style="1066" customWidth="1"/>
    <col min="8939" max="8939" width="13.08984375" style="1066" customWidth="1"/>
    <col min="8940" max="8940" width="60.36328125" style="1066" customWidth="1"/>
    <col min="8941" max="8945" width="10.90625" style="1066" bestFit="1" customWidth="1"/>
    <col min="8946" max="8946" width="11.90625" style="1066" bestFit="1" customWidth="1"/>
    <col min="8947" max="8947" width="14.36328125" style="1066" bestFit="1" customWidth="1"/>
    <col min="8948" max="8948" width="17.453125" style="1066" bestFit="1" customWidth="1"/>
    <col min="8949" max="8951" width="17.54296875" style="1066" bestFit="1" customWidth="1"/>
    <col min="8952" max="8958" width="21" style="1066" bestFit="1" customWidth="1"/>
    <col min="8959" max="8966" width="21.08984375" style="1066" bestFit="1" customWidth="1"/>
    <col min="8967" max="8967" width="22.6328125" style="1066" customWidth="1"/>
    <col min="8968" max="8968" width="22" style="1066" customWidth="1"/>
    <col min="8969" max="8969" width="22.6328125" style="1066" customWidth="1"/>
    <col min="8970" max="8975" width="21.08984375" style="1066" bestFit="1" customWidth="1"/>
    <col min="8976" max="8976" width="19.54296875" style="1066" customWidth="1"/>
    <col min="8977" max="8977" width="21.08984375" style="1066" bestFit="1" customWidth="1"/>
    <col min="8978" max="8978" width="22.6328125" style="1066" customWidth="1"/>
    <col min="8979" max="8979" width="22" style="1066" customWidth="1"/>
    <col min="8980" max="8980" width="23.453125" style="1066" bestFit="1" customWidth="1"/>
    <col min="8981" max="8983" width="9.08984375" style="1066"/>
    <col min="8984" max="8984" width="11.36328125" style="1066" customWidth="1"/>
    <col min="8985" max="8985" width="10.36328125" style="1066" customWidth="1"/>
    <col min="8986" max="9193" width="9.08984375" style="1066"/>
    <col min="9194" max="9194" width="2.90625" style="1066" customWidth="1"/>
    <col min="9195" max="9195" width="13.08984375" style="1066" customWidth="1"/>
    <col min="9196" max="9196" width="60.36328125" style="1066" customWidth="1"/>
    <col min="9197" max="9201" width="10.90625" style="1066" bestFit="1" customWidth="1"/>
    <col min="9202" max="9202" width="11.90625" style="1066" bestFit="1" customWidth="1"/>
    <col min="9203" max="9203" width="14.36328125" style="1066" bestFit="1" customWidth="1"/>
    <col min="9204" max="9204" width="17.453125" style="1066" bestFit="1" customWidth="1"/>
    <col min="9205" max="9207" width="17.54296875" style="1066" bestFit="1" customWidth="1"/>
    <col min="9208" max="9214" width="21" style="1066" bestFit="1" customWidth="1"/>
    <col min="9215" max="9222" width="21.08984375" style="1066" bestFit="1" customWidth="1"/>
    <col min="9223" max="9223" width="22.6328125" style="1066" customWidth="1"/>
    <col min="9224" max="9224" width="22" style="1066" customWidth="1"/>
    <col min="9225" max="9225" width="22.6328125" style="1066" customWidth="1"/>
    <col min="9226" max="9231" width="21.08984375" style="1066" bestFit="1" customWidth="1"/>
    <col min="9232" max="9232" width="19.54296875" style="1066" customWidth="1"/>
    <col min="9233" max="9233" width="21.08984375" style="1066" bestFit="1" customWidth="1"/>
    <col min="9234" max="9234" width="22.6328125" style="1066" customWidth="1"/>
    <col min="9235" max="9235" width="22" style="1066" customWidth="1"/>
    <col min="9236" max="9236" width="23.453125" style="1066" bestFit="1" customWidth="1"/>
    <col min="9237" max="9239" width="9.08984375" style="1066"/>
    <col min="9240" max="9240" width="11.36328125" style="1066" customWidth="1"/>
    <col min="9241" max="9241" width="10.36328125" style="1066" customWidth="1"/>
    <col min="9242" max="9449" width="9.08984375" style="1066"/>
    <col min="9450" max="9450" width="2.90625" style="1066" customWidth="1"/>
    <col min="9451" max="9451" width="13.08984375" style="1066" customWidth="1"/>
    <col min="9452" max="9452" width="60.36328125" style="1066" customWidth="1"/>
    <col min="9453" max="9457" width="10.90625" style="1066" bestFit="1" customWidth="1"/>
    <col min="9458" max="9458" width="11.90625" style="1066" bestFit="1" customWidth="1"/>
    <col min="9459" max="9459" width="14.36328125" style="1066" bestFit="1" customWidth="1"/>
    <col min="9460" max="9460" width="17.453125" style="1066" bestFit="1" customWidth="1"/>
    <col min="9461" max="9463" width="17.54296875" style="1066" bestFit="1" customWidth="1"/>
    <col min="9464" max="9470" width="21" style="1066" bestFit="1" customWidth="1"/>
    <col min="9471" max="9478" width="21.08984375" style="1066" bestFit="1" customWidth="1"/>
    <col min="9479" max="9479" width="22.6328125" style="1066" customWidth="1"/>
    <col min="9480" max="9480" width="22" style="1066" customWidth="1"/>
    <col min="9481" max="9481" width="22.6328125" style="1066" customWidth="1"/>
    <col min="9482" max="9487" width="21.08984375" style="1066" bestFit="1" customWidth="1"/>
    <col min="9488" max="9488" width="19.54296875" style="1066" customWidth="1"/>
    <col min="9489" max="9489" width="21.08984375" style="1066" bestFit="1" customWidth="1"/>
    <col min="9490" max="9490" width="22.6328125" style="1066" customWidth="1"/>
    <col min="9491" max="9491" width="22" style="1066" customWidth="1"/>
    <col min="9492" max="9492" width="23.453125" style="1066" bestFit="1" customWidth="1"/>
    <col min="9493" max="9495" width="9.08984375" style="1066"/>
    <col min="9496" max="9496" width="11.36328125" style="1066" customWidth="1"/>
    <col min="9497" max="9497" width="10.36328125" style="1066" customWidth="1"/>
    <col min="9498" max="9705" width="9.08984375" style="1066"/>
    <col min="9706" max="9706" width="2.90625" style="1066" customWidth="1"/>
    <col min="9707" max="9707" width="13.08984375" style="1066" customWidth="1"/>
    <col min="9708" max="9708" width="60.36328125" style="1066" customWidth="1"/>
    <col min="9709" max="9713" width="10.90625" style="1066" bestFit="1" customWidth="1"/>
    <col min="9714" max="9714" width="11.90625" style="1066" bestFit="1" customWidth="1"/>
    <col min="9715" max="9715" width="14.36328125" style="1066" bestFit="1" customWidth="1"/>
    <col min="9716" max="9716" width="17.453125" style="1066" bestFit="1" customWidth="1"/>
    <col min="9717" max="9719" width="17.54296875" style="1066" bestFit="1" customWidth="1"/>
    <col min="9720" max="9726" width="21" style="1066" bestFit="1" customWidth="1"/>
    <col min="9727" max="9734" width="21.08984375" style="1066" bestFit="1" customWidth="1"/>
    <col min="9735" max="9735" width="22.6328125" style="1066" customWidth="1"/>
    <col min="9736" max="9736" width="22" style="1066" customWidth="1"/>
    <col min="9737" max="9737" width="22.6328125" style="1066" customWidth="1"/>
    <col min="9738" max="9743" width="21.08984375" style="1066" bestFit="1" customWidth="1"/>
    <col min="9744" max="9744" width="19.54296875" style="1066" customWidth="1"/>
    <col min="9745" max="9745" width="21.08984375" style="1066" bestFit="1" customWidth="1"/>
    <col min="9746" max="9746" width="22.6328125" style="1066" customWidth="1"/>
    <col min="9747" max="9747" width="22" style="1066" customWidth="1"/>
    <col min="9748" max="9748" width="23.453125" style="1066" bestFit="1" customWidth="1"/>
    <col min="9749" max="9751" width="9.08984375" style="1066"/>
    <col min="9752" max="9752" width="11.36328125" style="1066" customWidth="1"/>
    <col min="9753" max="9753" width="10.36328125" style="1066" customWidth="1"/>
    <col min="9754" max="9961" width="9.08984375" style="1066"/>
    <col min="9962" max="9962" width="2.90625" style="1066" customWidth="1"/>
    <col min="9963" max="9963" width="13.08984375" style="1066" customWidth="1"/>
    <col min="9964" max="9964" width="60.36328125" style="1066" customWidth="1"/>
    <col min="9965" max="9969" width="10.90625" style="1066" bestFit="1" customWidth="1"/>
    <col min="9970" max="9970" width="11.90625" style="1066" bestFit="1" customWidth="1"/>
    <col min="9971" max="9971" width="14.36328125" style="1066" bestFit="1" customWidth="1"/>
    <col min="9972" max="9972" width="17.453125" style="1066" bestFit="1" customWidth="1"/>
    <col min="9973" max="9975" width="17.54296875" style="1066" bestFit="1" customWidth="1"/>
    <col min="9976" max="9982" width="21" style="1066" bestFit="1" customWidth="1"/>
    <col min="9983" max="9990" width="21.08984375" style="1066" bestFit="1" customWidth="1"/>
    <col min="9991" max="9991" width="22.6328125" style="1066" customWidth="1"/>
    <col min="9992" max="9992" width="22" style="1066" customWidth="1"/>
    <col min="9993" max="9993" width="22.6328125" style="1066" customWidth="1"/>
    <col min="9994" max="9999" width="21.08984375" style="1066" bestFit="1" customWidth="1"/>
    <col min="10000" max="10000" width="19.54296875" style="1066" customWidth="1"/>
    <col min="10001" max="10001" width="21.08984375" style="1066" bestFit="1" customWidth="1"/>
    <col min="10002" max="10002" width="22.6328125" style="1066" customWidth="1"/>
    <col min="10003" max="10003" width="22" style="1066" customWidth="1"/>
    <col min="10004" max="10004" width="23.453125" style="1066" bestFit="1" customWidth="1"/>
    <col min="10005" max="10007" width="9.08984375" style="1066"/>
    <col min="10008" max="10008" width="11.36328125" style="1066" customWidth="1"/>
    <col min="10009" max="10009" width="10.36328125" style="1066" customWidth="1"/>
    <col min="10010" max="10217" width="9.08984375" style="1066"/>
    <col min="10218" max="10218" width="2.90625" style="1066" customWidth="1"/>
    <col min="10219" max="10219" width="13.08984375" style="1066" customWidth="1"/>
    <col min="10220" max="10220" width="60.36328125" style="1066" customWidth="1"/>
    <col min="10221" max="10225" width="10.90625" style="1066" bestFit="1" customWidth="1"/>
    <col min="10226" max="10226" width="11.90625" style="1066" bestFit="1" customWidth="1"/>
    <col min="10227" max="10227" width="14.36328125" style="1066" bestFit="1" customWidth="1"/>
    <col min="10228" max="10228" width="17.453125" style="1066" bestFit="1" customWidth="1"/>
    <col min="10229" max="10231" width="17.54296875" style="1066" bestFit="1" customWidth="1"/>
    <col min="10232" max="10238" width="21" style="1066" bestFit="1" customWidth="1"/>
    <col min="10239" max="10246" width="21.08984375" style="1066" bestFit="1" customWidth="1"/>
    <col min="10247" max="10247" width="22.6328125" style="1066" customWidth="1"/>
    <col min="10248" max="10248" width="22" style="1066" customWidth="1"/>
    <col min="10249" max="10249" width="22.6328125" style="1066" customWidth="1"/>
    <col min="10250" max="10255" width="21.08984375" style="1066" bestFit="1" customWidth="1"/>
    <col min="10256" max="10256" width="19.54296875" style="1066" customWidth="1"/>
    <col min="10257" max="10257" width="21.08984375" style="1066" bestFit="1" customWidth="1"/>
    <col min="10258" max="10258" width="22.6328125" style="1066" customWidth="1"/>
    <col min="10259" max="10259" width="22" style="1066" customWidth="1"/>
    <col min="10260" max="10260" width="23.453125" style="1066" bestFit="1" customWidth="1"/>
    <col min="10261" max="10263" width="9.08984375" style="1066"/>
    <col min="10264" max="10264" width="11.36328125" style="1066" customWidth="1"/>
    <col min="10265" max="10265" width="10.36328125" style="1066" customWidth="1"/>
    <col min="10266" max="10473" width="9.08984375" style="1066"/>
    <col min="10474" max="10474" width="2.90625" style="1066" customWidth="1"/>
    <col min="10475" max="10475" width="13.08984375" style="1066" customWidth="1"/>
    <col min="10476" max="10476" width="60.36328125" style="1066" customWidth="1"/>
    <col min="10477" max="10481" width="10.90625" style="1066" bestFit="1" customWidth="1"/>
    <col min="10482" max="10482" width="11.90625" style="1066" bestFit="1" customWidth="1"/>
    <col min="10483" max="10483" width="14.36328125" style="1066" bestFit="1" customWidth="1"/>
    <col min="10484" max="10484" width="17.453125" style="1066" bestFit="1" customWidth="1"/>
    <col min="10485" max="10487" width="17.54296875" style="1066" bestFit="1" customWidth="1"/>
    <col min="10488" max="10494" width="21" style="1066" bestFit="1" customWidth="1"/>
    <col min="10495" max="10502" width="21.08984375" style="1066" bestFit="1" customWidth="1"/>
    <col min="10503" max="10503" width="22.6328125" style="1066" customWidth="1"/>
    <col min="10504" max="10504" width="22" style="1066" customWidth="1"/>
    <col min="10505" max="10505" width="22.6328125" style="1066" customWidth="1"/>
    <col min="10506" max="10511" width="21.08984375" style="1066" bestFit="1" customWidth="1"/>
    <col min="10512" max="10512" width="19.54296875" style="1066" customWidth="1"/>
    <col min="10513" max="10513" width="21.08984375" style="1066" bestFit="1" customWidth="1"/>
    <col min="10514" max="10514" width="22.6328125" style="1066" customWidth="1"/>
    <col min="10515" max="10515" width="22" style="1066" customWidth="1"/>
    <col min="10516" max="10516" width="23.453125" style="1066" bestFit="1" customWidth="1"/>
    <col min="10517" max="10519" width="9.08984375" style="1066"/>
    <col min="10520" max="10520" width="11.36328125" style="1066" customWidth="1"/>
    <col min="10521" max="10521" width="10.36328125" style="1066" customWidth="1"/>
    <col min="10522" max="10729" width="9.08984375" style="1066"/>
    <col min="10730" max="10730" width="2.90625" style="1066" customWidth="1"/>
    <col min="10731" max="10731" width="13.08984375" style="1066" customWidth="1"/>
    <col min="10732" max="10732" width="60.36328125" style="1066" customWidth="1"/>
    <col min="10733" max="10737" width="10.90625" style="1066" bestFit="1" customWidth="1"/>
    <col min="10738" max="10738" width="11.90625" style="1066" bestFit="1" customWidth="1"/>
    <col min="10739" max="10739" width="14.36328125" style="1066" bestFit="1" customWidth="1"/>
    <col min="10740" max="10740" width="17.453125" style="1066" bestFit="1" customWidth="1"/>
    <col min="10741" max="10743" width="17.54296875" style="1066" bestFit="1" customWidth="1"/>
    <col min="10744" max="10750" width="21" style="1066" bestFit="1" customWidth="1"/>
    <col min="10751" max="10758" width="21.08984375" style="1066" bestFit="1" customWidth="1"/>
    <col min="10759" max="10759" width="22.6328125" style="1066" customWidth="1"/>
    <col min="10760" max="10760" width="22" style="1066" customWidth="1"/>
    <col min="10761" max="10761" width="22.6328125" style="1066" customWidth="1"/>
    <col min="10762" max="10767" width="21.08984375" style="1066" bestFit="1" customWidth="1"/>
    <col min="10768" max="10768" width="19.54296875" style="1066" customWidth="1"/>
    <col min="10769" max="10769" width="21.08984375" style="1066" bestFit="1" customWidth="1"/>
    <col min="10770" max="10770" width="22.6328125" style="1066" customWidth="1"/>
    <col min="10771" max="10771" width="22" style="1066" customWidth="1"/>
    <col min="10772" max="10772" width="23.453125" style="1066" bestFit="1" customWidth="1"/>
    <col min="10773" max="10775" width="9.08984375" style="1066"/>
    <col min="10776" max="10776" width="11.36328125" style="1066" customWidth="1"/>
    <col min="10777" max="10777" width="10.36328125" style="1066" customWidth="1"/>
    <col min="10778" max="10985" width="9.08984375" style="1066"/>
    <col min="10986" max="10986" width="2.90625" style="1066" customWidth="1"/>
    <col min="10987" max="10987" width="13.08984375" style="1066" customWidth="1"/>
    <col min="10988" max="10988" width="60.36328125" style="1066" customWidth="1"/>
    <col min="10989" max="10993" width="10.90625" style="1066" bestFit="1" customWidth="1"/>
    <col min="10994" max="10994" width="11.90625" style="1066" bestFit="1" customWidth="1"/>
    <col min="10995" max="10995" width="14.36328125" style="1066" bestFit="1" customWidth="1"/>
    <col min="10996" max="10996" width="17.453125" style="1066" bestFit="1" customWidth="1"/>
    <col min="10997" max="10999" width="17.54296875" style="1066" bestFit="1" customWidth="1"/>
    <col min="11000" max="11006" width="21" style="1066" bestFit="1" customWidth="1"/>
    <col min="11007" max="11014" width="21.08984375" style="1066" bestFit="1" customWidth="1"/>
    <col min="11015" max="11015" width="22.6328125" style="1066" customWidth="1"/>
    <col min="11016" max="11016" width="22" style="1066" customWidth="1"/>
    <col min="11017" max="11017" width="22.6328125" style="1066" customWidth="1"/>
    <col min="11018" max="11023" width="21.08984375" style="1066" bestFit="1" customWidth="1"/>
    <col min="11024" max="11024" width="19.54296875" style="1066" customWidth="1"/>
    <col min="11025" max="11025" width="21.08984375" style="1066" bestFit="1" customWidth="1"/>
    <col min="11026" max="11026" width="22.6328125" style="1066" customWidth="1"/>
    <col min="11027" max="11027" width="22" style="1066" customWidth="1"/>
    <col min="11028" max="11028" width="23.453125" style="1066" bestFit="1" customWidth="1"/>
    <col min="11029" max="11031" width="9.08984375" style="1066"/>
    <col min="11032" max="11032" width="11.36328125" style="1066" customWidth="1"/>
    <col min="11033" max="11033" width="10.36328125" style="1066" customWidth="1"/>
    <col min="11034" max="11241" width="9.08984375" style="1066"/>
    <col min="11242" max="11242" width="2.90625" style="1066" customWidth="1"/>
    <col min="11243" max="11243" width="13.08984375" style="1066" customWidth="1"/>
    <col min="11244" max="11244" width="60.36328125" style="1066" customWidth="1"/>
    <col min="11245" max="11249" width="10.90625" style="1066" bestFit="1" customWidth="1"/>
    <col min="11250" max="11250" width="11.90625" style="1066" bestFit="1" customWidth="1"/>
    <col min="11251" max="11251" width="14.36328125" style="1066" bestFit="1" customWidth="1"/>
    <col min="11252" max="11252" width="17.453125" style="1066" bestFit="1" customWidth="1"/>
    <col min="11253" max="11255" width="17.54296875" style="1066" bestFit="1" customWidth="1"/>
    <col min="11256" max="11262" width="21" style="1066" bestFit="1" customWidth="1"/>
    <col min="11263" max="11270" width="21.08984375" style="1066" bestFit="1" customWidth="1"/>
    <col min="11271" max="11271" width="22.6328125" style="1066" customWidth="1"/>
    <col min="11272" max="11272" width="22" style="1066" customWidth="1"/>
    <col min="11273" max="11273" width="22.6328125" style="1066" customWidth="1"/>
    <col min="11274" max="11279" width="21.08984375" style="1066" bestFit="1" customWidth="1"/>
    <col min="11280" max="11280" width="19.54296875" style="1066" customWidth="1"/>
    <col min="11281" max="11281" width="21.08984375" style="1066" bestFit="1" customWidth="1"/>
    <col min="11282" max="11282" width="22.6328125" style="1066" customWidth="1"/>
    <col min="11283" max="11283" width="22" style="1066" customWidth="1"/>
    <col min="11284" max="11284" width="23.453125" style="1066" bestFit="1" customWidth="1"/>
    <col min="11285" max="11287" width="9.08984375" style="1066"/>
    <col min="11288" max="11288" width="11.36328125" style="1066" customWidth="1"/>
    <col min="11289" max="11289" width="10.36328125" style="1066" customWidth="1"/>
    <col min="11290" max="11497" width="9.08984375" style="1066"/>
    <col min="11498" max="11498" width="2.90625" style="1066" customWidth="1"/>
    <col min="11499" max="11499" width="13.08984375" style="1066" customWidth="1"/>
    <col min="11500" max="11500" width="60.36328125" style="1066" customWidth="1"/>
    <col min="11501" max="11505" width="10.90625" style="1066" bestFit="1" customWidth="1"/>
    <col min="11506" max="11506" width="11.90625" style="1066" bestFit="1" customWidth="1"/>
    <col min="11507" max="11507" width="14.36328125" style="1066" bestFit="1" customWidth="1"/>
    <col min="11508" max="11508" width="17.453125" style="1066" bestFit="1" customWidth="1"/>
    <col min="11509" max="11511" width="17.54296875" style="1066" bestFit="1" customWidth="1"/>
    <col min="11512" max="11518" width="21" style="1066" bestFit="1" customWidth="1"/>
    <col min="11519" max="11526" width="21.08984375" style="1066" bestFit="1" customWidth="1"/>
    <col min="11527" max="11527" width="22.6328125" style="1066" customWidth="1"/>
    <col min="11528" max="11528" width="22" style="1066" customWidth="1"/>
    <col min="11529" max="11529" width="22.6328125" style="1066" customWidth="1"/>
    <col min="11530" max="11535" width="21.08984375" style="1066" bestFit="1" customWidth="1"/>
    <col min="11536" max="11536" width="19.54296875" style="1066" customWidth="1"/>
    <col min="11537" max="11537" width="21.08984375" style="1066" bestFit="1" customWidth="1"/>
    <col min="11538" max="11538" width="22.6328125" style="1066" customWidth="1"/>
    <col min="11539" max="11539" width="22" style="1066" customWidth="1"/>
    <col min="11540" max="11540" width="23.453125" style="1066" bestFit="1" customWidth="1"/>
    <col min="11541" max="11543" width="9.08984375" style="1066"/>
    <col min="11544" max="11544" width="11.36328125" style="1066" customWidth="1"/>
    <col min="11545" max="11545" width="10.36328125" style="1066" customWidth="1"/>
    <col min="11546" max="11753" width="9.08984375" style="1066"/>
    <col min="11754" max="11754" width="2.90625" style="1066" customWidth="1"/>
    <col min="11755" max="11755" width="13.08984375" style="1066" customWidth="1"/>
    <col min="11756" max="11756" width="60.36328125" style="1066" customWidth="1"/>
    <col min="11757" max="11761" width="10.90625" style="1066" bestFit="1" customWidth="1"/>
    <col min="11762" max="11762" width="11.90625" style="1066" bestFit="1" customWidth="1"/>
    <col min="11763" max="11763" width="14.36328125" style="1066" bestFit="1" customWidth="1"/>
    <col min="11764" max="11764" width="17.453125" style="1066" bestFit="1" customWidth="1"/>
    <col min="11765" max="11767" width="17.54296875" style="1066" bestFit="1" customWidth="1"/>
    <col min="11768" max="11774" width="21" style="1066" bestFit="1" customWidth="1"/>
    <col min="11775" max="11782" width="21.08984375" style="1066" bestFit="1" customWidth="1"/>
    <col min="11783" max="11783" width="22.6328125" style="1066" customWidth="1"/>
    <col min="11784" max="11784" width="22" style="1066" customWidth="1"/>
    <col min="11785" max="11785" width="22.6328125" style="1066" customWidth="1"/>
    <col min="11786" max="11791" width="21.08984375" style="1066" bestFit="1" customWidth="1"/>
    <col min="11792" max="11792" width="19.54296875" style="1066" customWidth="1"/>
    <col min="11793" max="11793" width="21.08984375" style="1066" bestFit="1" customWidth="1"/>
    <col min="11794" max="11794" width="22.6328125" style="1066" customWidth="1"/>
    <col min="11795" max="11795" width="22" style="1066" customWidth="1"/>
    <col min="11796" max="11796" width="23.453125" style="1066" bestFit="1" customWidth="1"/>
    <col min="11797" max="11799" width="9.08984375" style="1066"/>
    <col min="11800" max="11800" width="11.36328125" style="1066" customWidth="1"/>
    <col min="11801" max="11801" width="10.36328125" style="1066" customWidth="1"/>
    <col min="11802" max="12009" width="9.08984375" style="1066"/>
    <col min="12010" max="12010" width="2.90625" style="1066" customWidth="1"/>
    <col min="12011" max="12011" width="13.08984375" style="1066" customWidth="1"/>
    <col min="12012" max="12012" width="60.36328125" style="1066" customWidth="1"/>
    <col min="12013" max="12017" width="10.90625" style="1066" bestFit="1" customWidth="1"/>
    <col min="12018" max="12018" width="11.90625" style="1066" bestFit="1" customWidth="1"/>
    <col min="12019" max="12019" width="14.36328125" style="1066" bestFit="1" customWidth="1"/>
    <col min="12020" max="12020" width="17.453125" style="1066" bestFit="1" customWidth="1"/>
    <col min="12021" max="12023" width="17.54296875" style="1066" bestFit="1" customWidth="1"/>
    <col min="12024" max="12030" width="21" style="1066" bestFit="1" customWidth="1"/>
    <col min="12031" max="12038" width="21.08984375" style="1066" bestFit="1" customWidth="1"/>
    <col min="12039" max="12039" width="22.6328125" style="1066" customWidth="1"/>
    <col min="12040" max="12040" width="22" style="1066" customWidth="1"/>
    <col min="12041" max="12041" width="22.6328125" style="1066" customWidth="1"/>
    <col min="12042" max="12047" width="21.08984375" style="1066" bestFit="1" customWidth="1"/>
    <col min="12048" max="12048" width="19.54296875" style="1066" customWidth="1"/>
    <col min="12049" max="12049" width="21.08984375" style="1066" bestFit="1" customWidth="1"/>
    <col min="12050" max="12050" width="22.6328125" style="1066" customWidth="1"/>
    <col min="12051" max="12051" width="22" style="1066" customWidth="1"/>
    <col min="12052" max="12052" width="23.453125" style="1066" bestFit="1" customWidth="1"/>
    <col min="12053" max="12055" width="9.08984375" style="1066"/>
    <col min="12056" max="12056" width="11.36328125" style="1066" customWidth="1"/>
    <col min="12057" max="12057" width="10.36328125" style="1066" customWidth="1"/>
    <col min="12058" max="12265" width="9.08984375" style="1066"/>
    <col min="12266" max="12266" width="2.90625" style="1066" customWidth="1"/>
    <col min="12267" max="12267" width="13.08984375" style="1066" customWidth="1"/>
    <col min="12268" max="12268" width="60.36328125" style="1066" customWidth="1"/>
    <col min="12269" max="12273" width="10.90625" style="1066" bestFit="1" customWidth="1"/>
    <col min="12274" max="12274" width="11.90625" style="1066" bestFit="1" customWidth="1"/>
    <col min="12275" max="12275" width="14.36328125" style="1066" bestFit="1" customWidth="1"/>
    <col min="12276" max="12276" width="17.453125" style="1066" bestFit="1" customWidth="1"/>
    <col min="12277" max="12279" width="17.54296875" style="1066" bestFit="1" customWidth="1"/>
    <col min="12280" max="12286" width="21" style="1066" bestFit="1" customWidth="1"/>
    <col min="12287" max="12294" width="21.08984375" style="1066" bestFit="1" customWidth="1"/>
    <col min="12295" max="12295" width="22.6328125" style="1066" customWidth="1"/>
    <col min="12296" max="12296" width="22" style="1066" customWidth="1"/>
    <col min="12297" max="12297" width="22.6328125" style="1066" customWidth="1"/>
    <col min="12298" max="12303" width="21.08984375" style="1066" bestFit="1" customWidth="1"/>
    <col min="12304" max="12304" width="19.54296875" style="1066" customWidth="1"/>
    <col min="12305" max="12305" width="21.08984375" style="1066" bestFit="1" customWidth="1"/>
    <col min="12306" max="12306" width="22.6328125" style="1066" customWidth="1"/>
    <col min="12307" max="12307" width="22" style="1066" customWidth="1"/>
    <col min="12308" max="12308" width="23.453125" style="1066" bestFit="1" customWidth="1"/>
    <col min="12309" max="12311" width="9.08984375" style="1066"/>
    <col min="12312" max="12312" width="11.36328125" style="1066" customWidth="1"/>
    <col min="12313" max="12313" width="10.36328125" style="1066" customWidth="1"/>
    <col min="12314" max="12521" width="9.08984375" style="1066"/>
    <col min="12522" max="12522" width="2.90625" style="1066" customWidth="1"/>
    <col min="12523" max="12523" width="13.08984375" style="1066" customWidth="1"/>
    <col min="12524" max="12524" width="60.36328125" style="1066" customWidth="1"/>
    <col min="12525" max="12529" width="10.90625" style="1066" bestFit="1" customWidth="1"/>
    <col min="12530" max="12530" width="11.90625" style="1066" bestFit="1" customWidth="1"/>
    <col min="12531" max="12531" width="14.36328125" style="1066" bestFit="1" customWidth="1"/>
    <col min="12532" max="12532" width="17.453125" style="1066" bestFit="1" customWidth="1"/>
    <col min="12533" max="12535" width="17.54296875" style="1066" bestFit="1" customWidth="1"/>
    <col min="12536" max="12542" width="21" style="1066" bestFit="1" customWidth="1"/>
    <col min="12543" max="12550" width="21.08984375" style="1066" bestFit="1" customWidth="1"/>
    <col min="12551" max="12551" width="22.6328125" style="1066" customWidth="1"/>
    <col min="12552" max="12552" width="22" style="1066" customWidth="1"/>
    <col min="12553" max="12553" width="22.6328125" style="1066" customWidth="1"/>
    <col min="12554" max="12559" width="21.08984375" style="1066" bestFit="1" customWidth="1"/>
    <col min="12560" max="12560" width="19.54296875" style="1066" customWidth="1"/>
    <col min="12561" max="12561" width="21.08984375" style="1066" bestFit="1" customWidth="1"/>
    <col min="12562" max="12562" width="22.6328125" style="1066" customWidth="1"/>
    <col min="12563" max="12563" width="22" style="1066" customWidth="1"/>
    <col min="12564" max="12564" width="23.453125" style="1066" bestFit="1" customWidth="1"/>
    <col min="12565" max="12567" width="9.08984375" style="1066"/>
    <col min="12568" max="12568" width="11.36328125" style="1066" customWidth="1"/>
    <col min="12569" max="12569" width="10.36328125" style="1066" customWidth="1"/>
    <col min="12570" max="12777" width="9.08984375" style="1066"/>
    <col min="12778" max="12778" width="2.90625" style="1066" customWidth="1"/>
    <col min="12779" max="12779" width="13.08984375" style="1066" customWidth="1"/>
    <col min="12780" max="12780" width="60.36328125" style="1066" customWidth="1"/>
    <col min="12781" max="12785" width="10.90625" style="1066" bestFit="1" customWidth="1"/>
    <col min="12786" max="12786" width="11.90625" style="1066" bestFit="1" customWidth="1"/>
    <col min="12787" max="12787" width="14.36328125" style="1066" bestFit="1" customWidth="1"/>
    <col min="12788" max="12788" width="17.453125" style="1066" bestFit="1" customWidth="1"/>
    <col min="12789" max="12791" width="17.54296875" style="1066" bestFit="1" customWidth="1"/>
    <col min="12792" max="12798" width="21" style="1066" bestFit="1" customWidth="1"/>
    <col min="12799" max="12806" width="21.08984375" style="1066" bestFit="1" customWidth="1"/>
    <col min="12807" max="12807" width="22.6328125" style="1066" customWidth="1"/>
    <col min="12808" max="12808" width="22" style="1066" customWidth="1"/>
    <col min="12809" max="12809" width="22.6328125" style="1066" customWidth="1"/>
    <col min="12810" max="12815" width="21.08984375" style="1066" bestFit="1" customWidth="1"/>
    <col min="12816" max="12816" width="19.54296875" style="1066" customWidth="1"/>
    <col min="12817" max="12817" width="21.08984375" style="1066" bestFit="1" customWidth="1"/>
    <col min="12818" max="12818" width="22.6328125" style="1066" customWidth="1"/>
    <col min="12819" max="12819" width="22" style="1066" customWidth="1"/>
    <col min="12820" max="12820" width="23.453125" style="1066" bestFit="1" customWidth="1"/>
    <col min="12821" max="12823" width="9.08984375" style="1066"/>
    <col min="12824" max="12824" width="11.36328125" style="1066" customWidth="1"/>
    <col min="12825" max="12825" width="10.36328125" style="1066" customWidth="1"/>
    <col min="12826" max="13033" width="9.08984375" style="1066"/>
    <col min="13034" max="13034" width="2.90625" style="1066" customWidth="1"/>
    <col min="13035" max="13035" width="13.08984375" style="1066" customWidth="1"/>
    <col min="13036" max="13036" width="60.36328125" style="1066" customWidth="1"/>
    <col min="13037" max="13041" width="10.90625" style="1066" bestFit="1" customWidth="1"/>
    <col min="13042" max="13042" width="11.90625" style="1066" bestFit="1" customWidth="1"/>
    <col min="13043" max="13043" width="14.36328125" style="1066" bestFit="1" customWidth="1"/>
    <col min="13044" max="13044" width="17.453125" style="1066" bestFit="1" customWidth="1"/>
    <col min="13045" max="13047" width="17.54296875" style="1066" bestFit="1" customWidth="1"/>
    <col min="13048" max="13054" width="21" style="1066" bestFit="1" customWidth="1"/>
    <col min="13055" max="13062" width="21.08984375" style="1066" bestFit="1" customWidth="1"/>
    <col min="13063" max="13063" width="22.6328125" style="1066" customWidth="1"/>
    <col min="13064" max="13064" width="22" style="1066" customWidth="1"/>
    <col min="13065" max="13065" width="22.6328125" style="1066" customWidth="1"/>
    <col min="13066" max="13071" width="21.08984375" style="1066" bestFit="1" customWidth="1"/>
    <col min="13072" max="13072" width="19.54296875" style="1066" customWidth="1"/>
    <col min="13073" max="13073" width="21.08984375" style="1066" bestFit="1" customWidth="1"/>
    <col min="13074" max="13074" width="22.6328125" style="1066" customWidth="1"/>
    <col min="13075" max="13075" width="22" style="1066" customWidth="1"/>
    <col min="13076" max="13076" width="23.453125" style="1066" bestFit="1" customWidth="1"/>
    <col min="13077" max="13079" width="9.08984375" style="1066"/>
    <col min="13080" max="13080" width="11.36328125" style="1066" customWidth="1"/>
    <col min="13081" max="13081" width="10.36328125" style="1066" customWidth="1"/>
    <col min="13082" max="13289" width="9.08984375" style="1066"/>
    <col min="13290" max="13290" width="2.90625" style="1066" customWidth="1"/>
    <col min="13291" max="13291" width="13.08984375" style="1066" customWidth="1"/>
    <col min="13292" max="13292" width="60.36328125" style="1066" customWidth="1"/>
    <col min="13293" max="13297" width="10.90625" style="1066" bestFit="1" customWidth="1"/>
    <col min="13298" max="13298" width="11.90625" style="1066" bestFit="1" customWidth="1"/>
    <col min="13299" max="13299" width="14.36328125" style="1066" bestFit="1" customWidth="1"/>
    <col min="13300" max="13300" width="17.453125" style="1066" bestFit="1" customWidth="1"/>
    <col min="13301" max="13303" width="17.54296875" style="1066" bestFit="1" customWidth="1"/>
    <col min="13304" max="13310" width="21" style="1066" bestFit="1" customWidth="1"/>
    <col min="13311" max="13318" width="21.08984375" style="1066" bestFit="1" customWidth="1"/>
    <col min="13319" max="13319" width="22.6328125" style="1066" customWidth="1"/>
    <col min="13320" max="13320" width="22" style="1066" customWidth="1"/>
    <col min="13321" max="13321" width="22.6328125" style="1066" customWidth="1"/>
    <col min="13322" max="13327" width="21.08984375" style="1066" bestFit="1" customWidth="1"/>
    <col min="13328" max="13328" width="19.54296875" style="1066" customWidth="1"/>
    <col min="13329" max="13329" width="21.08984375" style="1066" bestFit="1" customWidth="1"/>
    <col min="13330" max="13330" width="22.6328125" style="1066" customWidth="1"/>
    <col min="13331" max="13331" width="22" style="1066" customWidth="1"/>
    <col min="13332" max="13332" width="23.453125" style="1066" bestFit="1" customWidth="1"/>
    <col min="13333" max="13335" width="9.08984375" style="1066"/>
    <col min="13336" max="13336" width="11.36328125" style="1066" customWidth="1"/>
    <col min="13337" max="13337" width="10.36328125" style="1066" customWidth="1"/>
    <col min="13338" max="13545" width="9.08984375" style="1066"/>
    <col min="13546" max="13546" width="2.90625" style="1066" customWidth="1"/>
    <col min="13547" max="13547" width="13.08984375" style="1066" customWidth="1"/>
    <col min="13548" max="13548" width="60.36328125" style="1066" customWidth="1"/>
    <col min="13549" max="13553" width="10.90625" style="1066" bestFit="1" customWidth="1"/>
    <col min="13554" max="13554" width="11.90625" style="1066" bestFit="1" customWidth="1"/>
    <col min="13555" max="13555" width="14.36328125" style="1066" bestFit="1" customWidth="1"/>
    <col min="13556" max="13556" width="17.453125" style="1066" bestFit="1" customWidth="1"/>
    <col min="13557" max="13559" width="17.54296875" style="1066" bestFit="1" customWidth="1"/>
    <col min="13560" max="13566" width="21" style="1066" bestFit="1" customWidth="1"/>
    <col min="13567" max="13574" width="21.08984375" style="1066" bestFit="1" customWidth="1"/>
    <col min="13575" max="13575" width="22.6328125" style="1066" customWidth="1"/>
    <col min="13576" max="13576" width="22" style="1066" customWidth="1"/>
    <col min="13577" max="13577" width="22.6328125" style="1066" customWidth="1"/>
    <col min="13578" max="13583" width="21.08984375" style="1066" bestFit="1" customWidth="1"/>
    <col min="13584" max="13584" width="19.54296875" style="1066" customWidth="1"/>
    <col min="13585" max="13585" width="21.08984375" style="1066" bestFit="1" customWidth="1"/>
    <col min="13586" max="13586" width="22.6328125" style="1066" customWidth="1"/>
    <col min="13587" max="13587" width="22" style="1066" customWidth="1"/>
    <col min="13588" max="13588" width="23.453125" style="1066" bestFit="1" customWidth="1"/>
    <col min="13589" max="13591" width="9.08984375" style="1066"/>
    <col min="13592" max="13592" width="11.36328125" style="1066" customWidth="1"/>
    <col min="13593" max="13593" width="10.36328125" style="1066" customWidth="1"/>
    <col min="13594" max="13801" width="9.08984375" style="1066"/>
    <col min="13802" max="13802" width="2.90625" style="1066" customWidth="1"/>
    <col min="13803" max="13803" width="13.08984375" style="1066" customWidth="1"/>
    <col min="13804" max="13804" width="60.36328125" style="1066" customWidth="1"/>
    <col min="13805" max="13809" width="10.90625" style="1066" bestFit="1" customWidth="1"/>
    <col min="13810" max="13810" width="11.90625" style="1066" bestFit="1" customWidth="1"/>
    <col min="13811" max="13811" width="14.36328125" style="1066" bestFit="1" customWidth="1"/>
    <col min="13812" max="13812" width="17.453125" style="1066" bestFit="1" customWidth="1"/>
    <col min="13813" max="13815" width="17.54296875" style="1066" bestFit="1" customWidth="1"/>
    <col min="13816" max="13822" width="21" style="1066" bestFit="1" customWidth="1"/>
    <col min="13823" max="13830" width="21.08984375" style="1066" bestFit="1" customWidth="1"/>
    <col min="13831" max="13831" width="22.6328125" style="1066" customWidth="1"/>
    <col min="13832" max="13832" width="22" style="1066" customWidth="1"/>
    <col min="13833" max="13833" width="22.6328125" style="1066" customWidth="1"/>
    <col min="13834" max="13839" width="21.08984375" style="1066" bestFit="1" customWidth="1"/>
    <col min="13840" max="13840" width="19.54296875" style="1066" customWidth="1"/>
    <col min="13841" max="13841" width="21.08984375" style="1066" bestFit="1" customWidth="1"/>
    <col min="13842" max="13842" width="22.6328125" style="1066" customWidth="1"/>
    <col min="13843" max="13843" width="22" style="1066" customWidth="1"/>
    <col min="13844" max="13844" width="23.453125" style="1066" bestFit="1" customWidth="1"/>
    <col min="13845" max="13847" width="9.08984375" style="1066"/>
    <col min="13848" max="13848" width="11.36328125" style="1066" customWidth="1"/>
    <col min="13849" max="13849" width="10.36328125" style="1066" customWidth="1"/>
    <col min="13850" max="14057" width="9.08984375" style="1066"/>
    <col min="14058" max="14058" width="2.90625" style="1066" customWidth="1"/>
    <col min="14059" max="14059" width="13.08984375" style="1066" customWidth="1"/>
    <col min="14060" max="14060" width="60.36328125" style="1066" customWidth="1"/>
    <col min="14061" max="14065" width="10.90625" style="1066" bestFit="1" customWidth="1"/>
    <col min="14066" max="14066" width="11.90625" style="1066" bestFit="1" customWidth="1"/>
    <col min="14067" max="14067" width="14.36328125" style="1066" bestFit="1" customWidth="1"/>
    <col min="14068" max="14068" width="17.453125" style="1066" bestFit="1" customWidth="1"/>
    <col min="14069" max="14071" width="17.54296875" style="1066" bestFit="1" customWidth="1"/>
    <col min="14072" max="14078" width="21" style="1066" bestFit="1" customWidth="1"/>
    <col min="14079" max="14086" width="21.08984375" style="1066" bestFit="1" customWidth="1"/>
    <col min="14087" max="14087" width="22.6328125" style="1066" customWidth="1"/>
    <col min="14088" max="14088" width="22" style="1066" customWidth="1"/>
    <col min="14089" max="14089" width="22.6328125" style="1066" customWidth="1"/>
    <col min="14090" max="14095" width="21.08984375" style="1066" bestFit="1" customWidth="1"/>
    <col min="14096" max="14096" width="19.54296875" style="1066" customWidth="1"/>
    <col min="14097" max="14097" width="21.08984375" style="1066" bestFit="1" customWidth="1"/>
    <col min="14098" max="14098" width="22.6328125" style="1066" customWidth="1"/>
    <col min="14099" max="14099" width="22" style="1066" customWidth="1"/>
    <col min="14100" max="14100" width="23.453125" style="1066" bestFit="1" customWidth="1"/>
    <col min="14101" max="14103" width="9.08984375" style="1066"/>
    <col min="14104" max="14104" width="11.36328125" style="1066" customWidth="1"/>
    <col min="14105" max="14105" width="10.36328125" style="1066" customWidth="1"/>
    <col min="14106" max="14313" width="9.08984375" style="1066"/>
    <col min="14314" max="14314" width="2.90625" style="1066" customWidth="1"/>
    <col min="14315" max="14315" width="13.08984375" style="1066" customWidth="1"/>
    <col min="14316" max="14316" width="60.36328125" style="1066" customWidth="1"/>
    <col min="14317" max="14321" width="10.90625" style="1066" bestFit="1" customWidth="1"/>
    <col min="14322" max="14322" width="11.90625" style="1066" bestFit="1" customWidth="1"/>
    <col min="14323" max="14323" width="14.36328125" style="1066" bestFit="1" customWidth="1"/>
    <col min="14324" max="14324" width="17.453125" style="1066" bestFit="1" customWidth="1"/>
    <col min="14325" max="14327" width="17.54296875" style="1066" bestFit="1" customWidth="1"/>
    <col min="14328" max="14334" width="21" style="1066" bestFit="1" customWidth="1"/>
    <col min="14335" max="14342" width="21.08984375" style="1066" bestFit="1" customWidth="1"/>
    <col min="14343" max="14343" width="22.6328125" style="1066" customWidth="1"/>
    <col min="14344" max="14344" width="22" style="1066" customWidth="1"/>
    <col min="14345" max="14345" width="22.6328125" style="1066" customWidth="1"/>
    <col min="14346" max="14351" width="21.08984375" style="1066" bestFit="1" customWidth="1"/>
    <col min="14352" max="14352" width="19.54296875" style="1066" customWidth="1"/>
    <col min="14353" max="14353" width="21.08984375" style="1066" bestFit="1" customWidth="1"/>
    <col min="14354" max="14354" width="22.6328125" style="1066" customWidth="1"/>
    <col min="14355" max="14355" width="22" style="1066" customWidth="1"/>
    <col min="14356" max="14356" width="23.453125" style="1066" bestFit="1" customWidth="1"/>
    <col min="14357" max="14359" width="9.08984375" style="1066"/>
    <col min="14360" max="14360" width="11.36328125" style="1066" customWidth="1"/>
    <col min="14361" max="14361" width="10.36328125" style="1066" customWidth="1"/>
    <col min="14362" max="14569" width="9.08984375" style="1066"/>
    <col min="14570" max="14570" width="2.90625" style="1066" customWidth="1"/>
    <col min="14571" max="14571" width="13.08984375" style="1066" customWidth="1"/>
    <col min="14572" max="14572" width="60.36328125" style="1066" customWidth="1"/>
    <col min="14573" max="14577" width="10.90625" style="1066" bestFit="1" customWidth="1"/>
    <col min="14578" max="14578" width="11.90625" style="1066" bestFit="1" customWidth="1"/>
    <col min="14579" max="14579" width="14.36328125" style="1066" bestFit="1" customWidth="1"/>
    <col min="14580" max="14580" width="17.453125" style="1066" bestFit="1" customWidth="1"/>
    <col min="14581" max="14583" width="17.54296875" style="1066" bestFit="1" customWidth="1"/>
    <col min="14584" max="14590" width="21" style="1066" bestFit="1" customWidth="1"/>
    <col min="14591" max="14598" width="21.08984375" style="1066" bestFit="1" customWidth="1"/>
    <col min="14599" max="14599" width="22.6328125" style="1066" customWidth="1"/>
    <col min="14600" max="14600" width="22" style="1066" customWidth="1"/>
    <col min="14601" max="14601" width="22.6328125" style="1066" customWidth="1"/>
    <col min="14602" max="14607" width="21.08984375" style="1066" bestFit="1" customWidth="1"/>
    <col min="14608" max="14608" width="19.54296875" style="1066" customWidth="1"/>
    <col min="14609" max="14609" width="21.08984375" style="1066" bestFit="1" customWidth="1"/>
    <col min="14610" max="14610" width="22.6328125" style="1066" customWidth="1"/>
    <col min="14611" max="14611" width="22" style="1066" customWidth="1"/>
    <col min="14612" max="14612" width="23.453125" style="1066" bestFit="1" customWidth="1"/>
    <col min="14613" max="14615" width="9.08984375" style="1066"/>
    <col min="14616" max="14616" width="11.36328125" style="1066" customWidth="1"/>
    <col min="14617" max="14617" width="10.36328125" style="1066" customWidth="1"/>
    <col min="14618" max="14825" width="9.08984375" style="1066"/>
    <col min="14826" max="14826" width="2.90625" style="1066" customWidth="1"/>
    <col min="14827" max="14827" width="13.08984375" style="1066" customWidth="1"/>
    <col min="14828" max="14828" width="60.36328125" style="1066" customWidth="1"/>
    <col min="14829" max="14833" width="10.90625" style="1066" bestFit="1" customWidth="1"/>
    <col min="14834" max="14834" width="11.90625" style="1066" bestFit="1" customWidth="1"/>
    <col min="14835" max="14835" width="14.36328125" style="1066" bestFit="1" customWidth="1"/>
    <col min="14836" max="14836" width="17.453125" style="1066" bestFit="1" customWidth="1"/>
    <col min="14837" max="14839" width="17.54296875" style="1066" bestFit="1" customWidth="1"/>
    <col min="14840" max="14846" width="21" style="1066" bestFit="1" customWidth="1"/>
    <col min="14847" max="14854" width="21.08984375" style="1066" bestFit="1" customWidth="1"/>
    <col min="14855" max="14855" width="22.6328125" style="1066" customWidth="1"/>
    <col min="14856" max="14856" width="22" style="1066" customWidth="1"/>
    <col min="14857" max="14857" width="22.6328125" style="1066" customWidth="1"/>
    <col min="14858" max="14863" width="21.08984375" style="1066" bestFit="1" customWidth="1"/>
    <col min="14864" max="14864" width="19.54296875" style="1066" customWidth="1"/>
    <col min="14865" max="14865" width="21.08984375" style="1066" bestFit="1" customWidth="1"/>
    <col min="14866" max="14866" width="22.6328125" style="1066" customWidth="1"/>
    <col min="14867" max="14867" width="22" style="1066" customWidth="1"/>
    <col min="14868" max="14868" width="23.453125" style="1066" bestFit="1" customWidth="1"/>
    <col min="14869" max="14871" width="9.08984375" style="1066"/>
    <col min="14872" max="14872" width="11.36328125" style="1066" customWidth="1"/>
    <col min="14873" max="14873" width="10.36328125" style="1066" customWidth="1"/>
    <col min="14874" max="15081" width="9.08984375" style="1066"/>
    <col min="15082" max="15082" width="2.90625" style="1066" customWidth="1"/>
    <col min="15083" max="15083" width="13.08984375" style="1066" customWidth="1"/>
    <col min="15084" max="15084" width="60.36328125" style="1066" customWidth="1"/>
    <col min="15085" max="15089" width="10.90625" style="1066" bestFit="1" customWidth="1"/>
    <col min="15090" max="15090" width="11.90625" style="1066" bestFit="1" customWidth="1"/>
    <col min="15091" max="15091" width="14.36328125" style="1066" bestFit="1" customWidth="1"/>
    <col min="15092" max="15092" width="17.453125" style="1066" bestFit="1" customWidth="1"/>
    <col min="15093" max="15095" width="17.54296875" style="1066" bestFit="1" customWidth="1"/>
    <col min="15096" max="15102" width="21" style="1066" bestFit="1" customWidth="1"/>
    <col min="15103" max="15110" width="21.08984375" style="1066" bestFit="1" customWidth="1"/>
    <col min="15111" max="15111" width="22.6328125" style="1066" customWidth="1"/>
    <col min="15112" max="15112" width="22" style="1066" customWidth="1"/>
    <col min="15113" max="15113" width="22.6328125" style="1066" customWidth="1"/>
    <col min="15114" max="15119" width="21.08984375" style="1066" bestFit="1" customWidth="1"/>
    <col min="15120" max="15120" width="19.54296875" style="1066" customWidth="1"/>
    <col min="15121" max="15121" width="21.08984375" style="1066" bestFit="1" customWidth="1"/>
    <col min="15122" max="15122" width="22.6328125" style="1066" customWidth="1"/>
    <col min="15123" max="15123" width="22" style="1066" customWidth="1"/>
    <col min="15124" max="15124" width="23.453125" style="1066" bestFit="1" customWidth="1"/>
    <col min="15125" max="15127" width="9.08984375" style="1066"/>
    <col min="15128" max="15128" width="11.36328125" style="1066" customWidth="1"/>
    <col min="15129" max="15129" width="10.36328125" style="1066" customWidth="1"/>
    <col min="15130" max="15337" width="9.08984375" style="1066"/>
    <col min="15338" max="15338" width="2.90625" style="1066" customWidth="1"/>
    <col min="15339" max="15339" width="13.08984375" style="1066" customWidth="1"/>
    <col min="15340" max="15340" width="60.36328125" style="1066" customWidth="1"/>
    <col min="15341" max="15345" width="10.90625" style="1066" bestFit="1" customWidth="1"/>
    <col min="15346" max="15346" width="11.90625" style="1066" bestFit="1" customWidth="1"/>
    <col min="15347" max="15347" width="14.36328125" style="1066" bestFit="1" customWidth="1"/>
    <col min="15348" max="15348" width="17.453125" style="1066" bestFit="1" customWidth="1"/>
    <col min="15349" max="15351" width="17.54296875" style="1066" bestFit="1" customWidth="1"/>
    <col min="15352" max="15358" width="21" style="1066" bestFit="1" customWidth="1"/>
    <col min="15359" max="15366" width="21.08984375" style="1066" bestFit="1" customWidth="1"/>
    <col min="15367" max="15367" width="22.6328125" style="1066" customWidth="1"/>
    <col min="15368" max="15368" width="22" style="1066" customWidth="1"/>
    <col min="15369" max="15369" width="22.6328125" style="1066" customWidth="1"/>
    <col min="15370" max="15375" width="21.08984375" style="1066" bestFit="1" customWidth="1"/>
    <col min="15376" max="15376" width="19.54296875" style="1066" customWidth="1"/>
    <col min="15377" max="15377" width="21.08984375" style="1066" bestFit="1" customWidth="1"/>
    <col min="15378" max="15378" width="22.6328125" style="1066" customWidth="1"/>
    <col min="15379" max="15379" width="22" style="1066" customWidth="1"/>
    <col min="15380" max="15380" width="23.453125" style="1066" bestFit="1" customWidth="1"/>
    <col min="15381" max="15383" width="9.08984375" style="1066"/>
    <col min="15384" max="15384" width="11.36328125" style="1066" customWidth="1"/>
    <col min="15385" max="15385" width="10.36328125" style="1066" customWidth="1"/>
    <col min="15386" max="15593" width="9.08984375" style="1066"/>
    <col min="15594" max="15594" width="2.90625" style="1066" customWidth="1"/>
    <col min="15595" max="15595" width="13.08984375" style="1066" customWidth="1"/>
    <col min="15596" max="15596" width="60.36328125" style="1066" customWidth="1"/>
    <col min="15597" max="15601" width="10.90625" style="1066" bestFit="1" customWidth="1"/>
    <col min="15602" max="15602" width="11.90625" style="1066" bestFit="1" customWidth="1"/>
    <col min="15603" max="15603" width="14.36328125" style="1066" bestFit="1" customWidth="1"/>
    <col min="15604" max="15604" width="17.453125" style="1066" bestFit="1" customWidth="1"/>
    <col min="15605" max="15607" width="17.54296875" style="1066" bestFit="1" customWidth="1"/>
    <col min="15608" max="15614" width="21" style="1066" bestFit="1" customWidth="1"/>
    <col min="15615" max="15622" width="21.08984375" style="1066" bestFit="1" customWidth="1"/>
    <col min="15623" max="15623" width="22.6328125" style="1066" customWidth="1"/>
    <col min="15624" max="15624" width="22" style="1066" customWidth="1"/>
    <col min="15625" max="15625" width="22.6328125" style="1066" customWidth="1"/>
    <col min="15626" max="15631" width="21.08984375" style="1066" bestFit="1" customWidth="1"/>
    <col min="15632" max="15632" width="19.54296875" style="1066" customWidth="1"/>
    <col min="15633" max="15633" width="21.08984375" style="1066" bestFit="1" customWidth="1"/>
    <col min="15634" max="15634" width="22.6328125" style="1066" customWidth="1"/>
    <col min="15635" max="15635" width="22" style="1066" customWidth="1"/>
    <col min="15636" max="15636" width="23.453125" style="1066" bestFit="1" customWidth="1"/>
    <col min="15637" max="15639" width="9.08984375" style="1066"/>
    <col min="15640" max="15640" width="11.36328125" style="1066" customWidth="1"/>
    <col min="15641" max="15641" width="10.36328125" style="1066" customWidth="1"/>
    <col min="15642" max="15849" width="9.08984375" style="1066"/>
    <col min="15850" max="15850" width="2.90625" style="1066" customWidth="1"/>
    <col min="15851" max="15851" width="13.08984375" style="1066" customWidth="1"/>
    <col min="15852" max="15852" width="60.36328125" style="1066" customWidth="1"/>
    <col min="15853" max="15857" width="10.90625" style="1066" bestFit="1" customWidth="1"/>
    <col min="15858" max="15858" width="11.90625" style="1066" bestFit="1" customWidth="1"/>
    <col min="15859" max="15859" width="14.36328125" style="1066" bestFit="1" customWidth="1"/>
    <col min="15860" max="15860" width="17.453125" style="1066" bestFit="1" customWidth="1"/>
    <col min="15861" max="15863" width="17.54296875" style="1066" bestFit="1" customWidth="1"/>
    <col min="15864" max="15870" width="21" style="1066" bestFit="1" customWidth="1"/>
    <col min="15871" max="15878" width="21.08984375" style="1066" bestFit="1" customWidth="1"/>
    <col min="15879" max="15879" width="22.6328125" style="1066" customWidth="1"/>
    <col min="15880" max="15880" width="22" style="1066" customWidth="1"/>
    <col min="15881" max="15881" width="22.6328125" style="1066" customWidth="1"/>
    <col min="15882" max="15887" width="21.08984375" style="1066" bestFit="1" customWidth="1"/>
    <col min="15888" max="15888" width="19.54296875" style="1066" customWidth="1"/>
    <col min="15889" max="15889" width="21.08984375" style="1066" bestFit="1" customWidth="1"/>
    <col min="15890" max="15890" width="22.6328125" style="1066" customWidth="1"/>
    <col min="15891" max="15891" width="22" style="1066" customWidth="1"/>
    <col min="15892" max="15892" width="23.453125" style="1066" bestFit="1" customWidth="1"/>
    <col min="15893" max="15895" width="9.08984375" style="1066"/>
    <col min="15896" max="15896" width="11.36328125" style="1066" customWidth="1"/>
    <col min="15897" max="15897" width="10.36328125" style="1066" customWidth="1"/>
    <col min="15898" max="16105" width="9.08984375" style="1066"/>
    <col min="16106" max="16106" width="2.90625" style="1066" customWidth="1"/>
    <col min="16107" max="16107" width="13.08984375" style="1066" customWidth="1"/>
    <col min="16108" max="16108" width="60.36328125" style="1066" customWidth="1"/>
    <col min="16109" max="16113" width="10.90625" style="1066" bestFit="1" customWidth="1"/>
    <col min="16114" max="16114" width="11.90625" style="1066" bestFit="1" customWidth="1"/>
    <col min="16115" max="16115" width="14.36328125" style="1066" bestFit="1" customWidth="1"/>
    <col min="16116" max="16116" width="17.453125" style="1066" bestFit="1" customWidth="1"/>
    <col min="16117" max="16119" width="17.54296875" style="1066" bestFit="1" customWidth="1"/>
    <col min="16120" max="16126" width="21" style="1066" bestFit="1" customWidth="1"/>
    <col min="16127" max="16134" width="21.08984375" style="1066" bestFit="1" customWidth="1"/>
    <col min="16135" max="16135" width="22.6328125" style="1066" customWidth="1"/>
    <col min="16136" max="16136" width="22" style="1066" customWidth="1"/>
    <col min="16137" max="16137" width="22.6328125" style="1066" customWidth="1"/>
    <col min="16138" max="16143" width="21.08984375" style="1066" bestFit="1" customWidth="1"/>
    <col min="16144" max="16144" width="19.54296875" style="1066" customWidth="1"/>
    <col min="16145" max="16145" width="21.08984375" style="1066" bestFit="1" customWidth="1"/>
    <col min="16146" max="16146" width="22.6328125" style="1066" customWidth="1"/>
    <col min="16147" max="16147" width="22" style="1066" customWidth="1"/>
    <col min="16148" max="16148" width="23.453125" style="1066" bestFit="1" customWidth="1"/>
    <col min="16149" max="16151" width="9.08984375" style="1066"/>
    <col min="16152" max="16152" width="11.36328125" style="1066" customWidth="1"/>
    <col min="16153" max="16153" width="10.36328125" style="1066" customWidth="1"/>
    <col min="16154" max="16384" width="9.08984375" style="1066"/>
  </cols>
  <sheetData>
    <row r="1" spans="2:26">
      <c r="B1" s="1065"/>
    </row>
    <row r="2" spans="2:26">
      <c r="B2" s="1067"/>
      <c r="C2" s="1067"/>
      <c r="D2" s="1067"/>
      <c r="E2" s="1068"/>
      <c r="F2" s="1068"/>
      <c r="G2" s="1068"/>
      <c r="H2" s="1068"/>
      <c r="I2" s="1068"/>
      <c r="J2" s="1068"/>
      <c r="K2" s="1068"/>
      <c r="L2" s="891" t="str">
        <f>Index!B2</f>
        <v xml:space="preserve">      Maharashtra State Power Generation Company Ltd.</v>
      </c>
      <c r="M2" s="1068"/>
      <c r="N2" s="1068"/>
      <c r="O2" s="1068"/>
      <c r="P2" s="1067"/>
      <c r="Q2" s="1068"/>
      <c r="R2" s="1068"/>
      <c r="S2" s="1068"/>
      <c r="T2" s="1068"/>
      <c r="U2" s="1068"/>
      <c r="V2" s="1068"/>
      <c r="W2" s="1068"/>
      <c r="X2" s="1068"/>
      <c r="Y2" s="1068"/>
      <c r="Z2" s="1068"/>
    </row>
    <row r="3" spans="2:26">
      <c r="B3" s="1069"/>
      <c r="C3" s="1070"/>
      <c r="E3" s="1069"/>
      <c r="F3" s="1069"/>
      <c r="G3" s="1069"/>
      <c r="H3" s="1069"/>
      <c r="I3" s="1069"/>
      <c r="J3" s="1069"/>
      <c r="K3" s="1069"/>
      <c r="L3" s="1071" t="s">
        <v>1049</v>
      </c>
      <c r="M3" s="1069"/>
      <c r="N3" s="1069"/>
      <c r="O3" s="1069"/>
      <c r="P3" s="1069"/>
      <c r="Q3" s="1069"/>
      <c r="R3" s="1069"/>
      <c r="S3" s="1069"/>
      <c r="T3" s="1069"/>
      <c r="U3" s="1069"/>
      <c r="V3" s="1069"/>
      <c r="W3" s="1069"/>
      <c r="X3" s="1070"/>
      <c r="Y3" s="1070"/>
      <c r="Z3" s="1070"/>
    </row>
    <row r="4" spans="2:26">
      <c r="B4" s="1067"/>
      <c r="C4" s="1067"/>
      <c r="D4" s="1067"/>
      <c r="L4" s="1072" t="s">
        <v>1367</v>
      </c>
      <c r="P4" s="1067"/>
    </row>
    <row r="5" spans="2:26">
      <c r="B5" s="1073"/>
      <c r="C5" s="1073"/>
      <c r="D5" s="1073"/>
    </row>
    <row r="6" spans="2:26">
      <c r="B6" s="1996" t="s">
        <v>1368</v>
      </c>
      <c r="C6" s="1074" t="s">
        <v>1369</v>
      </c>
      <c r="D6" s="1999" t="s">
        <v>1370</v>
      </c>
      <c r="E6" s="1999"/>
      <c r="F6" s="1999"/>
      <c r="G6" s="1999"/>
      <c r="H6" s="1999" t="s">
        <v>1370</v>
      </c>
      <c r="I6" s="1999"/>
      <c r="J6" s="1999"/>
      <c r="K6" s="1999"/>
      <c r="L6" s="1999" t="s">
        <v>420</v>
      </c>
      <c r="M6" s="1999"/>
      <c r="N6" s="1999"/>
      <c r="O6" s="1999"/>
      <c r="P6" s="1999" t="s">
        <v>1371</v>
      </c>
      <c r="Q6" s="1999"/>
      <c r="R6" s="1999"/>
      <c r="S6" s="1999"/>
      <c r="T6" s="1075"/>
    </row>
    <row r="7" spans="2:26">
      <c r="B7" s="1997"/>
      <c r="C7" s="1076" t="s">
        <v>1372</v>
      </c>
      <c r="D7" s="1077" t="s">
        <v>1373</v>
      </c>
      <c r="E7" s="1077" t="s">
        <v>1374</v>
      </c>
      <c r="F7" s="1077" t="s">
        <v>1375</v>
      </c>
      <c r="G7" s="1077" t="s">
        <v>1376</v>
      </c>
      <c r="H7" s="1077" t="s">
        <v>1373</v>
      </c>
      <c r="I7" s="1077" t="s">
        <v>1374</v>
      </c>
      <c r="J7" s="1077" t="s">
        <v>1375</v>
      </c>
      <c r="K7" s="1077" t="s">
        <v>1376</v>
      </c>
      <c r="L7" s="1077" t="s">
        <v>1373</v>
      </c>
      <c r="M7" s="1077" t="s">
        <v>1374</v>
      </c>
      <c r="N7" s="1077" t="s">
        <v>1375</v>
      </c>
      <c r="O7" s="1077" t="s">
        <v>1376</v>
      </c>
      <c r="P7" s="1077" t="s">
        <v>1373</v>
      </c>
      <c r="Q7" s="1077" t="s">
        <v>1374</v>
      </c>
      <c r="R7" s="1077" t="s">
        <v>1375</v>
      </c>
      <c r="S7" s="1077" t="s">
        <v>1376</v>
      </c>
      <c r="T7" s="1077" t="s">
        <v>271</v>
      </c>
    </row>
    <row r="8" spans="2:26">
      <c r="B8" s="1998"/>
      <c r="C8" s="1074" t="s">
        <v>1377</v>
      </c>
      <c r="D8" s="1075"/>
      <c r="E8" s="1075"/>
      <c r="F8" s="1075"/>
      <c r="G8" s="1075"/>
      <c r="H8" s="1075"/>
      <c r="I8" s="1075"/>
      <c r="J8" s="1075"/>
      <c r="K8" s="1075"/>
      <c r="L8" s="1075"/>
      <c r="M8" s="1075"/>
      <c r="N8" s="1075"/>
      <c r="O8" s="1075"/>
      <c r="P8" s="1075"/>
      <c r="Q8" s="1075"/>
      <c r="R8" s="1075"/>
      <c r="S8" s="1075"/>
      <c r="T8" s="1075"/>
    </row>
    <row r="9" spans="2:26">
      <c r="B9" s="1078"/>
      <c r="C9" s="1078"/>
      <c r="D9" s="1078"/>
      <c r="E9" s="1078"/>
      <c r="F9" s="1078"/>
      <c r="G9" s="1078"/>
      <c r="H9" s="1078"/>
      <c r="I9" s="1078"/>
      <c r="J9" s="1078"/>
      <c r="K9" s="1078"/>
      <c r="L9" s="1078"/>
      <c r="M9" s="1078"/>
      <c r="N9" s="1078"/>
      <c r="O9" s="1078"/>
      <c r="P9" s="1078"/>
      <c r="Q9" s="1078"/>
      <c r="R9" s="1078"/>
      <c r="S9" s="1078"/>
      <c r="T9" s="1078"/>
    </row>
    <row r="10" spans="2:26">
      <c r="B10" s="1079">
        <v>1.1000000000000001</v>
      </c>
      <c r="C10" s="1080" t="s">
        <v>422</v>
      </c>
      <c r="D10" s="1078"/>
      <c r="E10" s="1078"/>
      <c r="F10" s="1078"/>
      <c r="G10" s="1078"/>
      <c r="H10" s="1078"/>
      <c r="I10" s="1078"/>
      <c r="J10" s="1078"/>
      <c r="K10" s="1078"/>
      <c r="L10" s="1078"/>
      <c r="M10" s="1078"/>
      <c r="N10" s="1078"/>
      <c r="O10" s="1078"/>
      <c r="P10" s="1078"/>
      <c r="Q10" s="1078"/>
      <c r="R10" s="1078"/>
      <c r="S10" s="1078"/>
      <c r="T10" s="1078"/>
    </row>
    <row r="11" spans="2:26">
      <c r="B11" s="1078"/>
      <c r="C11" s="1078" t="s">
        <v>1378</v>
      </c>
      <c r="D11" s="1081"/>
      <c r="E11" s="1081"/>
      <c r="F11" s="1081"/>
      <c r="G11" s="1081"/>
      <c r="H11" s="1081"/>
      <c r="I11" s="1081"/>
      <c r="J11" s="1081"/>
      <c r="K11" s="1081"/>
      <c r="L11" s="1081"/>
      <c r="M11" s="1081"/>
      <c r="N11" s="1081"/>
      <c r="O11" s="1081"/>
      <c r="P11" s="1081"/>
      <c r="Q11" s="1081"/>
      <c r="R11" s="1081"/>
      <c r="S11" s="1081"/>
      <c r="T11" s="1082"/>
    </row>
    <row r="12" spans="2:26">
      <c r="B12" s="1078"/>
      <c r="C12" s="1078" t="s">
        <v>1379</v>
      </c>
      <c r="D12" s="1083"/>
      <c r="E12" s="1083"/>
      <c r="F12" s="1083"/>
      <c r="G12" s="1083"/>
      <c r="H12" s="1083"/>
      <c r="I12" s="1083"/>
      <c r="J12" s="1083"/>
      <c r="K12" s="1083"/>
      <c r="L12" s="1083"/>
      <c r="M12" s="1083"/>
      <c r="N12" s="1083"/>
      <c r="O12" s="1083"/>
      <c r="P12" s="1083"/>
      <c r="Q12" s="1083"/>
      <c r="R12" s="1083"/>
      <c r="S12" s="1083"/>
      <c r="T12" s="1082"/>
    </row>
    <row r="13" spans="2:26">
      <c r="B13" s="1078"/>
      <c r="C13" s="1078" t="s">
        <v>414</v>
      </c>
      <c r="D13" s="1081"/>
      <c r="E13" s="1081"/>
      <c r="F13" s="1081"/>
      <c r="G13" s="1081"/>
      <c r="H13" s="1081"/>
      <c r="I13" s="1081"/>
      <c r="J13" s="1081"/>
      <c r="K13" s="1081"/>
      <c r="L13" s="1081"/>
      <c r="M13" s="1081"/>
      <c r="N13" s="1081"/>
      <c r="O13" s="1081"/>
      <c r="P13" s="1081"/>
      <c r="Q13" s="1081"/>
      <c r="R13" s="1081"/>
      <c r="S13" s="1081"/>
      <c r="T13" s="1084"/>
      <c r="U13" s="1085"/>
    </row>
    <row r="14" spans="2:26">
      <c r="B14" s="1078"/>
      <c r="C14" s="1078" t="s">
        <v>1380</v>
      </c>
      <c r="D14" s="1081"/>
      <c r="E14" s="1081"/>
      <c r="F14" s="1081"/>
      <c r="G14" s="1081"/>
      <c r="H14" s="1081"/>
      <c r="I14" s="1081"/>
      <c r="J14" s="1081"/>
      <c r="K14" s="1081"/>
      <c r="L14" s="1081"/>
      <c r="M14" s="1081"/>
      <c r="N14" s="1081"/>
      <c r="O14" s="1081"/>
      <c r="P14" s="1081"/>
      <c r="Q14" s="1081"/>
      <c r="R14" s="1081"/>
      <c r="S14" s="1081"/>
      <c r="T14" s="1082"/>
    </row>
    <row r="15" spans="2:26">
      <c r="B15" s="1078"/>
      <c r="C15" s="1078" t="s">
        <v>1381</v>
      </c>
      <c r="D15" s="1081"/>
      <c r="E15" s="1081"/>
      <c r="F15" s="1081"/>
      <c r="G15" s="1081"/>
      <c r="H15" s="1081"/>
      <c r="I15" s="1081"/>
      <c r="J15" s="1081"/>
      <c r="K15" s="1081"/>
      <c r="L15" s="1081"/>
      <c r="M15" s="1081"/>
      <c r="N15" s="1081"/>
      <c r="O15" s="1081"/>
      <c r="P15" s="1081"/>
      <c r="Q15" s="1081"/>
      <c r="R15" s="1081"/>
      <c r="S15" s="1081"/>
      <c r="T15" s="1082"/>
    </row>
    <row r="16" spans="2:26">
      <c r="B16" s="1078"/>
      <c r="C16" s="1078"/>
      <c r="D16" s="1081"/>
      <c r="E16" s="1081"/>
      <c r="F16" s="1081"/>
      <c r="G16" s="1081"/>
      <c r="H16" s="1081"/>
      <c r="I16" s="1081"/>
      <c r="J16" s="1081"/>
      <c r="K16" s="1081"/>
      <c r="L16" s="1081"/>
      <c r="M16" s="1081"/>
      <c r="N16" s="1081"/>
      <c r="O16" s="1081"/>
      <c r="P16" s="1081"/>
      <c r="Q16" s="1081"/>
      <c r="R16" s="1081"/>
      <c r="S16" s="1081"/>
      <c r="T16" s="1082"/>
    </row>
    <row r="17" spans="2:21" s="1088" customFormat="1">
      <c r="B17" s="1080">
        <v>1.2</v>
      </c>
      <c r="C17" s="1080" t="s">
        <v>421</v>
      </c>
      <c r="D17" s="1086"/>
      <c r="E17" s="1086"/>
      <c r="F17" s="1086"/>
      <c r="G17" s="1086"/>
      <c r="H17" s="1086"/>
      <c r="I17" s="1086"/>
      <c r="J17" s="1086"/>
      <c r="K17" s="1086"/>
      <c r="L17" s="1086"/>
      <c r="M17" s="1086"/>
      <c r="N17" s="1086"/>
      <c r="O17" s="1086"/>
      <c r="P17" s="1086"/>
      <c r="Q17" s="1086"/>
      <c r="R17" s="1086"/>
      <c r="S17" s="1086"/>
      <c r="T17" s="1087"/>
    </row>
    <row r="18" spans="2:21">
      <c r="B18" s="1078"/>
      <c r="C18" s="1078" t="s">
        <v>1378</v>
      </c>
      <c r="D18" s="1082"/>
      <c r="E18" s="1082"/>
      <c r="F18" s="1082"/>
      <c r="G18" s="1082"/>
      <c r="H18" s="1082"/>
      <c r="I18" s="1082"/>
      <c r="J18" s="1082"/>
      <c r="K18" s="1082"/>
      <c r="L18" s="1082"/>
      <c r="M18" s="1082"/>
      <c r="N18" s="1082"/>
      <c r="O18" s="1082"/>
      <c r="P18" s="1082"/>
      <c r="Q18" s="1082"/>
      <c r="R18" s="1082"/>
      <c r="S18" s="1082"/>
      <c r="T18" s="1082"/>
    </row>
    <row r="19" spans="2:21">
      <c r="B19" s="1078"/>
      <c r="C19" s="1078" t="s">
        <v>1379</v>
      </c>
      <c r="D19" s="1089"/>
      <c r="E19" s="1089"/>
      <c r="F19" s="1089"/>
      <c r="G19" s="1089"/>
      <c r="H19" s="1089"/>
      <c r="I19" s="1089"/>
      <c r="J19" s="1089"/>
      <c r="K19" s="1089"/>
      <c r="L19" s="1089"/>
      <c r="M19" s="1089"/>
      <c r="N19" s="1089"/>
      <c r="O19" s="1089"/>
      <c r="P19" s="1089"/>
      <c r="Q19" s="1089"/>
      <c r="R19" s="1089"/>
      <c r="S19" s="1089"/>
      <c r="T19" s="1082"/>
    </row>
    <row r="20" spans="2:21">
      <c r="B20" s="1078"/>
      <c r="C20" s="1078" t="s">
        <v>414</v>
      </c>
      <c r="D20" s="1082"/>
      <c r="E20" s="1082"/>
      <c r="F20" s="1082"/>
      <c r="G20" s="1082"/>
      <c r="H20" s="1082"/>
      <c r="I20" s="1082"/>
      <c r="J20" s="1082"/>
      <c r="K20" s="1082"/>
      <c r="L20" s="1082"/>
      <c r="M20" s="1082"/>
      <c r="N20" s="1082"/>
      <c r="O20" s="1082"/>
      <c r="P20" s="1082"/>
      <c r="Q20" s="1082"/>
      <c r="R20" s="1082"/>
      <c r="S20" s="1082"/>
      <c r="T20" s="1084"/>
      <c r="U20" s="1085"/>
    </row>
    <row r="21" spans="2:21">
      <c r="B21" s="1078"/>
      <c r="C21" s="1078" t="s">
        <v>1380</v>
      </c>
      <c r="D21" s="1082"/>
      <c r="E21" s="1082"/>
      <c r="F21" s="1082"/>
      <c r="G21" s="1082"/>
      <c r="H21" s="1082"/>
      <c r="I21" s="1082"/>
      <c r="J21" s="1082"/>
      <c r="K21" s="1082"/>
      <c r="L21" s="1082"/>
      <c r="M21" s="1082"/>
      <c r="N21" s="1082"/>
      <c r="O21" s="1082"/>
      <c r="P21" s="1082"/>
      <c r="Q21" s="1082"/>
      <c r="R21" s="1082"/>
      <c r="S21" s="1082"/>
      <c r="T21" s="1082"/>
    </row>
    <row r="22" spans="2:21">
      <c r="B22" s="1078"/>
      <c r="C22" s="1078" t="s">
        <v>1381</v>
      </c>
      <c r="D22" s="1082"/>
      <c r="E22" s="1082"/>
      <c r="F22" s="1082"/>
      <c r="G22" s="1082"/>
      <c r="H22" s="1082"/>
      <c r="I22" s="1082"/>
      <c r="J22" s="1082"/>
      <c r="K22" s="1082"/>
      <c r="L22" s="1082"/>
      <c r="M22" s="1082"/>
      <c r="N22" s="1082"/>
      <c r="O22" s="1082"/>
      <c r="P22" s="1082"/>
      <c r="Q22" s="1082"/>
      <c r="R22" s="1082"/>
      <c r="S22" s="1082"/>
      <c r="T22" s="1082"/>
    </row>
    <row r="23" spans="2:21">
      <c r="B23" s="1078"/>
      <c r="C23" s="1078"/>
      <c r="D23" s="1082"/>
      <c r="E23" s="1082"/>
      <c r="F23" s="1082"/>
      <c r="G23" s="1082"/>
      <c r="H23" s="1082"/>
      <c r="I23" s="1082"/>
      <c r="J23" s="1082"/>
      <c r="K23" s="1082"/>
      <c r="L23" s="1082"/>
      <c r="M23" s="1082"/>
      <c r="N23" s="1082"/>
      <c r="O23" s="1082"/>
      <c r="P23" s="1082"/>
      <c r="Q23" s="1082"/>
      <c r="R23" s="1082"/>
      <c r="S23" s="1082"/>
      <c r="T23" s="1082"/>
    </row>
    <row r="24" spans="2:21">
      <c r="B24" s="1080">
        <v>1.3</v>
      </c>
      <c r="C24" s="1080" t="s">
        <v>1382</v>
      </c>
      <c r="D24" s="1082"/>
      <c r="E24" s="1082"/>
      <c r="F24" s="1082"/>
      <c r="G24" s="1082"/>
      <c r="H24" s="1082"/>
      <c r="I24" s="1082"/>
      <c r="J24" s="1082"/>
      <c r="K24" s="1082"/>
      <c r="L24" s="1082"/>
      <c r="M24" s="1082"/>
      <c r="N24" s="1082"/>
      <c r="O24" s="1082"/>
      <c r="P24" s="1082"/>
      <c r="Q24" s="1082"/>
      <c r="R24" s="1082"/>
      <c r="S24" s="1082"/>
      <c r="T24" s="1082"/>
    </row>
    <row r="25" spans="2:21">
      <c r="B25" s="1078"/>
      <c r="C25" s="1078" t="s">
        <v>1378</v>
      </c>
      <c r="D25" s="1082"/>
      <c r="E25" s="1082"/>
      <c r="F25" s="1082"/>
      <c r="G25" s="1082"/>
      <c r="H25" s="1082"/>
      <c r="I25" s="1082"/>
      <c r="J25" s="1082"/>
      <c r="K25" s="1082"/>
      <c r="L25" s="1082"/>
      <c r="M25" s="1082"/>
      <c r="N25" s="1082"/>
      <c r="O25" s="1082"/>
      <c r="P25" s="1082"/>
      <c r="Q25" s="1082"/>
      <c r="R25" s="1082"/>
      <c r="S25" s="1082"/>
      <c r="T25" s="1082"/>
    </row>
    <row r="26" spans="2:21">
      <c r="B26" s="1078"/>
      <c r="C26" s="1078" t="s">
        <v>1379</v>
      </c>
      <c r="D26" s="1089"/>
      <c r="E26" s="1089"/>
      <c r="F26" s="1089"/>
      <c r="G26" s="1089"/>
      <c r="H26" s="1089"/>
      <c r="I26" s="1089"/>
      <c r="J26" s="1089"/>
      <c r="K26" s="1089"/>
      <c r="L26" s="1089"/>
      <c r="M26" s="1089"/>
      <c r="N26" s="1089"/>
      <c r="O26" s="1089"/>
      <c r="P26" s="1089"/>
      <c r="Q26" s="1089"/>
      <c r="R26" s="1089"/>
      <c r="S26" s="1089"/>
      <c r="T26" s="1084"/>
    </row>
    <row r="27" spans="2:21">
      <c r="B27" s="1078"/>
      <c r="C27" s="1078" t="s">
        <v>414</v>
      </c>
      <c r="D27" s="1082"/>
      <c r="E27" s="1082"/>
      <c r="F27" s="1082"/>
      <c r="G27" s="1082"/>
      <c r="H27" s="1082"/>
      <c r="I27" s="1082"/>
      <c r="J27" s="1082"/>
      <c r="K27" s="1082"/>
      <c r="L27" s="1082"/>
      <c r="M27" s="1082"/>
      <c r="N27" s="1082"/>
      <c r="O27" s="1082"/>
      <c r="P27" s="1082"/>
      <c r="Q27" s="1082"/>
      <c r="R27" s="1082"/>
      <c r="S27" s="1082"/>
      <c r="T27" s="1084"/>
      <c r="U27" s="1085"/>
    </row>
    <row r="28" spans="2:21">
      <c r="B28" s="1078"/>
      <c r="C28" s="1078" t="s">
        <v>1380</v>
      </c>
      <c r="D28" s="1082"/>
      <c r="E28" s="1082"/>
      <c r="F28" s="1082"/>
      <c r="G28" s="1082"/>
      <c r="H28" s="1082"/>
      <c r="I28" s="1082"/>
      <c r="J28" s="1082"/>
      <c r="K28" s="1082"/>
      <c r="L28" s="1082"/>
      <c r="M28" s="1082"/>
      <c r="N28" s="1082"/>
      <c r="O28" s="1082"/>
      <c r="P28" s="1082"/>
      <c r="Q28" s="1082"/>
      <c r="R28" s="1082"/>
      <c r="S28" s="1082"/>
      <c r="T28" s="1082"/>
    </row>
    <row r="29" spans="2:21" ht="29.4" customHeight="1">
      <c r="B29" s="1078"/>
      <c r="C29" s="1090" t="s">
        <v>1381</v>
      </c>
      <c r="D29" s="1082"/>
      <c r="E29" s="1082"/>
      <c r="F29" s="1082"/>
      <c r="G29" s="1082"/>
      <c r="H29" s="1082"/>
      <c r="I29" s="1082"/>
      <c r="J29" s="1082"/>
      <c r="K29" s="1082"/>
      <c r="L29" s="1082"/>
      <c r="M29" s="1082"/>
      <c r="N29" s="1082"/>
      <c r="O29" s="1082"/>
      <c r="P29" s="1082"/>
      <c r="Q29" s="1082"/>
      <c r="R29" s="1082"/>
      <c r="S29" s="1082"/>
      <c r="T29" s="1082"/>
    </row>
    <row r="30" spans="2:21">
      <c r="B30" s="1078"/>
      <c r="C30" s="1078"/>
      <c r="D30" s="1082"/>
      <c r="E30" s="1082"/>
      <c r="F30" s="1082"/>
      <c r="G30" s="1082"/>
      <c r="H30" s="1082"/>
      <c r="I30" s="1082"/>
      <c r="J30" s="1082"/>
      <c r="K30" s="1082"/>
      <c r="L30" s="1082"/>
      <c r="M30" s="1082"/>
      <c r="N30" s="1082"/>
      <c r="O30" s="1082"/>
      <c r="P30" s="1082"/>
      <c r="Q30" s="1082"/>
      <c r="R30" s="1082"/>
      <c r="S30" s="1082"/>
      <c r="T30" s="1082"/>
    </row>
    <row r="31" spans="2:21">
      <c r="B31" s="1078"/>
      <c r="C31" s="1078"/>
      <c r="D31" s="1082"/>
      <c r="E31" s="1082"/>
      <c r="F31" s="1082"/>
      <c r="G31" s="1082"/>
      <c r="H31" s="1082"/>
      <c r="I31" s="1082"/>
      <c r="J31" s="1082"/>
      <c r="K31" s="1082"/>
      <c r="L31" s="1082"/>
      <c r="M31" s="1082"/>
      <c r="N31" s="1082"/>
      <c r="O31" s="1082"/>
      <c r="P31" s="1082"/>
      <c r="Q31" s="1082"/>
      <c r="R31" s="1082"/>
      <c r="S31" s="1082"/>
      <c r="T31" s="1082"/>
    </row>
    <row r="32" spans="2:21">
      <c r="B32" s="1079">
        <v>1.4</v>
      </c>
      <c r="C32" s="1080" t="s">
        <v>1383</v>
      </c>
      <c r="D32" s="1082"/>
      <c r="E32" s="1082"/>
      <c r="F32" s="1082"/>
      <c r="G32" s="1082"/>
      <c r="H32" s="1082"/>
      <c r="I32" s="1082"/>
      <c r="J32" s="1082"/>
      <c r="K32" s="1082"/>
      <c r="L32" s="1082"/>
      <c r="M32" s="1082"/>
      <c r="N32" s="1082"/>
      <c r="O32" s="1082"/>
      <c r="P32" s="1082"/>
      <c r="Q32" s="1082"/>
      <c r="R32" s="1082"/>
      <c r="S32" s="1082"/>
      <c r="T32" s="1082"/>
    </row>
    <row r="33" spans="2:21">
      <c r="B33" s="1078"/>
      <c r="C33" s="1078" t="s">
        <v>1378</v>
      </c>
      <c r="D33" s="1089"/>
      <c r="E33" s="1089"/>
      <c r="F33" s="1089"/>
      <c r="G33" s="1089"/>
      <c r="H33" s="1089"/>
      <c r="I33" s="1089"/>
      <c r="J33" s="1089"/>
      <c r="K33" s="1089"/>
      <c r="L33" s="1089"/>
      <c r="M33" s="1089"/>
      <c r="N33" s="1089"/>
      <c r="O33" s="1089"/>
      <c r="P33" s="1089"/>
      <c r="Q33" s="1089"/>
      <c r="R33" s="1089"/>
      <c r="S33" s="1089"/>
      <c r="T33" s="1082"/>
    </row>
    <row r="34" spans="2:21">
      <c r="B34" s="1078"/>
      <c r="C34" s="1078" t="s">
        <v>1379</v>
      </c>
      <c r="D34" s="1089"/>
      <c r="E34" s="1089"/>
      <c r="F34" s="1089"/>
      <c r="G34" s="1089"/>
      <c r="H34" s="1089"/>
      <c r="I34" s="1089"/>
      <c r="J34" s="1089"/>
      <c r="K34" s="1089"/>
      <c r="L34" s="1089"/>
      <c r="M34" s="1089"/>
      <c r="N34" s="1089"/>
      <c r="O34" s="1089"/>
      <c r="P34" s="1089"/>
      <c r="Q34" s="1089"/>
      <c r="R34" s="1089"/>
      <c r="S34" s="1089"/>
      <c r="T34" s="1082"/>
    </row>
    <row r="35" spans="2:21">
      <c r="B35" s="1078"/>
      <c r="C35" s="1078" t="s">
        <v>414</v>
      </c>
      <c r="D35" s="1089"/>
      <c r="E35" s="1089"/>
      <c r="F35" s="1089"/>
      <c r="G35" s="1089"/>
      <c r="H35" s="1089"/>
      <c r="I35" s="1089"/>
      <c r="J35" s="1089"/>
      <c r="K35" s="1089"/>
      <c r="L35" s="1089"/>
      <c r="M35" s="1089"/>
      <c r="N35" s="1089"/>
      <c r="O35" s="1089"/>
      <c r="P35" s="1089"/>
      <c r="Q35" s="1089"/>
      <c r="R35" s="1089"/>
      <c r="S35" s="1089"/>
      <c r="T35" s="1082"/>
    </row>
    <row r="36" spans="2:21">
      <c r="B36" s="1078"/>
      <c r="C36" s="1078" t="s">
        <v>1380</v>
      </c>
      <c r="D36" s="1089"/>
      <c r="E36" s="1089"/>
      <c r="F36" s="1089"/>
      <c r="G36" s="1089"/>
      <c r="H36" s="1089"/>
      <c r="I36" s="1089"/>
      <c r="J36" s="1089"/>
      <c r="K36" s="1089"/>
      <c r="L36" s="1089"/>
      <c r="M36" s="1089"/>
      <c r="N36" s="1089"/>
      <c r="O36" s="1089"/>
      <c r="P36" s="1089"/>
      <c r="Q36" s="1089"/>
      <c r="R36" s="1089"/>
      <c r="S36" s="1089"/>
      <c r="T36" s="1082"/>
    </row>
    <row r="37" spans="2:21">
      <c r="B37" s="1078"/>
      <c r="C37" s="1078" t="s">
        <v>1381</v>
      </c>
      <c r="D37" s="1082"/>
      <c r="E37" s="1082"/>
      <c r="F37" s="1082"/>
      <c r="G37" s="1082"/>
      <c r="H37" s="1082"/>
      <c r="I37" s="1082"/>
      <c r="J37" s="1082"/>
      <c r="K37" s="1082"/>
      <c r="L37" s="1082"/>
      <c r="M37" s="1082"/>
      <c r="N37" s="1082"/>
      <c r="O37" s="1082"/>
      <c r="P37" s="1082"/>
      <c r="Q37" s="1082"/>
      <c r="R37" s="1082"/>
      <c r="S37" s="1082"/>
      <c r="T37" s="1082"/>
    </row>
    <row r="38" spans="2:21">
      <c r="B38" s="1078"/>
      <c r="C38" s="1078"/>
      <c r="D38" s="1082"/>
      <c r="E38" s="1082"/>
      <c r="F38" s="1082"/>
      <c r="G38" s="1082"/>
      <c r="H38" s="1082"/>
      <c r="I38" s="1082"/>
      <c r="J38" s="1082"/>
      <c r="K38" s="1082"/>
      <c r="L38" s="1082"/>
      <c r="M38" s="1082"/>
      <c r="N38" s="1082"/>
      <c r="O38" s="1082"/>
      <c r="P38" s="1082"/>
      <c r="Q38" s="1082"/>
      <c r="R38" s="1082"/>
      <c r="S38" s="1082"/>
      <c r="T38" s="1082"/>
    </row>
    <row r="39" spans="2:21">
      <c r="B39" s="1078">
        <v>2</v>
      </c>
      <c r="C39" s="1080" t="s">
        <v>1384</v>
      </c>
      <c r="D39" s="1082"/>
      <c r="E39" s="1082"/>
      <c r="F39" s="1082"/>
      <c r="G39" s="1082"/>
      <c r="H39" s="1082"/>
      <c r="I39" s="1082"/>
      <c r="J39" s="1082"/>
      <c r="K39" s="1082"/>
      <c r="L39" s="1082"/>
      <c r="M39" s="1082"/>
      <c r="N39" s="1082"/>
      <c r="O39" s="1082"/>
      <c r="P39" s="1082"/>
      <c r="Q39" s="1082"/>
      <c r="R39" s="1082"/>
      <c r="S39" s="1082"/>
      <c r="T39" s="1091">
        <f>SUM(D39:S39)</f>
        <v>0</v>
      </c>
    </row>
    <row r="40" spans="2:21">
      <c r="B40" s="1078"/>
      <c r="C40" s="1092" t="s">
        <v>1385</v>
      </c>
      <c r="D40" s="1089"/>
      <c r="E40" s="1089"/>
      <c r="F40" s="1089"/>
      <c r="G40" s="1089"/>
      <c r="H40" s="1089"/>
      <c r="I40" s="1089"/>
      <c r="J40" s="1089"/>
      <c r="K40" s="1089"/>
      <c r="L40" s="1089"/>
      <c r="M40" s="1089"/>
      <c r="N40" s="1089"/>
      <c r="O40" s="1089"/>
      <c r="P40" s="1089"/>
      <c r="Q40" s="1089"/>
      <c r="R40" s="1089"/>
      <c r="S40" s="1089"/>
      <c r="T40" s="1082"/>
    </row>
    <row r="41" spans="2:21">
      <c r="B41" s="1078"/>
      <c r="C41" s="1092" t="s">
        <v>1386</v>
      </c>
      <c r="D41" s="1089"/>
      <c r="E41" s="1089"/>
      <c r="F41" s="1089"/>
      <c r="G41" s="1089"/>
      <c r="H41" s="1089"/>
      <c r="I41" s="1089"/>
      <c r="J41" s="1089"/>
      <c r="K41" s="1089"/>
      <c r="L41" s="1089"/>
      <c r="M41" s="1089"/>
      <c r="N41" s="1089"/>
      <c r="O41" s="1089"/>
      <c r="P41" s="1089"/>
      <c r="Q41" s="1089"/>
      <c r="R41" s="1089"/>
      <c r="S41" s="1089"/>
      <c r="T41" s="1082"/>
    </row>
    <row r="42" spans="2:21">
      <c r="B42" s="1078"/>
      <c r="C42" s="1080" t="s">
        <v>1387</v>
      </c>
      <c r="D42" s="1089"/>
      <c r="E42" s="1089"/>
      <c r="F42" s="1089"/>
      <c r="G42" s="1089"/>
      <c r="H42" s="1089"/>
      <c r="I42" s="1089"/>
      <c r="J42" s="1089"/>
      <c r="K42" s="1089"/>
      <c r="L42" s="1089"/>
      <c r="M42" s="1089"/>
      <c r="N42" s="1089"/>
      <c r="O42" s="1089"/>
      <c r="P42" s="1089"/>
      <c r="Q42" s="1089"/>
      <c r="R42" s="1089"/>
      <c r="S42" s="1089"/>
      <c r="T42" s="1082"/>
      <c r="U42" s="1085"/>
    </row>
    <row r="51" spans="9:11">
      <c r="I51" s="1085"/>
      <c r="K51" s="1085"/>
    </row>
    <row r="52" spans="9:11">
      <c r="I52" s="1085"/>
      <c r="K52" s="1085"/>
    </row>
    <row r="53" spans="9:11">
      <c r="I53" s="1085"/>
      <c r="K53" s="1085"/>
    </row>
    <row r="54" spans="9:11">
      <c r="I54" s="1085"/>
      <c r="K54" s="1085"/>
    </row>
    <row r="55" spans="9:11">
      <c r="K55" s="1085"/>
    </row>
  </sheetData>
  <mergeCells count="5">
    <mergeCell ref="B6:B8"/>
    <mergeCell ref="D6:G6"/>
    <mergeCell ref="H6:K6"/>
    <mergeCell ref="L6:O6"/>
    <mergeCell ref="P6:S6"/>
  </mergeCells>
  <printOptions horizontalCentered="1" verticalCentered="1"/>
  <pageMargins left="1.0629921259842521" right="0.39370078740157483" top="0.62992125984251968" bottom="0.39370078740157483" header="0.31496062992125984" footer="0.31496062992125984"/>
  <pageSetup paperSize="9" scale="51"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AJ329"/>
  <sheetViews>
    <sheetView workbookViewId="0">
      <selection activeCell="A3" sqref="A3:T3"/>
    </sheetView>
  </sheetViews>
  <sheetFormatPr defaultColWidth="8.6328125" defaultRowHeight="12.5"/>
  <cols>
    <col min="1" max="1" width="14.6328125" style="903" customWidth="1"/>
    <col min="2" max="2" width="32.6328125" style="924" bestFit="1" customWidth="1"/>
    <col min="3" max="3" width="23.08984375" style="903" customWidth="1"/>
    <col min="4" max="4" width="19.6328125" style="903" customWidth="1"/>
    <col min="5" max="5" width="19" style="903" customWidth="1"/>
    <col min="6" max="14" width="22.36328125" style="903" customWidth="1"/>
    <col min="15" max="15" width="23.453125" style="903" customWidth="1"/>
    <col min="16" max="33" width="22.36328125" style="903" customWidth="1"/>
    <col min="34" max="34" width="9.36328125" style="903" bestFit="1" customWidth="1"/>
    <col min="35" max="35" width="25.6328125" style="903" customWidth="1"/>
    <col min="36" max="36" width="22.36328125" style="903" customWidth="1"/>
    <col min="37" max="16384" width="8.6328125" style="903"/>
  </cols>
  <sheetData>
    <row r="2" spans="1:33" ht="14.15" customHeight="1">
      <c r="A2" s="1992" t="str">
        <f>Index!B2</f>
        <v xml:space="preserve">      Maharashtra State Power Generation Company Ltd.</v>
      </c>
      <c r="B2" s="1967"/>
      <c r="C2" s="1967"/>
      <c r="D2" s="1967"/>
      <c r="E2" s="1967"/>
      <c r="F2" s="1967"/>
      <c r="G2" s="1967"/>
      <c r="H2" s="1967"/>
      <c r="I2" s="1967"/>
      <c r="J2" s="1967"/>
      <c r="K2" s="1967"/>
      <c r="L2" s="1967"/>
      <c r="M2" s="1967"/>
      <c r="N2" s="1967"/>
      <c r="O2" s="1967"/>
      <c r="P2" s="1967"/>
      <c r="Q2" s="1967"/>
      <c r="R2" s="1967"/>
      <c r="S2" s="1967"/>
      <c r="T2" s="1967"/>
    </row>
    <row r="3" spans="1:33" ht="14.15" customHeight="1">
      <c r="A3" s="1992" t="s">
        <v>1036</v>
      </c>
      <c r="B3" s="1967"/>
      <c r="C3" s="1967"/>
      <c r="D3" s="1967"/>
      <c r="E3" s="1967"/>
      <c r="F3" s="1967"/>
      <c r="G3" s="1967"/>
      <c r="H3" s="1967"/>
      <c r="I3" s="1967"/>
      <c r="J3" s="1967"/>
      <c r="K3" s="1967"/>
      <c r="L3" s="1967"/>
      <c r="M3" s="1967"/>
      <c r="N3" s="1967"/>
      <c r="O3" s="1967"/>
      <c r="P3" s="1967"/>
      <c r="Q3" s="1967"/>
      <c r="R3" s="1967"/>
      <c r="S3" s="1967"/>
      <c r="T3" s="1967"/>
    </row>
    <row r="4" spans="1:33" ht="14.15" customHeight="1">
      <c r="A4" s="2000" t="s">
        <v>1037</v>
      </c>
      <c r="B4" s="1968"/>
      <c r="C4" s="1968"/>
      <c r="D4" s="1968"/>
      <c r="E4" s="1968"/>
      <c r="F4" s="1968"/>
      <c r="G4" s="1968"/>
      <c r="H4" s="1968"/>
      <c r="I4" s="1968"/>
      <c r="J4" s="1968"/>
      <c r="K4" s="1968"/>
      <c r="L4" s="1968"/>
      <c r="M4" s="1968"/>
      <c r="N4" s="1968"/>
      <c r="O4" s="1968"/>
      <c r="P4" s="1968"/>
      <c r="Q4" s="1968"/>
      <c r="R4" s="1968"/>
      <c r="S4" s="1968"/>
      <c r="T4" s="1968"/>
    </row>
    <row r="5" spans="1:33" ht="13">
      <c r="B5" s="904" t="s">
        <v>514</v>
      </c>
      <c r="F5" s="905" t="s">
        <v>10</v>
      </c>
    </row>
    <row r="6" spans="1:33" ht="26.15" customHeight="1">
      <c r="A6" s="906"/>
      <c r="B6" s="2001" t="s">
        <v>413</v>
      </c>
      <c r="C6" s="2003" t="s">
        <v>739</v>
      </c>
      <c r="D6" s="2003" t="s">
        <v>516</v>
      </c>
      <c r="E6" s="2003" t="s">
        <v>586</v>
      </c>
      <c r="F6" s="2005" t="s">
        <v>587</v>
      </c>
      <c r="G6" s="2006"/>
      <c r="H6" s="2006"/>
      <c r="I6" s="2006"/>
      <c r="J6" s="2006"/>
      <c r="K6" s="2006"/>
      <c r="L6" s="2006"/>
      <c r="M6" s="2006"/>
      <c r="N6" s="2006"/>
      <c r="O6" s="2006"/>
      <c r="P6" s="2006"/>
      <c r="Q6" s="2006"/>
      <c r="R6" s="2006"/>
      <c r="S6" s="2006"/>
      <c r="T6" s="2006"/>
      <c r="U6" s="2006"/>
      <c r="V6" s="2006"/>
      <c r="W6" s="2006"/>
      <c r="X6" s="2006"/>
      <c r="Y6" s="2006"/>
      <c r="Z6" s="2006"/>
      <c r="AA6" s="2006"/>
      <c r="AB6" s="2006"/>
      <c r="AC6" s="2006"/>
      <c r="AD6" s="2007"/>
      <c r="AE6" s="907" t="s">
        <v>538</v>
      </c>
      <c r="AF6" s="907" t="s">
        <v>531</v>
      </c>
      <c r="AG6" s="907" t="s">
        <v>539</v>
      </c>
    </row>
    <row r="7" spans="1:33" ht="12.9" customHeight="1">
      <c r="A7" s="906"/>
      <c r="B7" s="2002"/>
      <c r="C7" s="2004"/>
      <c r="D7" s="2004"/>
      <c r="E7" s="2004"/>
      <c r="F7" s="908" t="s">
        <v>517</v>
      </c>
      <c r="G7" s="908" t="s">
        <v>518</v>
      </c>
      <c r="H7" s="908" t="s">
        <v>519</v>
      </c>
      <c r="I7" s="908" t="s">
        <v>520</v>
      </c>
      <c r="J7" s="908" t="s">
        <v>521</v>
      </c>
      <c r="K7" s="908" t="s">
        <v>522</v>
      </c>
      <c r="L7" s="908" t="s">
        <v>523</v>
      </c>
      <c r="M7" s="908" t="s">
        <v>524</v>
      </c>
      <c r="N7" s="908" t="s">
        <v>525</v>
      </c>
      <c r="O7" s="908" t="s">
        <v>526</v>
      </c>
      <c r="P7" s="908" t="s">
        <v>527</v>
      </c>
      <c r="Q7" s="908" t="s">
        <v>528</v>
      </c>
      <c r="R7" s="908" t="s">
        <v>529</v>
      </c>
      <c r="S7" s="908" t="s">
        <v>530</v>
      </c>
      <c r="T7" s="908" t="s">
        <v>325</v>
      </c>
      <c r="U7" s="908" t="s">
        <v>506</v>
      </c>
      <c r="V7" s="908" t="s">
        <v>507</v>
      </c>
      <c r="W7" s="908" t="s">
        <v>508</v>
      </c>
      <c r="X7" s="908" t="s">
        <v>509</v>
      </c>
      <c r="Y7" s="908" t="s">
        <v>510</v>
      </c>
      <c r="Z7" s="908" t="s">
        <v>958</v>
      </c>
      <c r="AA7" s="908" t="s">
        <v>959</v>
      </c>
      <c r="AB7" s="908" t="s">
        <v>960</v>
      </c>
      <c r="AC7" s="908" t="s">
        <v>961</v>
      </c>
      <c r="AD7" s="908" t="s">
        <v>962</v>
      </c>
      <c r="AE7" s="907"/>
      <c r="AF7" s="907"/>
      <c r="AG7" s="907"/>
    </row>
    <row r="8" spans="1:33">
      <c r="A8" s="909" t="s">
        <v>532</v>
      </c>
      <c r="B8" s="910">
        <v>2005</v>
      </c>
      <c r="C8" s="911"/>
      <c r="D8" s="250"/>
      <c r="E8" s="250"/>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50"/>
      <c r="AF8" s="250"/>
      <c r="AG8" s="250"/>
    </row>
    <row r="9" spans="1:33">
      <c r="A9" s="909" t="s">
        <v>533</v>
      </c>
      <c r="B9" s="910" t="s">
        <v>517</v>
      </c>
      <c r="C9" s="909"/>
      <c r="D9" s="250"/>
      <c r="E9" s="250"/>
      <c r="F9" s="252"/>
      <c r="G9" s="261"/>
      <c r="H9" s="261"/>
      <c r="I9" s="261"/>
      <c r="J9" s="261"/>
      <c r="K9" s="261"/>
      <c r="L9" s="261"/>
      <c r="M9" s="261"/>
      <c r="N9" s="261"/>
      <c r="O9" s="261"/>
      <c r="P9" s="261"/>
      <c r="Q9" s="261"/>
      <c r="R9" s="261"/>
      <c r="S9" s="261"/>
      <c r="T9" s="261"/>
      <c r="U9" s="261"/>
      <c r="V9" s="261"/>
      <c r="W9" s="261"/>
      <c r="X9" s="261"/>
      <c r="Y9" s="261"/>
      <c r="Z9" s="261"/>
      <c r="AA9" s="261"/>
      <c r="AB9" s="261"/>
      <c r="AC9" s="261"/>
      <c r="AD9" s="261"/>
      <c r="AE9" s="250"/>
      <c r="AF9" s="250"/>
      <c r="AG9" s="250"/>
    </row>
    <row r="10" spans="1:33">
      <c r="A10" s="909" t="s">
        <v>533</v>
      </c>
      <c r="B10" s="910" t="s">
        <v>518</v>
      </c>
      <c r="C10" s="909"/>
      <c r="D10" s="250"/>
      <c r="E10" s="250"/>
      <c r="F10" s="262"/>
      <c r="G10" s="252"/>
      <c r="H10" s="261"/>
      <c r="I10" s="261"/>
      <c r="J10" s="261"/>
      <c r="K10" s="261"/>
      <c r="L10" s="261"/>
      <c r="M10" s="261"/>
      <c r="N10" s="261"/>
      <c r="O10" s="261"/>
      <c r="P10" s="261"/>
      <c r="Q10" s="261"/>
      <c r="R10" s="261"/>
      <c r="S10" s="261"/>
      <c r="T10" s="261"/>
      <c r="U10" s="261"/>
      <c r="V10" s="261"/>
      <c r="W10" s="261"/>
      <c r="X10" s="261"/>
      <c r="Y10" s="261"/>
      <c r="Z10" s="261"/>
      <c r="AA10" s="261"/>
      <c r="AB10" s="261"/>
      <c r="AC10" s="261"/>
      <c r="AD10" s="261"/>
      <c r="AE10" s="250"/>
      <c r="AF10" s="250"/>
      <c r="AG10" s="250"/>
    </row>
    <row r="11" spans="1:33">
      <c r="A11" s="909" t="s">
        <v>533</v>
      </c>
      <c r="B11" s="910" t="s">
        <v>519</v>
      </c>
      <c r="C11" s="909"/>
      <c r="D11" s="250"/>
      <c r="E11" s="250"/>
      <c r="F11" s="262"/>
      <c r="G11" s="262"/>
      <c r="H11" s="252"/>
      <c r="I11" s="261"/>
      <c r="J11" s="261"/>
      <c r="K11" s="261"/>
      <c r="L11" s="261"/>
      <c r="M11" s="261"/>
      <c r="N11" s="261"/>
      <c r="O11" s="261"/>
      <c r="P11" s="261"/>
      <c r="Q11" s="261"/>
      <c r="R11" s="261"/>
      <c r="S11" s="261"/>
      <c r="T11" s="261"/>
      <c r="U11" s="261"/>
      <c r="V11" s="261"/>
      <c r="W11" s="261"/>
      <c r="X11" s="261"/>
      <c r="Y11" s="261"/>
      <c r="Z11" s="261"/>
      <c r="AA11" s="261"/>
      <c r="AB11" s="261"/>
      <c r="AC11" s="261"/>
      <c r="AD11" s="261"/>
      <c r="AE11" s="250"/>
      <c r="AF11" s="250"/>
      <c r="AG11" s="250"/>
    </row>
    <row r="12" spans="1:33">
      <c r="A12" s="909" t="s">
        <v>533</v>
      </c>
      <c r="B12" s="910" t="s">
        <v>520</v>
      </c>
      <c r="C12" s="909"/>
      <c r="D12" s="250"/>
      <c r="E12" s="250"/>
      <c r="F12" s="262"/>
      <c r="G12" s="262"/>
      <c r="H12" s="262"/>
      <c r="I12" s="252"/>
      <c r="J12" s="261"/>
      <c r="K12" s="261"/>
      <c r="L12" s="261"/>
      <c r="M12" s="261"/>
      <c r="N12" s="261"/>
      <c r="O12" s="261"/>
      <c r="P12" s="261"/>
      <c r="Q12" s="261"/>
      <c r="R12" s="261"/>
      <c r="S12" s="261"/>
      <c r="T12" s="261"/>
      <c r="U12" s="261"/>
      <c r="V12" s="261"/>
      <c r="W12" s="261"/>
      <c r="X12" s="261"/>
      <c r="Y12" s="261"/>
      <c r="Z12" s="261"/>
      <c r="AA12" s="261"/>
      <c r="AB12" s="261"/>
      <c r="AC12" s="261"/>
      <c r="AD12" s="261"/>
      <c r="AE12" s="250"/>
      <c r="AF12" s="250"/>
      <c r="AG12" s="250"/>
    </row>
    <row r="13" spans="1:33">
      <c r="A13" s="909" t="s">
        <v>533</v>
      </c>
      <c r="B13" s="910" t="s">
        <v>521</v>
      </c>
      <c r="C13" s="909"/>
      <c r="D13" s="250"/>
      <c r="E13" s="250"/>
      <c r="F13" s="262"/>
      <c r="G13" s="262"/>
      <c r="H13" s="262"/>
      <c r="I13" s="262"/>
      <c r="J13" s="252"/>
      <c r="K13" s="261"/>
      <c r="L13" s="261"/>
      <c r="M13" s="261"/>
      <c r="N13" s="261"/>
      <c r="O13" s="261"/>
      <c r="P13" s="261"/>
      <c r="Q13" s="261"/>
      <c r="R13" s="261"/>
      <c r="S13" s="261"/>
      <c r="T13" s="261"/>
      <c r="U13" s="261"/>
      <c r="V13" s="261"/>
      <c r="W13" s="261"/>
      <c r="X13" s="261"/>
      <c r="Y13" s="261"/>
      <c r="Z13" s="261"/>
      <c r="AA13" s="261"/>
      <c r="AB13" s="261"/>
      <c r="AC13" s="261"/>
      <c r="AD13" s="261"/>
      <c r="AE13" s="250"/>
      <c r="AF13" s="250"/>
      <c r="AG13" s="250"/>
    </row>
    <row r="14" spans="1:33">
      <c r="A14" s="909" t="s">
        <v>533</v>
      </c>
      <c r="B14" s="910" t="s">
        <v>522</v>
      </c>
      <c r="C14" s="909"/>
      <c r="D14" s="250"/>
      <c r="E14" s="250"/>
      <c r="F14" s="262"/>
      <c r="G14" s="262"/>
      <c r="H14" s="262"/>
      <c r="I14" s="262"/>
      <c r="J14" s="262"/>
      <c r="K14" s="252"/>
      <c r="L14" s="261"/>
      <c r="M14" s="261"/>
      <c r="N14" s="261"/>
      <c r="O14" s="261"/>
      <c r="P14" s="261"/>
      <c r="Q14" s="261"/>
      <c r="R14" s="261"/>
      <c r="S14" s="261"/>
      <c r="T14" s="261"/>
      <c r="U14" s="261"/>
      <c r="V14" s="261"/>
      <c r="W14" s="261"/>
      <c r="X14" s="261"/>
      <c r="Y14" s="261"/>
      <c r="Z14" s="261"/>
      <c r="AA14" s="261"/>
      <c r="AB14" s="261"/>
      <c r="AC14" s="261"/>
      <c r="AD14" s="261"/>
      <c r="AE14" s="250"/>
      <c r="AF14" s="250"/>
      <c r="AG14" s="250"/>
    </row>
    <row r="15" spans="1:33">
      <c r="A15" s="909" t="s">
        <v>533</v>
      </c>
      <c r="B15" s="910" t="s">
        <v>523</v>
      </c>
      <c r="C15" s="909"/>
      <c r="D15" s="250"/>
      <c r="E15" s="250"/>
      <c r="F15" s="262"/>
      <c r="G15" s="262"/>
      <c r="H15" s="262"/>
      <c r="I15" s="262"/>
      <c r="J15" s="262"/>
      <c r="K15" s="262"/>
      <c r="L15" s="252"/>
      <c r="M15" s="261"/>
      <c r="N15" s="261"/>
      <c r="O15" s="261"/>
      <c r="P15" s="261"/>
      <c r="Q15" s="261"/>
      <c r="R15" s="261"/>
      <c r="S15" s="261"/>
      <c r="T15" s="261"/>
      <c r="U15" s="261"/>
      <c r="V15" s="261"/>
      <c r="W15" s="261"/>
      <c r="X15" s="261"/>
      <c r="Y15" s="261"/>
      <c r="Z15" s="261"/>
      <c r="AA15" s="261"/>
      <c r="AB15" s="261"/>
      <c r="AC15" s="261"/>
      <c r="AD15" s="261"/>
      <c r="AE15" s="250"/>
      <c r="AF15" s="250"/>
      <c r="AG15" s="250"/>
    </row>
    <row r="16" spans="1:33">
      <c r="A16" s="909" t="s">
        <v>533</v>
      </c>
      <c r="B16" s="910" t="s">
        <v>524</v>
      </c>
      <c r="C16" s="909"/>
      <c r="D16" s="250"/>
      <c r="E16" s="250"/>
      <c r="F16" s="262"/>
      <c r="G16" s="262"/>
      <c r="H16" s="262"/>
      <c r="I16" s="262"/>
      <c r="J16" s="262"/>
      <c r="K16" s="262"/>
      <c r="L16" s="262"/>
      <c r="M16" s="252"/>
      <c r="N16" s="261"/>
      <c r="O16" s="261"/>
      <c r="P16" s="261"/>
      <c r="Q16" s="261"/>
      <c r="R16" s="261"/>
      <c r="S16" s="261"/>
      <c r="T16" s="261"/>
      <c r="U16" s="261"/>
      <c r="V16" s="261"/>
      <c r="W16" s="261"/>
      <c r="X16" s="261"/>
      <c r="Y16" s="261"/>
      <c r="Z16" s="261"/>
      <c r="AA16" s="261"/>
      <c r="AB16" s="261"/>
      <c r="AC16" s="261"/>
      <c r="AD16" s="261"/>
      <c r="AE16" s="250"/>
      <c r="AF16" s="250"/>
      <c r="AG16" s="250"/>
    </row>
    <row r="17" spans="1:33">
      <c r="A17" s="909" t="s">
        <v>533</v>
      </c>
      <c r="B17" s="910" t="s">
        <v>525</v>
      </c>
      <c r="C17" s="909"/>
      <c r="D17" s="250"/>
      <c r="E17" s="250"/>
      <c r="F17" s="262"/>
      <c r="G17" s="262"/>
      <c r="H17" s="262"/>
      <c r="I17" s="262"/>
      <c r="J17" s="262"/>
      <c r="K17" s="262"/>
      <c r="L17" s="262"/>
      <c r="M17" s="262"/>
      <c r="N17" s="252"/>
      <c r="O17" s="261"/>
      <c r="P17" s="261"/>
      <c r="Q17" s="261"/>
      <c r="R17" s="261"/>
      <c r="S17" s="261"/>
      <c r="T17" s="261"/>
      <c r="U17" s="261"/>
      <c r="V17" s="261"/>
      <c r="W17" s="261"/>
      <c r="X17" s="261"/>
      <c r="Y17" s="261"/>
      <c r="Z17" s="261"/>
      <c r="AA17" s="261"/>
      <c r="AB17" s="261"/>
      <c r="AC17" s="261"/>
      <c r="AD17" s="261"/>
      <c r="AE17" s="250"/>
      <c r="AF17" s="250"/>
      <c r="AG17" s="250"/>
    </row>
    <row r="18" spans="1:33">
      <c r="A18" s="909" t="s">
        <v>533</v>
      </c>
      <c r="B18" s="910" t="s">
        <v>526</v>
      </c>
      <c r="C18" s="250"/>
      <c r="D18" s="250"/>
      <c r="E18" s="250"/>
      <c r="F18" s="262"/>
      <c r="G18" s="262"/>
      <c r="H18" s="262"/>
      <c r="I18" s="262"/>
      <c r="J18" s="262"/>
      <c r="K18" s="262"/>
      <c r="L18" s="262"/>
      <c r="M18" s="262"/>
      <c r="N18" s="262"/>
      <c r="O18" s="252"/>
      <c r="P18" s="261"/>
      <c r="Q18" s="261"/>
      <c r="R18" s="261"/>
      <c r="S18" s="261"/>
      <c r="T18" s="261"/>
      <c r="U18" s="261"/>
      <c r="V18" s="261"/>
      <c r="W18" s="261"/>
      <c r="X18" s="261"/>
      <c r="Y18" s="261"/>
      <c r="Z18" s="261"/>
      <c r="AA18" s="261"/>
      <c r="AB18" s="261"/>
      <c r="AC18" s="261"/>
      <c r="AD18" s="261"/>
      <c r="AE18" s="250"/>
      <c r="AF18" s="250"/>
      <c r="AG18" s="250"/>
    </row>
    <row r="19" spans="1:33">
      <c r="A19" s="909" t="s">
        <v>533</v>
      </c>
      <c r="B19" s="910" t="s">
        <v>527</v>
      </c>
      <c r="C19" s="250"/>
      <c r="D19" s="250"/>
      <c r="E19" s="250"/>
      <c r="F19" s="262"/>
      <c r="G19" s="262"/>
      <c r="H19" s="262"/>
      <c r="I19" s="262"/>
      <c r="J19" s="262"/>
      <c r="K19" s="262"/>
      <c r="L19" s="262"/>
      <c r="M19" s="262"/>
      <c r="N19" s="262"/>
      <c r="O19" s="262"/>
      <c r="P19" s="252"/>
      <c r="Q19" s="261"/>
      <c r="R19" s="261"/>
      <c r="S19" s="261"/>
      <c r="T19" s="261"/>
      <c r="U19" s="261"/>
      <c r="V19" s="261"/>
      <c r="W19" s="261"/>
      <c r="X19" s="261"/>
      <c r="Y19" s="261"/>
      <c r="Z19" s="261"/>
      <c r="AA19" s="261"/>
      <c r="AB19" s="261"/>
      <c r="AC19" s="261"/>
      <c r="AD19" s="261"/>
      <c r="AE19" s="250"/>
      <c r="AF19" s="250"/>
      <c r="AG19" s="250"/>
    </row>
    <row r="20" spans="1:33">
      <c r="A20" s="909" t="s">
        <v>533</v>
      </c>
      <c r="B20" s="910" t="s">
        <v>528</v>
      </c>
      <c r="C20" s="250"/>
      <c r="D20" s="250"/>
      <c r="E20" s="250"/>
      <c r="F20" s="262"/>
      <c r="G20" s="262"/>
      <c r="H20" s="262"/>
      <c r="I20" s="262"/>
      <c r="J20" s="262"/>
      <c r="K20" s="262"/>
      <c r="L20" s="262"/>
      <c r="M20" s="262"/>
      <c r="N20" s="262"/>
      <c r="O20" s="262"/>
      <c r="P20" s="262"/>
      <c r="Q20" s="252"/>
      <c r="R20" s="261"/>
      <c r="S20" s="261"/>
      <c r="T20" s="261"/>
      <c r="U20" s="261"/>
      <c r="V20" s="261"/>
      <c r="W20" s="261"/>
      <c r="X20" s="261"/>
      <c r="Y20" s="261"/>
      <c r="Z20" s="261"/>
      <c r="AA20" s="261"/>
      <c r="AB20" s="261"/>
      <c r="AC20" s="261"/>
      <c r="AD20" s="261"/>
      <c r="AE20" s="250"/>
      <c r="AF20" s="250"/>
      <c r="AG20" s="250"/>
    </row>
    <row r="21" spans="1:33">
      <c r="A21" s="909" t="s">
        <v>533</v>
      </c>
      <c r="B21" s="910" t="s">
        <v>529</v>
      </c>
      <c r="C21" s="250"/>
      <c r="D21" s="250"/>
      <c r="E21" s="250"/>
      <c r="F21" s="262"/>
      <c r="G21" s="262"/>
      <c r="H21" s="262"/>
      <c r="I21" s="262"/>
      <c r="J21" s="262"/>
      <c r="K21" s="262"/>
      <c r="L21" s="262"/>
      <c r="M21" s="262"/>
      <c r="N21" s="262"/>
      <c r="O21" s="262"/>
      <c r="P21" s="262"/>
      <c r="Q21" s="262"/>
      <c r="R21" s="252"/>
      <c r="S21" s="261"/>
      <c r="T21" s="261"/>
      <c r="U21" s="261"/>
      <c r="V21" s="261"/>
      <c r="W21" s="261"/>
      <c r="X21" s="261"/>
      <c r="Y21" s="261"/>
      <c r="Z21" s="261"/>
      <c r="AA21" s="261"/>
      <c r="AB21" s="261"/>
      <c r="AC21" s="261"/>
      <c r="AD21" s="261"/>
      <c r="AE21" s="250"/>
      <c r="AF21" s="250"/>
      <c r="AG21" s="250"/>
    </row>
    <row r="22" spans="1:33">
      <c r="A22" s="909" t="s">
        <v>533</v>
      </c>
      <c r="B22" s="910" t="s">
        <v>530</v>
      </c>
      <c r="C22" s="250"/>
      <c r="D22" s="250"/>
      <c r="E22" s="250"/>
      <c r="F22" s="262"/>
      <c r="G22" s="262"/>
      <c r="H22" s="262"/>
      <c r="I22" s="262"/>
      <c r="J22" s="262"/>
      <c r="K22" s="262"/>
      <c r="L22" s="262"/>
      <c r="M22" s="262"/>
      <c r="N22" s="262"/>
      <c r="O22" s="262"/>
      <c r="P22" s="262"/>
      <c r="Q22" s="262"/>
      <c r="R22" s="262"/>
      <c r="S22" s="252"/>
      <c r="T22" s="261"/>
      <c r="U22" s="261"/>
      <c r="V22" s="261"/>
      <c r="W22" s="261"/>
      <c r="X22" s="261"/>
      <c r="Y22" s="261"/>
      <c r="Z22" s="261"/>
      <c r="AA22" s="261"/>
      <c r="AB22" s="261"/>
      <c r="AC22" s="261"/>
      <c r="AD22" s="261"/>
      <c r="AE22" s="250"/>
      <c r="AF22" s="250"/>
      <c r="AG22" s="250"/>
    </row>
    <row r="23" spans="1:33">
      <c r="A23" s="909" t="s">
        <v>533</v>
      </c>
      <c r="B23" s="910" t="s">
        <v>534</v>
      </c>
      <c r="C23" s="250"/>
      <c r="D23" s="250"/>
      <c r="E23" s="250"/>
      <c r="F23" s="262"/>
      <c r="G23" s="262"/>
      <c r="H23" s="262"/>
      <c r="I23" s="262"/>
      <c r="J23" s="262"/>
      <c r="K23" s="262"/>
      <c r="L23" s="262"/>
      <c r="M23" s="262"/>
      <c r="N23" s="262"/>
      <c r="O23" s="262"/>
      <c r="P23" s="262"/>
      <c r="Q23" s="262"/>
      <c r="R23" s="262"/>
      <c r="S23" s="262"/>
      <c r="T23" s="252"/>
      <c r="U23" s="261"/>
      <c r="V23" s="261"/>
      <c r="W23" s="261"/>
      <c r="X23" s="261"/>
      <c r="Y23" s="261"/>
      <c r="Z23" s="261"/>
      <c r="AA23" s="261"/>
      <c r="AB23" s="261"/>
      <c r="AC23" s="261"/>
      <c r="AD23" s="261"/>
      <c r="AE23" s="250"/>
      <c r="AF23" s="250"/>
      <c r="AG23" s="250"/>
    </row>
    <row r="24" spans="1:33">
      <c r="A24" s="909" t="s">
        <v>533</v>
      </c>
      <c r="B24" s="910" t="s">
        <v>535</v>
      </c>
      <c r="C24" s="250"/>
      <c r="D24" s="250"/>
      <c r="E24" s="250"/>
      <c r="F24" s="262"/>
      <c r="G24" s="262"/>
      <c r="H24" s="262"/>
      <c r="I24" s="262"/>
      <c r="J24" s="262"/>
      <c r="K24" s="262"/>
      <c r="L24" s="262"/>
      <c r="M24" s="262"/>
      <c r="N24" s="262"/>
      <c r="O24" s="262"/>
      <c r="P24" s="262"/>
      <c r="Q24" s="262"/>
      <c r="R24" s="262"/>
      <c r="S24" s="262"/>
      <c r="T24" s="262"/>
      <c r="U24" s="252"/>
      <c r="V24" s="261"/>
      <c r="W24" s="261"/>
      <c r="X24" s="261"/>
      <c r="Y24" s="261"/>
      <c r="Z24" s="261"/>
      <c r="AA24" s="261"/>
      <c r="AB24" s="261"/>
      <c r="AC24" s="261"/>
      <c r="AD24" s="261"/>
      <c r="AE24" s="250"/>
      <c r="AF24" s="250"/>
      <c r="AG24" s="250"/>
    </row>
    <row r="25" spans="1:33">
      <c r="A25" s="909" t="s">
        <v>533</v>
      </c>
      <c r="B25" s="910" t="s">
        <v>536</v>
      </c>
      <c r="C25" s="250"/>
      <c r="D25" s="250"/>
      <c r="E25" s="250"/>
      <c r="F25" s="262"/>
      <c r="G25" s="262"/>
      <c r="H25" s="262"/>
      <c r="I25" s="262"/>
      <c r="J25" s="262"/>
      <c r="K25" s="262"/>
      <c r="L25" s="262"/>
      <c r="M25" s="262"/>
      <c r="N25" s="262"/>
      <c r="O25" s="262"/>
      <c r="P25" s="262"/>
      <c r="Q25" s="262"/>
      <c r="R25" s="262"/>
      <c r="S25" s="262"/>
      <c r="T25" s="262"/>
      <c r="U25" s="262"/>
      <c r="V25" s="252"/>
      <c r="W25" s="261"/>
      <c r="X25" s="261"/>
      <c r="Y25" s="261"/>
      <c r="Z25" s="261"/>
      <c r="AA25" s="261"/>
      <c r="AB25" s="261"/>
      <c r="AC25" s="261"/>
      <c r="AD25" s="261"/>
      <c r="AE25" s="250"/>
      <c r="AF25" s="250"/>
      <c r="AG25" s="250"/>
    </row>
    <row r="26" spans="1:33">
      <c r="A26" s="909" t="s">
        <v>533</v>
      </c>
      <c r="B26" s="910" t="s">
        <v>546</v>
      </c>
      <c r="C26" s="250"/>
      <c r="D26" s="250"/>
      <c r="E26" s="250"/>
      <c r="F26" s="262"/>
      <c r="G26" s="262"/>
      <c r="H26" s="262"/>
      <c r="I26" s="262"/>
      <c r="J26" s="262"/>
      <c r="K26" s="262"/>
      <c r="L26" s="262"/>
      <c r="M26" s="262"/>
      <c r="N26" s="262"/>
      <c r="O26" s="262"/>
      <c r="P26" s="262"/>
      <c r="Q26" s="262"/>
      <c r="R26" s="262"/>
      <c r="S26" s="262"/>
      <c r="T26" s="262"/>
      <c r="U26" s="262"/>
      <c r="V26" s="262"/>
      <c r="W26" s="252"/>
      <c r="X26" s="261"/>
      <c r="Y26" s="261"/>
      <c r="Z26" s="261"/>
      <c r="AA26" s="261"/>
      <c r="AB26" s="261"/>
      <c r="AC26" s="261"/>
      <c r="AD26" s="261"/>
      <c r="AE26" s="250"/>
      <c r="AF26" s="250"/>
      <c r="AG26" s="250"/>
    </row>
    <row r="27" spans="1:33">
      <c r="A27" s="909" t="s">
        <v>533</v>
      </c>
      <c r="B27" s="910" t="s">
        <v>547</v>
      </c>
      <c r="C27" s="250"/>
      <c r="D27" s="250"/>
      <c r="E27" s="250"/>
      <c r="F27" s="262"/>
      <c r="G27" s="262"/>
      <c r="H27" s="262"/>
      <c r="I27" s="262"/>
      <c r="J27" s="262"/>
      <c r="K27" s="262"/>
      <c r="L27" s="262"/>
      <c r="M27" s="262"/>
      <c r="N27" s="262"/>
      <c r="O27" s="262"/>
      <c r="P27" s="262"/>
      <c r="Q27" s="262"/>
      <c r="R27" s="262"/>
      <c r="S27" s="262"/>
      <c r="T27" s="262"/>
      <c r="U27" s="262"/>
      <c r="V27" s="262"/>
      <c r="W27" s="262"/>
      <c r="X27" s="252"/>
      <c r="Y27" s="261"/>
      <c r="Z27" s="261"/>
      <c r="AA27" s="261"/>
      <c r="AB27" s="261"/>
      <c r="AC27" s="261"/>
      <c r="AD27" s="261"/>
      <c r="AE27" s="250"/>
      <c r="AF27" s="250"/>
      <c r="AG27" s="250"/>
    </row>
    <row r="28" spans="1:33">
      <c r="A28" s="909" t="s">
        <v>533</v>
      </c>
      <c r="B28" s="910" t="s">
        <v>548</v>
      </c>
      <c r="C28" s="250"/>
      <c r="D28" s="250"/>
      <c r="E28" s="250"/>
      <c r="F28" s="262"/>
      <c r="G28" s="262"/>
      <c r="H28" s="262"/>
      <c r="I28" s="262"/>
      <c r="J28" s="262"/>
      <c r="K28" s="262"/>
      <c r="L28" s="262"/>
      <c r="M28" s="262"/>
      <c r="N28" s="262"/>
      <c r="O28" s="262"/>
      <c r="P28" s="262"/>
      <c r="Q28" s="262"/>
      <c r="R28" s="262"/>
      <c r="S28" s="262"/>
      <c r="T28" s="262"/>
      <c r="U28" s="262"/>
      <c r="V28" s="262"/>
      <c r="W28" s="262"/>
      <c r="X28" s="262"/>
      <c r="Y28" s="252"/>
      <c r="Z28" s="261"/>
      <c r="AA28" s="261"/>
      <c r="AB28" s="261"/>
      <c r="AC28" s="261"/>
      <c r="AD28" s="261"/>
      <c r="AE28" s="250"/>
      <c r="AF28" s="250"/>
      <c r="AG28" s="250"/>
    </row>
    <row r="29" spans="1:33" ht="29.4" customHeight="1">
      <c r="A29" s="909" t="s">
        <v>533</v>
      </c>
      <c r="B29" s="910" t="s">
        <v>1038</v>
      </c>
      <c r="C29" s="912"/>
      <c r="D29" s="250"/>
      <c r="E29" s="250"/>
      <c r="F29" s="262"/>
      <c r="G29" s="262"/>
      <c r="H29" s="262"/>
      <c r="I29" s="262"/>
      <c r="J29" s="262"/>
      <c r="K29" s="262"/>
      <c r="L29" s="262"/>
      <c r="M29" s="262"/>
      <c r="N29" s="262"/>
      <c r="O29" s="262"/>
      <c r="P29" s="262"/>
      <c r="Q29" s="262"/>
      <c r="R29" s="262"/>
      <c r="S29" s="262"/>
      <c r="T29" s="262"/>
      <c r="U29" s="262"/>
      <c r="V29" s="262"/>
      <c r="W29" s="262"/>
      <c r="X29" s="262"/>
      <c r="Y29" s="262"/>
      <c r="Z29" s="252"/>
      <c r="AA29" s="261"/>
      <c r="AB29" s="261"/>
      <c r="AC29" s="261"/>
      <c r="AD29" s="261"/>
      <c r="AE29" s="250"/>
      <c r="AF29" s="250"/>
      <c r="AG29" s="250"/>
    </row>
    <row r="30" spans="1:33">
      <c r="A30" s="909" t="s">
        <v>533</v>
      </c>
      <c r="B30" s="910" t="s">
        <v>1039</v>
      </c>
      <c r="C30" s="250"/>
      <c r="D30" s="250"/>
      <c r="E30" s="250"/>
      <c r="F30" s="262"/>
      <c r="G30" s="262"/>
      <c r="H30" s="262"/>
      <c r="I30" s="262"/>
      <c r="J30" s="262"/>
      <c r="K30" s="262"/>
      <c r="L30" s="262"/>
      <c r="M30" s="262"/>
      <c r="N30" s="262"/>
      <c r="O30" s="262"/>
      <c r="P30" s="262"/>
      <c r="Q30" s="262"/>
      <c r="R30" s="262"/>
      <c r="S30" s="262"/>
      <c r="T30" s="262"/>
      <c r="U30" s="262"/>
      <c r="V30" s="262"/>
      <c r="W30" s="262"/>
      <c r="X30" s="262"/>
      <c r="Y30" s="262"/>
      <c r="Z30" s="262"/>
      <c r="AA30" s="252"/>
      <c r="AB30" s="261"/>
      <c r="AC30" s="261"/>
      <c r="AD30" s="261"/>
      <c r="AE30" s="250"/>
      <c r="AF30" s="250"/>
      <c r="AG30" s="250"/>
    </row>
    <row r="31" spans="1:33">
      <c r="A31" s="909" t="s">
        <v>533</v>
      </c>
      <c r="B31" s="910" t="s">
        <v>1040</v>
      </c>
      <c r="C31" s="250"/>
      <c r="D31" s="250"/>
      <c r="E31" s="250"/>
      <c r="F31" s="262"/>
      <c r="G31" s="262"/>
      <c r="H31" s="262"/>
      <c r="I31" s="262"/>
      <c r="J31" s="262"/>
      <c r="K31" s="262"/>
      <c r="L31" s="262"/>
      <c r="M31" s="262"/>
      <c r="N31" s="262"/>
      <c r="O31" s="262"/>
      <c r="P31" s="262"/>
      <c r="Q31" s="262"/>
      <c r="R31" s="262"/>
      <c r="S31" s="262"/>
      <c r="T31" s="262"/>
      <c r="U31" s="262"/>
      <c r="V31" s="262"/>
      <c r="W31" s="262"/>
      <c r="X31" s="262"/>
      <c r="Y31" s="262"/>
      <c r="Z31" s="262"/>
      <c r="AA31" s="262"/>
      <c r="AB31" s="252"/>
      <c r="AC31" s="261"/>
      <c r="AD31" s="261"/>
      <c r="AE31" s="250"/>
      <c r="AF31" s="250"/>
      <c r="AG31" s="250"/>
    </row>
    <row r="32" spans="1:33">
      <c r="A32" s="909" t="s">
        <v>533</v>
      </c>
      <c r="B32" s="910" t="s">
        <v>1041</v>
      </c>
      <c r="C32" s="250"/>
      <c r="D32" s="250"/>
      <c r="E32" s="250"/>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52"/>
      <c r="AD32" s="261"/>
      <c r="AE32" s="250"/>
      <c r="AF32" s="250"/>
      <c r="AG32" s="250"/>
    </row>
    <row r="33" spans="1:36">
      <c r="A33" s="909" t="s">
        <v>533</v>
      </c>
      <c r="B33" s="910" t="s">
        <v>1042</v>
      </c>
      <c r="C33" s="250"/>
      <c r="D33" s="250"/>
      <c r="E33" s="250"/>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52"/>
      <c r="AE33" s="250"/>
      <c r="AF33" s="250"/>
      <c r="AG33" s="250"/>
    </row>
    <row r="34" spans="1:36" ht="13">
      <c r="A34" s="913"/>
      <c r="B34" s="914" t="s">
        <v>271</v>
      </c>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row>
    <row r="36" spans="1:36" s="916" customFormat="1" ht="13">
      <c r="A36" s="903"/>
      <c r="B36" s="904" t="s">
        <v>537</v>
      </c>
      <c r="C36" s="903"/>
      <c r="D36" s="903"/>
      <c r="E36" s="903"/>
      <c r="F36" s="905" t="s">
        <v>10</v>
      </c>
      <c r="G36" s="903"/>
      <c r="H36" s="915"/>
      <c r="I36" s="903"/>
      <c r="J36" s="915"/>
      <c r="K36" s="915"/>
      <c r="L36" s="903"/>
      <c r="M36" s="903"/>
      <c r="N36" s="903"/>
      <c r="O36" s="903"/>
      <c r="P36" s="903"/>
      <c r="Q36" s="903"/>
      <c r="R36" s="903"/>
      <c r="S36" s="903"/>
      <c r="T36" s="903"/>
      <c r="U36" s="903"/>
      <c r="V36" s="903"/>
      <c r="W36" s="903"/>
      <c r="X36" s="903"/>
      <c r="Y36" s="903"/>
      <c r="Z36" s="903"/>
      <c r="AA36" s="903"/>
      <c r="AB36" s="903"/>
      <c r="AC36" s="903"/>
      <c r="AD36" s="903"/>
      <c r="AE36" s="903"/>
      <c r="AF36" s="903"/>
      <c r="AG36" s="903"/>
      <c r="AI36" s="917"/>
      <c r="AJ36" s="917"/>
    </row>
    <row r="37" spans="1:36" ht="26.15" customHeight="1">
      <c r="A37" s="918"/>
      <c r="B37" s="919" t="s">
        <v>413</v>
      </c>
      <c r="C37" s="2003" t="s">
        <v>515</v>
      </c>
      <c r="D37" s="2003" t="s">
        <v>516</v>
      </c>
      <c r="E37" s="2003" t="s">
        <v>586</v>
      </c>
      <c r="F37" s="2005" t="s">
        <v>587</v>
      </c>
      <c r="G37" s="2006"/>
      <c r="H37" s="2006"/>
      <c r="I37" s="2006"/>
      <c r="J37" s="2006"/>
      <c r="K37" s="2006"/>
      <c r="L37" s="2006"/>
      <c r="M37" s="2006"/>
      <c r="N37" s="2006"/>
      <c r="O37" s="2006"/>
      <c r="P37" s="2006"/>
      <c r="Q37" s="2006"/>
      <c r="R37" s="2006"/>
      <c r="S37" s="2006"/>
      <c r="T37" s="2006"/>
      <c r="U37" s="2006"/>
      <c r="V37" s="2006"/>
      <c r="W37" s="2006"/>
      <c r="X37" s="2006"/>
      <c r="Y37" s="2006"/>
      <c r="Z37" s="2006"/>
      <c r="AA37" s="2006"/>
      <c r="AB37" s="2006"/>
      <c r="AC37" s="2006"/>
      <c r="AD37" s="2007"/>
      <c r="AE37" s="907" t="s">
        <v>538</v>
      </c>
      <c r="AF37" s="907" t="s">
        <v>531</v>
      </c>
      <c r="AG37" s="907" t="s">
        <v>539</v>
      </c>
    </row>
    <row r="38" spans="1:36" ht="12.9" customHeight="1">
      <c r="A38" s="918"/>
      <c r="B38" s="919"/>
      <c r="C38" s="2004"/>
      <c r="D38" s="2004"/>
      <c r="E38" s="2004"/>
      <c r="F38" s="908" t="s">
        <v>517</v>
      </c>
      <c r="G38" s="908" t="s">
        <v>518</v>
      </c>
      <c r="H38" s="908" t="s">
        <v>519</v>
      </c>
      <c r="I38" s="908" t="s">
        <v>520</v>
      </c>
      <c r="J38" s="908" t="s">
        <v>521</v>
      </c>
      <c r="K38" s="908" t="s">
        <v>522</v>
      </c>
      <c r="L38" s="908" t="s">
        <v>523</v>
      </c>
      <c r="M38" s="908" t="s">
        <v>524</v>
      </c>
      <c r="N38" s="908" t="s">
        <v>525</v>
      </c>
      <c r="O38" s="908" t="s">
        <v>526</v>
      </c>
      <c r="P38" s="908" t="s">
        <v>527</v>
      </c>
      <c r="Q38" s="908" t="s">
        <v>528</v>
      </c>
      <c r="R38" s="908" t="s">
        <v>529</v>
      </c>
      <c r="S38" s="908" t="s">
        <v>530</v>
      </c>
      <c r="T38" s="908" t="s">
        <v>325</v>
      </c>
      <c r="U38" s="908" t="s">
        <v>506</v>
      </c>
      <c r="V38" s="908" t="s">
        <v>507</v>
      </c>
      <c r="W38" s="908" t="s">
        <v>508</v>
      </c>
      <c r="X38" s="908" t="s">
        <v>509</v>
      </c>
      <c r="Y38" s="908" t="s">
        <v>510</v>
      </c>
      <c r="Z38" s="908" t="s">
        <v>958</v>
      </c>
      <c r="AA38" s="908" t="s">
        <v>959</v>
      </c>
      <c r="AB38" s="908" t="s">
        <v>960</v>
      </c>
      <c r="AC38" s="908" t="s">
        <v>961</v>
      </c>
      <c r="AD38" s="908" t="s">
        <v>962</v>
      </c>
      <c r="AE38" s="907"/>
      <c r="AF38" s="907"/>
      <c r="AG38" s="907"/>
    </row>
    <row r="39" spans="1:36">
      <c r="A39" s="909" t="s">
        <v>532</v>
      </c>
      <c r="B39" s="910">
        <v>2005</v>
      </c>
      <c r="C39" s="909"/>
      <c r="D39" s="909"/>
      <c r="E39" s="920"/>
      <c r="F39" s="261"/>
      <c r="G39" s="261"/>
      <c r="H39" s="261"/>
      <c r="I39" s="261"/>
      <c r="J39" s="261"/>
      <c r="K39" s="261"/>
      <c r="L39" s="261"/>
      <c r="M39" s="261"/>
      <c r="N39" s="261"/>
      <c r="O39" s="261"/>
      <c r="P39" s="261"/>
      <c r="Q39" s="261"/>
      <c r="R39" s="261"/>
      <c r="S39" s="261"/>
      <c r="T39" s="261"/>
      <c r="U39" s="261"/>
      <c r="V39" s="261"/>
      <c r="W39" s="261"/>
      <c r="X39" s="261"/>
      <c r="Y39" s="261"/>
      <c r="Z39" s="261"/>
      <c r="AA39" s="261"/>
      <c r="AB39" s="261"/>
      <c r="AC39" s="261"/>
      <c r="AD39" s="261"/>
      <c r="AE39" s="250"/>
      <c r="AF39" s="250"/>
      <c r="AG39" s="921"/>
      <c r="AI39" s="915"/>
    </row>
    <row r="40" spans="1:36">
      <c r="A40" s="909" t="s">
        <v>533</v>
      </c>
      <c r="B40" s="910" t="s">
        <v>517</v>
      </c>
      <c r="C40" s="909"/>
      <c r="D40" s="909"/>
      <c r="E40" s="920"/>
      <c r="F40" s="252"/>
      <c r="G40" s="261"/>
      <c r="H40" s="261"/>
      <c r="I40" s="261"/>
      <c r="J40" s="261"/>
      <c r="K40" s="261"/>
      <c r="L40" s="261"/>
      <c r="M40" s="261"/>
      <c r="N40" s="261"/>
      <c r="O40" s="261"/>
      <c r="P40" s="261"/>
      <c r="Q40" s="261"/>
      <c r="R40" s="261"/>
      <c r="S40" s="261"/>
      <c r="T40" s="261"/>
      <c r="U40" s="261"/>
      <c r="V40" s="261"/>
      <c r="W40" s="261"/>
      <c r="X40" s="261"/>
      <c r="Y40" s="261"/>
      <c r="Z40" s="261"/>
      <c r="AA40" s="261"/>
      <c r="AB40" s="261"/>
      <c r="AC40" s="261"/>
      <c r="AD40" s="261"/>
      <c r="AE40" s="250"/>
      <c r="AF40" s="250"/>
      <c r="AG40" s="921"/>
    </row>
    <row r="41" spans="1:36">
      <c r="A41" s="909" t="s">
        <v>533</v>
      </c>
      <c r="B41" s="910" t="s">
        <v>518</v>
      </c>
      <c r="C41" s="909"/>
      <c r="D41" s="909"/>
      <c r="E41" s="920"/>
      <c r="F41" s="262"/>
      <c r="G41" s="252"/>
      <c r="H41" s="261"/>
      <c r="I41" s="261"/>
      <c r="J41" s="261"/>
      <c r="K41" s="261"/>
      <c r="L41" s="261"/>
      <c r="M41" s="261"/>
      <c r="N41" s="261"/>
      <c r="O41" s="261"/>
      <c r="P41" s="261"/>
      <c r="Q41" s="261"/>
      <c r="R41" s="261"/>
      <c r="S41" s="261"/>
      <c r="T41" s="261"/>
      <c r="U41" s="261"/>
      <c r="V41" s="261"/>
      <c r="W41" s="261"/>
      <c r="X41" s="261"/>
      <c r="Y41" s="261"/>
      <c r="Z41" s="261"/>
      <c r="AA41" s="261"/>
      <c r="AB41" s="261"/>
      <c r="AC41" s="261"/>
      <c r="AD41" s="261"/>
      <c r="AE41" s="250"/>
      <c r="AF41" s="250"/>
      <c r="AG41" s="921"/>
    </row>
    <row r="42" spans="1:36">
      <c r="A42" s="909" t="s">
        <v>533</v>
      </c>
      <c r="B42" s="910" t="s">
        <v>519</v>
      </c>
      <c r="C42" s="909"/>
      <c r="D42" s="909"/>
      <c r="E42" s="920"/>
      <c r="F42" s="262"/>
      <c r="G42" s="262"/>
      <c r="H42" s="252"/>
      <c r="I42" s="261"/>
      <c r="J42" s="261"/>
      <c r="K42" s="261"/>
      <c r="L42" s="261"/>
      <c r="M42" s="261"/>
      <c r="N42" s="261"/>
      <c r="O42" s="261"/>
      <c r="P42" s="261"/>
      <c r="Q42" s="261"/>
      <c r="R42" s="261"/>
      <c r="S42" s="261"/>
      <c r="T42" s="261"/>
      <c r="U42" s="261"/>
      <c r="V42" s="261"/>
      <c r="W42" s="261"/>
      <c r="X42" s="261"/>
      <c r="Y42" s="261"/>
      <c r="Z42" s="261"/>
      <c r="AA42" s="261"/>
      <c r="AB42" s="261"/>
      <c r="AC42" s="261"/>
      <c r="AD42" s="261"/>
      <c r="AE42" s="250"/>
      <c r="AF42" s="250"/>
      <c r="AG42" s="921"/>
    </row>
    <row r="43" spans="1:36">
      <c r="A43" s="909" t="s">
        <v>533</v>
      </c>
      <c r="B43" s="910" t="s">
        <v>520</v>
      </c>
      <c r="C43" s="909"/>
      <c r="D43" s="909"/>
      <c r="E43" s="920"/>
      <c r="F43" s="262"/>
      <c r="G43" s="262"/>
      <c r="H43" s="262"/>
      <c r="I43" s="252"/>
      <c r="J43" s="261"/>
      <c r="K43" s="261"/>
      <c r="L43" s="261"/>
      <c r="M43" s="261"/>
      <c r="N43" s="261"/>
      <c r="O43" s="261"/>
      <c r="P43" s="261"/>
      <c r="Q43" s="261"/>
      <c r="R43" s="261"/>
      <c r="S43" s="261"/>
      <c r="T43" s="261"/>
      <c r="U43" s="261"/>
      <c r="V43" s="261"/>
      <c r="W43" s="261"/>
      <c r="X43" s="261"/>
      <c r="Y43" s="261"/>
      <c r="Z43" s="261"/>
      <c r="AA43" s="261"/>
      <c r="AB43" s="261"/>
      <c r="AC43" s="261"/>
      <c r="AD43" s="261"/>
      <c r="AE43" s="250"/>
      <c r="AF43" s="250"/>
      <c r="AG43" s="921"/>
    </row>
    <row r="44" spans="1:36">
      <c r="A44" s="909" t="s">
        <v>533</v>
      </c>
      <c r="B44" s="910" t="s">
        <v>521</v>
      </c>
      <c r="C44" s="909"/>
      <c r="D44" s="909"/>
      <c r="E44" s="920"/>
      <c r="F44" s="262"/>
      <c r="G44" s="262"/>
      <c r="H44" s="262"/>
      <c r="I44" s="262"/>
      <c r="J44" s="252"/>
      <c r="K44" s="261"/>
      <c r="L44" s="261"/>
      <c r="M44" s="261"/>
      <c r="N44" s="261"/>
      <c r="O44" s="261"/>
      <c r="P44" s="261"/>
      <c r="Q44" s="261"/>
      <c r="R44" s="261"/>
      <c r="S44" s="261"/>
      <c r="T44" s="261"/>
      <c r="U44" s="261"/>
      <c r="V44" s="261"/>
      <c r="W44" s="261"/>
      <c r="X44" s="261"/>
      <c r="Y44" s="261"/>
      <c r="Z44" s="261"/>
      <c r="AA44" s="261"/>
      <c r="AB44" s="261"/>
      <c r="AC44" s="261"/>
      <c r="AD44" s="261"/>
      <c r="AE44" s="250"/>
      <c r="AF44" s="250"/>
      <c r="AG44" s="921"/>
    </row>
    <row r="45" spans="1:36">
      <c r="A45" s="909" t="s">
        <v>533</v>
      </c>
      <c r="B45" s="910" t="s">
        <v>522</v>
      </c>
      <c r="C45" s="909"/>
      <c r="D45" s="909"/>
      <c r="E45" s="920"/>
      <c r="F45" s="262"/>
      <c r="G45" s="262"/>
      <c r="H45" s="262"/>
      <c r="I45" s="262"/>
      <c r="J45" s="262"/>
      <c r="K45" s="252"/>
      <c r="L45" s="261"/>
      <c r="M45" s="261"/>
      <c r="N45" s="261"/>
      <c r="O45" s="261"/>
      <c r="P45" s="261"/>
      <c r="Q45" s="261"/>
      <c r="R45" s="261"/>
      <c r="S45" s="261"/>
      <c r="T45" s="261"/>
      <c r="U45" s="261"/>
      <c r="V45" s="261"/>
      <c r="W45" s="261"/>
      <c r="X45" s="261"/>
      <c r="Y45" s="261"/>
      <c r="Z45" s="261"/>
      <c r="AA45" s="261"/>
      <c r="AB45" s="261"/>
      <c r="AC45" s="261"/>
      <c r="AD45" s="261"/>
      <c r="AE45" s="250"/>
      <c r="AF45" s="250"/>
      <c r="AG45" s="921"/>
    </row>
    <row r="46" spans="1:36">
      <c r="A46" s="909" t="s">
        <v>533</v>
      </c>
      <c r="B46" s="910" t="s">
        <v>523</v>
      </c>
      <c r="C46" s="909"/>
      <c r="D46" s="909"/>
      <c r="E46" s="920"/>
      <c r="F46" s="262"/>
      <c r="G46" s="262"/>
      <c r="H46" s="262"/>
      <c r="I46" s="262"/>
      <c r="J46" s="262"/>
      <c r="K46" s="262"/>
      <c r="L46" s="252"/>
      <c r="M46" s="261"/>
      <c r="N46" s="261"/>
      <c r="O46" s="261"/>
      <c r="P46" s="261"/>
      <c r="Q46" s="261"/>
      <c r="R46" s="261"/>
      <c r="S46" s="261"/>
      <c r="T46" s="261"/>
      <c r="U46" s="261"/>
      <c r="V46" s="261"/>
      <c r="W46" s="261"/>
      <c r="X46" s="261"/>
      <c r="Y46" s="261"/>
      <c r="Z46" s="261"/>
      <c r="AA46" s="261"/>
      <c r="AB46" s="261"/>
      <c r="AC46" s="261"/>
      <c r="AD46" s="261"/>
      <c r="AE46" s="250"/>
      <c r="AF46" s="250"/>
      <c r="AG46" s="921"/>
    </row>
    <row r="47" spans="1:36">
      <c r="A47" s="909" t="s">
        <v>533</v>
      </c>
      <c r="B47" s="910" t="s">
        <v>524</v>
      </c>
      <c r="C47" s="909"/>
      <c r="D47" s="909"/>
      <c r="E47" s="920"/>
      <c r="F47" s="262"/>
      <c r="G47" s="262"/>
      <c r="H47" s="262"/>
      <c r="I47" s="262"/>
      <c r="J47" s="262"/>
      <c r="K47" s="262"/>
      <c r="L47" s="262"/>
      <c r="M47" s="252"/>
      <c r="N47" s="261"/>
      <c r="O47" s="261"/>
      <c r="P47" s="261"/>
      <c r="Q47" s="261"/>
      <c r="R47" s="261"/>
      <c r="S47" s="261"/>
      <c r="T47" s="261"/>
      <c r="U47" s="261"/>
      <c r="V47" s="261"/>
      <c r="W47" s="261"/>
      <c r="X47" s="261"/>
      <c r="Y47" s="261"/>
      <c r="Z47" s="261"/>
      <c r="AA47" s="261"/>
      <c r="AB47" s="261"/>
      <c r="AC47" s="261"/>
      <c r="AD47" s="261"/>
      <c r="AE47" s="250"/>
      <c r="AF47" s="250"/>
      <c r="AG47" s="921"/>
    </row>
    <row r="48" spans="1:36">
      <c r="A48" s="909" t="s">
        <v>533</v>
      </c>
      <c r="B48" s="910" t="s">
        <v>525</v>
      </c>
      <c r="C48" s="909"/>
      <c r="D48" s="909"/>
      <c r="E48" s="920"/>
      <c r="F48" s="262"/>
      <c r="G48" s="262"/>
      <c r="H48" s="262"/>
      <c r="I48" s="262"/>
      <c r="J48" s="262"/>
      <c r="K48" s="262"/>
      <c r="L48" s="262"/>
      <c r="M48" s="262"/>
      <c r="N48" s="252"/>
      <c r="O48" s="261"/>
      <c r="P48" s="261"/>
      <c r="Q48" s="261"/>
      <c r="R48" s="261"/>
      <c r="S48" s="261"/>
      <c r="T48" s="261"/>
      <c r="U48" s="261"/>
      <c r="V48" s="261"/>
      <c r="W48" s="261"/>
      <c r="X48" s="261"/>
      <c r="Y48" s="261"/>
      <c r="Z48" s="261"/>
      <c r="AA48" s="261"/>
      <c r="AB48" s="261"/>
      <c r="AC48" s="261"/>
      <c r="AD48" s="261"/>
      <c r="AE48" s="250"/>
      <c r="AF48" s="250"/>
      <c r="AG48" s="921"/>
    </row>
    <row r="49" spans="1:33">
      <c r="A49" s="909" t="s">
        <v>533</v>
      </c>
      <c r="B49" s="910" t="s">
        <v>526</v>
      </c>
      <c r="C49" s="250"/>
      <c r="D49" s="909"/>
      <c r="E49" s="920"/>
      <c r="F49" s="262"/>
      <c r="G49" s="262"/>
      <c r="H49" s="262"/>
      <c r="I49" s="262"/>
      <c r="J49" s="262"/>
      <c r="K49" s="262"/>
      <c r="L49" s="262"/>
      <c r="M49" s="262"/>
      <c r="N49" s="262"/>
      <c r="O49" s="252"/>
      <c r="P49" s="261"/>
      <c r="Q49" s="261"/>
      <c r="R49" s="261"/>
      <c r="S49" s="261"/>
      <c r="T49" s="261"/>
      <c r="U49" s="261"/>
      <c r="V49" s="261"/>
      <c r="W49" s="261"/>
      <c r="X49" s="261"/>
      <c r="Y49" s="261"/>
      <c r="Z49" s="261"/>
      <c r="AA49" s="261"/>
      <c r="AB49" s="261"/>
      <c r="AC49" s="261"/>
      <c r="AD49" s="261"/>
      <c r="AE49" s="250"/>
      <c r="AF49" s="250"/>
      <c r="AG49" s="921"/>
    </row>
    <row r="50" spans="1:33">
      <c r="A50" s="909" t="s">
        <v>533</v>
      </c>
      <c r="B50" s="910" t="s">
        <v>527</v>
      </c>
      <c r="C50" s="250"/>
      <c r="D50" s="909"/>
      <c r="E50" s="920"/>
      <c r="F50" s="262"/>
      <c r="G50" s="262"/>
      <c r="H50" s="262"/>
      <c r="I50" s="262"/>
      <c r="J50" s="262"/>
      <c r="K50" s="262"/>
      <c r="L50" s="262"/>
      <c r="M50" s="262"/>
      <c r="N50" s="262"/>
      <c r="O50" s="262"/>
      <c r="P50" s="252"/>
      <c r="Q50" s="261"/>
      <c r="R50" s="261"/>
      <c r="S50" s="261"/>
      <c r="T50" s="261"/>
      <c r="U50" s="261"/>
      <c r="V50" s="261"/>
      <c r="W50" s="261"/>
      <c r="X50" s="261"/>
      <c r="Y50" s="261"/>
      <c r="Z50" s="261"/>
      <c r="AA50" s="261"/>
      <c r="AB50" s="261"/>
      <c r="AC50" s="261"/>
      <c r="AD50" s="261"/>
      <c r="AE50" s="250"/>
      <c r="AF50" s="250"/>
      <c r="AG50" s="921"/>
    </row>
    <row r="51" spans="1:33">
      <c r="A51" s="909" t="s">
        <v>533</v>
      </c>
      <c r="B51" s="910" t="s">
        <v>528</v>
      </c>
      <c r="C51" s="922"/>
      <c r="D51" s="250"/>
      <c r="E51" s="920"/>
      <c r="F51" s="262"/>
      <c r="G51" s="262"/>
      <c r="H51" s="262"/>
      <c r="I51" s="262"/>
      <c r="J51" s="262"/>
      <c r="K51" s="262"/>
      <c r="L51" s="262"/>
      <c r="M51" s="262"/>
      <c r="N51" s="262"/>
      <c r="O51" s="262"/>
      <c r="P51" s="262"/>
      <c r="Q51" s="252"/>
      <c r="R51" s="261"/>
      <c r="S51" s="261"/>
      <c r="T51" s="261"/>
      <c r="U51" s="261"/>
      <c r="V51" s="261"/>
      <c r="W51" s="261"/>
      <c r="X51" s="261"/>
      <c r="Y51" s="261"/>
      <c r="Z51" s="261"/>
      <c r="AA51" s="261"/>
      <c r="AB51" s="261"/>
      <c r="AC51" s="261"/>
      <c r="AD51" s="261"/>
      <c r="AE51" s="250"/>
      <c r="AF51" s="250"/>
      <c r="AG51" s="921"/>
    </row>
    <row r="52" spans="1:33">
      <c r="A52" s="909" t="s">
        <v>533</v>
      </c>
      <c r="B52" s="910" t="s">
        <v>529</v>
      </c>
      <c r="C52" s="250"/>
      <c r="D52" s="250"/>
      <c r="E52" s="920"/>
      <c r="F52" s="262"/>
      <c r="G52" s="262"/>
      <c r="H52" s="262"/>
      <c r="I52" s="262"/>
      <c r="J52" s="262"/>
      <c r="K52" s="262"/>
      <c r="L52" s="262"/>
      <c r="M52" s="262"/>
      <c r="N52" s="262"/>
      <c r="O52" s="262"/>
      <c r="P52" s="262"/>
      <c r="Q52" s="262"/>
      <c r="R52" s="252"/>
      <c r="S52" s="261"/>
      <c r="T52" s="261"/>
      <c r="U52" s="261"/>
      <c r="V52" s="261"/>
      <c r="W52" s="261"/>
      <c r="X52" s="261"/>
      <c r="Y52" s="261"/>
      <c r="Z52" s="261"/>
      <c r="AA52" s="261"/>
      <c r="AB52" s="261"/>
      <c r="AC52" s="261"/>
      <c r="AD52" s="261"/>
      <c r="AE52" s="250"/>
      <c r="AF52" s="250"/>
      <c r="AG52" s="921"/>
    </row>
    <row r="53" spans="1:33">
      <c r="A53" s="909" t="s">
        <v>533</v>
      </c>
      <c r="B53" s="910" t="s">
        <v>530</v>
      </c>
      <c r="C53" s="250"/>
      <c r="D53" s="250"/>
      <c r="E53" s="920"/>
      <c r="F53" s="262"/>
      <c r="G53" s="262"/>
      <c r="H53" s="262"/>
      <c r="I53" s="262"/>
      <c r="J53" s="262"/>
      <c r="K53" s="262"/>
      <c r="L53" s="262"/>
      <c r="M53" s="262"/>
      <c r="N53" s="262"/>
      <c r="O53" s="262"/>
      <c r="P53" s="262"/>
      <c r="Q53" s="262"/>
      <c r="R53" s="262"/>
      <c r="S53" s="252"/>
      <c r="T53" s="261"/>
      <c r="U53" s="261"/>
      <c r="V53" s="261"/>
      <c r="W53" s="261"/>
      <c r="X53" s="261"/>
      <c r="Y53" s="261"/>
      <c r="Z53" s="261"/>
      <c r="AA53" s="261"/>
      <c r="AB53" s="261"/>
      <c r="AC53" s="261"/>
      <c r="AD53" s="261"/>
      <c r="AE53" s="250"/>
      <c r="AF53" s="250"/>
      <c r="AG53" s="921"/>
    </row>
    <row r="54" spans="1:33">
      <c r="A54" s="909" t="s">
        <v>533</v>
      </c>
      <c r="B54" s="910" t="s">
        <v>534</v>
      </c>
      <c r="C54" s="250"/>
      <c r="D54" s="250"/>
      <c r="E54" s="923"/>
      <c r="F54" s="262"/>
      <c r="G54" s="262"/>
      <c r="H54" s="262"/>
      <c r="I54" s="262"/>
      <c r="J54" s="262"/>
      <c r="K54" s="262"/>
      <c r="L54" s="262"/>
      <c r="M54" s="262"/>
      <c r="N54" s="262"/>
      <c r="O54" s="262"/>
      <c r="P54" s="262"/>
      <c r="Q54" s="262"/>
      <c r="R54" s="262"/>
      <c r="S54" s="262"/>
      <c r="T54" s="252"/>
      <c r="U54" s="261"/>
      <c r="V54" s="261"/>
      <c r="W54" s="261"/>
      <c r="X54" s="261"/>
      <c r="Y54" s="261"/>
      <c r="Z54" s="261"/>
      <c r="AA54" s="261"/>
      <c r="AB54" s="261"/>
      <c r="AC54" s="261"/>
      <c r="AD54" s="261"/>
      <c r="AE54" s="250"/>
      <c r="AF54" s="250"/>
      <c r="AG54" s="921"/>
    </row>
    <row r="55" spans="1:33">
      <c r="A55" s="909" t="s">
        <v>533</v>
      </c>
      <c r="B55" s="910" t="s">
        <v>535</v>
      </c>
      <c r="C55" s="250"/>
      <c r="D55" s="250"/>
      <c r="E55" s="923"/>
      <c r="F55" s="262"/>
      <c r="G55" s="262"/>
      <c r="H55" s="262"/>
      <c r="I55" s="262"/>
      <c r="J55" s="262"/>
      <c r="K55" s="262"/>
      <c r="L55" s="262"/>
      <c r="M55" s="262"/>
      <c r="N55" s="262"/>
      <c r="O55" s="262"/>
      <c r="P55" s="262"/>
      <c r="Q55" s="262"/>
      <c r="R55" s="262"/>
      <c r="S55" s="262"/>
      <c r="T55" s="262"/>
      <c r="U55" s="252"/>
      <c r="V55" s="261"/>
      <c r="W55" s="261"/>
      <c r="X55" s="261"/>
      <c r="Y55" s="261"/>
      <c r="Z55" s="261"/>
      <c r="AA55" s="261"/>
      <c r="AB55" s="261"/>
      <c r="AC55" s="261"/>
      <c r="AD55" s="261"/>
      <c r="AE55" s="250"/>
      <c r="AF55" s="250"/>
      <c r="AG55" s="921"/>
    </row>
    <row r="56" spans="1:33">
      <c r="A56" s="909" t="s">
        <v>533</v>
      </c>
      <c r="B56" s="910" t="s">
        <v>536</v>
      </c>
      <c r="C56" s="250"/>
      <c r="D56" s="250"/>
      <c r="E56" s="923"/>
      <c r="F56" s="262"/>
      <c r="G56" s="262"/>
      <c r="H56" s="262"/>
      <c r="I56" s="262"/>
      <c r="J56" s="262"/>
      <c r="K56" s="262"/>
      <c r="L56" s="262"/>
      <c r="M56" s="262"/>
      <c r="N56" s="262"/>
      <c r="O56" s="262"/>
      <c r="P56" s="262"/>
      <c r="Q56" s="262"/>
      <c r="R56" s="262"/>
      <c r="S56" s="262"/>
      <c r="T56" s="262"/>
      <c r="U56" s="262"/>
      <c r="V56" s="252"/>
      <c r="W56" s="261"/>
      <c r="X56" s="261"/>
      <c r="Y56" s="261"/>
      <c r="Z56" s="261"/>
      <c r="AA56" s="261"/>
      <c r="AB56" s="261"/>
      <c r="AC56" s="261"/>
      <c r="AD56" s="261"/>
      <c r="AE56" s="250"/>
      <c r="AF56" s="250"/>
      <c r="AG56" s="921"/>
    </row>
    <row r="57" spans="1:33">
      <c r="A57" s="909" t="s">
        <v>533</v>
      </c>
      <c r="B57" s="910" t="s">
        <v>546</v>
      </c>
      <c r="C57" s="250"/>
      <c r="D57" s="250"/>
      <c r="E57" s="923"/>
      <c r="F57" s="262"/>
      <c r="G57" s="262"/>
      <c r="H57" s="262"/>
      <c r="I57" s="262"/>
      <c r="J57" s="262"/>
      <c r="K57" s="262"/>
      <c r="L57" s="262"/>
      <c r="M57" s="262"/>
      <c r="N57" s="262"/>
      <c r="O57" s="262"/>
      <c r="P57" s="262"/>
      <c r="Q57" s="262"/>
      <c r="R57" s="262"/>
      <c r="S57" s="262"/>
      <c r="T57" s="262"/>
      <c r="U57" s="262"/>
      <c r="V57" s="262"/>
      <c r="W57" s="252"/>
      <c r="X57" s="261"/>
      <c r="Y57" s="261"/>
      <c r="Z57" s="261"/>
      <c r="AA57" s="261"/>
      <c r="AB57" s="261"/>
      <c r="AC57" s="261"/>
      <c r="AD57" s="261"/>
      <c r="AE57" s="250"/>
      <c r="AF57" s="250"/>
      <c r="AG57" s="921"/>
    </row>
    <row r="58" spans="1:33">
      <c r="A58" s="909" t="s">
        <v>533</v>
      </c>
      <c r="B58" s="910" t="s">
        <v>547</v>
      </c>
      <c r="C58" s="250"/>
      <c r="D58" s="250"/>
      <c r="E58" s="923"/>
      <c r="F58" s="262"/>
      <c r="G58" s="262"/>
      <c r="H58" s="262"/>
      <c r="I58" s="262"/>
      <c r="J58" s="262"/>
      <c r="K58" s="262"/>
      <c r="L58" s="262"/>
      <c r="M58" s="262"/>
      <c r="N58" s="262"/>
      <c r="O58" s="262"/>
      <c r="P58" s="262"/>
      <c r="Q58" s="262"/>
      <c r="R58" s="262"/>
      <c r="S58" s="262"/>
      <c r="T58" s="262"/>
      <c r="U58" s="262"/>
      <c r="V58" s="262"/>
      <c r="W58" s="262"/>
      <c r="X58" s="252"/>
      <c r="Y58" s="261"/>
      <c r="Z58" s="261"/>
      <c r="AA58" s="261"/>
      <c r="AB58" s="261"/>
      <c r="AC58" s="261"/>
      <c r="AD58" s="261"/>
      <c r="AE58" s="250"/>
      <c r="AF58" s="250"/>
      <c r="AG58" s="921"/>
    </row>
    <row r="59" spans="1:33">
      <c r="A59" s="909" t="s">
        <v>533</v>
      </c>
      <c r="B59" s="910" t="s">
        <v>548</v>
      </c>
      <c r="C59" s="250"/>
      <c r="D59" s="250"/>
      <c r="E59" s="923"/>
      <c r="F59" s="262"/>
      <c r="G59" s="262"/>
      <c r="H59" s="262"/>
      <c r="I59" s="262"/>
      <c r="J59" s="262"/>
      <c r="K59" s="262"/>
      <c r="L59" s="262"/>
      <c r="M59" s="262"/>
      <c r="N59" s="262"/>
      <c r="O59" s="262"/>
      <c r="P59" s="262"/>
      <c r="Q59" s="262"/>
      <c r="R59" s="262"/>
      <c r="S59" s="262"/>
      <c r="T59" s="262"/>
      <c r="U59" s="262"/>
      <c r="V59" s="262"/>
      <c r="W59" s="262"/>
      <c r="X59" s="262"/>
      <c r="Y59" s="252"/>
      <c r="Z59" s="261"/>
      <c r="AA59" s="261"/>
      <c r="AB59" s="261"/>
      <c r="AC59" s="261"/>
      <c r="AD59" s="261"/>
      <c r="AE59" s="250"/>
      <c r="AF59" s="250"/>
      <c r="AG59" s="921"/>
    </row>
    <row r="60" spans="1:33">
      <c r="A60" s="909" t="s">
        <v>533</v>
      </c>
      <c r="B60" s="910" t="s">
        <v>1038</v>
      </c>
      <c r="C60" s="250"/>
      <c r="D60" s="250"/>
      <c r="E60" s="923"/>
      <c r="F60" s="262"/>
      <c r="G60" s="262"/>
      <c r="H60" s="262"/>
      <c r="I60" s="262"/>
      <c r="J60" s="262"/>
      <c r="K60" s="262"/>
      <c r="L60" s="262"/>
      <c r="M60" s="262"/>
      <c r="N60" s="262"/>
      <c r="O60" s="262"/>
      <c r="P60" s="262"/>
      <c r="Q60" s="262"/>
      <c r="R60" s="262"/>
      <c r="S60" s="262"/>
      <c r="T60" s="262"/>
      <c r="U60" s="262"/>
      <c r="V60" s="262"/>
      <c r="W60" s="262"/>
      <c r="X60" s="262"/>
      <c r="Y60" s="262"/>
      <c r="Z60" s="252"/>
      <c r="AA60" s="261"/>
      <c r="AB60" s="261"/>
      <c r="AC60" s="261"/>
      <c r="AD60" s="261"/>
      <c r="AE60" s="250"/>
      <c r="AF60" s="250"/>
      <c r="AG60" s="921"/>
    </row>
    <row r="61" spans="1:33">
      <c r="A61" s="909" t="s">
        <v>533</v>
      </c>
      <c r="B61" s="910" t="s">
        <v>1039</v>
      </c>
      <c r="C61" s="250"/>
      <c r="D61" s="250"/>
      <c r="E61" s="923"/>
      <c r="F61" s="262"/>
      <c r="G61" s="262"/>
      <c r="H61" s="262"/>
      <c r="I61" s="262"/>
      <c r="J61" s="262"/>
      <c r="K61" s="262"/>
      <c r="L61" s="262"/>
      <c r="M61" s="262"/>
      <c r="N61" s="262"/>
      <c r="O61" s="262"/>
      <c r="P61" s="262"/>
      <c r="Q61" s="262"/>
      <c r="R61" s="262"/>
      <c r="S61" s="262"/>
      <c r="T61" s="262"/>
      <c r="U61" s="262"/>
      <c r="V61" s="262"/>
      <c r="W61" s="262"/>
      <c r="X61" s="262"/>
      <c r="Y61" s="262"/>
      <c r="Z61" s="262"/>
      <c r="AA61" s="252"/>
      <c r="AB61" s="261"/>
      <c r="AC61" s="261"/>
      <c r="AD61" s="261"/>
      <c r="AE61" s="250"/>
      <c r="AF61" s="250"/>
      <c r="AG61" s="921"/>
    </row>
    <row r="62" spans="1:33">
      <c r="A62" s="909" t="s">
        <v>533</v>
      </c>
      <c r="B62" s="910" t="s">
        <v>1040</v>
      </c>
      <c r="C62" s="250"/>
      <c r="D62" s="250"/>
      <c r="E62" s="923"/>
      <c r="F62" s="262"/>
      <c r="G62" s="262"/>
      <c r="H62" s="262"/>
      <c r="I62" s="262"/>
      <c r="J62" s="262"/>
      <c r="K62" s="262"/>
      <c r="L62" s="262"/>
      <c r="M62" s="262"/>
      <c r="N62" s="262"/>
      <c r="O62" s="262"/>
      <c r="P62" s="262"/>
      <c r="Q62" s="262"/>
      <c r="R62" s="262"/>
      <c r="S62" s="262"/>
      <c r="T62" s="262"/>
      <c r="U62" s="262"/>
      <c r="V62" s="262"/>
      <c r="W62" s="262"/>
      <c r="X62" s="262"/>
      <c r="Y62" s="262"/>
      <c r="Z62" s="262"/>
      <c r="AA62" s="262"/>
      <c r="AB62" s="252"/>
      <c r="AC62" s="261"/>
      <c r="AD62" s="261"/>
      <c r="AE62" s="250"/>
      <c r="AF62" s="250"/>
      <c r="AG62" s="921"/>
    </row>
    <row r="63" spans="1:33">
      <c r="A63" s="909" t="s">
        <v>533</v>
      </c>
      <c r="B63" s="910" t="s">
        <v>1041</v>
      </c>
      <c r="C63" s="250"/>
      <c r="D63" s="250"/>
      <c r="E63" s="923"/>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52"/>
      <c r="AD63" s="261"/>
      <c r="AE63" s="250"/>
      <c r="AF63" s="250"/>
      <c r="AG63" s="921"/>
    </row>
    <row r="64" spans="1:33">
      <c r="A64" s="909" t="s">
        <v>533</v>
      </c>
      <c r="B64" s="910" t="s">
        <v>1042</v>
      </c>
      <c r="C64" s="250"/>
      <c r="D64" s="250"/>
      <c r="E64" s="923"/>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52"/>
      <c r="AE64" s="250"/>
      <c r="AF64" s="250"/>
      <c r="AG64" s="921"/>
    </row>
    <row r="65" spans="1:33" ht="13">
      <c r="A65" s="913"/>
      <c r="B65" s="914" t="s">
        <v>271</v>
      </c>
      <c r="C65" s="253"/>
      <c r="D65" s="253"/>
      <c r="E65" s="253"/>
      <c r="F65" s="251"/>
      <c r="G65" s="251"/>
      <c r="H65" s="251"/>
      <c r="I65" s="251"/>
      <c r="J65" s="251"/>
      <c r="K65" s="251"/>
      <c r="L65" s="251"/>
      <c r="M65" s="251"/>
      <c r="N65" s="251"/>
      <c r="O65" s="251"/>
      <c r="P65" s="251"/>
      <c r="Q65" s="251"/>
      <c r="R65" s="251"/>
      <c r="S65" s="251"/>
      <c r="T65" s="251"/>
      <c r="U65" s="251"/>
      <c r="V65" s="251"/>
      <c r="W65" s="251"/>
      <c r="X65" s="251"/>
      <c r="Y65" s="251"/>
      <c r="Z65" s="251"/>
      <c r="AA65" s="251"/>
      <c r="AB65" s="251"/>
      <c r="AC65" s="251"/>
      <c r="AD65" s="251"/>
      <c r="AE65" s="253"/>
      <c r="AF65" s="253"/>
      <c r="AG65" s="253"/>
    </row>
    <row r="66" spans="1:33">
      <c r="C66" s="925"/>
    </row>
    <row r="68" spans="1:33" s="926" customFormat="1">
      <c r="A68" s="903"/>
      <c r="B68" s="924"/>
      <c r="C68" s="903"/>
      <c r="D68" s="903"/>
      <c r="E68" s="903"/>
      <c r="F68" s="903"/>
      <c r="G68" s="903"/>
      <c r="H68" s="903"/>
      <c r="I68" s="903"/>
      <c r="J68" s="903"/>
      <c r="K68" s="903"/>
      <c r="L68" s="903"/>
      <c r="M68" s="903"/>
      <c r="N68" s="903"/>
      <c r="O68" s="903"/>
      <c r="P68" s="903"/>
      <c r="Q68" s="903"/>
      <c r="R68" s="903"/>
      <c r="S68" s="903"/>
      <c r="T68" s="903"/>
      <c r="U68" s="903"/>
      <c r="V68" s="903"/>
      <c r="W68" s="903"/>
      <c r="X68" s="903"/>
      <c r="Y68" s="903"/>
      <c r="Z68" s="903"/>
      <c r="AA68" s="903"/>
      <c r="AB68" s="903"/>
      <c r="AC68" s="903"/>
      <c r="AD68" s="903"/>
      <c r="AE68" s="903"/>
      <c r="AF68" s="903"/>
      <c r="AG68" s="903"/>
    </row>
    <row r="69" spans="1:33" ht="13">
      <c r="B69" s="904" t="s">
        <v>540</v>
      </c>
      <c r="F69" s="905" t="s">
        <v>10</v>
      </c>
    </row>
    <row r="70" spans="1:33" ht="26.15" customHeight="1">
      <c r="A70" s="906"/>
      <c r="B70" s="919" t="s">
        <v>413</v>
      </c>
      <c r="C70" s="2003" t="s">
        <v>515</v>
      </c>
      <c r="D70" s="2003" t="s">
        <v>516</v>
      </c>
      <c r="E70" s="2003" t="s">
        <v>586</v>
      </c>
      <c r="F70" s="2005" t="s">
        <v>587</v>
      </c>
      <c r="G70" s="2006"/>
      <c r="H70" s="2006"/>
      <c r="I70" s="2006"/>
      <c r="J70" s="2006"/>
      <c r="K70" s="2006"/>
      <c r="L70" s="2006"/>
      <c r="M70" s="2006"/>
      <c r="N70" s="2006"/>
      <c r="O70" s="2006"/>
      <c r="P70" s="2006"/>
      <c r="Q70" s="2006"/>
      <c r="R70" s="2006"/>
      <c r="S70" s="2006"/>
      <c r="T70" s="2006"/>
      <c r="U70" s="2006"/>
      <c r="V70" s="2006"/>
      <c r="W70" s="2006"/>
      <c r="X70" s="2006"/>
      <c r="Y70" s="2006"/>
      <c r="Z70" s="2006"/>
      <c r="AA70" s="2006"/>
      <c r="AB70" s="2006"/>
      <c r="AC70" s="2006"/>
      <c r="AD70" s="2007"/>
      <c r="AE70" s="907" t="s">
        <v>538</v>
      </c>
      <c r="AF70" s="907" t="s">
        <v>531</v>
      </c>
      <c r="AG70" s="907" t="s">
        <v>539</v>
      </c>
    </row>
    <row r="71" spans="1:33" ht="12.9" customHeight="1">
      <c r="A71" s="906"/>
      <c r="B71" s="919"/>
      <c r="C71" s="2004"/>
      <c r="D71" s="2004"/>
      <c r="E71" s="2004"/>
      <c r="F71" s="908" t="s">
        <v>517</v>
      </c>
      <c r="G71" s="908" t="s">
        <v>518</v>
      </c>
      <c r="H71" s="908" t="s">
        <v>519</v>
      </c>
      <c r="I71" s="908" t="s">
        <v>520</v>
      </c>
      <c r="J71" s="908" t="s">
        <v>521</v>
      </c>
      <c r="K71" s="908" t="s">
        <v>522</v>
      </c>
      <c r="L71" s="908" t="s">
        <v>523</v>
      </c>
      <c r="M71" s="908" t="s">
        <v>524</v>
      </c>
      <c r="N71" s="908" t="s">
        <v>525</v>
      </c>
      <c r="O71" s="908" t="s">
        <v>526</v>
      </c>
      <c r="P71" s="908" t="s">
        <v>527</v>
      </c>
      <c r="Q71" s="908" t="s">
        <v>528</v>
      </c>
      <c r="R71" s="908" t="s">
        <v>529</v>
      </c>
      <c r="S71" s="908" t="s">
        <v>530</v>
      </c>
      <c r="T71" s="908" t="s">
        <v>325</v>
      </c>
      <c r="U71" s="908" t="s">
        <v>506</v>
      </c>
      <c r="V71" s="908" t="s">
        <v>507</v>
      </c>
      <c r="W71" s="908" t="s">
        <v>508</v>
      </c>
      <c r="X71" s="908" t="s">
        <v>509</v>
      </c>
      <c r="Y71" s="908" t="s">
        <v>510</v>
      </c>
      <c r="Z71" s="908" t="s">
        <v>958</v>
      </c>
      <c r="AA71" s="908" t="s">
        <v>959</v>
      </c>
      <c r="AB71" s="908" t="s">
        <v>960</v>
      </c>
      <c r="AC71" s="908" t="s">
        <v>961</v>
      </c>
      <c r="AD71" s="908" t="s">
        <v>962</v>
      </c>
      <c r="AE71" s="907"/>
      <c r="AF71" s="907"/>
      <c r="AG71" s="907"/>
    </row>
    <row r="72" spans="1:33">
      <c r="A72" s="909" t="s">
        <v>532</v>
      </c>
      <c r="B72" s="910">
        <v>2005</v>
      </c>
      <c r="C72" s="927"/>
      <c r="D72" s="927"/>
      <c r="E72" s="920"/>
      <c r="F72" s="261"/>
      <c r="G72" s="261"/>
      <c r="H72" s="261"/>
      <c r="I72" s="261"/>
      <c r="J72" s="261"/>
      <c r="K72" s="261"/>
      <c r="L72" s="261"/>
      <c r="M72" s="261"/>
      <c r="N72" s="261"/>
      <c r="O72" s="261"/>
      <c r="P72" s="261"/>
      <c r="Q72" s="261"/>
      <c r="R72" s="261"/>
      <c r="S72" s="261"/>
      <c r="T72" s="261"/>
      <c r="U72" s="261"/>
      <c r="V72" s="261"/>
      <c r="W72" s="261"/>
      <c r="X72" s="261"/>
      <c r="Y72" s="261"/>
      <c r="Z72" s="261"/>
      <c r="AA72" s="261"/>
      <c r="AB72" s="261"/>
      <c r="AC72" s="261"/>
      <c r="AD72" s="261"/>
      <c r="AE72" s="921"/>
      <c r="AF72" s="921"/>
      <c r="AG72" s="921"/>
    </row>
    <row r="73" spans="1:33">
      <c r="A73" s="909" t="s">
        <v>533</v>
      </c>
      <c r="B73" s="910" t="s">
        <v>517</v>
      </c>
      <c r="C73" s="927"/>
      <c r="D73" s="927"/>
      <c r="E73" s="920"/>
      <c r="F73" s="252"/>
      <c r="G73" s="261"/>
      <c r="H73" s="261"/>
      <c r="I73" s="261"/>
      <c r="J73" s="261"/>
      <c r="K73" s="261"/>
      <c r="L73" s="261"/>
      <c r="M73" s="261"/>
      <c r="N73" s="261"/>
      <c r="O73" s="261"/>
      <c r="P73" s="261"/>
      <c r="Q73" s="261"/>
      <c r="R73" s="261"/>
      <c r="S73" s="261"/>
      <c r="T73" s="261"/>
      <c r="U73" s="261"/>
      <c r="V73" s="261"/>
      <c r="W73" s="261"/>
      <c r="X73" s="261"/>
      <c r="Y73" s="261"/>
      <c r="Z73" s="261"/>
      <c r="AA73" s="261"/>
      <c r="AB73" s="261"/>
      <c r="AC73" s="261"/>
      <c r="AD73" s="261"/>
      <c r="AE73" s="921"/>
      <c r="AF73" s="921"/>
      <c r="AG73" s="921"/>
    </row>
    <row r="74" spans="1:33">
      <c r="A74" s="909" t="s">
        <v>533</v>
      </c>
      <c r="B74" s="910" t="s">
        <v>518</v>
      </c>
      <c r="C74" s="927"/>
      <c r="D74" s="927"/>
      <c r="E74" s="920"/>
      <c r="F74" s="262"/>
      <c r="G74" s="252"/>
      <c r="H74" s="261"/>
      <c r="I74" s="261"/>
      <c r="J74" s="261"/>
      <c r="K74" s="261"/>
      <c r="L74" s="261"/>
      <c r="M74" s="261"/>
      <c r="N74" s="261"/>
      <c r="O74" s="261"/>
      <c r="P74" s="261"/>
      <c r="Q74" s="261"/>
      <c r="R74" s="261"/>
      <c r="S74" s="261"/>
      <c r="T74" s="261"/>
      <c r="U74" s="261"/>
      <c r="V74" s="261"/>
      <c r="W74" s="261"/>
      <c r="X74" s="261"/>
      <c r="Y74" s="261"/>
      <c r="Z74" s="261"/>
      <c r="AA74" s="261"/>
      <c r="AB74" s="261"/>
      <c r="AC74" s="261"/>
      <c r="AD74" s="261"/>
      <c r="AE74" s="921"/>
      <c r="AF74" s="921"/>
      <c r="AG74" s="921"/>
    </row>
    <row r="75" spans="1:33">
      <c r="A75" s="909" t="s">
        <v>533</v>
      </c>
      <c r="B75" s="910" t="s">
        <v>519</v>
      </c>
      <c r="C75" s="927"/>
      <c r="D75" s="927"/>
      <c r="E75" s="920"/>
      <c r="F75" s="262"/>
      <c r="G75" s="262"/>
      <c r="H75" s="252"/>
      <c r="I75" s="261"/>
      <c r="J75" s="261"/>
      <c r="K75" s="261"/>
      <c r="L75" s="261"/>
      <c r="M75" s="261"/>
      <c r="N75" s="261"/>
      <c r="O75" s="261"/>
      <c r="P75" s="261"/>
      <c r="Q75" s="261"/>
      <c r="R75" s="261"/>
      <c r="S75" s="261"/>
      <c r="T75" s="261"/>
      <c r="U75" s="261"/>
      <c r="V75" s="261"/>
      <c r="W75" s="261"/>
      <c r="X75" s="261"/>
      <c r="Y75" s="261"/>
      <c r="Z75" s="261"/>
      <c r="AA75" s="261"/>
      <c r="AB75" s="261"/>
      <c r="AC75" s="261"/>
      <c r="AD75" s="261"/>
      <c r="AE75" s="921"/>
      <c r="AF75" s="921"/>
      <c r="AG75" s="921"/>
    </row>
    <row r="76" spans="1:33">
      <c r="A76" s="909" t="s">
        <v>533</v>
      </c>
      <c r="B76" s="910" t="s">
        <v>520</v>
      </c>
      <c r="C76" s="927"/>
      <c r="D76" s="927"/>
      <c r="E76" s="920"/>
      <c r="F76" s="262"/>
      <c r="G76" s="262"/>
      <c r="H76" s="262"/>
      <c r="I76" s="252"/>
      <c r="J76" s="261"/>
      <c r="K76" s="261"/>
      <c r="L76" s="261"/>
      <c r="M76" s="261"/>
      <c r="N76" s="261"/>
      <c r="O76" s="261"/>
      <c r="P76" s="261"/>
      <c r="Q76" s="261"/>
      <c r="R76" s="261"/>
      <c r="S76" s="261"/>
      <c r="T76" s="261"/>
      <c r="U76" s="261"/>
      <c r="V76" s="261"/>
      <c r="W76" s="261"/>
      <c r="X76" s="261"/>
      <c r="Y76" s="261"/>
      <c r="Z76" s="261"/>
      <c r="AA76" s="261"/>
      <c r="AB76" s="261"/>
      <c r="AC76" s="261"/>
      <c r="AD76" s="261"/>
      <c r="AE76" s="921"/>
      <c r="AF76" s="921"/>
      <c r="AG76" s="921"/>
    </row>
    <row r="77" spans="1:33">
      <c r="A77" s="909" t="s">
        <v>533</v>
      </c>
      <c r="B77" s="910" t="s">
        <v>521</v>
      </c>
      <c r="C77" s="927"/>
      <c r="D77" s="927"/>
      <c r="E77" s="920"/>
      <c r="F77" s="262"/>
      <c r="G77" s="262"/>
      <c r="H77" s="262"/>
      <c r="I77" s="262"/>
      <c r="J77" s="252"/>
      <c r="K77" s="261"/>
      <c r="L77" s="261"/>
      <c r="M77" s="261"/>
      <c r="N77" s="261"/>
      <c r="O77" s="261"/>
      <c r="P77" s="261"/>
      <c r="Q77" s="261"/>
      <c r="R77" s="261"/>
      <c r="S77" s="261"/>
      <c r="T77" s="261"/>
      <c r="U77" s="261"/>
      <c r="V77" s="261"/>
      <c r="W77" s="261"/>
      <c r="X77" s="261"/>
      <c r="Y77" s="261"/>
      <c r="Z77" s="261"/>
      <c r="AA77" s="261"/>
      <c r="AB77" s="261"/>
      <c r="AC77" s="261"/>
      <c r="AD77" s="261"/>
      <c r="AE77" s="921"/>
      <c r="AF77" s="921"/>
      <c r="AG77" s="921"/>
    </row>
    <row r="78" spans="1:33">
      <c r="A78" s="909" t="s">
        <v>533</v>
      </c>
      <c r="B78" s="910" t="s">
        <v>522</v>
      </c>
      <c r="C78" s="927"/>
      <c r="D78" s="927"/>
      <c r="E78" s="920"/>
      <c r="F78" s="262"/>
      <c r="G78" s="262"/>
      <c r="H78" s="262"/>
      <c r="I78" s="262"/>
      <c r="J78" s="262"/>
      <c r="K78" s="252"/>
      <c r="L78" s="261"/>
      <c r="M78" s="261"/>
      <c r="N78" s="261"/>
      <c r="O78" s="261"/>
      <c r="P78" s="261"/>
      <c r="Q78" s="261"/>
      <c r="R78" s="261"/>
      <c r="S78" s="261"/>
      <c r="T78" s="261"/>
      <c r="U78" s="261"/>
      <c r="V78" s="261"/>
      <c r="W78" s="261"/>
      <c r="X78" s="261"/>
      <c r="Y78" s="261"/>
      <c r="Z78" s="261"/>
      <c r="AA78" s="261"/>
      <c r="AB78" s="261"/>
      <c r="AC78" s="261"/>
      <c r="AD78" s="261"/>
      <c r="AE78" s="921"/>
      <c r="AF78" s="921"/>
      <c r="AG78" s="921"/>
    </row>
    <row r="79" spans="1:33">
      <c r="A79" s="909" t="s">
        <v>533</v>
      </c>
      <c r="B79" s="910" t="s">
        <v>523</v>
      </c>
      <c r="C79" s="927"/>
      <c r="D79" s="927"/>
      <c r="E79" s="920"/>
      <c r="F79" s="262"/>
      <c r="G79" s="262"/>
      <c r="H79" s="262"/>
      <c r="I79" s="262"/>
      <c r="J79" s="262"/>
      <c r="K79" s="262"/>
      <c r="L79" s="252"/>
      <c r="M79" s="261"/>
      <c r="N79" s="261"/>
      <c r="O79" s="261"/>
      <c r="P79" s="261"/>
      <c r="Q79" s="261"/>
      <c r="R79" s="261"/>
      <c r="S79" s="261"/>
      <c r="T79" s="261"/>
      <c r="U79" s="261"/>
      <c r="V79" s="261"/>
      <c r="W79" s="261"/>
      <c r="X79" s="261"/>
      <c r="Y79" s="261"/>
      <c r="Z79" s="261"/>
      <c r="AA79" s="261"/>
      <c r="AB79" s="261"/>
      <c r="AC79" s="261"/>
      <c r="AD79" s="261"/>
      <c r="AE79" s="921"/>
      <c r="AF79" s="921"/>
      <c r="AG79" s="921"/>
    </row>
    <row r="80" spans="1:33">
      <c r="A80" s="909" t="s">
        <v>533</v>
      </c>
      <c r="B80" s="910" t="s">
        <v>524</v>
      </c>
      <c r="C80" s="927"/>
      <c r="D80" s="927"/>
      <c r="E80" s="920"/>
      <c r="F80" s="262"/>
      <c r="G80" s="262"/>
      <c r="H80" s="262"/>
      <c r="I80" s="262"/>
      <c r="J80" s="262"/>
      <c r="K80" s="262"/>
      <c r="L80" s="262"/>
      <c r="M80" s="252"/>
      <c r="N80" s="261"/>
      <c r="O80" s="261"/>
      <c r="P80" s="261"/>
      <c r="Q80" s="261"/>
      <c r="R80" s="261"/>
      <c r="S80" s="261"/>
      <c r="T80" s="261"/>
      <c r="U80" s="261"/>
      <c r="V80" s="261"/>
      <c r="W80" s="261"/>
      <c r="X80" s="261"/>
      <c r="Y80" s="261"/>
      <c r="Z80" s="261"/>
      <c r="AA80" s="261"/>
      <c r="AB80" s="261"/>
      <c r="AC80" s="261"/>
      <c r="AD80" s="261"/>
      <c r="AE80" s="921"/>
      <c r="AF80" s="921"/>
      <c r="AG80" s="921"/>
    </row>
    <row r="81" spans="1:33">
      <c r="A81" s="909" t="s">
        <v>533</v>
      </c>
      <c r="B81" s="910" t="s">
        <v>525</v>
      </c>
      <c r="C81" s="927"/>
      <c r="D81" s="927"/>
      <c r="E81" s="920"/>
      <c r="F81" s="262"/>
      <c r="G81" s="262"/>
      <c r="H81" s="262"/>
      <c r="I81" s="262"/>
      <c r="J81" s="262"/>
      <c r="K81" s="262"/>
      <c r="L81" s="262"/>
      <c r="M81" s="262"/>
      <c r="N81" s="252"/>
      <c r="O81" s="261"/>
      <c r="P81" s="261"/>
      <c r="Q81" s="261"/>
      <c r="R81" s="261"/>
      <c r="S81" s="261"/>
      <c r="T81" s="261"/>
      <c r="U81" s="261"/>
      <c r="V81" s="261"/>
      <c r="W81" s="261"/>
      <c r="X81" s="261"/>
      <c r="Y81" s="261"/>
      <c r="Z81" s="261"/>
      <c r="AA81" s="261"/>
      <c r="AB81" s="261"/>
      <c r="AC81" s="261"/>
      <c r="AD81" s="261"/>
      <c r="AE81" s="921"/>
      <c r="AF81" s="921"/>
      <c r="AG81" s="921"/>
    </row>
    <row r="82" spans="1:33">
      <c r="A82" s="909" t="s">
        <v>533</v>
      </c>
      <c r="B82" s="910" t="s">
        <v>526</v>
      </c>
      <c r="C82" s="250"/>
      <c r="D82" s="909"/>
      <c r="E82" s="920"/>
      <c r="F82" s="262"/>
      <c r="G82" s="262"/>
      <c r="H82" s="262"/>
      <c r="I82" s="262"/>
      <c r="J82" s="262"/>
      <c r="K82" s="262"/>
      <c r="L82" s="262"/>
      <c r="M82" s="262"/>
      <c r="N82" s="262"/>
      <c r="O82" s="252"/>
      <c r="P82" s="261"/>
      <c r="Q82" s="261"/>
      <c r="R82" s="261"/>
      <c r="S82" s="261"/>
      <c r="T82" s="261"/>
      <c r="U82" s="261"/>
      <c r="V82" s="261"/>
      <c r="W82" s="261"/>
      <c r="X82" s="261"/>
      <c r="Y82" s="261"/>
      <c r="Z82" s="261"/>
      <c r="AA82" s="261"/>
      <c r="AB82" s="261"/>
      <c r="AC82" s="261"/>
      <c r="AD82" s="261"/>
      <c r="AE82" s="921"/>
      <c r="AF82" s="921"/>
      <c r="AG82" s="921"/>
    </row>
    <row r="83" spans="1:33">
      <c r="A83" s="909" t="s">
        <v>533</v>
      </c>
      <c r="B83" s="910" t="s">
        <v>527</v>
      </c>
      <c r="C83" s="250"/>
      <c r="D83" s="909"/>
      <c r="E83" s="920"/>
      <c r="F83" s="262"/>
      <c r="G83" s="262"/>
      <c r="H83" s="262"/>
      <c r="I83" s="262"/>
      <c r="J83" s="262"/>
      <c r="K83" s="262"/>
      <c r="L83" s="262"/>
      <c r="M83" s="262"/>
      <c r="N83" s="262"/>
      <c r="O83" s="262"/>
      <c r="P83" s="252"/>
      <c r="Q83" s="261"/>
      <c r="R83" s="261"/>
      <c r="S83" s="261"/>
      <c r="T83" s="261"/>
      <c r="U83" s="261"/>
      <c r="V83" s="261"/>
      <c r="W83" s="261"/>
      <c r="X83" s="261"/>
      <c r="Y83" s="261"/>
      <c r="Z83" s="261"/>
      <c r="AA83" s="261"/>
      <c r="AB83" s="261"/>
      <c r="AC83" s="261"/>
      <c r="AD83" s="261"/>
      <c r="AE83" s="921"/>
      <c r="AF83" s="921"/>
      <c r="AG83" s="921"/>
    </row>
    <row r="84" spans="1:33">
      <c r="A84" s="909" t="s">
        <v>533</v>
      </c>
      <c r="B84" s="910" t="s">
        <v>528</v>
      </c>
      <c r="C84" s="250"/>
      <c r="D84" s="250"/>
      <c r="E84" s="920"/>
      <c r="F84" s="262"/>
      <c r="G84" s="262"/>
      <c r="H84" s="262"/>
      <c r="I84" s="262"/>
      <c r="J84" s="262"/>
      <c r="K84" s="262"/>
      <c r="L84" s="262"/>
      <c r="M84" s="262"/>
      <c r="N84" s="262"/>
      <c r="O84" s="262"/>
      <c r="P84" s="262"/>
      <c r="Q84" s="252"/>
      <c r="R84" s="261"/>
      <c r="S84" s="261"/>
      <c r="T84" s="261"/>
      <c r="U84" s="261"/>
      <c r="V84" s="261"/>
      <c r="W84" s="261"/>
      <c r="X84" s="261"/>
      <c r="Y84" s="261"/>
      <c r="Z84" s="261"/>
      <c r="AA84" s="261"/>
      <c r="AB84" s="261"/>
      <c r="AC84" s="261"/>
      <c r="AD84" s="261"/>
      <c r="AE84" s="921"/>
      <c r="AF84" s="921"/>
      <c r="AG84" s="921"/>
    </row>
    <row r="85" spans="1:33">
      <c r="A85" s="909" t="s">
        <v>533</v>
      </c>
      <c r="B85" s="910" t="s">
        <v>529</v>
      </c>
      <c r="C85" s="250"/>
      <c r="D85" s="250"/>
      <c r="E85" s="920"/>
      <c r="F85" s="262"/>
      <c r="G85" s="262"/>
      <c r="H85" s="262"/>
      <c r="I85" s="262"/>
      <c r="J85" s="262"/>
      <c r="K85" s="262"/>
      <c r="L85" s="262"/>
      <c r="M85" s="262"/>
      <c r="N85" s="262"/>
      <c r="O85" s="262"/>
      <c r="P85" s="262"/>
      <c r="Q85" s="262"/>
      <c r="R85" s="252"/>
      <c r="S85" s="261"/>
      <c r="T85" s="261"/>
      <c r="U85" s="261"/>
      <c r="V85" s="261"/>
      <c r="W85" s="261"/>
      <c r="X85" s="261"/>
      <c r="Y85" s="261"/>
      <c r="Z85" s="261"/>
      <c r="AA85" s="261"/>
      <c r="AB85" s="261"/>
      <c r="AC85" s="261"/>
      <c r="AD85" s="261"/>
      <c r="AE85" s="921"/>
      <c r="AF85" s="921"/>
      <c r="AG85" s="921"/>
    </row>
    <row r="86" spans="1:33">
      <c r="A86" s="909" t="s">
        <v>533</v>
      </c>
      <c r="B86" s="910" t="s">
        <v>530</v>
      </c>
      <c r="C86" s="250"/>
      <c r="D86" s="250"/>
      <c r="E86" s="920"/>
      <c r="F86" s="262"/>
      <c r="G86" s="262"/>
      <c r="H86" s="262"/>
      <c r="I86" s="262"/>
      <c r="J86" s="262"/>
      <c r="K86" s="262"/>
      <c r="L86" s="262"/>
      <c r="M86" s="262"/>
      <c r="N86" s="262"/>
      <c r="O86" s="262"/>
      <c r="P86" s="262"/>
      <c r="Q86" s="262"/>
      <c r="R86" s="262"/>
      <c r="S86" s="252"/>
      <c r="T86" s="261"/>
      <c r="U86" s="261"/>
      <c r="V86" s="261"/>
      <c r="W86" s="261"/>
      <c r="X86" s="261"/>
      <c r="Y86" s="261"/>
      <c r="Z86" s="261"/>
      <c r="AA86" s="261"/>
      <c r="AB86" s="261"/>
      <c r="AC86" s="261"/>
      <c r="AD86" s="261"/>
      <c r="AE86" s="921"/>
      <c r="AF86" s="921"/>
      <c r="AG86" s="921"/>
    </row>
    <row r="87" spans="1:33">
      <c r="A87" s="909" t="s">
        <v>533</v>
      </c>
      <c r="B87" s="910" t="s">
        <v>534</v>
      </c>
      <c r="C87" s="250"/>
      <c r="D87" s="250"/>
      <c r="E87" s="923"/>
      <c r="F87" s="262"/>
      <c r="G87" s="262"/>
      <c r="H87" s="262"/>
      <c r="I87" s="262"/>
      <c r="J87" s="262"/>
      <c r="K87" s="262"/>
      <c r="L87" s="262"/>
      <c r="M87" s="262"/>
      <c r="N87" s="262"/>
      <c r="O87" s="262"/>
      <c r="P87" s="262"/>
      <c r="Q87" s="262"/>
      <c r="R87" s="262"/>
      <c r="S87" s="262"/>
      <c r="T87" s="252"/>
      <c r="U87" s="261"/>
      <c r="V87" s="261"/>
      <c r="W87" s="261"/>
      <c r="X87" s="261"/>
      <c r="Y87" s="261"/>
      <c r="Z87" s="261"/>
      <c r="AA87" s="261"/>
      <c r="AB87" s="261"/>
      <c r="AC87" s="261"/>
      <c r="AD87" s="261"/>
      <c r="AE87" s="921"/>
      <c r="AF87" s="921"/>
      <c r="AG87" s="921"/>
    </row>
    <row r="88" spans="1:33">
      <c r="A88" s="909" t="s">
        <v>533</v>
      </c>
      <c r="B88" s="910" t="s">
        <v>535</v>
      </c>
      <c r="C88" s="250"/>
      <c r="D88" s="250"/>
      <c r="E88" s="923"/>
      <c r="F88" s="262"/>
      <c r="G88" s="262"/>
      <c r="H88" s="262"/>
      <c r="I88" s="262"/>
      <c r="J88" s="262"/>
      <c r="K88" s="262"/>
      <c r="L88" s="262"/>
      <c r="M88" s="262"/>
      <c r="N88" s="262"/>
      <c r="O88" s="262"/>
      <c r="P88" s="262"/>
      <c r="Q88" s="262"/>
      <c r="R88" s="262"/>
      <c r="S88" s="262"/>
      <c r="T88" s="262"/>
      <c r="U88" s="252"/>
      <c r="V88" s="261"/>
      <c r="W88" s="261"/>
      <c r="X88" s="261"/>
      <c r="Y88" s="261"/>
      <c r="Z88" s="261"/>
      <c r="AA88" s="261"/>
      <c r="AB88" s="261"/>
      <c r="AC88" s="261"/>
      <c r="AD88" s="261"/>
      <c r="AE88" s="921"/>
      <c r="AF88" s="921"/>
      <c r="AG88" s="921"/>
    </row>
    <row r="89" spans="1:33">
      <c r="A89" s="909" t="s">
        <v>533</v>
      </c>
      <c r="B89" s="910" t="s">
        <v>536</v>
      </c>
      <c r="C89" s="250"/>
      <c r="D89" s="250"/>
      <c r="E89" s="923"/>
      <c r="F89" s="262"/>
      <c r="G89" s="262"/>
      <c r="H89" s="262"/>
      <c r="I89" s="262"/>
      <c r="J89" s="262"/>
      <c r="K89" s="262"/>
      <c r="L89" s="262"/>
      <c r="M89" s="262"/>
      <c r="N89" s="262"/>
      <c r="O89" s="262"/>
      <c r="P89" s="262"/>
      <c r="Q89" s="262"/>
      <c r="R89" s="262"/>
      <c r="S89" s="262"/>
      <c r="T89" s="262"/>
      <c r="U89" s="262"/>
      <c r="V89" s="252"/>
      <c r="W89" s="261"/>
      <c r="X89" s="261"/>
      <c r="Y89" s="261"/>
      <c r="Z89" s="261"/>
      <c r="AA89" s="261"/>
      <c r="AB89" s="261"/>
      <c r="AC89" s="261"/>
      <c r="AD89" s="261"/>
      <c r="AE89" s="921"/>
      <c r="AF89" s="921"/>
      <c r="AG89" s="921"/>
    </row>
    <row r="90" spans="1:33">
      <c r="A90" s="909" t="s">
        <v>533</v>
      </c>
      <c r="B90" s="910" t="s">
        <v>546</v>
      </c>
      <c r="C90" s="250"/>
      <c r="D90" s="250"/>
      <c r="E90" s="923"/>
      <c r="F90" s="262"/>
      <c r="G90" s="262"/>
      <c r="H90" s="262"/>
      <c r="I90" s="262"/>
      <c r="J90" s="262"/>
      <c r="K90" s="262"/>
      <c r="L90" s="262"/>
      <c r="M90" s="262"/>
      <c r="N90" s="262"/>
      <c r="O90" s="262"/>
      <c r="P90" s="262"/>
      <c r="Q90" s="262"/>
      <c r="R90" s="262"/>
      <c r="S90" s="262"/>
      <c r="T90" s="262"/>
      <c r="U90" s="262"/>
      <c r="V90" s="262"/>
      <c r="W90" s="252"/>
      <c r="X90" s="261"/>
      <c r="Y90" s="261"/>
      <c r="Z90" s="261"/>
      <c r="AA90" s="261"/>
      <c r="AB90" s="261"/>
      <c r="AC90" s="261"/>
      <c r="AD90" s="261"/>
      <c r="AE90" s="921"/>
      <c r="AF90" s="921"/>
      <c r="AG90" s="921"/>
    </row>
    <row r="91" spans="1:33">
      <c r="A91" s="909" t="s">
        <v>533</v>
      </c>
      <c r="B91" s="910" t="s">
        <v>547</v>
      </c>
      <c r="C91" s="250"/>
      <c r="D91" s="250"/>
      <c r="E91" s="923"/>
      <c r="F91" s="262"/>
      <c r="G91" s="262"/>
      <c r="H91" s="262"/>
      <c r="I91" s="262"/>
      <c r="J91" s="262"/>
      <c r="K91" s="262"/>
      <c r="L91" s="262"/>
      <c r="M91" s="262"/>
      <c r="N91" s="262"/>
      <c r="O91" s="262"/>
      <c r="P91" s="262"/>
      <c r="Q91" s="262"/>
      <c r="R91" s="262"/>
      <c r="S91" s="262"/>
      <c r="T91" s="262"/>
      <c r="U91" s="262"/>
      <c r="V91" s="262"/>
      <c r="W91" s="262"/>
      <c r="X91" s="252"/>
      <c r="Y91" s="261"/>
      <c r="Z91" s="261"/>
      <c r="AA91" s="261"/>
      <c r="AB91" s="261"/>
      <c r="AC91" s="261"/>
      <c r="AD91" s="261"/>
      <c r="AE91" s="921"/>
      <c r="AF91" s="921"/>
      <c r="AG91" s="921"/>
    </row>
    <row r="92" spans="1:33">
      <c r="A92" s="909" t="s">
        <v>533</v>
      </c>
      <c r="B92" s="910" t="s">
        <v>548</v>
      </c>
      <c r="C92" s="250"/>
      <c r="D92" s="250"/>
      <c r="E92" s="923"/>
      <c r="F92" s="262"/>
      <c r="G92" s="262"/>
      <c r="H92" s="262"/>
      <c r="I92" s="262"/>
      <c r="J92" s="262"/>
      <c r="K92" s="262"/>
      <c r="L92" s="262"/>
      <c r="M92" s="262"/>
      <c r="N92" s="262"/>
      <c r="O92" s="262"/>
      <c r="P92" s="262"/>
      <c r="Q92" s="262"/>
      <c r="R92" s="262"/>
      <c r="S92" s="262"/>
      <c r="T92" s="262"/>
      <c r="U92" s="262"/>
      <c r="V92" s="262"/>
      <c r="W92" s="262"/>
      <c r="X92" s="262"/>
      <c r="Y92" s="252"/>
      <c r="Z92" s="261"/>
      <c r="AA92" s="261"/>
      <c r="AB92" s="261"/>
      <c r="AC92" s="261"/>
      <c r="AD92" s="261"/>
      <c r="AE92" s="921"/>
      <c r="AF92" s="921"/>
      <c r="AG92" s="921"/>
    </row>
    <row r="93" spans="1:33">
      <c r="A93" s="909" t="s">
        <v>533</v>
      </c>
      <c r="B93" s="910" t="s">
        <v>1038</v>
      </c>
      <c r="C93" s="250"/>
      <c r="D93" s="250"/>
      <c r="E93" s="923"/>
      <c r="F93" s="262"/>
      <c r="G93" s="262"/>
      <c r="H93" s="262"/>
      <c r="I93" s="262"/>
      <c r="J93" s="262"/>
      <c r="K93" s="262"/>
      <c r="L93" s="262"/>
      <c r="M93" s="262"/>
      <c r="N93" s="262"/>
      <c r="O93" s="262"/>
      <c r="P93" s="262"/>
      <c r="Q93" s="262"/>
      <c r="R93" s="262"/>
      <c r="S93" s="262"/>
      <c r="T93" s="262"/>
      <c r="U93" s="262"/>
      <c r="V93" s="262"/>
      <c r="W93" s="262"/>
      <c r="X93" s="262"/>
      <c r="Y93" s="262"/>
      <c r="Z93" s="252"/>
      <c r="AA93" s="261"/>
      <c r="AB93" s="261"/>
      <c r="AC93" s="261"/>
      <c r="AD93" s="261"/>
      <c r="AE93" s="250"/>
      <c r="AF93" s="250"/>
      <c r="AG93" s="921"/>
    </row>
    <row r="94" spans="1:33">
      <c r="A94" s="909" t="s">
        <v>533</v>
      </c>
      <c r="B94" s="910" t="s">
        <v>1039</v>
      </c>
      <c r="C94" s="250"/>
      <c r="D94" s="250"/>
      <c r="E94" s="923"/>
      <c r="F94" s="262"/>
      <c r="G94" s="262"/>
      <c r="H94" s="262"/>
      <c r="I94" s="262"/>
      <c r="J94" s="262"/>
      <c r="K94" s="262"/>
      <c r="L94" s="262"/>
      <c r="M94" s="262"/>
      <c r="N94" s="262"/>
      <c r="O94" s="262"/>
      <c r="P94" s="262"/>
      <c r="Q94" s="262"/>
      <c r="R94" s="262"/>
      <c r="S94" s="262"/>
      <c r="T94" s="262"/>
      <c r="U94" s="262"/>
      <c r="V94" s="262"/>
      <c r="W94" s="262"/>
      <c r="X94" s="262"/>
      <c r="Y94" s="262"/>
      <c r="Z94" s="262"/>
      <c r="AA94" s="252"/>
      <c r="AB94" s="261"/>
      <c r="AC94" s="261"/>
      <c r="AD94" s="261"/>
      <c r="AE94" s="250"/>
      <c r="AF94" s="250"/>
      <c r="AG94" s="921"/>
    </row>
    <row r="95" spans="1:33">
      <c r="A95" s="909" t="s">
        <v>533</v>
      </c>
      <c r="B95" s="910" t="s">
        <v>1040</v>
      </c>
      <c r="C95" s="250"/>
      <c r="D95" s="250"/>
      <c r="E95" s="923"/>
      <c r="F95" s="262"/>
      <c r="G95" s="262"/>
      <c r="H95" s="262"/>
      <c r="I95" s="262"/>
      <c r="J95" s="262"/>
      <c r="K95" s="262"/>
      <c r="L95" s="262"/>
      <c r="M95" s="262"/>
      <c r="N95" s="262"/>
      <c r="O95" s="262"/>
      <c r="P95" s="262"/>
      <c r="Q95" s="262"/>
      <c r="R95" s="262"/>
      <c r="S95" s="262"/>
      <c r="T95" s="262"/>
      <c r="U95" s="262"/>
      <c r="V95" s="262"/>
      <c r="W95" s="262"/>
      <c r="X95" s="262"/>
      <c r="Y95" s="262"/>
      <c r="Z95" s="262"/>
      <c r="AA95" s="262"/>
      <c r="AB95" s="252"/>
      <c r="AC95" s="261"/>
      <c r="AD95" s="261"/>
      <c r="AE95" s="250"/>
      <c r="AF95" s="250"/>
      <c r="AG95" s="921"/>
    </row>
    <row r="96" spans="1:33">
      <c r="A96" s="909" t="s">
        <v>533</v>
      </c>
      <c r="B96" s="910" t="s">
        <v>1041</v>
      </c>
      <c r="C96" s="250"/>
      <c r="D96" s="250"/>
      <c r="E96" s="923"/>
      <c r="F96" s="262"/>
      <c r="G96" s="262"/>
      <c r="H96" s="262"/>
      <c r="I96" s="262"/>
      <c r="J96" s="262"/>
      <c r="K96" s="262"/>
      <c r="L96" s="262"/>
      <c r="M96" s="262"/>
      <c r="N96" s="262"/>
      <c r="O96" s="262"/>
      <c r="P96" s="262"/>
      <c r="Q96" s="262"/>
      <c r="R96" s="262"/>
      <c r="S96" s="262"/>
      <c r="T96" s="262"/>
      <c r="U96" s="262"/>
      <c r="V96" s="262"/>
      <c r="W96" s="262"/>
      <c r="X96" s="262"/>
      <c r="Y96" s="262"/>
      <c r="Z96" s="262"/>
      <c r="AA96" s="262"/>
      <c r="AB96" s="262"/>
      <c r="AC96" s="252"/>
      <c r="AD96" s="261"/>
      <c r="AE96" s="250"/>
      <c r="AF96" s="250"/>
      <c r="AG96" s="921"/>
    </row>
    <row r="97" spans="1:33">
      <c r="A97" s="909" t="s">
        <v>533</v>
      </c>
      <c r="B97" s="910" t="s">
        <v>1042</v>
      </c>
      <c r="C97" s="250"/>
      <c r="D97" s="250"/>
      <c r="E97" s="923"/>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52"/>
      <c r="AE97" s="250"/>
      <c r="AF97" s="250"/>
      <c r="AG97" s="921"/>
    </row>
    <row r="98" spans="1:33" ht="13">
      <c r="A98" s="913"/>
      <c r="B98" s="914" t="s">
        <v>271</v>
      </c>
      <c r="C98" s="251"/>
      <c r="D98" s="251"/>
      <c r="E98" s="253"/>
      <c r="F98" s="251"/>
      <c r="G98" s="251"/>
      <c r="H98" s="251"/>
      <c r="I98" s="251"/>
      <c r="J98" s="251"/>
      <c r="K98" s="251"/>
      <c r="L98" s="251"/>
      <c r="M98" s="251"/>
      <c r="N98" s="251"/>
      <c r="O98" s="251"/>
      <c r="P98" s="251"/>
      <c r="Q98" s="251"/>
      <c r="R98" s="251"/>
      <c r="S98" s="251"/>
      <c r="T98" s="251"/>
      <c r="U98" s="251"/>
      <c r="V98" s="251"/>
      <c r="W98" s="251"/>
      <c r="X98" s="251"/>
      <c r="Y98" s="251"/>
      <c r="Z98" s="251"/>
      <c r="AA98" s="251"/>
      <c r="AB98" s="251"/>
      <c r="AC98" s="251"/>
      <c r="AD98" s="251"/>
      <c r="AE98" s="251"/>
      <c r="AF98" s="251"/>
      <c r="AG98" s="251"/>
    </row>
    <row r="102" spans="1:33" ht="13">
      <c r="B102" s="904" t="s">
        <v>541</v>
      </c>
      <c r="F102" s="905" t="s">
        <v>10</v>
      </c>
    </row>
    <row r="103" spans="1:33" ht="26.15" customHeight="1">
      <c r="A103" s="906"/>
      <c r="B103" s="919" t="s">
        <v>413</v>
      </c>
      <c r="C103" s="2003" t="s">
        <v>515</v>
      </c>
      <c r="D103" s="2003" t="s">
        <v>516</v>
      </c>
      <c r="E103" s="2003" t="s">
        <v>586</v>
      </c>
      <c r="F103" s="2005" t="s">
        <v>587</v>
      </c>
      <c r="G103" s="2006"/>
      <c r="H103" s="2006"/>
      <c r="I103" s="2006"/>
      <c r="J103" s="2006"/>
      <c r="K103" s="2006"/>
      <c r="L103" s="2006"/>
      <c r="M103" s="2006"/>
      <c r="N103" s="2006"/>
      <c r="O103" s="2006"/>
      <c r="P103" s="2006"/>
      <c r="Q103" s="2006"/>
      <c r="R103" s="2006"/>
      <c r="S103" s="2006"/>
      <c r="T103" s="2006"/>
      <c r="U103" s="2006"/>
      <c r="V103" s="2006"/>
      <c r="W103" s="2006"/>
      <c r="X103" s="2006"/>
      <c r="Y103" s="2006"/>
      <c r="Z103" s="2006"/>
      <c r="AA103" s="2006"/>
      <c r="AB103" s="2006"/>
      <c r="AC103" s="2006"/>
      <c r="AD103" s="2007"/>
      <c r="AE103" s="907" t="s">
        <v>538</v>
      </c>
      <c r="AF103" s="907" t="s">
        <v>531</v>
      </c>
      <c r="AG103" s="907" t="s">
        <v>539</v>
      </c>
    </row>
    <row r="104" spans="1:33" ht="12.9" customHeight="1">
      <c r="A104" s="906"/>
      <c r="B104" s="919"/>
      <c r="C104" s="2004"/>
      <c r="D104" s="2004"/>
      <c r="E104" s="2004"/>
      <c r="F104" s="908" t="s">
        <v>517</v>
      </c>
      <c r="G104" s="908" t="s">
        <v>518</v>
      </c>
      <c r="H104" s="908" t="s">
        <v>519</v>
      </c>
      <c r="I104" s="908" t="s">
        <v>520</v>
      </c>
      <c r="J104" s="908" t="s">
        <v>521</v>
      </c>
      <c r="K104" s="908" t="s">
        <v>522</v>
      </c>
      <c r="L104" s="908" t="s">
        <v>523</v>
      </c>
      <c r="M104" s="908" t="s">
        <v>524</v>
      </c>
      <c r="N104" s="908" t="s">
        <v>525</v>
      </c>
      <c r="O104" s="908" t="s">
        <v>526</v>
      </c>
      <c r="P104" s="908" t="s">
        <v>527</v>
      </c>
      <c r="Q104" s="908" t="s">
        <v>528</v>
      </c>
      <c r="R104" s="908" t="s">
        <v>529</v>
      </c>
      <c r="S104" s="908" t="s">
        <v>530</v>
      </c>
      <c r="T104" s="908" t="s">
        <v>325</v>
      </c>
      <c r="U104" s="908" t="s">
        <v>506</v>
      </c>
      <c r="V104" s="908" t="s">
        <v>507</v>
      </c>
      <c r="W104" s="908" t="s">
        <v>508</v>
      </c>
      <c r="X104" s="908" t="s">
        <v>509</v>
      </c>
      <c r="Y104" s="908" t="s">
        <v>510</v>
      </c>
      <c r="Z104" s="908" t="s">
        <v>958</v>
      </c>
      <c r="AA104" s="908" t="s">
        <v>959</v>
      </c>
      <c r="AB104" s="908" t="s">
        <v>960</v>
      </c>
      <c r="AC104" s="908" t="s">
        <v>961</v>
      </c>
      <c r="AD104" s="908" t="s">
        <v>962</v>
      </c>
      <c r="AE104" s="907"/>
      <c r="AF104" s="907"/>
      <c r="AG104" s="907"/>
    </row>
    <row r="105" spans="1:33">
      <c r="A105" s="909" t="s">
        <v>532</v>
      </c>
      <c r="B105" s="910">
        <v>2005</v>
      </c>
      <c r="C105" s="909"/>
      <c r="D105" s="909"/>
      <c r="E105" s="920"/>
      <c r="F105" s="261"/>
      <c r="G105" s="261"/>
      <c r="H105" s="261"/>
      <c r="I105" s="261"/>
      <c r="J105" s="261"/>
      <c r="K105" s="261"/>
      <c r="L105" s="261"/>
      <c r="M105" s="261"/>
      <c r="N105" s="261"/>
      <c r="O105" s="261"/>
      <c r="P105" s="261"/>
      <c r="Q105" s="261"/>
      <c r="R105" s="261"/>
      <c r="S105" s="261"/>
      <c r="T105" s="261"/>
      <c r="U105" s="261"/>
      <c r="V105" s="261"/>
      <c r="W105" s="261"/>
      <c r="X105" s="261"/>
      <c r="Y105" s="261"/>
      <c r="Z105" s="261"/>
      <c r="AA105" s="261"/>
      <c r="AB105" s="261"/>
      <c r="AC105" s="261"/>
      <c r="AD105" s="261"/>
      <c r="AE105" s="921"/>
      <c r="AF105" s="921"/>
      <c r="AG105" s="921"/>
    </row>
    <row r="106" spans="1:33">
      <c r="A106" s="909" t="s">
        <v>533</v>
      </c>
      <c r="B106" s="910" t="s">
        <v>517</v>
      </c>
      <c r="C106" s="909"/>
      <c r="D106" s="909"/>
      <c r="E106" s="920"/>
      <c r="F106" s="252"/>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261"/>
      <c r="AE106" s="921"/>
      <c r="AF106" s="921"/>
      <c r="AG106" s="921"/>
    </row>
    <row r="107" spans="1:33">
      <c r="A107" s="909" t="s">
        <v>533</v>
      </c>
      <c r="B107" s="910" t="s">
        <v>518</v>
      </c>
      <c r="C107" s="909"/>
      <c r="D107" s="909"/>
      <c r="E107" s="920"/>
      <c r="F107" s="262"/>
      <c r="G107" s="252"/>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921"/>
      <c r="AF107" s="921"/>
      <c r="AG107" s="921"/>
    </row>
    <row r="108" spans="1:33">
      <c r="A108" s="909" t="s">
        <v>533</v>
      </c>
      <c r="B108" s="910" t="s">
        <v>519</v>
      </c>
      <c r="C108" s="909"/>
      <c r="D108" s="909"/>
      <c r="E108" s="920"/>
      <c r="F108" s="262"/>
      <c r="G108" s="262"/>
      <c r="H108" s="252"/>
      <c r="I108" s="261"/>
      <c r="J108" s="261"/>
      <c r="K108" s="261"/>
      <c r="L108" s="261"/>
      <c r="M108" s="261"/>
      <c r="N108" s="261"/>
      <c r="O108" s="261"/>
      <c r="P108" s="261"/>
      <c r="Q108" s="261"/>
      <c r="R108" s="261"/>
      <c r="S108" s="261"/>
      <c r="T108" s="261"/>
      <c r="U108" s="261"/>
      <c r="V108" s="261"/>
      <c r="W108" s="261"/>
      <c r="X108" s="261"/>
      <c r="Y108" s="261"/>
      <c r="Z108" s="261"/>
      <c r="AA108" s="261"/>
      <c r="AB108" s="261"/>
      <c r="AC108" s="261"/>
      <c r="AD108" s="261"/>
      <c r="AE108" s="921"/>
      <c r="AF108" s="921"/>
      <c r="AG108" s="921"/>
    </row>
    <row r="109" spans="1:33">
      <c r="A109" s="909" t="s">
        <v>533</v>
      </c>
      <c r="B109" s="910" t="s">
        <v>520</v>
      </c>
      <c r="C109" s="909"/>
      <c r="D109" s="909"/>
      <c r="E109" s="920"/>
      <c r="F109" s="262"/>
      <c r="G109" s="262"/>
      <c r="H109" s="262"/>
      <c r="I109" s="252"/>
      <c r="J109" s="261"/>
      <c r="K109" s="261"/>
      <c r="L109" s="261"/>
      <c r="M109" s="261"/>
      <c r="N109" s="261"/>
      <c r="O109" s="261"/>
      <c r="P109" s="261"/>
      <c r="Q109" s="261"/>
      <c r="R109" s="261"/>
      <c r="S109" s="261"/>
      <c r="T109" s="261"/>
      <c r="U109" s="261"/>
      <c r="V109" s="261"/>
      <c r="W109" s="261"/>
      <c r="X109" s="261"/>
      <c r="Y109" s="261"/>
      <c r="Z109" s="261"/>
      <c r="AA109" s="261"/>
      <c r="AB109" s="261"/>
      <c r="AC109" s="261"/>
      <c r="AD109" s="261"/>
      <c r="AE109" s="921"/>
      <c r="AF109" s="921"/>
      <c r="AG109" s="921"/>
    </row>
    <row r="110" spans="1:33">
      <c r="A110" s="909" t="s">
        <v>533</v>
      </c>
      <c r="B110" s="910" t="s">
        <v>521</v>
      </c>
      <c r="C110" s="909"/>
      <c r="D110" s="909"/>
      <c r="E110" s="920"/>
      <c r="F110" s="262"/>
      <c r="G110" s="262"/>
      <c r="H110" s="262"/>
      <c r="I110" s="262"/>
      <c r="J110" s="252"/>
      <c r="K110" s="261"/>
      <c r="L110" s="261"/>
      <c r="M110" s="261"/>
      <c r="N110" s="261"/>
      <c r="O110" s="261"/>
      <c r="P110" s="261"/>
      <c r="Q110" s="261"/>
      <c r="R110" s="261"/>
      <c r="S110" s="261"/>
      <c r="T110" s="261"/>
      <c r="U110" s="261"/>
      <c r="V110" s="261"/>
      <c r="W110" s="261"/>
      <c r="X110" s="261"/>
      <c r="Y110" s="261"/>
      <c r="Z110" s="261"/>
      <c r="AA110" s="261"/>
      <c r="AB110" s="261"/>
      <c r="AC110" s="261"/>
      <c r="AD110" s="261"/>
      <c r="AE110" s="921"/>
      <c r="AF110" s="921"/>
      <c r="AG110" s="921"/>
    </row>
    <row r="111" spans="1:33">
      <c r="A111" s="909" t="s">
        <v>533</v>
      </c>
      <c r="B111" s="910" t="s">
        <v>522</v>
      </c>
      <c r="C111" s="909"/>
      <c r="D111" s="909"/>
      <c r="E111" s="920"/>
      <c r="F111" s="262"/>
      <c r="G111" s="262"/>
      <c r="H111" s="262"/>
      <c r="I111" s="262"/>
      <c r="J111" s="262"/>
      <c r="K111" s="252"/>
      <c r="L111" s="261"/>
      <c r="M111" s="261"/>
      <c r="N111" s="261"/>
      <c r="O111" s="261"/>
      <c r="P111" s="261"/>
      <c r="Q111" s="261"/>
      <c r="R111" s="261"/>
      <c r="S111" s="261"/>
      <c r="T111" s="261"/>
      <c r="U111" s="261"/>
      <c r="V111" s="261"/>
      <c r="W111" s="261"/>
      <c r="X111" s="261"/>
      <c r="Y111" s="261"/>
      <c r="Z111" s="261"/>
      <c r="AA111" s="261"/>
      <c r="AB111" s="261"/>
      <c r="AC111" s="261"/>
      <c r="AD111" s="261"/>
      <c r="AE111" s="921"/>
      <c r="AF111" s="921"/>
      <c r="AG111" s="921"/>
    </row>
    <row r="112" spans="1:33">
      <c r="A112" s="909" t="s">
        <v>533</v>
      </c>
      <c r="B112" s="910" t="s">
        <v>523</v>
      </c>
      <c r="C112" s="909"/>
      <c r="D112" s="909"/>
      <c r="E112" s="920"/>
      <c r="F112" s="262"/>
      <c r="G112" s="262"/>
      <c r="H112" s="262"/>
      <c r="I112" s="262"/>
      <c r="J112" s="262"/>
      <c r="K112" s="262"/>
      <c r="L112" s="252"/>
      <c r="M112" s="261"/>
      <c r="N112" s="261"/>
      <c r="O112" s="261"/>
      <c r="P112" s="261"/>
      <c r="Q112" s="261"/>
      <c r="R112" s="261"/>
      <c r="S112" s="261"/>
      <c r="T112" s="261"/>
      <c r="U112" s="261"/>
      <c r="V112" s="261"/>
      <c r="W112" s="261"/>
      <c r="X112" s="261"/>
      <c r="Y112" s="261"/>
      <c r="Z112" s="261"/>
      <c r="AA112" s="261"/>
      <c r="AB112" s="261"/>
      <c r="AC112" s="261"/>
      <c r="AD112" s="261"/>
      <c r="AE112" s="921"/>
      <c r="AF112" s="921"/>
      <c r="AG112" s="921"/>
    </row>
    <row r="113" spans="1:33">
      <c r="A113" s="909" t="s">
        <v>533</v>
      </c>
      <c r="B113" s="910" t="s">
        <v>524</v>
      </c>
      <c r="C113" s="909"/>
      <c r="D113" s="909"/>
      <c r="E113" s="920"/>
      <c r="F113" s="262"/>
      <c r="G113" s="262"/>
      <c r="H113" s="262"/>
      <c r="I113" s="262"/>
      <c r="J113" s="262"/>
      <c r="K113" s="262"/>
      <c r="L113" s="262"/>
      <c r="M113" s="252"/>
      <c r="N113" s="261"/>
      <c r="O113" s="261"/>
      <c r="P113" s="261"/>
      <c r="Q113" s="261"/>
      <c r="R113" s="261"/>
      <c r="S113" s="261"/>
      <c r="T113" s="261"/>
      <c r="U113" s="261"/>
      <c r="V113" s="261"/>
      <c r="W113" s="261"/>
      <c r="X113" s="261"/>
      <c r="Y113" s="261"/>
      <c r="Z113" s="261"/>
      <c r="AA113" s="261"/>
      <c r="AB113" s="261"/>
      <c r="AC113" s="261"/>
      <c r="AD113" s="261"/>
      <c r="AE113" s="921"/>
      <c r="AF113" s="921"/>
      <c r="AG113" s="921"/>
    </row>
    <row r="114" spans="1:33">
      <c r="A114" s="909" t="s">
        <v>533</v>
      </c>
      <c r="B114" s="910" t="s">
        <v>525</v>
      </c>
      <c r="C114" s="909"/>
      <c r="D114" s="909"/>
      <c r="E114" s="920"/>
      <c r="F114" s="262"/>
      <c r="G114" s="262"/>
      <c r="H114" s="262"/>
      <c r="I114" s="262"/>
      <c r="J114" s="262"/>
      <c r="K114" s="262"/>
      <c r="L114" s="262"/>
      <c r="M114" s="262"/>
      <c r="N114" s="252"/>
      <c r="O114" s="261"/>
      <c r="P114" s="261"/>
      <c r="Q114" s="261"/>
      <c r="R114" s="261"/>
      <c r="S114" s="261"/>
      <c r="T114" s="261"/>
      <c r="U114" s="261"/>
      <c r="V114" s="261"/>
      <c r="W114" s="261"/>
      <c r="X114" s="261"/>
      <c r="Y114" s="261"/>
      <c r="Z114" s="261"/>
      <c r="AA114" s="261"/>
      <c r="AB114" s="261"/>
      <c r="AC114" s="261"/>
      <c r="AD114" s="261"/>
      <c r="AE114" s="921"/>
      <c r="AF114" s="921"/>
      <c r="AG114" s="921"/>
    </row>
    <row r="115" spans="1:33">
      <c r="A115" s="909" t="s">
        <v>533</v>
      </c>
      <c r="B115" s="910" t="s">
        <v>526</v>
      </c>
      <c r="C115" s="250"/>
      <c r="D115" s="909"/>
      <c r="E115" s="920"/>
      <c r="F115" s="262"/>
      <c r="G115" s="262"/>
      <c r="H115" s="262"/>
      <c r="I115" s="262"/>
      <c r="J115" s="262"/>
      <c r="K115" s="262"/>
      <c r="L115" s="262"/>
      <c r="M115" s="262"/>
      <c r="N115" s="262"/>
      <c r="O115" s="252"/>
      <c r="P115" s="261"/>
      <c r="Q115" s="261"/>
      <c r="R115" s="261"/>
      <c r="S115" s="261"/>
      <c r="T115" s="261"/>
      <c r="U115" s="261"/>
      <c r="V115" s="261"/>
      <c r="W115" s="261"/>
      <c r="X115" s="261"/>
      <c r="Y115" s="261"/>
      <c r="Z115" s="261"/>
      <c r="AA115" s="261"/>
      <c r="AB115" s="261"/>
      <c r="AC115" s="261"/>
      <c r="AD115" s="261"/>
      <c r="AE115" s="921"/>
      <c r="AF115" s="921"/>
      <c r="AG115" s="921"/>
    </row>
    <row r="116" spans="1:33">
      <c r="A116" s="909" t="s">
        <v>533</v>
      </c>
      <c r="B116" s="910" t="s">
        <v>527</v>
      </c>
      <c r="C116" s="250"/>
      <c r="D116" s="909"/>
      <c r="E116" s="920"/>
      <c r="F116" s="262"/>
      <c r="G116" s="262"/>
      <c r="H116" s="262"/>
      <c r="I116" s="262"/>
      <c r="J116" s="262"/>
      <c r="K116" s="262"/>
      <c r="L116" s="262"/>
      <c r="M116" s="262"/>
      <c r="N116" s="262"/>
      <c r="O116" s="262"/>
      <c r="P116" s="252"/>
      <c r="Q116" s="261"/>
      <c r="R116" s="261"/>
      <c r="S116" s="261"/>
      <c r="T116" s="261"/>
      <c r="U116" s="261"/>
      <c r="V116" s="261"/>
      <c r="W116" s="261"/>
      <c r="X116" s="261"/>
      <c r="Y116" s="261"/>
      <c r="Z116" s="261"/>
      <c r="AA116" s="261"/>
      <c r="AB116" s="261"/>
      <c r="AC116" s="261"/>
      <c r="AD116" s="261"/>
      <c r="AE116" s="921"/>
      <c r="AF116" s="921"/>
      <c r="AG116" s="921"/>
    </row>
    <row r="117" spans="1:33">
      <c r="A117" s="909" t="s">
        <v>533</v>
      </c>
      <c r="B117" s="910" t="s">
        <v>528</v>
      </c>
      <c r="C117" s="250"/>
      <c r="D117" s="250"/>
      <c r="E117" s="920"/>
      <c r="F117" s="262"/>
      <c r="G117" s="262"/>
      <c r="H117" s="262"/>
      <c r="I117" s="262"/>
      <c r="J117" s="262"/>
      <c r="K117" s="262"/>
      <c r="L117" s="262"/>
      <c r="M117" s="262"/>
      <c r="N117" s="262"/>
      <c r="O117" s="262"/>
      <c r="P117" s="262"/>
      <c r="Q117" s="252"/>
      <c r="R117" s="261"/>
      <c r="S117" s="261"/>
      <c r="T117" s="261"/>
      <c r="U117" s="261"/>
      <c r="V117" s="261"/>
      <c r="W117" s="261"/>
      <c r="X117" s="261"/>
      <c r="Y117" s="261"/>
      <c r="Z117" s="261"/>
      <c r="AA117" s="261"/>
      <c r="AB117" s="261"/>
      <c r="AC117" s="261"/>
      <c r="AD117" s="261"/>
      <c r="AE117" s="921"/>
      <c r="AF117" s="921"/>
      <c r="AG117" s="921"/>
    </row>
    <row r="118" spans="1:33">
      <c r="A118" s="909" t="s">
        <v>533</v>
      </c>
      <c r="B118" s="910" t="s">
        <v>529</v>
      </c>
      <c r="C118" s="250"/>
      <c r="D118" s="250"/>
      <c r="E118" s="920"/>
      <c r="F118" s="262"/>
      <c r="G118" s="262"/>
      <c r="H118" s="262"/>
      <c r="I118" s="262"/>
      <c r="J118" s="262"/>
      <c r="K118" s="262"/>
      <c r="L118" s="262"/>
      <c r="M118" s="262"/>
      <c r="N118" s="262"/>
      <c r="O118" s="262"/>
      <c r="P118" s="262"/>
      <c r="Q118" s="262"/>
      <c r="R118" s="252"/>
      <c r="S118" s="261"/>
      <c r="T118" s="261"/>
      <c r="U118" s="261"/>
      <c r="V118" s="261"/>
      <c r="W118" s="261"/>
      <c r="X118" s="261"/>
      <c r="Y118" s="261"/>
      <c r="Z118" s="261"/>
      <c r="AA118" s="261"/>
      <c r="AB118" s="261"/>
      <c r="AC118" s="261"/>
      <c r="AD118" s="261"/>
      <c r="AE118" s="921"/>
      <c r="AF118" s="921"/>
      <c r="AG118" s="921"/>
    </row>
    <row r="119" spans="1:33">
      <c r="A119" s="909" t="s">
        <v>533</v>
      </c>
      <c r="B119" s="910" t="s">
        <v>530</v>
      </c>
      <c r="C119" s="250"/>
      <c r="D119" s="250"/>
      <c r="E119" s="920"/>
      <c r="F119" s="262"/>
      <c r="G119" s="262"/>
      <c r="H119" s="262"/>
      <c r="I119" s="262"/>
      <c r="J119" s="262"/>
      <c r="K119" s="262"/>
      <c r="L119" s="262"/>
      <c r="M119" s="262"/>
      <c r="N119" s="262"/>
      <c r="O119" s="262"/>
      <c r="P119" s="262"/>
      <c r="Q119" s="262"/>
      <c r="R119" s="262"/>
      <c r="S119" s="252"/>
      <c r="T119" s="261"/>
      <c r="U119" s="261"/>
      <c r="V119" s="261"/>
      <c r="W119" s="261"/>
      <c r="X119" s="261"/>
      <c r="Y119" s="261"/>
      <c r="Z119" s="261"/>
      <c r="AA119" s="261"/>
      <c r="AB119" s="261"/>
      <c r="AC119" s="261"/>
      <c r="AD119" s="261"/>
      <c r="AE119" s="921"/>
      <c r="AF119" s="921"/>
      <c r="AG119" s="921"/>
    </row>
    <row r="120" spans="1:33">
      <c r="A120" s="909" t="s">
        <v>533</v>
      </c>
      <c r="B120" s="910" t="s">
        <v>534</v>
      </c>
      <c r="C120" s="250"/>
      <c r="D120" s="250"/>
      <c r="E120" s="923"/>
      <c r="F120" s="262"/>
      <c r="G120" s="262"/>
      <c r="H120" s="262"/>
      <c r="I120" s="262"/>
      <c r="J120" s="262"/>
      <c r="K120" s="262"/>
      <c r="L120" s="262"/>
      <c r="M120" s="262"/>
      <c r="N120" s="262"/>
      <c r="O120" s="262"/>
      <c r="P120" s="262"/>
      <c r="Q120" s="262"/>
      <c r="R120" s="262"/>
      <c r="S120" s="262"/>
      <c r="T120" s="252"/>
      <c r="U120" s="261"/>
      <c r="V120" s="261"/>
      <c r="W120" s="261"/>
      <c r="X120" s="261"/>
      <c r="Y120" s="261"/>
      <c r="Z120" s="261"/>
      <c r="AA120" s="261"/>
      <c r="AB120" s="261"/>
      <c r="AC120" s="261"/>
      <c r="AD120" s="261"/>
      <c r="AE120" s="921"/>
      <c r="AF120" s="921"/>
      <c r="AG120" s="921"/>
    </row>
    <row r="121" spans="1:33">
      <c r="A121" s="909" t="s">
        <v>533</v>
      </c>
      <c r="B121" s="910" t="s">
        <v>535</v>
      </c>
      <c r="C121" s="250"/>
      <c r="D121" s="250"/>
      <c r="E121" s="923"/>
      <c r="F121" s="262"/>
      <c r="G121" s="262"/>
      <c r="H121" s="262"/>
      <c r="I121" s="262"/>
      <c r="J121" s="262"/>
      <c r="K121" s="262"/>
      <c r="L121" s="262"/>
      <c r="M121" s="262"/>
      <c r="N121" s="262"/>
      <c r="O121" s="262"/>
      <c r="P121" s="262"/>
      <c r="Q121" s="262"/>
      <c r="R121" s="262"/>
      <c r="S121" s="262"/>
      <c r="T121" s="262"/>
      <c r="U121" s="252"/>
      <c r="V121" s="261"/>
      <c r="W121" s="261"/>
      <c r="X121" s="261"/>
      <c r="Y121" s="261"/>
      <c r="Z121" s="261"/>
      <c r="AA121" s="261"/>
      <c r="AB121" s="261"/>
      <c r="AC121" s="261"/>
      <c r="AD121" s="261"/>
      <c r="AE121" s="921"/>
      <c r="AF121" s="921"/>
      <c r="AG121" s="921"/>
    </row>
    <row r="122" spans="1:33">
      <c r="A122" s="909" t="s">
        <v>533</v>
      </c>
      <c r="B122" s="910" t="s">
        <v>536</v>
      </c>
      <c r="C122" s="250"/>
      <c r="D122" s="250"/>
      <c r="E122" s="923"/>
      <c r="F122" s="262"/>
      <c r="G122" s="262"/>
      <c r="H122" s="262"/>
      <c r="I122" s="262"/>
      <c r="J122" s="262"/>
      <c r="K122" s="262"/>
      <c r="L122" s="262"/>
      <c r="M122" s="262"/>
      <c r="N122" s="262"/>
      <c r="O122" s="262"/>
      <c r="P122" s="262"/>
      <c r="Q122" s="262"/>
      <c r="R122" s="262"/>
      <c r="S122" s="262"/>
      <c r="T122" s="262"/>
      <c r="U122" s="262"/>
      <c r="V122" s="252"/>
      <c r="W122" s="261"/>
      <c r="X122" s="261"/>
      <c r="Y122" s="261"/>
      <c r="Z122" s="261"/>
      <c r="AA122" s="261"/>
      <c r="AB122" s="261"/>
      <c r="AC122" s="261"/>
      <c r="AD122" s="261"/>
      <c r="AE122" s="921"/>
      <c r="AF122" s="921"/>
      <c r="AG122" s="921"/>
    </row>
    <row r="123" spans="1:33">
      <c r="A123" s="909" t="s">
        <v>533</v>
      </c>
      <c r="B123" s="910" t="s">
        <v>546</v>
      </c>
      <c r="C123" s="250"/>
      <c r="D123" s="250"/>
      <c r="E123" s="923"/>
      <c r="F123" s="262"/>
      <c r="G123" s="262"/>
      <c r="H123" s="262"/>
      <c r="I123" s="262"/>
      <c r="J123" s="262"/>
      <c r="K123" s="262"/>
      <c r="L123" s="262"/>
      <c r="M123" s="262"/>
      <c r="N123" s="262"/>
      <c r="O123" s="262"/>
      <c r="P123" s="262"/>
      <c r="Q123" s="262"/>
      <c r="R123" s="262"/>
      <c r="S123" s="262"/>
      <c r="T123" s="262"/>
      <c r="U123" s="262"/>
      <c r="V123" s="262"/>
      <c r="W123" s="252"/>
      <c r="X123" s="261"/>
      <c r="Y123" s="261"/>
      <c r="Z123" s="261"/>
      <c r="AA123" s="261"/>
      <c r="AB123" s="261"/>
      <c r="AC123" s="261"/>
      <c r="AD123" s="261"/>
      <c r="AE123" s="921"/>
      <c r="AF123" s="921"/>
      <c r="AG123" s="921"/>
    </row>
    <row r="124" spans="1:33">
      <c r="A124" s="909" t="s">
        <v>533</v>
      </c>
      <c r="B124" s="910" t="s">
        <v>547</v>
      </c>
      <c r="C124" s="250"/>
      <c r="D124" s="250"/>
      <c r="E124" s="923"/>
      <c r="F124" s="262"/>
      <c r="G124" s="262"/>
      <c r="H124" s="262"/>
      <c r="I124" s="262"/>
      <c r="J124" s="262"/>
      <c r="K124" s="262"/>
      <c r="L124" s="262"/>
      <c r="M124" s="262"/>
      <c r="N124" s="262"/>
      <c r="O124" s="262"/>
      <c r="P124" s="262"/>
      <c r="Q124" s="262"/>
      <c r="R124" s="262"/>
      <c r="S124" s="262"/>
      <c r="T124" s="262"/>
      <c r="U124" s="262"/>
      <c r="V124" s="262"/>
      <c r="W124" s="262"/>
      <c r="X124" s="252"/>
      <c r="Y124" s="261"/>
      <c r="Z124" s="261"/>
      <c r="AA124" s="261"/>
      <c r="AB124" s="261"/>
      <c r="AC124" s="261"/>
      <c r="AD124" s="261"/>
      <c r="AE124" s="921"/>
      <c r="AF124" s="921"/>
      <c r="AG124" s="921"/>
    </row>
    <row r="125" spans="1:33">
      <c r="A125" s="909" t="s">
        <v>533</v>
      </c>
      <c r="B125" s="910" t="s">
        <v>548</v>
      </c>
      <c r="C125" s="250"/>
      <c r="D125" s="250"/>
      <c r="E125" s="923"/>
      <c r="F125" s="262"/>
      <c r="G125" s="262"/>
      <c r="H125" s="262"/>
      <c r="I125" s="262"/>
      <c r="J125" s="262"/>
      <c r="K125" s="262"/>
      <c r="L125" s="262"/>
      <c r="M125" s="262"/>
      <c r="N125" s="262"/>
      <c r="O125" s="262"/>
      <c r="P125" s="262"/>
      <c r="Q125" s="262"/>
      <c r="R125" s="262"/>
      <c r="S125" s="262"/>
      <c r="T125" s="262"/>
      <c r="U125" s="262"/>
      <c r="V125" s="262"/>
      <c r="W125" s="262"/>
      <c r="X125" s="262"/>
      <c r="Y125" s="252"/>
      <c r="Z125" s="261"/>
      <c r="AA125" s="261"/>
      <c r="AB125" s="261"/>
      <c r="AC125" s="261"/>
      <c r="AD125" s="261"/>
      <c r="AE125" s="921"/>
      <c r="AF125" s="921"/>
      <c r="AG125" s="921"/>
    </row>
    <row r="126" spans="1:33">
      <c r="A126" s="909" t="s">
        <v>533</v>
      </c>
      <c r="B126" s="910" t="s">
        <v>1038</v>
      </c>
      <c r="C126" s="250"/>
      <c r="D126" s="250"/>
      <c r="E126" s="923"/>
      <c r="F126" s="262"/>
      <c r="G126" s="262"/>
      <c r="H126" s="262"/>
      <c r="I126" s="262"/>
      <c r="J126" s="262"/>
      <c r="K126" s="262"/>
      <c r="L126" s="262"/>
      <c r="M126" s="262"/>
      <c r="N126" s="262"/>
      <c r="O126" s="262"/>
      <c r="P126" s="262"/>
      <c r="Q126" s="262"/>
      <c r="R126" s="262"/>
      <c r="S126" s="262"/>
      <c r="T126" s="262"/>
      <c r="U126" s="262"/>
      <c r="V126" s="262"/>
      <c r="W126" s="262"/>
      <c r="X126" s="262"/>
      <c r="Y126" s="262"/>
      <c r="Z126" s="252"/>
      <c r="AA126" s="261"/>
      <c r="AB126" s="261"/>
      <c r="AC126" s="261"/>
      <c r="AD126" s="261"/>
      <c r="AE126" s="250"/>
      <c r="AF126" s="250"/>
      <c r="AG126" s="921"/>
    </row>
    <row r="127" spans="1:33">
      <c r="A127" s="909" t="s">
        <v>533</v>
      </c>
      <c r="B127" s="910" t="s">
        <v>1039</v>
      </c>
      <c r="C127" s="250"/>
      <c r="D127" s="250"/>
      <c r="E127" s="923"/>
      <c r="F127" s="262"/>
      <c r="G127" s="262"/>
      <c r="H127" s="262"/>
      <c r="I127" s="262"/>
      <c r="J127" s="262"/>
      <c r="K127" s="262"/>
      <c r="L127" s="262"/>
      <c r="M127" s="262"/>
      <c r="N127" s="262"/>
      <c r="O127" s="262"/>
      <c r="P127" s="262"/>
      <c r="Q127" s="262"/>
      <c r="R127" s="262"/>
      <c r="S127" s="262"/>
      <c r="T127" s="262"/>
      <c r="U127" s="262"/>
      <c r="V127" s="262"/>
      <c r="W127" s="262"/>
      <c r="X127" s="262"/>
      <c r="Y127" s="262"/>
      <c r="Z127" s="262"/>
      <c r="AA127" s="252"/>
      <c r="AB127" s="261"/>
      <c r="AC127" s="261"/>
      <c r="AD127" s="261"/>
      <c r="AE127" s="250"/>
      <c r="AF127" s="250"/>
      <c r="AG127" s="921"/>
    </row>
    <row r="128" spans="1:33">
      <c r="A128" s="909" t="s">
        <v>533</v>
      </c>
      <c r="B128" s="910" t="s">
        <v>1040</v>
      </c>
      <c r="C128" s="250"/>
      <c r="D128" s="250"/>
      <c r="E128" s="923"/>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52"/>
      <c r="AC128" s="261"/>
      <c r="AD128" s="261"/>
      <c r="AE128" s="250"/>
      <c r="AF128" s="250"/>
      <c r="AG128" s="921"/>
    </row>
    <row r="129" spans="1:33">
      <c r="A129" s="909" t="s">
        <v>533</v>
      </c>
      <c r="B129" s="910" t="s">
        <v>1041</v>
      </c>
      <c r="C129" s="250"/>
      <c r="D129" s="250"/>
      <c r="E129" s="923"/>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52"/>
      <c r="AD129" s="261"/>
      <c r="AE129" s="250"/>
      <c r="AF129" s="250"/>
      <c r="AG129" s="921"/>
    </row>
    <row r="130" spans="1:33">
      <c r="A130" s="909" t="s">
        <v>533</v>
      </c>
      <c r="B130" s="910" t="s">
        <v>1042</v>
      </c>
      <c r="C130" s="250"/>
      <c r="D130" s="250"/>
      <c r="E130" s="923"/>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252"/>
      <c r="AE130" s="250"/>
      <c r="AF130" s="250"/>
      <c r="AG130" s="921"/>
    </row>
    <row r="131" spans="1:33" ht="13">
      <c r="A131" s="913"/>
      <c r="B131" s="914" t="s">
        <v>271</v>
      </c>
      <c r="C131" s="251"/>
      <c r="D131" s="251"/>
      <c r="E131" s="251"/>
      <c r="F131" s="251"/>
      <c r="G131" s="251"/>
      <c r="H131" s="251"/>
      <c r="I131" s="251"/>
      <c r="J131" s="251"/>
      <c r="K131" s="251"/>
      <c r="L131" s="251"/>
      <c r="M131" s="251"/>
      <c r="N131" s="251"/>
      <c r="O131" s="251"/>
      <c r="P131" s="251"/>
      <c r="Q131" s="251"/>
      <c r="R131" s="251"/>
      <c r="S131" s="251"/>
      <c r="T131" s="251"/>
      <c r="U131" s="251"/>
      <c r="V131" s="251"/>
      <c r="W131" s="251"/>
      <c r="X131" s="251"/>
      <c r="Y131" s="251"/>
      <c r="Z131" s="251"/>
      <c r="AA131" s="251"/>
      <c r="AB131" s="251"/>
      <c r="AC131" s="251"/>
      <c r="AD131" s="251"/>
      <c r="AE131" s="251"/>
      <c r="AF131" s="251"/>
      <c r="AG131" s="251"/>
    </row>
    <row r="132" spans="1:33">
      <c r="C132" s="925"/>
    </row>
    <row r="134" spans="1:33">
      <c r="F134" s="915"/>
    </row>
    <row r="135" spans="1:33" ht="13">
      <c r="B135" s="904" t="s">
        <v>542</v>
      </c>
      <c r="F135" s="905" t="s">
        <v>10</v>
      </c>
    </row>
    <row r="136" spans="1:33" ht="26.15" customHeight="1">
      <c r="A136" s="906"/>
      <c r="B136" s="919" t="s">
        <v>413</v>
      </c>
      <c r="C136" s="2003" t="s">
        <v>515</v>
      </c>
      <c r="D136" s="2003" t="s">
        <v>516</v>
      </c>
      <c r="E136" s="2003" t="s">
        <v>586</v>
      </c>
      <c r="F136" s="2005" t="s">
        <v>587</v>
      </c>
      <c r="G136" s="2006"/>
      <c r="H136" s="2006"/>
      <c r="I136" s="2006"/>
      <c r="J136" s="2006"/>
      <c r="K136" s="2006"/>
      <c r="L136" s="2006"/>
      <c r="M136" s="2006"/>
      <c r="N136" s="2006"/>
      <c r="O136" s="2006"/>
      <c r="P136" s="2006"/>
      <c r="Q136" s="2006"/>
      <c r="R136" s="2006"/>
      <c r="S136" s="2006"/>
      <c r="T136" s="2006"/>
      <c r="U136" s="2006"/>
      <c r="V136" s="2006"/>
      <c r="W136" s="2006"/>
      <c r="X136" s="2006"/>
      <c r="Y136" s="2006"/>
      <c r="Z136" s="2006"/>
      <c r="AA136" s="2006"/>
      <c r="AB136" s="2006"/>
      <c r="AC136" s="2006"/>
      <c r="AD136" s="2007"/>
      <c r="AE136" s="907" t="s">
        <v>538</v>
      </c>
      <c r="AF136" s="907" t="s">
        <v>531</v>
      </c>
      <c r="AG136" s="907" t="s">
        <v>539</v>
      </c>
    </row>
    <row r="137" spans="1:33" ht="12.9" customHeight="1">
      <c r="A137" s="906"/>
      <c r="B137" s="919"/>
      <c r="C137" s="2004"/>
      <c r="D137" s="2004"/>
      <c r="E137" s="2004"/>
      <c r="F137" s="908" t="s">
        <v>517</v>
      </c>
      <c r="G137" s="908" t="s">
        <v>518</v>
      </c>
      <c r="H137" s="908" t="s">
        <v>519</v>
      </c>
      <c r="I137" s="908" t="s">
        <v>520</v>
      </c>
      <c r="J137" s="908" t="s">
        <v>521</v>
      </c>
      <c r="K137" s="908" t="s">
        <v>522</v>
      </c>
      <c r="L137" s="908" t="s">
        <v>523</v>
      </c>
      <c r="M137" s="908" t="s">
        <v>524</v>
      </c>
      <c r="N137" s="908" t="s">
        <v>525</v>
      </c>
      <c r="O137" s="908" t="s">
        <v>526</v>
      </c>
      <c r="P137" s="908" t="s">
        <v>527</v>
      </c>
      <c r="Q137" s="908" t="s">
        <v>528</v>
      </c>
      <c r="R137" s="908" t="s">
        <v>529</v>
      </c>
      <c r="S137" s="908" t="s">
        <v>530</v>
      </c>
      <c r="T137" s="908" t="s">
        <v>325</v>
      </c>
      <c r="U137" s="908" t="s">
        <v>506</v>
      </c>
      <c r="V137" s="908" t="s">
        <v>507</v>
      </c>
      <c r="W137" s="908" t="s">
        <v>508</v>
      </c>
      <c r="X137" s="908" t="s">
        <v>509</v>
      </c>
      <c r="Y137" s="908" t="s">
        <v>510</v>
      </c>
      <c r="Z137" s="908" t="s">
        <v>958</v>
      </c>
      <c r="AA137" s="908" t="s">
        <v>959</v>
      </c>
      <c r="AB137" s="908" t="s">
        <v>960</v>
      </c>
      <c r="AC137" s="908" t="s">
        <v>961</v>
      </c>
      <c r="AD137" s="908" t="s">
        <v>962</v>
      </c>
      <c r="AE137" s="907"/>
      <c r="AF137" s="907"/>
      <c r="AG137" s="907"/>
    </row>
    <row r="138" spans="1:33">
      <c r="A138" s="909" t="s">
        <v>532</v>
      </c>
      <c r="B138" s="910">
        <v>2005</v>
      </c>
      <c r="C138" s="909"/>
      <c r="D138" s="909"/>
      <c r="E138" s="920"/>
      <c r="F138" s="261"/>
      <c r="G138" s="261"/>
      <c r="H138" s="261"/>
      <c r="I138" s="261"/>
      <c r="J138" s="261"/>
      <c r="K138" s="261"/>
      <c r="L138" s="261"/>
      <c r="M138" s="261"/>
      <c r="N138" s="261"/>
      <c r="O138" s="261"/>
      <c r="P138" s="261"/>
      <c r="Q138" s="261"/>
      <c r="R138" s="261"/>
      <c r="S138" s="261"/>
      <c r="T138" s="261"/>
      <c r="U138" s="261"/>
      <c r="V138" s="261"/>
      <c r="W138" s="261"/>
      <c r="X138" s="261"/>
      <c r="Y138" s="261"/>
      <c r="Z138" s="261"/>
      <c r="AA138" s="261"/>
      <c r="AB138" s="261"/>
      <c r="AC138" s="261"/>
      <c r="AD138" s="261"/>
      <c r="AE138" s="921"/>
      <c r="AF138" s="921"/>
      <c r="AG138" s="921"/>
    </row>
    <row r="139" spans="1:33">
      <c r="A139" s="909" t="s">
        <v>533</v>
      </c>
      <c r="B139" s="910" t="s">
        <v>517</v>
      </c>
      <c r="C139" s="909"/>
      <c r="D139" s="909"/>
      <c r="E139" s="920"/>
      <c r="F139" s="252"/>
      <c r="G139" s="261"/>
      <c r="H139" s="261"/>
      <c r="I139" s="261"/>
      <c r="J139" s="261"/>
      <c r="K139" s="261"/>
      <c r="L139" s="261"/>
      <c r="M139" s="261"/>
      <c r="N139" s="261"/>
      <c r="O139" s="261"/>
      <c r="P139" s="261"/>
      <c r="Q139" s="261"/>
      <c r="R139" s="261"/>
      <c r="S139" s="261"/>
      <c r="T139" s="261"/>
      <c r="U139" s="261"/>
      <c r="V139" s="261"/>
      <c r="W139" s="261"/>
      <c r="X139" s="261"/>
      <c r="Y139" s="261"/>
      <c r="Z139" s="261"/>
      <c r="AA139" s="261"/>
      <c r="AB139" s="261"/>
      <c r="AC139" s="261"/>
      <c r="AD139" s="261"/>
      <c r="AE139" s="921"/>
      <c r="AF139" s="921"/>
      <c r="AG139" s="921"/>
    </row>
    <row r="140" spans="1:33">
      <c r="A140" s="909" t="s">
        <v>533</v>
      </c>
      <c r="B140" s="910" t="s">
        <v>518</v>
      </c>
      <c r="C140" s="909"/>
      <c r="D140" s="909"/>
      <c r="E140" s="920"/>
      <c r="F140" s="262"/>
      <c r="G140" s="252"/>
      <c r="H140" s="261"/>
      <c r="I140" s="261"/>
      <c r="J140" s="261"/>
      <c r="K140" s="261"/>
      <c r="L140" s="261"/>
      <c r="M140" s="261"/>
      <c r="N140" s="261"/>
      <c r="O140" s="261"/>
      <c r="P140" s="261"/>
      <c r="Q140" s="261"/>
      <c r="R140" s="261"/>
      <c r="S140" s="261"/>
      <c r="T140" s="261"/>
      <c r="U140" s="261"/>
      <c r="V140" s="261"/>
      <c r="W140" s="261"/>
      <c r="X140" s="261"/>
      <c r="Y140" s="261"/>
      <c r="Z140" s="261"/>
      <c r="AA140" s="261"/>
      <c r="AB140" s="261"/>
      <c r="AC140" s="261"/>
      <c r="AD140" s="261"/>
      <c r="AE140" s="921"/>
      <c r="AF140" s="921"/>
      <c r="AG140" s="921"/>
    </row>
    <row r="141" spans="1:33">
      <c r="A141" s="909" t="s">
        <v>533</v>
      </c>
      <c r="B141" s="910" t="s">
        <v>519</v>
      </c>
      <c r="C141" s="909"/>
      <c r="D141" s="909"/>
      <c r="E141" s="920"/>
      <c r="F141" s="262"/>
      <c r="G141" s="262"/>
      <c r="H141" s="252"/>
      <c r="I141" s="261"/>
      <c r="J141" s="261"/>
      <c r="K141" s="261"/>
      <c r="L141" s="261"/>
      <c r="M141" s="261"/>
      <c r="N141" s="261"/>
      <c r="O141" s="261"/>
      <c r="P141" s="261"/>
      <c r="Q141" s="261"/>
      <c r="R141" s="261"/>
      <c r="S141" s="261"/>
      <c r="T141" s="261"/>
      <c r="U141" s="261"/>
      <c r="V141" s="261"/>
      <c r="W141" s="261"/>
      <c r="X141" s="261"/>
      <c r="Y141" s="261"/>
      <c r="Z141" s="261"/>
      <c r="AA141" s="261"/>
      <c r="AB141" s="261"/>
      <c r="AC141" s="261"/>
      <c r="AD141" s="261"/>
      <c r="AE141" s="921"/>
      <c r="AF141" s="921"/>
      <c r="AG141" s="921"/>
    </row>
    <row r="142" spans="1:33">
      <c r="A142" s="909" t="s">
        <v>533</v>
      </c>
      <c r="B142" s="910" t="s">
        <v>520</v>
      </c>
      <c r="C142" s="909"/>
      <c r="D142" s="909"/>
      <c r="E142" s="920"/>
      <c r="F142" s="262"/>
      <c r="G142" s="262"/>
      <c r="H142" s="262"/>
      <c r="I142" s="252"/>
      <c r="J142" s="261"/>
      <c r="K142" s="261"/>
      <c r="L142" s="261"/>
      <c r="M142" s="261"/>
      <c r="N142" s="261"/>
      <c r="O142" s="261"/>
      <c r="P142" s="261"/>
      <c r="Q142" s="261"/>
      <c r="R142" s="261"/>
      <c r="S142" s="261"/>
      <c r="T142" s="261"/>
      <c r="U142" s="261"/>
      <c r="V142" s="261"/>
      <c r="W142" s="261"/>
      <c r="X142" s="261"/>
      <c r="Y142" s="261"/>
      <c r="Z142" s="261"/>
      <c r="AA142" s="261"/>
      <c r="AB142" s="261"/>
      <c r="AC142" s="261"/>
      <c r="AD142" s="261"/>
      <c r="AE142" s="921"/>
      <c r="AF142" s="921"/>
      <c r="AG142" s="921"/>
    </row>
    <row r="143" spans="1:33">
      <c r="A143" s="909" t="s">
        <v>533</v>
      </c>
      <c r="B143" s="910" t="s">
        <v>521</v>
      </c>
      <c r="C143" s="909"/>
      <c r="D143" s="909"/>
      <c r="E143" s="920"/>
      <c r="F143" s="262"/>
      <c r="G143" s="262"/>
      <c r="H143" s="262"/>
      <c r="I143" s="262"/>
      <c r="J143" s="252"/>
      <c r="K143" s="261"/>
      <c r="L143" s="261"/>
      <c r="M143" s="261"/>
      <c r="N143" s="261"/>
      <c r="O143" s="261"/>
      <c r="P143" s="261"/>
      <c r="Q143" s="261"/>
      <c r="R143" s="261"/>
      <c r="S143" s="261"/>
      <c r="T143" s="261"/>
      <c r="U143" s="261"/>
      <c r="V143" s="261"/>
      <c r="W143" s="261"/>
      <c r="X143" s="261"/>
      <c r="Y143" s="261"/>
      <c r="Z143" s="261"/>
      <c r="AA143" s="261"/>
      <c r="AB143" s="261"/>
      <c r="AC143" s="261"/>
      <c r="AD143" s="261"/>
      <c r="AE143" s="921"/>
      <c r="AF143" s="921"/>
      <c r="AG143" s="921"/>
    </row>
    <row r="144" spans="1:33">
      <c r="A144" s="909" t="s">
        <v>533</v>
      </c>
      <c r="B144" s="910" t="s">
        <v>522</v>
      </c>
      <c r="C144" s="909"/>
      <c r="D144" s="909"/>
      <c r="E144" s="920"/>
      <c r="F144" s="262"/>
      <c r="G144" s="262"/>
      <c r="H144" s="262"/>
      <c r="I144" s="262"/>
      <c r="J144" s="262"/>
      <c r="K144" s="252"/>
      <c r="L144" s="261"/>
      <c r="M144" s="261"/>
      <c r="N144" s="261"/>
      <c r="O144" s="261"/>
      <c r="P144" s="261"/>
      <c r="Q144" s="261"/>
      <c r="R144" s="261"/>
      <c r="S144" s="261"/>
      <c r="T144" s="261"/>
      <c r="U144" s="261"/>
      <c r="V144" s="261"/>
      <c r="W144" s="261"/>
      <c r="X144" s="261"/>
      <c r="Y144" s="261"/>
      <c r="Z144" s="261"/>
      <c r="AA144" s="261"/>
      <c r="AB144" s="261"/>
      <c r="AC144" s="261"/>
      <c r="AD144" s="261"/>
      <c r="AE144" s="921"/>
      <c r="AF144" s="921"/>
      <c r="AG144" s="921"/>
    </row>
    <row r="145" spans="1:33">
      <c r="A145" s="909" t="s">
        <v>533</v>
      </c>
      <c r="B145" s="910" t="s">
        <v>523</v>
      </c>
      <c r="C145" s="909"/>
      <c r="D145" s="909"/>
      <c r="E145" s="920"/>
      <c r="F145" s="262"/>
      <c r="G145" s="262"/>
      <c r="H145" s="262"/>
      <c r="I145" s="262"/>
      <c r="J145" s="262"/>
      <c r="K145" s="262"/>
      <c r="L145" s="252"/>
      <c r="M145" s="261"/>
      <c r="N145" s="261"/>
      <c r="O145" s="261"/>
      <c r="P145" s="261"/>
      <c r="Q145" s="261"/>
      <c r="R145" s="261"/>
      <c r="S145" s="261"/>
      <c r="T145" s="261"/>
      <c r="U145" s="261"/>
      <c r="V145" s="261"/>
      <c r="W145" s="261"/>
      <c r="X145" s="261"/>
      <c r="Y145" s="261"/>
      <c r="Z145" s="261"/>
      <c r="AA145" s="261"/>
      <c r="AB145" s="261"/>
      <c r="AC145" s="261"/>
      <c r="AD145" s="261"/>
      <c r="AE145" s="921"/>
      <c r="AF145" s="921"/>
      <c r="AG145" s="921"/>
    </row>
    <row r="146" spans="1:33">
      <c r="A146" s="909" t="s">
        <v>533</v>
      </c>
      <c r="B146" s="910" t="s">
        <v>524</v>
      </c>
      <c r="C146" s="909"/>
      <c r="D146" s="909"/>
      <c r="E146" s="920"/>
      <c r="F146" s="262"/>
      <c r="G146" s="262"/>
      <c r="H146" s="262"/>
      <c r="I146" s="262"/>
      <c r="J146" s="262"/>
      <c r="K146" s="262"/>
      <c r="L146" s="262"/>
      <c r="M146" s="252"/>
      <c r="N146" s="261"/>
      <c r="O146" s="261"/>
      <c r="P146" s="261"/>
      <c r="Q146" s="261"/>
      <c r="R146" s="261"/>
      <c r="S146" s="261"/>
      <c r="T146" s="261"/>
      <c r="U146" s="261"/>
      <c r="V146" s="261"/>
      <c r="W146" s="261"/>
      <c r="X146" s="261"/>
      <c r="Y146" s="261"/>
      <c r="Z146" s="261"/>
      <c r="AA146" s="261"/>
      <c r="AB146" s="261"/>
      <c r="AC146" s="261"/>
      <c r="AD146" s="261"/>
      <c r="AE146" s="921"/>
      <c r="AF146" s="921"/>
      <c r="AG146" s="921"/>
    </row>
    <row r="147" spans="1:33">
      <c r="A147" s="909" t="s">
        <v>533</v>
      </c>
      <c r="B147" s="910" t="s">
        <v>525</v>
      </c>
      <c r="C147" s="909"/>
      <c r="D147" s="909"/>
      <c r="E147" s="920"/>
      <c r="F147" s="262"/>
      <c r="G147" s="262"/>
      <c r="H147" s="262"/>
      <c r="I147" s="262"/>
      <c r="J147" s="262"/>
      <c r="K147" s="262"/>
      <c r="L147" s="262"/>
      <c r="M147" s="262"/>
      <c r="N147" s="252"/>
      <c r="O147" s="261"/>
      <c r="P147" s="261"/>
      <c r="Q147" s="261"/>
      <c r="R147" s="261"/>
      <c r="S147" s="261"/>
      <c r="T147" s="261"/>
      <c r="U147" s="261"/>
      <c r="V147" s="261"/>
      <c r="W147" s="261"/>
      <c r="X147" s="261"/>
      <c r="Y147" s="261"/>
      <c r="Z147" s="261"/>
      <c r="AA147" s="261"/>
      <c r="AB147" s="261"/>
      <c r="AC147" s="261"/>
      <c r="AD147" s="261"/>
      <c r="AE147" s="921"/>
      <c r="AF147" s="921"/>
      <c r="AG147" s="921"/>
    </row>
    <row r="148" spans="1:33">
      <c r="A148" s="909" t="s">
        <v>533</v>
      </c>
      <c r="B148" s="910" t="s">
        <v>526</v>
      </c>
      <c r="C148" s="250"/>
      <c r="D148" s="909"/>
      <c r="E148" s="920"/>
      <c r="F148" s="262"/>
      <c r="G148" s="262"/>
      <c r="H148" s="262"/>
      <c r="I148" s="262"/>
      <c r="J148" s="262"/>
      <c r="K148" s="262"/>
      <c r="L148" s="262"/>
      <c r="M148" s="262"/>
      <c r="N148" s="262"/>
      <c r="O148" s="252"/>
      <c r="P148" s="261"/>
      <c r="Q148" s="261"/>
      <c r="R148" s="261"/>
      <c r="S148" s="261"/>
      <c r="T148" s="261"/>
      <c r="U148" s="261"/>
      <c r="V148" s="261"/>
      <c r="W148" s="261"/>
      <c r="X148" s="261"/>
      <c r="Y148" s="261"/>
      <c r="Z148" s="261"/>
      <c r="AA148" s="261"/>
      <c r="AB148" s="261"/>
      <c r="AC148" s="261"/>
      <c r="AD148" s="261"/>
      <c r="AE148" s="921"/>
      <c r="AF148" s="921"/>
      <c r="AG148" s="921"/>
    </row>
    <row r="149" spans="1:33">
      <c r="A149" s="909" t="s">
        <v>533</v>
      </c>
      <c r="B149" s="910" t="s">
        <v>527</v>
      </c>
      <c r="C149" s="250"/>
      <c r="D149" s="909"/>
      <c r="E149" s="920"/>
      <c r="F149" s="262"/>
      <c r="G149" s="262"/>
      <c r="H149" s="262"/>
      <c r="I149" s="262"/>
      <c r="J149" s="262"/>
      <c r="K149" s="262"/>
      <c r="L149" s="262"/>
      <c r="M149" s="262"/>
      <c r="N149" s="262"/>
      <c r="O149" s="262"/>
      <c r="P149" s="252"/>
      <c r="Q149" s="261"/>
      <c r="R149" s="261"/>
      <c r="S149" s="261"/>
      <c r="T149" s="261"/>
      <c r="U149" s="261"/>
      <c r="V149" s="261"/>
      <c r="W149" s="261"/>
      <c r="X149" s="261"/>
      <c r="Y149" s="261"/>
      <c r="Z149" s="261"/>
      <c r="AA149" s="261"/>
      <c r="AB149" s="261"/>
      <c r="AC149" s="261"/>
      <c r="AD149" s="261"/>
      <c r="AE149" s="921"/>
      <c r="AF149" s="921"/>
      <c r="AG149" s="921"/>
    </row>
    <row r="150" spans="1:33">
      <c r="A150" s="909" t="s">
        <v>533</v>
      </c>
      <c r="B150" s="910" t="s">
        <v>528</v>
      </c>
      <c r="C150" s="250"/>
      <c r="D150" s="250"/>
      <c r="E150" s="920"/>
      <c r="F150" s="262"/>
      <c r="G150" s="262"/>
      <c r="H150" s="262"/>
      <c r="I150" s="262"/>
      <c r="J150" s="262"/>
      <c r="K150" s="262"/>
      <c r="L150" s="262"/>
      <c r="M150" s="262"/>
      <c r="N150" s="262"/>
      <c r="O150" s="262"/>
      <c r="P150" s="262"/>
      <c r="Q150" s="252"/>
      <c r="R150" s="261"/>
      <c r="S150" s="261"/>
      <c r="T150" s="261"/>
      <c r="U150" s="261"/>
      <c r="V150" s="261"/>
      <c r="W150" s="261"/>
      <c r="X150" s="261"/>
      <c r="Y150" s="261"/>
      <c r="Z150" s="261"/>
      <c r="AA150" s="261"/>
      <c r="AB150" s="261"/>
      <c r="AC150" s="261"/>
      <c r="AD150" s="261"/>
      <c r="AE150" s="921"/>
      <c r="AF150" s="921"/>
      <c r="AG150" s="921"/>
    </row>
    <row r="151" spans="1:33">
      <c r="A151" s="909" t="s">
        <v>533</v>
      </c>
      <c r="B151" s="910" t="s">
        <v>529</v>
      </c>
      <c r="C151" s="250"/>
      <c r="D151" s="250"/>
      <c r="E151" s="920"/>
      <c r="F151" s="262"/>
      <c r="G151" s="262"/>
      <c r="H151" s="262"/>
      <c r="I151" s="262"/>
      <c r="J151" s="262"/>
      <c r="K151" s="262"/>
      <c r="L151" s="262"/>
      <c r="M151" s="262"/>
      <c r="N151" s="262"/>
      <c r="O151" s="262"/>
      <c r="P151" s="262"/>
      <c r="Q151" s="262"/>
      <c r="R151" s="252"/>
      <c r="S151" s="261"/>
      <c r="T151" s="261"/>
      <c r="U151" s="261"/>
      <c r="V151" s="261"/>
      <c r="W151" s="261"/>
      <c r="X151" s="261"/>
      <c r="Y151" s="261"/>
      <c r="Z151" s="261"/>
      <c r="AA151" s="261"/>
      <c r="AB151" s="261"/>
      <c r="AC151" s="261"/>
      <c r="AD151" s="261"/>
      <c r="AE151" s="921"/>
      <c r="AF151" s="921"/>
      <c r="AG151" s="921"/>
    </row>
    <row r="152" spans="1:33">
      <c r="A152" s="909" t="s">
        <v>533</v>
      </c>
      <c r="B152" s="910" t="s">
        <v>530</v>
      </c>
      <c r="C152" s="250"/>
      <c r="D152" s="250"/>
      <c r="E152" s="920"/>
      <c r="F152" s="262"/>
      <c r="G152" s="262"/>
      <c r="H152" s="262"/>
      <c r="I152" s="262"/>
      <c r="J152" s="262"/>
      <c r="K152" s="262"/>
      <c r="L152" s="262"/>
      <c r="M152" s="262"/>
      <c r="N152" s="262"/>
      <c r="O152" s="262"/>
      <c r="P152" s="262"/>
      <c r="Q152" s="262"/>
      <c r="R152" s="262"/>
      <c r="S152" s="252"/>
      <c r="T152" s="261"/>
      <c r="U152" s="261"/>
      <c r="V152" s="261"/>
      <c r="W152" s="261"/>
      <c r="X152" s="261"/>
      <c r="Y152" s="261"/>
      <c r="Z152" s="261"/>
      <c r="AA152" s="261"/>
      <c r="AB152" s="261"/>
      <c r="AC152" s="261"/>
      <c r="AD152" s="261"/>
      <c r="AE152" s="921"/>
      <c r="AF152" s="921"/>
      <c r="AG152" s="921"/>
    </row>
    <row r="153" spans="1:33">
      <c r="A153" s="909" t="s">
        <v>533</v>
      </c>
      <c r="B153" s="910" t="s">
        <v>534</v>
      </c>
      <c r="C153" s="250"/>
      <c r="D153" s="250"/>
      <c r="E153" s="923"/>
      <c r="F153" s="262"/>
      <c r="G153" s="262"/>
      <c r="H153" s="262"/>
      <c r="I153" s="262"/>
      <c r="J153" s="262"/>
      <c r="K153" s="262"/>
      <c r="L153" s="262"/>
      <c r="M153" s="262"/>
      <c r="N153" s="262"/>
      <c r="O153" s="262"/>
      <c r="P153" s="262"/>
      <c r="Q153" s="262"/>
      <c r="R153" s="262"/>
      <c r="S153" s="262"/>
      <c r="T153" s="252"/>
      <c r="U153" s="261"/>
      <c r="V153" s="261"/>
      <c r="W153" s="261"/>
      <c r="X153" s="261"/>
      <c r="Y153" s="261"/>
      <c r="Z153" s="261"/>
      <c r="AA153" s="261"/>
      <c r="AB153" s="261"/>
      <c r="AC153" s="261"/>
      <c r="AD153" s="261"/>
      <c r="AE153" s="921"/>
      <c r="AF153" s="921"/>
      <c r="AG153" s="921"/>
    </row>
    <row r="154" spans="1:33">
      <c r="A154" s="909" t="s">
        <v>533</v>
      </c>
      <c r="B154" s="910" t="s">
        <v>535</v>
      </c>
      <c r="C154" s="250"/>
      <c r="D154" s="250"/>
      <c r="E154" s="923"/>
      <c r="F154" s="262"/>
      <c r="G154" s="262"/>
      <c r="H154" s="262"/>
      <c r="I154" s="262"/>
      <c r="J154" s="262"/>
      <c r="K154" s="262"/>
      <c r="L154" s="262"/>
      <c r="M154" s="262"/>
      <c r="N154" s="262"/>
      <c r="O154" s="262"/>
      <c r="P154" s="262"/>
      <c r="Q154" s="262"/>
      <c r="R154" s="262"/>
      <c r="S154" s="262"/>
      <c r="T154" s="262"/>
      <c r="U154" s="252"/>
      <c r="V154" s="261"/>
      <c r="W154" s="261"/>
      <c r="X154" s="261"/>
      <c r="Y154" s="261"/>
      <c r="Z154" s="261"/>
      <c r="AA154" s="261"/>
      <c r="AB154" s="261"/>
      <c r="AC154" s="261"/>
      <c r="AD154" s="261"/>
      <c r="AE154" s="921"/>
      <c r="AF154" s="921"/>
      <c r="AG154" s="921"/>
    </row>
    <row r="155" spans="1:33">
      <c r="A155" s="909" t="s">
        <v>533</v>
      </c>
      <c r="B155" s="910" t="s">
        <v>536</v>
      </c>
      <c r="C155" s="250"/>
      <c r="D155" s="250"/>
      <c r="E155" s="923"/>
      <c r="F155" s="262"/>
      <c r="G155" s="262"/>
      <c r="H155" s="262"/>
      <c r="I155" s="262"/>
      <c r="J155" s="262"/>
      <c r="K155" s="262"/>
      <c r="L155" s="262"/>
      <c r="M155" s="262"/>
      <c r="N155" s="262"/>
      <c r="O155" s="262"/>
      <c r="P155" s="262"/>
      <c r="Q155" s="262"/>
      <c r="R155" s="262"/>
      <c r="S155" s="262"/>
      <c r="T155" s="262"/>
      <c r="U155" s="262"/>
      <c r="V155" s="252"/>
      <c r="W155" s="261"/>
      <c r="X155" s="261"/>
      <c r="Y155" s="261"/>
      <c r="Z155" s="261"/>
      <c r="AA155" s="261"/>
      <c r="AB155" s="261"/>
      <c r="AC155" s="261"/>
      <c r="AD155" s="261"/>
      <c r="AE155" s="921"/>
      <c r="AF155" s="921"/>
      <c r="AG155" s="921"/>
    </row>
    <row r="156" spans="1:33">
      <c r="A156" s="909" t="s">
        <v>533</v>
      </c>
      <c r="B156" s="910" t="s">
        <v>546</v>
      </c>
      <c r="C156" s="250"/>
      <c r="D156" s="250"/>
      <c r="E156" s="923"/>
      <c r="F156" s="262"/>
      <c r="G156" s="262"/>
      <c r="H156" s="262"/>
      <c r="I156" s="262"/>
      <c r="J156" s="262"/>
      <c r="K156" s="262"/>
      <c r="L156" s="262"/>
      <c r="M156" s="262"/>
      <c r="N156" s="262"/>
      <c r="O156" s="262"/>
      <c r="P156" s="262"/>
      <c r="Q156" s="262"/>
      <c r="R156" s="262"/>
      <c r="S156" s="262"/>
      <c r="T156" s="262"/>
      <c r="U156" s="262"/>
      <c r="V156" s="262"/>
      <c r="W156" s="252"/>
      <c r="X156" s="261"/>
      <c r="Y156" s="261"/>
      <c r="Z156" s="261"/>
      <c r="AA156" s="261"/>
      <c r="AB156" s="261"/>
      <c r="AC156" s="261"/>
      <c r="AD156" s="261"/>
      <c r="AE156" s="921"/>
      <c r="AF156" s="921"/>
      <c r="AG156" s="921"/>
    </row>
    <row r="157" spans="1:33">
      <c r="A157" s="909" t="s">
        <v>533</v>
      </c>
      <c r="B157" s="910" t="s">
        <v>547</v>
      </c>
      <c r="C157" s="250"/>
      <c r="D157" s="250"/>
      <c r="E157" s="923"/>
      <c r="F157" s="262"/>
      <c r="G157" s="262"/>
      <c r="H157" s="262"/>
      <c r="I157" s="262"/>
      <c r="J157" s="262"/>
      <c r="K157" s="262"/>
      <c r="L157" s="262"/>
      <c r="M157" s="262"/>
      <c r="N157" s="262"/>
      <c r="O157" s="262"/>
      <c r="P157" s="262"/>
      <c r="Q157" s="262"/>
      <c r="R157" s="262"/>
      <c r="S157" s="262"/>
      <c r="T157" s="262"/>
      <c r="U157" s="262"/>
      <c r="V157" s="262"/>
      <c r="W157" s="262"/>
      <c r="X157" s="252"/>
      <c r="Y157" s="261"/>
      <c r="Z157" s="261"/>
      <c r="AA157" s="261"/>
      <c r="AB157" s="261"/>
      <c r="AC157" s="261"/>
      <c r="AD157" s="261"/>
      <c r="AE157" s="921"/>
      <c r="AF157" s="921"/>
      <c r="AG157" s="921"/>
    </row>
    <row r="158" spans="1:33">
      <c r="A158" s="909" t="s">
        <v>533</v>
      </c>
      <c r="B158" s="910" t="s">
        <v>548</v>
      </c>
      <c r="C158" s="250"/>
      <c r="D158" s="250"/>
      <c r="E158" s="923"/>
      <c r="F158" s="262"/>
      <c r="G158" s="262"/>
      <c r="H158" s="262"/>
      <c r="I158" s="262"/>
      <c r="J158" s="262"/>
      <c r="K158" s="262"/>
      <c r="L158" s="262"/>
      <c r="M158" s="262"/>
      <c r="N158" s="262"/>
      <c r="O158" s="262"/>
      <c r="P158" s="262"/>
      <c r="Q158" s="262"/>
      <c r="R158" s="262"/>
      <c r="S158" s="262"/>
      <c r="T158" s="262"/>
      <c r="U158" s="262"/>
      <c r="V158" s="262"/>
      <c r="W158" s="262"/>
      <c r="X158" s="262"/>
      <c r="Y158" s="252"/>
      <c r="Z158" s="261"/>
      <c r="AA158" s="261"/>
      <c r="AB158" s="261"/>
      <c r="AC158" s="261"/>
      <c r="AD158" s="261"/>
      <c r="AE158" s="921"/>
      <c r="AF158" s="921"/>
      <c r="AG158" s="921"/>
    </row>
    <row r="159" spans="1:33">
      <c r="A159" s="909" t="s">
        <v>533</v>
      </c>
      <c r="B159" s="910" t="s">
        <v>1038</v>
      </c>
      <c r="C159" s="250"/>
      <c r="D159" s="250"/>
      <c r="E159" s="923"/>
      <c r="F159" s="262"/>
      <c r="G159" s="262"/>
      <c r="H159" s="262"/>
      <c r="I159" s="262"/>
      <c r="J159" s="262"/>
      <c r="K159" s="262"/>
      <c r="L159" s="262"/>
      <c r="M159" s="262"/>
      <c r="N159" s="262"/>
      <c r="O159" s="262"/>
      <c r="P159" s="262"/>
      <c r="Q159" s="262"/>
      <c r="R159" s="262"/>
      <c r="S159" s="262"/>
      <c r="T159" s="262"/>
      <c r="U159" s="262"/>
      <c r="V159" s="262"/>
      <c r="W159" s="262"/>
      <c r="X159" s="262"/>
      <c r="Y159" s="262"/>
      <c r="Z159" s="252"/>
      <c r="AA159" s="261"/>
      <c r="AB159" s="261"/>
      <c r="AC159" s="261"/>
      <c r="AD159" s="261"/>
      <c r="AE159" s="250"/>
      <c r="AF159" s="250"/>
      <c r="AG159" s="921"/>
    </row>
    <row r="160" spans="1:33">
      <c r="A160" s="909" t="s">
        <v>533</v>
      </c>
      <c r="B160" s="910" t="s">
        <v>1039</v>
      </c>
      <c r="C160" s="250"/>
      <c r="D160" s="250"/>
      <c r="E160" s="923"/>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52"/>
      <c r="AB160" s="261"/>
      <c r="AC160" s="261"/>
      <c r="AD160" s="261"/>
      <c r="AE160" s="250"/>
      <c r="AF160" s="250"/>
      <c r="AG160" s="921"/>
    </row>
    <row r="161" spans="1:33">
      <c r="A161" s="909" t="s">
        <v>533</v>
      </c>
      <c r="B161" s="910" t="s">
        <v>1040</v>
      </c>
      <c r="C161" s="250"/>
      <c r="D161" s="250"/>
      <c r="E161" s="923"/>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52"/>
      <c r="AC161" s="261"/>
      <c r="AD161" s="261"/>
      <c r="AE161" s="250"/>
      <c r="AF161" s="250"/>
      <c r="AG161" s="921"/>
    </row>
    <row r="162" spans="1:33">
      <c r="A162" s="909" t="s">
        <v>533</v>
      </c>
      <c r="B162" s="910" t="s">
        <v>1041</v>
      </c>
      <c r="C162" s="250"/>
      <c r="D162" s="250"/>
      <c r="E162" s="923"/>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52"/>
      <c r="AD162" s="261"/>
      <c r="AE162" s="250"/>
      <c r="AF162" s="250"/>
      <c r="AG162" s="921"/>
    </row>
    <row r="163" spans="1:33">
      <c r="A163" s="909" t="s">
        <v>533</v>
      </c>
      <c r="B163" s="910" t="s">
        <v>1042</v>
      </c>
      <c r="C163" s="250"/>
      <c r="D163" s="250"/>
      <c r="E163" s="923"/>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252"/>
      <c r="AE163" s="250"/>
      <c r="AF163" s="250"/>
      <c r="AG163" s="921"/>
    </row>
    <row r="164" spans="1:33" ht="13">
      <c r="A164" s="913"/>
      <c r="B164" s="914" t="s">
        <v>271</v>
      </c>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251"/>
      <c r="AA164" s="251"/>
      <c r="AB164" s="251"/>
      <c r="AC164" s="251"/>
      <c r="AD164" s="251"/>
      <c r="AE164" s="251"/>
      <c r="AF164" s="251"/>
      <c r="AG164" s="251"/>
    </row>
    <row r="165" spans="1:33">
      <c r="C165" s="925"/>
    </row>
    <row r="168" spans="1:33" ht="13">
      <c r="B168" s="904" t="s">
        <v>543</v>
      </c>
      <c r="F168" s="905" t="s">
        <v>10</v>
      </c>
    </row>
    <row r="169" spans="1:33" ht="26.15" customHeight="1">
      <c r="A169" s="906"/>
      <c r="B169" s="919" t="s">
        <v>413</v>
      </c>
      <c r="C169" s="2003" t="s">
        <v>515</v>
      </c>
      <c r="D169" s="2003" t="s">
        <v>516</v>
      </c>
      <c r="E169" s="2003" t="s">
        <v>586</v>
      </c>
      <c r="F169" s="2005" t="s">
        <v>587</v>
      </c>
      <c r="G169" s="2006"/>
      <c r="H169" s="2006"/>
      <c r="I169" s="2006"/>
      <c r="J169" s="2006"/>
      <c r="K169" s="2006"/>
      <c r="L169" s="2006"/>
      <c r="M169" s="2006"/>
      <c r="N169" s="2006"/>
      <c r="O169" s="2006"/>
      <c r="P169" s="2006"/>
      <c r="Q169" s="2006"/>
      <c r="R169" s="2006"/>
      <c r="S169" s="2006"/>
      <c r="T169" s="2006"/>
      <c r="U169" s="2006"/>
      <c r="V169" s="2006"/>
      <c r="W169" s="2006"/>
      <c r="X169" s="2006"/>
      <c r="Y169" s="2006"/>
      <c r="Z169" s="2006"/>
      <c r="AA169" s="2006"/>
      <c r="AB169" s="2006"/>
      <c r="AC169" s="2006"/>
      <c r="AD169" s="2007"/>
      <c r="AE169" s="907" t="s">
        <v>538</v>
      </c>
      <c r="AF169" s="907" t="s">
        <v>531</v>
      </c>
      <c r="AG169" s="907" t="s">
        <v>539</v>
      </c>
    </row>
    <row r="170" spans="1:33" ht="12.9" customHeight="1">
      <c r="A170" s="906"/>
      <c r="B170" s="919"/>
      <c r="C170" s="2004"/>
      <c r="D170" s="2004"/>
      <c r="E170" s="2004"/>
      <c r="F170" s="908" t="s">
        <v>517</v>
      </c>
      <c r="G170" s="908" t="s">
        <v>518</v>
      </c>
      <c r="H170" s="908" t="s">
        <v>519</v>
      </c>
      <c r="I170" s="908" t="s">
        <v>520</v>
      </c>
      <c r="J170" s="908" t="s">
        <v>521</v>
      </c>
      <c r="K170" s="908" t="s">
        <v>522</v>
      </c>
      <c r="L170" s="908" t="s">
        <v>523</v>
      </c>
      <c r="M170" s="908" t="s">
        <v>524</v>
      </c>
      <c r="N170" s="908" t="s">
        <v>525</v>
      </c>
      <c r="O170" s="908" t="s">
        <v>526</v>
      </c>
      <c r="P170" s="908" t="s">
        <v>527</v>
      </c>
      <c r="Q170" s="908" t="s">
        <v>528</v>
      </c>
      <c r="R170" s="908" t="s">
        <v>529</v>
      </c>
      <c r="S170" s="908" t="s">
        <v>530</v>
      </c>
      <c r="T170" s="908" t="s">
        <v>325</v>
      </c>
      <c r="U170" s="908" t="s">
        <v>506</v>
      </c>
      <c r="V170" s="908" t="s">
        <v>507</v>
      </c>
      <c r="W170" s="908" t="s">
        <v>508</v>
      </c>
      <c r="X170" s="908" t="s">
        <v>509</v>
      </c>
      <c r="Y170" s="908" t="s">
        <v>510</v>
      </c>
      <c r="Z170" s="908" t="s">
        <v>958</v>
      </c>
      <c r="AA170" s="908" t="s">
        <v>959</v>
      </c>
      <c r="AB170" s="908" t="s">
        <v>960</v>
      </c>
      <c r="AC170" s="908" t="s">
        <v>961</v>
      </c>
      <c r="AD170" s="908" t="s">
        <v>962</v>
      </c>
      <c r="AE170" s="907"/>
      <c r="AF170" s="907"/>
      <c r="AG170" s="907"/>
    </row>
    <row r="171" spans="1:33">
      <c r="A171" s="909" t="s">
        <v>532</v>
      </c>
      <c r="B171" s="910">
        <v>2005</v>
      </c>
      <c r="C171" s="909"/>
      <c r="D171" s="909"/>
      <c r="E171" s="920"/>
      <c r="F171" s="261"/>
      <c r="G171" s="261"/>
      <c r="H171" s="261"/>
      <c r="I171" s="261"/>
      <c r="J171" s="261"/>
      <c r="K171" s="261"/>
      <c r="L171" s="261"/>
      <c r="M171" s="261"/>
      <c r="N171" s="261"/>
      <c r="O171" s="261"/>
      <c r="P171" s="261"/>
      <c r="Q171" s="261"/>
      <c r="R171" s="261"/>
      <c r="S171" s="261"/>
      <c r="T171" s="261"/>
      <c r="U171" s="261"/>
      <c r="V171" s="261"/>
      <c r="W171" s="261"/>
      <c r="X171" s="261"/>
      <c r="Y171" s="261"/>
      <c r="Z171" s="261"/>
      <c r="AA171" s="261"/>
      <c r="AB171" s="261"/>
      <c r="AC171" s="261"/>
      <c r="AD171" s="261"/>
      <c r="AE171" s="921"/>
      <c r="AF171" s="921"/>
      <c r="AG171" s="921"/>
    </row>
    <row r="172" spans="1:33">
      <c r="A172" s="909" t="s">
        <v>533</v>
      </c>
      <c r="B172" s="910" t="s">
        <v>517</v>
      </c>
      <c r="C172" s="909"/>
      <c r="D172" s="909"/>
      <c r="E172" s="920"/>
      <c r="F172" s="252"/>
      <c r="G172" s="261"/>
      <c r="H172" s="261"/>
      <c r="I172" s="261"/>
      <c r="J172" s="261"/>
      <c r="K172" s="261"/>
      <c r="L172" s="261"/>
      <c r="M172" s="261"/>
      <c r="N172" s="261"/>
      <c r="O172" s="261"/>
      <c r="P172" s="261"/>
      <c r="Q172" s="261"/>
      <c r="R172" s="261"/>
      <c r="S172" s="261"/>
      <c r="T172" s="261"/>
      <c r="U172" s="261"/>
      <c r="V172" s="261"/>
      <c r="W172" s="261"/>
      <c r="X172" s="261"/>
      <c r="Y172" s="261"/>
      <c r="Z172" s="261"/>
      <c r="AA172" s="261"/>
      <c r="AB172" s="261"/>
      <c r="AC172" s="261"/>
      <c r="AD172" s="261"/>
      <c r="AE172" s="921"/>
      <c r="AF172" s="921"/>
      <c r="AG172" s="921"/>
    </row>
    <row r="173" spans="1:33">
      <c r="A173" s="909" t="s">
        <v>533</v>
      </c>
      <c r="B173" s="910" t="s">
        <v>518</v>
      </c>
      <c r="C173" s="909"/>
      <c r="D173" s="909"/>
      <c r="E173" s="920"/>
      <c r="F173" s="262"/>
      <c r="G173" s="252"/>
      <c r="H173" s="261"/>
      <c r="I173" s="261"/>
      <c r="J173" s="261"/>
      <c r="K173" s="261"/>
      <c r="L173" s="261"/>
      <c r="M173" s="261"/>
      <c r="N173" s="261"/>
      <c r="O173" s="261"/>
      <c r="P173" s="261"/>
      <c r="Q173" s="261"/>
      <c r="R173" s="261"/>
      <c r="S173" s="261"/>
      <c r="T173" s="261"/>
      <c r="U173" s="261"/>
      <c r="V173" s="261"/>
      <c r="W173" s="261"/>
      <c r="X173" s="261"/>
      <c r="Y173" s="261"/>
      <c r="Z173" s="261"/>
      <c r="AA173" s="261"/>
      <c r="AB173" s="261"/>
      <c r="AC173" s="261"/>
      <c r="AD173" s="261"/>
      <c r="AE173" s="921"/>
      <c r="AF173" s="921"/>
      <c r="AG173" s="921"/>
    </row>
    <row r="174" spans="1:33">
      <c r="A174" s="909" t="s">
        <v>533</v>
      </c>
      <c r="B174" s="910" t="s">
        <v>519</v>
      </c>
      <c r="C174" s="909"/>
      <c r="D174" s="909"/>
      <c r="E174" s="920"/>
      <c r="F174" s="262"/>
      <c r="G174" s="262"/>
      <c r="H174" s="252"/>
      <c r="I174" s="261"/>
      <c r="J174" s="261"/>
      <c r="K174" s="261"/>
      <c r="L174" s="261"/>
      <c r="M174" s="261"/>
      <c r="N174" s="261"/>
      <c r="O174" s="261"/>
      <c r="P174" s="261"/>
      <c r="Q174" s="261"/>
      <c r="R174" s="261"/>
      <c r="S174" s="261"/>
      <c r="T174" s="261"/>
      <c r="U174" s="261"/>
      <c r="V174" s="261"/>
      <c r="W174" s="261"/>
      <c r="X174" s="261"/>
      <c r="Y174" s="261"/>
      <c r="Z174" s="261"/>
      <c r="AA174" s="261"/>
      <c r="AB174" s="261"/>
      <c r="AC174" s="261"/>
      <c r="AD174" s="261"/>
      <c r="AE174" s="921"/>
      <c r="AF174" s="921"/>
      <c r="AG174" s="921"/>
    </row>
    <row r="175" spans="1:33">
      <c r="A175" s="909" t="s">
        <v>533</v>
      </c>
      <c r="B175" s="910" t="s">
        <v>520</v>
      </c>
      <c r="C175" s="909"/>
      <c r="D175" s="909"/>
      <c r="E175" s="920"/>
      <c r="F175" s="262"/>
      <c r="G175" s="262"/>
      <c r="H175" s="262"/>
      <c r="I175" s="252"/>
      <c r="J175" s="261"/>
      <c r="K175" s="261"/>
      <c r="L175" s="261"/>
      <c r="M175" s="261"/>
      <c r="N175" s="261"/>
      <c r="O175" s="261"/>
      <c r="P175" s="261"/>
      <c r="Q175" s="261"/>
      <c r="R175" s="261"/>
      <c r="S175" s="261"/>
      <c r="T175" s="261"/>
      <c r="U175" s="261"/>
      <c r="V175" s="261"/>
      <c r="W175" s="261"/>
      <c r="X175" s="261"/>
      <c r="Y175" s="261"/>
      <c r="Z175" s="261"/>
      <c r="AA175" s="261"/>
      <c r="AB175" s="261"/>
      <c r="AC175" s="261"/>
      <c r="AD175" s="261"/>
      <c r="AE175" s="921"/>
      <c r="AF175" s="921"/>
      <c r="AG175" s="921"/>
    </row>
    <row r="176" spans="1:33">
      <c r="A176" s="909" t="s">
        <v>533</v>
      </c>
      <c r="B176" s="910" t="s">
        <v>521</v>
      </c>
      <c r="C176" s="909"/>
      <c r="D176" s="909"/>
      <c r="E176" s="920"/>
      <c r="F176" s="262"/>
      <c r="G176" s="262"/>
      <c r="H176" s="262"/>
      <c r="I176" s="262"/>
      <c r="J176" s="252"/>
      <c r="K176" s="261"/>
      <c r="L176" s="261"/>
      <c r="M176" s="261"/>
      <c r="N176" s="261"/>
      <c r="O176" s="261"/>
      <c r="P176" s="261"/>
      <c r="Q176" s="261"/>
      <c r="R176" s="261"/>
      <c r="S176" s="261"/>
      <c r="T176" s="261"/>
      <c r="U176" s="261"/>
      <c r="V176" s="261"/>
      <c r="W176" s="261"/>
      <c r="X176" s="261"/>
      <c r="Y176" s="261"/>
      <c r="Z176" s="261"/>
      <c r="AA176" s="261"/>
      <c r="AB176" s="261"/>
      <c r="AC176" s="261"/>
      <c r="AD176" s="261"/>
      <c r="AE176" s="921"/>
      <c r="AF176" s="921"/>
      <c r="AG176" s="921"/>
    </row>
    <row r="177" spans="1:33">
      <c r="A177" s="909" t="s">
        <v>533</v>
      </c>
      <c r="B177" s="910" t="s">
        <v>522</v>
      </c>
      <c r="C177" s="909"/>
      <c r="D177" s="909"/>
      <c r="E177" s="920"/>
      <c r="F177" s="262"/>
      <c r="G177" s="262"/>
      <c r="H177" s="262"/>
      <c r="I177" s="262"/>
      <c r="J177" s="262"/>
      <c r="K177" s="252"/>
      <c r="L177" s="261"/>
      <c r="M177" s="261"/>
      <c r="N177" s="261"/>
      <c r="O177" s="261"/>
      <c r="P177" s="261"/>
      <c r="Q177" s="261"/>
      <c r="R177" s="261"/>
      <c r="S177" s="261"/>
      <c r="T177" s="261"/>
      <c r="U177" s="261"/>
      <c r="V177" s="261"/>
      <c r="W177" s="261"/>
      <c r="X177" s="261"/>
      <c r="Y177" s="261"/>
      <c r="Z177" s="261"/>
      <c r="AA177" s="261"/>
      <c r="AB177" s="261"/>
      <c r="AC177" s="261"/>
      <c r="AD177" s="261"/>
      <c r="AE177" s="921"/>
      <c r="AF177" s="921"/>
      <c r="AG177" s="921"/>
    </row>
    <row r="178" spans="1:33">
      <c r="A178" s="909" t="s">
        <v>533</v>
      </c>
      <c r="B178" s="910" t="s">
        <v>523</v>
      </c>
      <c r="C178" s="909"/>
      <c r="D178" s="909"/>
      <c r="E178" s="920"/>
      <c r="F178" s="262"/>
      <c r="G178" s="262"/>
      <c r="H178" s="262"/>
      <c r="I178" s="262"/>
      <c r="J178" s="262"/>
      <c r="K178" s="262"/>
      <c r="L178" s="252"/>
      <c r="M178" s="261"/>
      <c r="N178" s="261"/>
      <c r="O178" s="261"/>
      <c r="P178" s="261"/>
      <c r="Q178" s="261"/>
      <c r="R178" s="261"/>
      <c r="S178" s="261"/>
      <c r="T178" s="261"/>
      <c r="U178" s="261"/>
      <c r="V178" s="261"/>
      <c r="W178" s="261"/>
      <c r="X178" s="261"/>
      <c r="Y178" s="261"/>
      <c r="Z178" s="261"/>
      <c r="AA178" s="261"/>
      <c r="AB178" s="261"/>
      <c r="AC178" s="261"/>
      <c r="AD178" s="261"/>
      <c r="AE178" s="921"/>
      <c r="AF178" s="921"/>
      <c r="AG178" s="921"/>
    </row>
    <row r="179" spans="1:33">
      <c r="A179" s="909" t="s">
        <v>533</v>
      </c>
      <c r="B179" s="910" t="s">
        <v>524</v>
      </c>
      <c r="C179" s="909"/>
      <c r="D179" s="909"/>
      <c r="E179" s="920"/>
      <c r="F179" s="262"/>
      <c r="G179" s="262"/>
      <c r="H179" s="262"/>
      <c r="I179" s="262"/>
      <c r="J179" s="262"/>
      <c r="K179" s="262"/>
      <c r="L179" s="262"/>
      <c r="M179" s="252"/>
      <c r="N179" s="261"/>
      <c r="O179" s="261"/>
      <c r="P179" s="261"/>
      <c r="Q179" s="261"/>
      <c r="R179" s="261"/>
      <c r="S179" s="261"/>
      <c r="T179" s="261"/>
      <c r="U179" s="261"/>
      <c r="V179" s="261"/>
      <c r="W179" s="261"/>
      <c r="X179" s="261"/>
      <c r="Y179" s="261"/>
      <c r="Z179" s="261"/>
      <c r="AA179" s="261"/>
      <c r="AB179" s="261"/>
      <c r="AC179" s="261"/>
      <c r="AD179" s="261"/>
      <c r="AE179" s="921"/>
      <c r="AF179" s="921"/>
      <c r="AG179" s="921"/>
    </row>
    <row r="180" spans="1:33">
      <c r="A180" s="909" t="s">
        <v>533</v>
      </c>
      <c r="B180" s="910" t="s">
        <v>525</v>
      </c>
      <c r="C180" s="909"/>
      <c r="D180" s="909"/>
      <c r="E180" s="920"/>
      <c r="F180" s="262"/>
      <c r="G180" s="262"/>
      <c r="H180" s="262"/>
      <c r="I180" s="262"/>
      <c r="J180" s="262"/>
      <c r="K180" s="262"/>
      <c r="L180" s="262"/>
      <c r="M180" s="262"/>
      <c r="N180" s="252"/>
      <c r="O180" s="261"/>
      <c r="P180" s="261"/>
      <c r="Q180" s="261"/>
      <c r="R180" s="261"/>
      <c r="S180" s="261"/>
      <c r="T180" s="261"/>
      <c r="U180" s="261"/>
      <c r="V180" s="261"/>
      <c r="W180" s="261"/>
      <c r="X180" s="261"/>
      <c r="Y180" s="261"/>
      <c r="Z180" s="261"/>
      <c r="AA180" s="261"/>
      <c r="AB180" s="261"/>
      <c r="AC180" s="261"/>
      <c r="AD180" s="261"/>
      <c r="AE180" s="921"/>
      <c r="AF180" s="921"/>
      <c r="AG180" s="921"/>
    </row>
    <row r="181" spans="1:33">
      <c r="A181" s="909" t="s">
        <v>533</v>
      </c>
      <c r="B181" s="910" t="s">
        <v>526</v>
      </c>
      <c r="C181" s="250"/>
      <c r="D181" s="909"/>
      <c r="E181" s="920"/>
      <c r="F181" s="262"/>
      <c r="G181" s="262"/>
      <c r="H181" s="262"/>
      <c r="I181" s="262"/>
      <c r="J181" s="262"/>
      <c r="K181" s="262"/>
      <c r="L181" s="262"/>
      <c r="M181" s="262"/>
      <c r="N181" s="262"/>
      <c r="O181" s="252"/>
      <c r="P181" s="261"/>
      <c r="Q181" s="261"/>
      <c r="R181" s="261"/>
      <c r="S181" s="261"/>
      <c r="T181" s="261"/>
      <c r="U181" s="261"/>
      <c r="V181" s="261"/>
      <c r="W181" s="261"/>
      <c r="X181" s="261"/>
      <c r="Y181" s="261"/>
      <c r="Z181" s="261"/>
      <c r="AA181" s="261"/>
      <c r="AB181" s="261"/>
      <c r="AC181" s="261"/>
      <c r="AD181" s="261"/>
      <c r="AE181" s="921"/>
      <c r="AF181" s="921"/>
      <c r="AG181" s="921"/>
    </row>
    <row r="182" spans="1:33">
      <c r="A182" s="909" t="s">
        <v>533</v>
      </c>
      <c r="B182" s="910" t="s">
        <v>527</v>
      </c>
      <c r="C182" s="250"/>
      <c r="D182" s="909"/>
      <c r="E182" s="920"/>
      <c r="F182" s="262"/>
      <c r="G182" s="262"/>
      <c r="H182" s="262"/>
      <c r="I182" s="262"/>
      <c r="J182" s="262"/>
      <c r="K182" s="262"/>
      <c r="L182" s="262"/>
      <c r="M182" s="262"/>
      <c r="N182" s="262"/>
      <c r="O182" s="262"/>
      <c r="P182" s="252"/>
      <c r="Q182" s="261"/>
      <c r="R182" s="261"/>
      <c r="S182" s="261"/>
      <c r="T182" s="261"/>
      <c r="U182" s="261"/>
      <c r="V182" s="261"/>
      <c r="W182" s="261"/>
      <c r="X182" s="261"/>
      <c r="Y182" s="261"/>
      <c r="Z182" s="261"/>
      <c r="AA182" s="261"/>
      <c r="AB182" s="261"/>
      <c r="AC182" s="261"/>
      <c r="AD182" s="261"/>
      <c r="AE182" s="921"/>
      <c r="AF182" s="921"/>
      <c r="AG182" s="921"/>
    </row>
    <row r="183" spans="1:33">
      <c r="A183" s="909" t="s">
        <v>533</v>
      </c>
      <c r="B183" s="910" t="s">
        <v>528</v>
      </c>
      <c r="C183" s="250"/>
      <c r="D183" s="250"/>
      <c r="E183" s="920"/>
      <c r="F183" s="262"/>
      <c r="G183" s="262"/>
      <c r="H183" s="262"/>
      <c r="I183" s="262"/>
      <c r="J183" s="262"/>
      <c r="K183" s="262"/>
      <c r="L183" s="262"/>
      <c r="M183" s="262"/>
      <c r="N183" s="262"/>
      <c r="O183" s="262"/>
      <c r="P183" s="262"/>
      <c r="Q183" s="252"/>
      <c r="R183" s="261"/>
      <c r="S183" s="261"/>
      <c r="T183" s="261"/>
      <c r="U183" s="261"/>
      <c r="V183" s="261"/>
      <c r="W183" s="261"/>
      <c r="X183" s="261"/>
      <c r="Y183" s="261"/>
      <c r="Z183" s="261"/>
      <c r="AA183" s="261"/>
      <c r="AB183" s="261"/>
      <c r="AC183" s="261"/>
      <c r="AD183" s="261"/>
      <c r="AE183" s="921"/>
      <c r="AF183" s="921"/>
      <c r="AG183" s="921"/>
    </row>
    <row r="184" spans="1:33">
      <c r="A184" s="909" t="s">
        <v>533</v>
      </c>
      <c r="B184" s="910" t="s">
        <v>529</v>
      </c>
      <c r="C184" s="250"/>
      <c r="D184" s="250"/>
      <c r="E184" s="920"/>
      <c r="F184" s="262"/>
      <c r="G184" s="262"/>
      <c r="H184" s="262"/>
      <c r="I184" s="262"/>
      <c r="J184" s="262"/>
      <c r="K184" s="262"/>
      <c r="L184" s="262"/>
      <c r="M184" s="262"/>
      <c r="N184" s="262"/>
      <c r="O184" s="262"/>
      <c r="P184" s="262"/>
      <c r="Q184" s="262"/>
      <c r="R184" s="252"/>
      <c r="S184" s="261"/>
      <c r="T184" s="261"/>
      <c r="U184" s="261"/>
      <c r="V184" s="261"/>
      <c r="W184" s="261"/>
      <c r="X184" s="261"/>
      <c r="Y184" s="261"/>
      <c r="Z184" s="261"/>
      <c r="AA184" s="261"/>
      <c r="AB184" s="261"/>
      <c r="AC184" s="261"/>
      <c r="AD184" s="261"/>
      <c r="AE184" s="921"/>
      <c r="AF184" s="921"/>
      <c r="AG184" s="921"/>
    </row>
    <row r="185" spans="1:33">
      <c r="A185" s="909" t="s">
        <v>533</v>
      </c>
      <c r="B185" s="910" t="s">
        <v>530</v>
      </c>
      <c r="C185" s="250"/>
      <c r="D185" s="250"/>
      <c r="E185" s="920"/>
      <c r="F185" s="262"/>
      <c r="G185" s="262"/>
      <c r="H185" s="262"/>
      <c r="I185" s="262"/>
      <c r="J185" s="262"/>
      <c r="K185" s="262"/>
      <c r="L185" s="262"/>
      <c r="M185" s="262"/>
      <c r="N185" s="262"/>
      <c r="O185" s="262"/>
      <c r="P185" s="262"/>
      <c r="Q185" s="262"/>
      <c r="R185" s="262"/>
      <c r="S185" s="252"/>
      <c r="T185" s="261"/>
      <c r="U185" s="261"/>
      <c r="V185" s="261"/>
      <c r="W185" s="261"/>
      <c r="X185" s="261"/>
      <c r="Y185" s="261"/>
      <c r="Z185" s="261"/>
      <c r="AA185" s="261"/>
      <c r="AB185" s="261"/>
      <c r="AC185" s="261"/>
      <c r="AD185" s="261"/>
      <c r="AE185" s="921"/>
      <c r="AF185" s="921"/>
      <c r="AG185" s="921"/>
    </row>
    <row r="186" spans="1:33">
      <c r="A186" s="909" t="s">
        <v>533</v>
      </c>
      <c r="B186" s="910" t="s">
        <v>534</v>
      </c>
      <c r="C186" s="922"/>
      <c r="D186" s="250"/>
      <c r="E186" s="920"/>
      <c r="F186" s="262"/>
      <c r="G186" s="262"/>
      <c r="H186" s="262"/>
      <c r="I186" s="262"/>
      <c r="J186" s="262"/>
      <c r="K186" s="262"/>
      <c r="L186" s="262"/>
      <c r="M186" s="262"/>
      <c r="N186" s="262"/>
      <c r="O186" s="262"/>
      <c r="P186" s="262"/>
      <c r="Q186" s="262"/>
      <c r="R186" s="262"/>
      <c r="S186" s="262"/>
      <c r="T186" s="252"/>
      <c r="U186" s="261"/>
      <c r="V186" s="261"/>
      <c r="W186" s="261"/>
      <c r="X186" s="261"/>
      <c r="Y186" s="261"/>
      <c r="Z186" s="261"/>
      <c r="AA186" s="261"/>
      <c r="AB186" s="261"/>
      <c r="AC186" s="261"/>
      <c r="AD186" s="261"/>
      <c r="AE186" s="921"/>
      <c r="AF186" s="921"/>
      <c r="AG186" s="921"/>
    </row>
    <row r="187" spans="1:33">
      <c r="A187" s="909" t="s">
        <v>533</v>
      </c>
      <c r="B187" s="910" t="s">
        <v>535</v>
      </c>
      <c r="C187" s="250"/>
      <c r="D187" s="250"/>
      <c r="E187" s="920"/>
      <c r="F187" s="262"/>
      <c r="G187" s="262"/>
      <c r="H187" s="262"/>
      <c r="I187" s="262"/>
      <c r="J187" s="262"/>
      <c r="K187" s="262"/>
      <c r="L187" s="262"/>
      <c r="M187" s="262"/>
      <c r="N187" s="262"/>
      <c r="O187" s="262"/>
      <c r="P187" s="262"/>
      <c r="Q187" s="262"/>
      <c r="R187" s="262"/>
      <c r="S187" s="262"/>
      <c r="T187" s="262"/>
      <c r="U187" s="252"/>
      <c r="V187" s="261"/>
      <c r="W187" s="261"/>
      <c r="X187" s="261"/>
      <c r="Y187" s="261"/>
      <c r="Z187" s="261"/>
      <c r="AA187" s="261"/>
      <c r="AB187" s="261"/>
      <c r="AC187" s="261"/>
      <c r="AD187" s="261"/>
      <c r="AE187" s="921"/>
      <c r="AF187" s="921"/>
      <c r="AG187" s="921"/>
    </row>
    <row r="188" spans="1:33">
      <c r="A188" s="909" t="s">
        <v>533</v>
      </c>
      <c r="B188" s="910" t="s">
        <v>536</v>
      </c>
      <c r="C188" s="250"/>
      <c r="D188" s="250"/>
      <c r="E188" s="920"/>
      <c r="F188" s="262"/>
      <c r="G188" s="262"/>
      <c r="H188" s="262"/>
      <c r="I188" s="262"/>
      <c r="J188" s="262"/>
      <c r="K188" s="262"/>
      <c r="L188" s="262"/>
      <c r="M188" s="262"/>
      <c r="N188" s="262"/>
      <c r="O188" s="262"/>
      <c r="P188" s="262"/>
      <c r="Q188" s="262"/>
      <c r="R188" s="262"/>
      <c r="S188" s="262"/>
      <c r="T188" s="262"/>
      <c r="U188" s="262"/>
      <c r="V188" s="252"/>
      <c r="W188" s="261"/>
      <c r="X188" s="261"/>
      <c r="Y188" s="261"/>
      <c r="Z188" s="261"/>
      <c r="AA188" s="261"/>
      <c r="AB188" s="261"/>
      <c r="AC188" s="261"/>
      <c r="AD188" s="261"/>
      <c r="AE188" s="921"/>
      <c r="AF188" s="921"/>
      <c r="AG188" s="921"/>
    </row>
    <row r="189" spans="1:33">
      <c r="A189" s="909" t="s">
        <v>533</v>
      </c>
      <c r="B189" s="910" t="s">
        <v>546</v>
      </c>
      <c r="C189" s="250"/>
      <c r="D189" s="250"/>
      <c r="E189" s="920"/>
      <c r="F189" s="262"/>
      <c r="G189" s="262"/>
      <c r="H189" s="262"/>
      <c r="I189" s="262"/>
      <c r="J189" s="262"/>
      <c r="K189" s="262"/>
      <c r="L189" s="262"/>
      <c r="M189" s="262"/>
      <c r="N189" s="262"/>
      <c r="O189" s="262"/>
      <c r="P189" s="262"/>
      <c r="Q189" s="262"/>
      <c r="R189" s="262"/>
      <c r="S189" s="262"/>
      <c r="T189" s="262"/>
      <c r="U189" s="262"/>
      <c r="V189" s="262"/>
      <c r="W189" s="252"/>
      <c r="X189" s="261"/>
      <c r="Y189" s="261"/>
      <c r="Z189" s="261"/>
      <c r="AA189" s="261"/>
      <c r="AB189" s="261"/>
      <c r="AC189" s="261"/>
      <c r="AD189" s="261"/>
      <c r="AE189" s="921"/>
      <c r="AF189" s="921"/>
      <c r="AG189" s="921"/>
    </row>
    <row r="190" spans="1:33">
      <c r="A190" s="909" t="s">
        <v>533</v>
      </c>
      <c r="B190" s="910" t="s">
        <v>547</v>
      </c>
      <c r="C190" s="250"/>
      <c r="D190" s="250"/>
      <c r="E190" s="920"/>
      <c r="F190" s="262"/>
      <c r="G190" s="262"/>
      <c r="H190" s="262"/>
      <c r="I190" s="262"/>
      <c r="J190" s="262"/>
      <c r="K190" s="262"/>
      <c r="L190" s="262"/>
      <c r="M190" s="262"/>
      <c r="N190" s="262"/>
      <c r="O190" s="262"/>
      <c r="P190" s="262"/>
      <c r="Q190" s="262"/>
      <c r="R190" s="262"/>
      <c r="S190" s="262"/>
      <c r="T190" s="262"/>
      <c r="U190" s="262"/>
      <c r="V190" s="262"/>
      <c r="W190" s="262"/>
      <c r="X190" s="252"/>
      <c r="Y190" s="261"/>
      <c r="Z190" s="261"/>
      <c r="AA190" s="261"/>
      <c r="AB190" s="261"/>
      <c r="AC190" s="261"/>
      <c r="AD190" s="261"/>
      <c r="AE190" s="921"/>
      <c r="AF190" s="921"/>
      <c r="AG190" s="921"/>
    </row>
    <row r="191" spans="1:33">
      <c r="A191" s="909" t="s">
        <v>533</v>
      </c>
      <c r="B191" s="910" t="s">
        <v>548</v>
      </c>
      <c r="C191" s="250"/>
      <c r="D191" s="250"/>
      <c r="E191" s="920"/>
      <c r="F191" s="262"/>
      <c r="G191" s="262"/>
      <c r="H191" s="262"/>
      <c r="I191" s="262"/>
      <c r="J191" s="262"/>
      <c r="K191" s="262"/>
      <c r="L191" s="262"/>
      <c r="M191" s="262"/>
      <c r="N191" s="262"/>
      <c r="O191" s="262"/>
      <c r="P191" s="262"/>
      <c r="Q191" s="262"/>
      <c r="R191" s="262"/>
      <c r="S191" s="262"/>
      <c r="T191" s="262"/>
      <c r="U191" s="262"/>
      <c r="V191" s="262"/>
      <c r="W191" s="262"/>
      <c r="X191" s="262"/>
      <c r="Y191" s="252"/>
      <c r="Z191" s="261"/>
      <c r="AA191" s="261"/>
      <c r="AB191" s="261"/>
      <c r="AC191" s="261"/>
      <c r="AD191" s="261"/>
      <c r="AE191" s="921"/>
      <c r="AF191" s="921"/>
      <c r="AG191" s="921"/>
    </row>
    <row r="192" spans="1:33">
      <c r="A192" s="909" t="s">
        <v>533</v>
      </c>
      <c r="B192" s="910" t="s">
        <v>1038</v>
      </c>
      <c r="C192" s="250"/>
      <c r="D192" s="250"/>
      <c r="E192" s="923"/>
      <c r="F192" s="262"/>
      <c r="G192" s="262"/>
      <c r="H192" s="262"/>
      <c r="I192" s="262"/>
      <c r="J192" s="262"/>
      <c r="K192" s="262"/>
      <c r="L192" s="262"/>
      <c r="M192" s="262"/>
      <c r="N192" s="262"/>
      <c r="O192" s="262"/>
      <c r="P192" s="262"/>
      <c r="Q192" s="262"/>
      <c r="R192" s="262"/>
      <c r="S192" s="262"/>
      <c r="T192" s="262"/>
      <c r="U192" s="262"/>
      <c r="V192" s="262"/>
      <c r="W192" s="262"/>
      <c r="X192" s="262"/>
      <c r="Y192" s="262"/>
      <c r="Z192" s="252"/>
      <c r="AA192" s="261"/>
      <c r="AB192" s="261"/>
      <c r="AC192" s="261"/>
      <c r="AD192" s="261"/>
      <c r="AE192" s="250"/>
      <c r="AF192" s="250"/>
      <c r="AG192" s="921"/>
    </row>
    <row r="193" spans="1:33">
      <c r="A193" s="909" t="s">
        <v>533</v>
      </c>
      <c r="B193" s="910" t="s">
        <v>1039</v>
      </c>
      <c r="C193" s="250"/>
      <c r="D193" s="250"/>
      <c r="E193" s="923"/>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52"/>
      <c r="AB193" s="261"/>
      <c r="AC193" s="261"/>
      <c r="AD193" s="261"/>
      <c r="AE193" s="250"/>
      <c r="AF193" s="250"/>
      <c r="AG193" s="921"/>
    </row>
    <row r="194" spans="1:33">
      <c r="A194" s="909" t="s">
        <v>533</v>
      </c>
      <c r="B194" s="910" t="s">
        <v>1040</v>
      </c>
      <c r="C194" s="250"/>
      <c r="D194" s="250"/>
      <c r="E194" s="923"/>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52"/>
      <c r="AC194" s="261"/>
      <c r="AD194" s="261"/>
      <c r="AE194" s="250"/>
      <c r="AF194" s="250"/>
      <c r="AG194" s="921"/>
    </row>
    <row r="195" spans="1:33">
      <c r="A195" s="909" t="s">
        <v>533</v>
      </c>
      <c r="B195" s="910" t="s">
        <v>1041</v>
      </c>
      <c r="C195" s="250"/>
      <c r="D195" s="250"/>
      <c r="E195" s="923"/>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52"/>
      <c r="AD195" s="261"/>
      <c r="AE195" s="250"/>
      <c r="AF195" s="250"/>
      <c r="AG195" s="921"/>
    </row>
    <row r="196" spans="1:33">
      <c r="A196" s="909" t="s">
        <v>533</v>
      </c>
      <c r="B196" s="910" t="s">
        <v>1042</v>
      </c>
      <c r="C196" s="250"/>
      <c r="D196" s="250"/>
      <c r="E196" s="923"/>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252"/>
      <c r="AE196" s="250"/>
      <c r="AF196" s="250"/>
      <c r="AG196" s="921"/>
    </row>
    <row r="197" spans="1:33" ht="13">
      <c r="A197" s="913" t="s">
        <v>368</v>
      </c>
      <c r="B197" s="914" t="s">
        <v>271</v>
      </c>
      <c r="C197" s="251"/>
      <c r="D197" s="251"/>
      <c r="E197" s="251"/>
      <c r="F197" s="251"/>
      <c r="G197" s="251"/>
      <c r="H197" s="251"/>
      <c r="I197" s="251"/>
      <c r="J197" s="251"/>
      <c r="K197" s="251"/>
      <c r="L197" s="251"/>
      <c r="M197" s="251"/>
      <c r="N197" s="251"/>
      <c r="O197" s="251"/>
      <c r="P197" s="251"/>
      <c r="Q197" s="251"/>
      <c r="R197" s="251"/>
      <c r="S197" s="251"/>
      <c r="T197" s="251"/>
      <c r="U197" s="251"/>
      <c r="V197" s="251"/>
      <c r="W197" s="251"/>
      <c r="X197" s="251"/>
      <c r="Y197" s="251"/>
      <c r="Z197" s="251"/>
      <c r="AA197" s="251"/>
      <c r="AB197" s="251"/>
      <c r="AC197" s="251"/>
      <c r="AD197" s="251"/>
      <c r="AE197" s="251"/>
      <c r="AF197" s="251"/>
      <c r="AG197" s="251"/>
    </row>
    <row r="198" spans="1:33">
      <c r="C198" s="925"/>
    </row>
    <row r="199" spans="1:33">
      <c r="C199" s="915"/>
    </row>
    <row r="201" spans="1:33" ht="13">
      <c r="B201" s="904" t="s">
        <v>544</v>
      </c>
      <c r="F201" s="905" t="s">
        <v>10</v>
      </c>
    </row>
    <row r="202" spans="1:33" ht="26.15" customHeight="1">
      <c r="A202" s="906"/>
      <c r="B202" s="919" t="s">
        <v>413</v>
      </c>
      <c r="C202" s="2003" t="s">
        <v>515</v>
      </c>
      <c r="D202" s="2003" t="s">
        <v>516</v>
      </c>
      <c r="E202" s="2003" t="s">
        <v>586</v>
      </c>
      <c r="F202" s="2005" t="s">
        <v>587</v>
      </c>
      <c r="G202" s="2006"/>
      <c r="H202" s="2006"/>
      <c r="I202" s="2006"/>
      <c r="J202" s="2006"/>
      <c r="K202" s="2006"/>
      <c r="L202" s="2006"/>
      <c r="M202" s="2006"/>
      <c r="N202" s="2006"/>
      <c r="O202" s="2006"/>
      <c r="P202" s="2006"/>
      <c r="Q202" s="2006"/>
      <c r="R202" s="2006"/>
      <c r="S202" s="2006"/>
      <c r="T202" s="2006"/>
      <c r="U202" s="2006"/>
      <c r="V202" s="2006"/>
      <c r="W202" s="2006"/>
      <c r="X202" s="2006"/>
      <c r="Y202" s="2006"/>
      <c r="Z202" s="2006"/>
      <c r="AA202" s="2006"/>
      <c r="AB202" s="2006"/>
      <c r="AC202" s="2006"/>
      <c r="AD202" s="2007"/>
      <c r="AE202" s="907" t="s">
        <v>538</v>
      </c>
      <c r="AF202" s="907" t="s">
        <v>531</v>
      </c>
      <c r="AG202" s="907" t="s">
        <v>539</v>
      </c>
    </row>
    <row r="203" spans="1:33" ht="12.9" customHeight="1">
      <c r="A203" s="906"/>
      <c r="B203" s="919"/>
      <c r="C203" s="2004"/>
      <c r="D203" s="2004"/>
      <c r="E203" s="2004"/>
      <c r="F203" s="908" t="s">
        <v>517</v>
      </c>
      <c r="G203" s="908" t="s">
        <v>518</v>
      </c>
      <c r="H203" s="908" t="s">
        <v>519</v>
      </c>
      <c r="I203" s="908" t="s">
        <v>520</v>
      </c>
      <c r="J203" s="908" t="s">
        <v>521</v>
      </c>
      <c r="K203" s="908" t="s">
        <v>522</v>
      </c>
      <c r="L203" s="908" t="s">
        <v>523</v>
      </c>
      <c r="M203" s="908" t="s">
        <v>524</v>
      </c>
      <c r="N203" s="908" t="s">
        <v>525</v>
      </c>
      <c r="O203" s="908" t="s">
        <v>526</v>
      </c>
      <c r="P203" s="908" t="s">
        <v>527</v>
      </c>
      <c r="Q203" s="908" t="s">
        <v>528</v>
      </c>
      <c r="R203" s="908" t="s">
        <v>529</v>
      </c>
      <c r="S203" s="908" t="s">
        <v>530</v>
      </c>
      <c r="T203" s="908" t="s">
        <v>325</v>
      </c>
      <c r="U203" s="908" t="s">
        <v>506</v>
      </c>
      <c r="V203" s="908" t="s">
        <v>507</v>
      </c>
      <c r="W203" s="908" t="s">
        <v>508</v>
      </c>
      <c r="X203" s="908" t="s">
        <v>509</v>
      </c>
      <c r="Y203" s="908" t="s">
        <v>510</v>
      </c>
      <c r="Z203" s="908" t="s">
        <v>958</v>
      </c>
      <c r="AA203" s="908" t="s">
        <v>959</v>
      </c>
      <c r="AB203" s="908" t="s">
        <v>960</v>
      </c>
      <c r="AC203" s="908" t="s">
        <v>961</v>
      </c>
      <c r="AD203" s="908" t="s">
        <v>962</v>
      </c>
      <c r="AE203" s="907"/>
      <c r="AF203" s="907"/>
      <c r="AG203" s="907"/>
    </row>
    <row r="204" spans="1:33">
      <c r="A204" s="909" t="s">
        <v>532</v>
      </c>
      <c r="B204" s="910">
        <v>2005</v>
      </c>
      <c r="C204" s="909"/>
      <c r="D204" s="909"/>
      <c r="E204" s="920"/>
      <c r="F204" s="261"/>
      <c r="G204" s="261"/>
      <c r="H204" s="261"/>
      <c r="I204" s="261"/>
      <c r="J204" s="261"/>
      <c r="K204" s="261"/>
      <c r="L204" s="261"/>
      <c r="M204" s="261"/>
      <c r="N204" s="261"/>
      <c r="O204" s="261"/>
      <c r="P204" s="261"/>
      <c r="Q204" s="261"/>
      <c r="R204" s="261"/>
      <c r="S204" s="261"/>
      <c r="T204" s="261"/>
      <c r="U204" s="261"/>
      <c r="V204" s="261"/>
      <c r="W204" s="261"/>
      <c r="X204" s="261"/>
      <c r="Y204" s="261"/>
      <c r="Z204" s="261"/>
      <c r="AA204" s="261"/>
      <c r="AB204" s="261"/>
      <c r="AC204" s="261"/>
      <c r="AD204" s="261"/>
      <c r="AE204" s="921"/>
      <c r="AF204" s="921"/>
      <c r="AG204" s="921"/>
    </row>
    <row r="205" spans="1:33">
      <c r="A205" s="909" t="s">
        <v>533</v>
      </c>
      <c r="B205" s="910" t="s">
        <v>517</v>
      </c>
      <c r="C205" s="909"/>
      <c r="D205" s="909"/>
      <c r="E205" s="920"/>
      <c r="F205" s="252"/>
      <c r="G205" s="261"/>
      <c r="H205" s="261"/>
      <c r="I205" s="261"/>
      <c r="J205" s="261"/>
      <c r="K205" s="261"/>
      <c r="L205" s="261"/>
      <c r="M205" s="261"/>
      <c r="N205" s="261"/>
      <c r="O205" s="261"/>
      <c r="P205" s="261"/>
      <c r="Q205" s="261"/>
      <c r="R205" s="261"/>
      <c r="S205" s="261"/>
      <c r="T205" s="261"/>
      <c r="U205" s="261"/>
      <c r="V205" s="261"/>
      <c r="W205" s="261"/>
      <c r="X205" s="261"/>
      <c r="Y205" s="261"/>
      <c r="Z205" s="261"/>
      <c r="AA205" s="261"/>
      <c r="AB205" s="261"/>
      <c r="AC205" s="261"/>
      <c r="AD205" s="261"/>
      <c r="AE205" s="921"/>
      <c r="AF205" s="921"/>
      <c r="AG205" s="921"/>
    </row>
    <row r="206" spans="1:33">
      <c r="A206" s="909" t="s">
        <v>533</v>
      </c>
      <c r="B206" s="910" t="s">
        <v>518</v>
      </c>
      <c r="C206" s="909"/>
      <c r="D206" s="909"/>
      <c r="E206" s="920"/>
      <c r="F206" s="262"/>
      <c r="G206" s="252"/>
      <c r="H206" s="261"/>
      <c r="I206" s="261"/>
      <c r="J206" s="261"/>
      <c r="K206" s="261"/>
      <c r="L206" s="261"/>
      <c r="M206" s="261"/>
      <c r="N206" s="261"/>
      <c r="O206" s="261"/>
      <c r="P206" s="261"/>
      <c r="Q206" s="261"/>
      <c r="R206" s="261"/>
      <c r="S206" s="261"/>
      <c r="T206" s="261"/>
      <c r="U206" s="261"/>
      <c r="V206" s="261"/>
      <c r="W206" s="261"/>
      <c r="X206" s="261"/>
      <c r="Y206" s="261"/>
      <c r="Z206" s="261"/>
      <c r="AA206" s="261"/>
      <c r="AB206" s="261"/>
      <c r="AC206" s="261"/>
      <c r="AD206" s="261"/>
      <c r="AE206" s="921"/>
      <c r="AF206" s="921"/>
      <c r="AG206" s="921"/>
    </row>
    <row r="207" spans="1:33">
      <c r="A207" s="909" t="s">
        <v>533</v>
      </c>
      <c r="B207" s="910" t="s">
        <v>519</v>
      </c>
      <c r="C207" s="909"/>
      <c r="D207" s="909"/>
      <c r="E207" s="920"/>
      <c r="F207" s="262"/>
      <c r="G207" s="262"/>
      <c r="H207" s="252"/>
      <c r="I207" s="261"/>
      <c r="J207" s="261"/>
      <c r="K207" s="261"/>
      <c r="L207" s="261"/>
      <c r="M207" s="261"/>
      <c r="N207" s="261"/>
      <c r="O207" s="261"/>
      <c r="P207" s="261"/>
      <c r="Q207" s="261"/>
      <c r="R207" s="261"/>
      <c r="S207" s="261"/>
      <c r="T207" s="261"/>
      <c r="U207" s="261"/>
      <c r="V207" s="261"/>
      <c r="W207" s="261"/>
      <c r="X207" s="261"/>
      <c r="Y207" s="261"/>
      <c r="Z207" s="261"/>
      <c r="AA207" s="261"/>
      <c r="AB207" s="261"/>
      <c r="AC207" s="261"/>
      <c r="AD207" s="261"/>
      <c r="AE207" s="921"/>
      <c r="AF207" s="921"/>
      <c r="AG207" s="921"/>
    </row>
    <row r="208" spans="1:33">
      <c r="A208" s="909" t="s">
        <v>533</v>
      </c>
      <c r="B208" s="910" t="s">
        <v>520</v>
      </c>
      <c r="C208" s="909"/>
      <c r="D208" s="909"/>
      <c r="E208" s="920"/>
      <c r="F208" s="262"/>
      <c r="G208" s="262"/>
      <c r="H208" s="262"/>
      <c r="I208" s="252"/>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921"/>
      <c r="AF208" s="921"/>
      <c r="AG208" s="921"/>
    </row>
    <row r="209" spans="1:33">
      <c r="A209" s="909" t="s">
        <v>533</v>
      </c>
      <c r="B209" s="910" t="s">
        <v>521</v>
      </c>
      <c r="C209" s="909"/>
      <c r="D209" s="909"/>
      <c r="E209" s="920"/>
      <c r="F209" s="262"/>
      <c r="G209" s="262"/>
      <c r="H209" s="262"/>
      <c r="I209" s="262"/>
      <c r="J209" s="252"/>
      <c r="K209" s="261"/>
      <c r="L209" s="261"/>
      <c r="M209" s="261"/>
      <c r="N209" s="261"/>
      <c r="O209" s="261"/>
      <c r="P209" s="261"/>
      <c r="Q209" s="261"/>
      <c r="R209" s="261"/>
      <c r="S209" s="261"/>
      <c r="T209" s="261"/>
      <c r="U209" s="261"/>
      <c r="V209" s="261"/>
      <c r="W209" s="261"/>
      <c r="X209" s="261"/>
      <c r="Y209" s="261"/>
      <c r="Z209" s="261"/>
      <c r="AA209" s="261"/>
      <c r="AB209" s="261"/>
      <c r="AC209" s="261"/>
      <c r="AD209" s="261"/>
      <c r="AE209" s="921"/>
      <c r="AF209" s="921"/>
      <c r="AG209" s="921"/>
    </row>
    <row r="210" spans="1:33">
      <c r="A210" s="909" t="s">
        <v>533</v>
      </c>
      <c r="B210" s="910" t="s">
        <v>522</v>
      </c>
      <c r="C210" s="909"/>
      <c r="D210" s="909"/>
      <c r="E210" s="920"/>
      <c r="F210" s="262"/>
      <c r="G210" s="262"/>
      <c r="H210" s="262"/>
      <c r="I210" s="262"/>
      <c r="J210" s="262"/>
      <c r="K210" s="252"/>
      <c r="L210" s="261"/>
      <c r="M210" s="261"/>
      <c r="N210" s="261"/>
      <c r="O210" s="261"/>
      <c r="P210" s="261"/>
      <c r="Q210" s="261"/>
      <c r="R210" s="261"/>
      <c r="S210" s="261"/>
      <c r="T210" s="261"/>
      <c r="U210" s="261"/>
      <c r="V210" s="261"/>
      <c r="W210" s="261"/>
      <c r="X210" s="261"/>
      <c r="Y210" s="261"/>
      <c r="Z210" s="261"/>
      <c r="AA210" s="261"/>
      <c r="AB210" s="261"/>
      <c r="AC210" s="261"/>
      <c r="AD210" s="261"/>
      <c r="AE210" s="921"/>
      <c r="AF210" s="921"/>
      <c r="AG210" s="921"/>
    </row>
    <row r="211" spans="1:33">
      <c r="A211" s="909" t="s">
        <v>533</v>
      </c>
      <c r="B211" s="910" t="s">
        <v>523</v>
      </c>
      <c r="C211" s="909"/>
      <c r="D211" s="909"/>
      <c r="E211" s="920"/>
      <c r="F211" s="262"/>
      <c r="G211" s="262"/>
      <c r="H211" s="262"/>
      <c r="I211" s="262"/>
      <c r="J211" s="262"/>
      <c r="K211" s="262"/>
      <c r="L211" s="252"/>
      <c r="M211" s="261"/>
      <c r="N211" s="261"/>
      <c r="O211" s="261"/>
      <c r="P211" s="261"/>
      <c r="Q211" s="261"/>
      <c r="R211" s="261"/>
      <c r="S211" s="261"/>
      <c r="T211" s="261"/>
      <c r="U211" s="261"/>
      <c r="V211" s="261"/>
      <c r="W211" s="261"/>
      <c r="X211" s="261"/>
      <c r="Y211" s="261"/>
      <c r="Z211" s="261"/>
      <c r="AA211" s="261"/>
      <c r="AB211" s="261"/>
      <c r="AC211" s="261"/>
      <c r="AD211" s="261"/>
      <c r="AE211" s="921"/>
      <c r="AF211" s="921"/>
      <c r="AG211" s="921"/>
    </row>
    <row r="212" spans="1:33">
      <c r="A212" s="909" t="s">
        <v>533</v>
      </c>
      <c r="B212" s="910" t="s">
        <v>524</v>
      </c>
      <c r="C212" s="909"/>
      <c r="D212" s="909"/>
      <c r="E212" s="920"/>
      <c r="F212" s="262"/>
      <c r="G212" s="262"/>
      <c r="H212" s="262"/>
      <c r="I212" s="262"/>
      <c r="J212" s="262"/>
      <c r="K212" s="262"/>
      <c r="L212" s="262"/>
      <c r="M212" s="252"/>
      <c r="N212" s="261"/>
      <c r="O212" s="261"/>
      <c r="P212" s="261"/>
      <c r="Q212" s="261"/>
      <c r="R212" s="261"/>
      <c r="S212" s="261"/>
      <c r="T212" s="261"/>
      <c r="U212" s="261"/>
      <c r="V212" s="261"/>
      <c r="W212" s="261"/>
      <c r="X212" s="261"/>
      <c r="Y212" s="261"/>
      <c r="Z212" s="261"/>
      <c r="AA212" s="261"/>
      <c r="AB212" s="261"/>
      <c r="AC212" s="261"/>
      <c r="AD212" s="261"/>
      <c r="AE212" s="921"/>
      <c r="AF212" s="921"/>
      <c r="AG212" s="921"/>
    </row>
    <row r="213" spans="1:33">
      <c r="A213" s="909" t="s">
        <v>533</v>
      </c>
      <c r="B213" s="910" t="s">
        <v>525</v>
      </c>
      <c r="C213" s="909"/>
      <c r="D213" s="909"/>
      <c r="E213" s="920"/>
      <c r="F213" s="262"/>
      <c r="G213" s="262"/>
      <c r="H213" s="262"/>
      <c r="I213" s="262"/>
      <c r="J213" s="262"/>
      <c r="K213" s="262"/>
      <c r="L213" s="262"/>
      <c r="M213" s="262"/>
      <c r="N213" s="252"/>
      <c r="O213" s="261"/>
      <c r="P213" s="261"/>
      <c r="Q213" s="261"/>
      <c r="R213" s="261"/>
      <c r="S213" s="261"/>
      <c r="T213" s="261"/>
      <c r="U213" s="261"/>
      <c r="V213" s="261"/>
      <c r="W213" s="261"/>
      <c r="X213" s="261"/>
      <c r="Y213" s="261"/>
      <c r="Z213" s="261"/>
      <c r="AA213" s="261"/>
      <c r="AB213" s="261"/>
      <c r="AC213" s="261"/>
      <c r="AD213" s="261"/>
      <c r="AE213" s="921"/>
      <c r="AF213" s="921"/>
      <c r="AG213" s="921"/>
    </row>
    <row r="214" spans="1:33">
      <c r="A214" s="909" t="s">
        <v>533</v>
      </c>
      <c r="B214" s="910" t="s">
        <v>526</v>
      </c>
      <c r="C214" s="250"/>
      <c r="D214" s="909"/>
      <c r="E214" s="920"/>
      <c r="F214" s="262"/>
      <c r="G214" s="262"/>
      <c r="H214" s="262"/>
      <c r="I214" s="262"/>
      <c r="J214" s="262"/>
      <c r="K214" s="262"/>
      <c r="L214" s="262"/>
      <c r="M214" s="262"/>
      <c r="N214" s="262"/>
      <c r="O214" s="252"/>
      <c r="P214" s="261"/>
      <c r="Q214" s="261"/>
      <c r="R214" s="261"/>
      <c r="S214" s="261"/>
      <c r="T214" s="261"/>
      <c r="U214" s="261"/>
      <c r="V214" s="261"/>
      <c r="W214" s="261"/>
      <c r="X214" s="261"/>
      <c r="Y214" s="261"/>
      <c r="Z214" s="261"/>
      <c r="AA214" s="261"/>
      <c r="AB214" s="261"/>
      <c r="AC214" s="261"/>
      <c r="AD214" s="261"/>
      <c r="AE214" s="921"/>
      <c r="AF214" s="921"/>
      <c r="AG214" s="921"/>
    </row>
    <row r="215" spans="1:33">
      <c r="A215" s="909" t="s">
        <v>533</v>
      </c>
      <c r="B215" s="910" t="s">
        <v>527</v>
      </c>
      <c r="C215" s="250"/>
      <c r="D215" s="909"/>
      <c r="E215" s="920"/>
      <c r="F215" s="262"/>
      <c r="G215" s="262"/>
      <c r="H215" s="262"/>
      <c r="I215" s="262"/>
      <c r="J215" s="262"/>
      <c r="K215" s="262"/>
      <c r="L215" s="262"/>
      <c r="M215" s="262"/>
      <c r="N215" s="262"/>
      <c r="O215" s="262"/>
      <c r="P215" s="252"/>
      <c r="Q215" s="261"/>
      <c r="R215" s="261"/>
      <c r="S215" s="261"/>
      <c r="T215" s="261"/>
      <c r="U215" s="261"/>
      <c r="V215" s="261"/>
      <c r="W215" s="261"/>
      <c r="X215" s="261"/>
      <c r="Y215" s="261"/>
      <c r="Z215" s="261"/>
      <c r="AA215" s="261"/>
      <c r="AB215" s="261"/>
      <c r="AC215" s="261"/>
      <c r="AD215" s="261"/>
      <c r="AE215" s="921"/>
      <c r="AF215" s="921"/>
      <c r="AG215" s="921"/>
    </row>
    <row r="216" spans="1:33">
      <c r="A216" s="909" t="s">
        <v>533</v>
      </c>
      <c r="B216" s="910" t="s">
        <v>528</v>
      </c>
      <c r="C216" s="250"/>
      <c r="D216" s="250"/>
      <c r="E216" s="920"/>
      <c r="F216" s="262"/>
      <c r="G216" s="262"/>
      <c r="H216" s="262"/>
      <c r="I216" s="262"/>
      <c r="J216" s="262"/>
      <c r="K216" s="262"/>
      <c r="L216" s="262"/>
      <c r="M216" s="262"/>
      <c r="N216" s="262"/>
      <c r="O216" s="262"/>
      <c r="P216" s="262"/>
      <c r="Q216" s="252"/>
      <c r="R216" s="261"/>
      <c r="S216" s="261"/>
      <c r="T216" s="261"/>
      <c r="U216" s="261"/>
      <c r="V216" s="261"/>
      <c r="W216" s="261"/>
      <c r="X216" s="261"/>
      <c r="Y216" s="261"/>
      <c r="Z216" s="261"/>
      <c r="AA216" s="261"/>
      <c r="AB216" s="261"/>
      <c r="AC216" s="261"/>
      <c r="AD216" s="261"/>
      <c r="AE216" s="921"/>
      <c r="AF216" s="921"/>
      <c r="AG216" s="921"/>
    </row>
    <row r="217" spans="1:33">
      <c r="A217" s="909" t="s">
        <v>533</v>
      </c>
      <c r="B217" s="910" t="s">
        <v>529</v>
      </c>
      <c r="C217" s="250"/>
      <c r="D217" s="250"/>
      <c r="E217" s="920"/>
      <c r="F217" s="262"/>
      <c r="G217" s="262"/>
      <c r="H217" s="262"/>
      <c r="I217" s="262"/>
      <c r="J217" s="262"/>
      <c r="K217" s="262"/>
      <c r="L217" s="262"/>
      <c r="M217" s="262"/>
      <c r="N217" s="262"/>
      <c r="O217" s="262"/>
      <c r="P217" s="262"/>
      <c r="Q217" s="262"/>
      <c r="R217" s="252"/>
      <c r="S217" s="261"/>
      <c r="T217" s="261"/>
      <c r="U217" s="261"/>
      <c r="V217" s="261"/>
      <c r="W217" s="261"/>
      <c r="X217" s="261"/>
      <c r="Y217" s="261"/>
      <c r="Z217" s="261"/>
      <c r="AA217" s="261"/>
      <c r="AB217" s="261"/>
      <c r="AC217" s="261"/>
      <c r="AD217" s="261"/>
      <c r="AE217" s="921"/>
      <c r="AF217" s="921"/>
      <c r="AG217" s="921"/>
    </row>
    <row r="218" spans="1:33">
      <c r="A218" s="909" t="s">
        <v>533</v>
      </c>
      <c r="B218" s="910" t="s">
        <v>530</v>
      </c>
      <c r="C218" s="250"/>
      <c r="D218" s="250"/>
      <c r="E218" s="920"/>
      <c r="F218" s="262"/>
      <c r="G218" s="262"/>
      <c r="H218" s="262"/>
      <c r="I218" s="262"/>
      <c r="J218" s="262"/>
      <c r="K218" s="262"/>
      <c r="L218" s="262"/>
      <c r="M218" s="262"/>
      <c r="N218" s="262"/>
      <c r="O218" s="262"/>
      <c r="P218" s="262"/>
      <c r="Q218" s="262"/>
      <c r="R218" s="262"/>
      <c r="S218" s="252"/>
      <c r="T218" s="261"/>
      <c r="U218" s="261"/>
      <c r="V218" s="261"/>
      <c r="W218" s="261"/>
      <c r="X218" s="261"/>
      <c r="Y218" s="261"/>
      <c r="Z218" s="261"/>
      <c r="AA218" s="261"/>
      <c r="AB218" s="261"/>
      <c r="AC218" s="261"/>
      <c r="AD218" s="261"/>
      <c r="AE218" s="921"/>
      <c r="AF218" s="921"/>
      <c r="AG218" s="921"/>
    </row>
    <row r="219" spans="1:33">
      <c r="A219" s="909" t="s">
        <v>533</v>
      </c>
      <c r="B219" s="910" t="s">
        <v>534</v>
      </c>
      <c r="C219" s="250"/>
      <c r="D219" s="250"/>
      <c r="E219" s="923"/>
      <c r="F219" s="262"/>
      <c r="G219" s="262"/>
      <c r="H219" s="262"/>
      <c r="I219" s="262"/>
      <c r="J219" s="262"/>
      <c r="K219" s="262"/>
      <c r="L219" s="262"/>
      <c r="M219" s="262"/>
      <c r="N219" s="262"/>
      <c r="O219" s="262"/>
      <c r="P219" s="262"/>
      <c r="Q219" s="262"/>
      <c r="R219" s="262"/>
      <c r="S219" s="262"/>
      <c r="T219" s="252"/>
      <c r="U219" s="261"/>
      <c r="V219" s="261"/>
      <c r="W219" s="261"/>
      <c r="X219" s="261"/>
      <c r="Y219" s="261"/>
      <c r="Z219" s="261"/>
      <c r="AA219" s="261"/>
      <c r="AB219" s="261"/>
      <c r="AC219" s="261"/>
      <c r="AD219" s="261"/>
      <c r="AE219" s="921"/>
      <c r="AF219" s="921"/>
      <c r="AG219" s="921"/>
    </row>
    <row r="220" spans="1:33">
      <c r="A220" s="909" t="s">
        <v>533</v>
      </c>
      <c r="B220" s="910" t="s">
        <v>535</v>
      </c>
      <c r="C220" s="250"/>
      <c r="D220" s="250"/>
      <c r="E220" s="923"/>
      <c r="F220" s="262"/>
      <c r="G220" s="262"/>
      <c r="H220" s="262"/>
      <c r="I220" s="262"/>
      <c r="J220" s="262"/>
      <c r="K220" s="262"/>
      <c r="L220" s="262"/>
      <c r="M220" s="262"/>
      <c r="N220" s="262"/>
      <c r="O220" s="262"/>
      <c r="P220" s="262"/>
      <c r="Q220" s="262"/>
      <c r="R220" s="262"/>
      <c r="S220" s="262"/>
      <c r="T220" s="262"/>
      <c r="U220" s="252"/>
      <c r="V220" s="261"/>
      <c r="W220" s="261"/>
      <c r="X220" s="261"/>
      <c r="Y220" s="261"/>
      <c r="Z220" s="261"/>
      <c r="AA220" s="261"/>
      <c r="AB220" s="261"/>
      <c r="AC220" s="261"/>
      <c r="AD220" s="261"/>
      <c r="AE220" s="921"/>
      <c r="AF220" s="921"/>
      <c r="AG220" s="921"/>
    </row>
    <row r="221" spans="1:33">
      <c r="A221" s="909" t="s">
        <v>533</v>
      </c>
      <c r="B221" s="910" t="s">
        <v>536</v>
      </c>
      <c r="C221" s="250"/>
      <c r="D221" s="250"/>
      <c r="E221" s="923"/>
      <c r="F221" s="262"/>
      <c r="G221" s="262"/>
      <c r="H221" s="262"/>
      <c r="I221" s="262"/>
      <c r="J221" s="262"/>
      <c r="K221" s="262"/>
      <c r="L221" s="262"/>
      <c r="M221" s="262"/>
      <c r="N221" s="262"/>
      <c r="O221" s="262"/>
      <c r="P221" s="262"/>
      <c r="Q221" s="262"/>
      <c r="R221" s="262"/>
      <c r="S221" s="262"/>
      <c r="T221" s="262"/>
      <c r="U221" s="262"/>
      <c r="V221" s="252"/>
      <c r="W221" s="261"/>
      <c r="X221" s="261"/>
      <c r="Y221" s="261"/>
      <c r="Z221" s="261"/>
      <c r="AA221" s="261"/>
      <c r="AB221" s="261"/>
      <c r="AC221" s="261"/>
      <c r="AD221" s="261"/>
      <c r="AE221" s="921"/>
      <c r="AF221" s="921"/>
      <c r="AG221" s="921"/>
    </row>
    <row r="222" spans="1:33">
      <c r="A222" s="909" t="s">
        <v>533</v>
      </c>
      <c r="B222" s="910" t="s">
        <v>546</v>
      </c>
      <c r="C222" s="250"/>
      <c r="D222" s="250"/>
      <c r="E222" s="923"/>
      <c r="F222" s="262"/>
      <c r="G222" s="262"/>
      <c r="H222" s="262"/>
      <c r="I222" s="262"/>
      <c r="J222" s="262"/>
      <c r="K222" s="262"/>
      <c r="L222" s="262"/>
      <c r="M222" s="262"/>
      <c r="N222" s="262"/>
      <c r="O222" s="262"/>
      <c r="P222" s="262"/>
      <c r="Q222" s="262"/>
      <c r="R222" s="262"/>
      <c r="S222" s="262"/>
      <c r="T222" s="262"/>
      <c r="U222" s="262"/>
      <c r="V222" s="262"/>
      <c r="W222" s="252"/>
      <c r="X222" s="261"/>
      <c r="Y222" s="261"/>
      <c r="Z222" s="261"/>
      <c r="AA222" s="261"/>
      <c r="AB222" s="261"/>
      <c r="AC222" s="261"/>
      <c r="AD222" s="261"/>
      <c r="AE222" s="921"/>
      <c r="AF222" s="921"/>
      <c r="AG222" s="921"/>
    </row>
    <row r="223" spans="1:33">
      <c r="A223" s="909" t="s">
        <v>533</v>
      </c>
      <c r="B223" s="910" t="s">
        <v>547</v>
      </c>
      <c r="C223" s="250"/>
      <c r="D223" s="250"/>
      <c r="E223" s="923"/>
      <c r="F223" s="262"/>
      <c r="G223" s="262"/>
      <c r="H223" s="262"/>
      <c r="I223" s="262"/>
      <c r="J223" s="262"/>
      <c r="K223" s="262"/>
      <c r="L223" s="262"/>
      <c r="M223" s="262"/>
      <c r="N223" s="262"/>
      <c r="O223" s="262"/>
      <c r="P223" s="262"/>
      <c r="Q223" s="262"/>
      <c r="R223" s="262"/>
      <c r="S223" s="262"/>
      <c r="T223" s="262"/>
      <c r="U223" s="262"/>
      <c r="V223" s="262"/>
      <c r="W223" s="262"/>
      <c r="X223" s="252"/>
      <c r="Y223" s="261"/>
      <c r="Z223" s="261"/>
      <c r="AA223" s="261"/>
      <c r="AB223" s="261"/>
      <c r="AC223" s="261"/>
      <c r="AD223" s="261"/>
      <c r="AE223" s="921"/>
      <c r="AF223" s="921"/>
      <c r="AG223" s="921"/>
    </row>
    <row r="224" spans="1:33">
      <c r="A224" s="909" t="s">
        <v>533</v>
      </c>
      <c r="B224" s="910" t="s">
        <v>548</v>
      </c>
      <c r="C224" s="250"/>
      <c r="D224" s="250"/>
      <c r="E224" s="923"/>
      <c r="F224" s="262"/>
      <c r="G224" s="262"/>
      <c r="H224" s="262"/>
      <c r="I224" s="262"/>
      <c r="J224" s="262"/>
      <c r="K224" s="262"/>
      <c r="L224" s="262"/>
      <c r="M224" s="262"/>
      <c r="N224" s="262"/>
      <c r="O224" s="262"/>
      <c r="P224" s="262"/>
      <c r="Q224" s="262"/>
      <c r="R224" s="262"/>
      <c r="S224" s="262"/>
      <c r="T224" s="262"/>
      <c r="U224" s="262"/>
      <c r="V224" s="262"/>
      <c r="W224" s="262"/>
      <c r="X224" s="262"/>
      <c r="Y224" s="252"/>
      <c r="Z224" s="921"/>
      <c r="AA224" s="921"/>
      <c r="AB224" s="921"/>
      <c r="AC224" s="921"/>
      <c r="AD224" s="921"/>
      <c r="AE224" s="921"/>
      <c r="AF224" s="921"/>
      <c r="AG224" s="921"/>
    </row>
    <row r="225" spans="1:33">
      <c r="A225" s="909" t="s">
        <v>533</v>
      </c>
      <c r="B225" s="910" t="s">
        <v>1038</v>
      </c>
      <c r="C225" s="250"/>
      <c r="D225" s="250"/>
      <c r="E225" s="923"/>
      <c r="F225" s="262"/>
      <c r="G225" s="262"/>
      <c r="H225" s="262"/>
      <c r="I225" s="262"/>
      <c r="J225" s="262"/>
      <c r="K225" s="262"/>
      <c r="L225" s="262"/>
      <c r="M225" s="262"/>
      <c r="N225" s="262"/>
      <c r="O225" s="262"/>
      <c r="P225" s="262"/>
      <c r="Q225" s="262"/>
      <c r="R225" s="262"/>
      <c r="S225" s="262"/>
      <c r="T225" s="262"/>
      <c r="U225" s="262"/>
      <c r="V225" s="262"/>
      <c r="W225" s="262"/>
      <c r="X225" s="262"/>
      <c r="Y225" s="262"/>
      <c r="Z225" s="252"/>
      <c r="AA225" s="261"/>
      <c r="AB225" s="261"/>
      <c r="AC225" s="261"/>
      <c r="AD225" s="261"/>
      <c r="AE225" s="250"/>
      <c r="AF225" s="250"/>
      <c r="AG225" s="921"/>
    </row>
    <row r="226" spans="1:33">
      <c r="A226" s="909" t="s">
        <v>533</v>
      </c>
      <c r="B226" s="910" t="s">
        <v>1039</v>
      </c>
      <c r="C226" s="250"/>
      <c r="D226" s="250"/>
      <c r="E226" s="923"/>
      <c r="F226" s="262"/>
      <c r="G226" s="262"/>
      <c r="H226" s="262"/>
      <c r="I226" s="262"/>
      <c r="J226" s="262"/>
      <c r="K226" s="262"/>
      <c r="L226" s="262"/>
      <c r="M226" s="262"/>
      <c r="N226" s="262"/>
      <c r="O226" s="262"/>
      <c r="P226" s="262"/>
      <c r="Q226" s="262"/>
      <c r="R226" s="262"/>
      <c r="S226" s="262"/>
      <c r="T226" s="262"/>
      <c r="U226" s="262"/>
      <c r="V226" s="262"/>
      <c r="W226" s="262"/>
      <c r="X226" s="262"/>
      <c r="Y226" s="262"/>
      <c r="Z226" s="262"/>
      <c r="AA226" s="252"/>
      <c r="AB226" s="261"/>
      <c r="AC226" s="261"/>
      <c r="AD226" s="261"/>
      <c r="AE226" s="250"/>
      <c r="AF226" s="250"/>
      <c r="AG226" s="921"/>
    </row>
    <row r="227" spans="1:33">
      <c r="A227" s="909" t="s">
        <v>533</v>
      </c>
      <c r="B227" s="910" t="s">
        <v>1040</v>
      </c>
      <c r="C227" s="250"/>
      <c r="D227" s="250"/>
      <c r="E227" s="923"/>
      <c r="F227" s="262"/>
      <c r="G227" s="262"/>
      <c r="H227" s="262"/>
      <c r="I227" s="262"/>
      <c r="J227" s="262"/>
      <c r="K227" s="262"/>
      <c r="L227" s="262"/>
      <c r="M227" s="262"/>
      <c r="N227" s="262"/>
      <c r="O227" s="262"/>
      <c r="P227" s="262"/>
      <c r="Q227" s="262"/>
      <c r="R227" s="262"/>
      <c r="S227" s="262"/>
      <c r="T227" s="262"/>
      <c r="U227" s="262"/>
      <c r="V227" s="262"/>
      <c r="W227" s="262"/>
      <c r="X227" s="262"/>
      <c r="Y227" s="262"/>
      <c r="Z227" s="262"/>
      <c r="AA227" s="262"/>
      <c r="AB227" s="252"/>
      <c r="AC227" s="261"/>
      <c r="AD227" s="261"/>
      <c r="AE227" s="250"/>
      <c r="AF227" s="250"/>
      <c r="AG227" s="921"/>
    </row>
    <row r="228" spans="1:33">
      <c r="A228" s="909" t="s">
        <v>533</v>
      </c>
      <c r="B228" s="910" t="s">
        <v>1041</v>
      </c>
      <c r="C228" s="250"/>
      <c r="D228" s="250"/>
      <c r="E228" s="923"/>
      <c r="F228" s="262"/>
      <c r="G228" s="262"/>
      <c r="H228" s="262"/>
      <c r="I228" s="262"/>
      <c r="J228" s="262"/>
      <c r="K228" s="262"/>
      <c r="L228" s="262"/>
      <c r="M228" s="262"/>
      <c r="N228" s="262"/>
      <c r="O228" s="262"/>
      <c r="P228" s="262"/>
      <c r="Q228" s="262"/>
      <c r="R228" s="262"/>
      <c r="S228" s="262"/>
      <c r="T228" s="262"/>
      <c r="U228" s="262"/>
      <c r="V228" s="262"/>
      <c r="W228" s="262"/>
      <c r="X228" s="262"/>
      <c r="Y228" s="262"/>
      <c r="Z228" s="262"/>
      <c r="AA228" s="262"/>
      <c r="AB228" s="262"/>
      <c r="AC228" s="252"/>
      <c r="AD228" s="261"/>
      <c r="AE228" s="250"/>
      <c r="AF228" s="250"/>
      <c r="AG228" s="921"/>
    </row>
    <row r="229" spans="1:33">
      <c r="A229" s="909" t="s">
        <v>533</v>
      </c>
      <c r="B229" s="910" t="s">
        <v>1042</v>
      </c>
      <c r="C229" s="250"/>
      <c r="D229" s="250"/>
      <c r="E229" s="923"/>
      <c r="F229" s="262"/>
      <c r="G229" s="262"/>
      <c r="H229" s="262"/>
      <c r="I229" s="262"/>
      <c r="J229" s="262"/>
      <c r="K229" s="262"/>
      <c r="L229" s="262"/>
      <c r="M229" s="262"/>
      <c r="N229" s="262"/>
      <c r="O229" s="262"/>
      <c r="P229" s="262"/>
      <c r="Q229" s="262"/>
      <c r="R229" s="262"/>
      <c r="S229" s="262"/>
      <c r="T229" s="262"/>
      <c r="U229" s="262"/>
      <c r="V229" s="262"/>
      <c r="W229" s="262"/>
      <c r="X229" s="262"/>
      <c r="Y229" s="262"/>
      <c r="Z229" s="262"/>
      <c r="AA229" s="262"/>
      <c r="AB229" s="262"/>
      <c r="AC229" s="262"/>
      <c r="AD229" s="252"/>
      <c r="AE229" s="250"/>
      <c r="AF229" s="250"/>
      <c r="AG229" s="921"/>
    </row>
    <row r="230" spans="1:33" ht="13">
      <c r="A230" s="913"/>
      <c r="B230" s="914" t="s">
        <v>271</v>
      </c>
      <c r="C230" s="251"/>
      <c r="D230" s="251"/>
      <c r="E230" s="251"/>
      <c r="F230" s="251"/>
      <c r="G230" s="251"/>
      <c r="H230" s="251"/>
      <c r="I230" s="251"/>
      <c r="J230" s="251"/>
      <c r="K230" s="251"/>
      <c r="L230" s="251"/>
      <c r="M230" s="251"/>
      <c r="N230" s="251"/>
      <c r="O230" s="251"/>
      <c r="P230" s="251"/>
      <c r="Q230" s="251"/>
      <c r="R230" s="251"/>
      <c r="S230" s="251"/>
      <c r="T230" s="251"/>
      <c r="U230" s="251"/>
      <c r="V230" s="251"/>
      <c r="W230" s="251"/>
      <c r="X230" s="251"/>
      <c r="Y230" s="251"/>
      <c r="Z230" s="251"/>
      <c r="AA230" s="251"/>
      <c r="AB230" s="251"/>
      <c r="AC230" s="251"/>
      <c r="AD230" s="251"/>
      <c r="AE230" s="251"/>
      <c r="AF230" s="251"/>
      <c r="AG230" s="251"/>
    </row>
    <row r="231" spans="1:33">
      <c r="C231" s="925"/>
    </row>
    <row r="234" spans="1:33" ht="13">
      <c r="B234" s="904" t="s">
        <v>545</v>
      </c>
      <c r="F234" s="905" t="s">
        <v>10</v>
      </c>
    </row>
    <row r="235" spans="1:33" ht="26.15" customHeight="1">
      <c r="A235" s="906"/>
      <c r="B235" s="919" t="s">
        <v>413</v>
      </c>
      <c r="C235" s="2003" t="s">
        <v>515</v>
      </c>
      <c r="D235" s="2003" t="s">
        <v>516</v>
      </c>
      <c r="E235" s="2003" t="s">
        <v>586</v>
      </c>
      <c r="F235" s="2005" t="s">
        <v>587</v>
      </c>
      <c r="G235" s="2006"/>
      <c r="H235" s="2006"/>
      <c r="I235" s="2006"/>
      <c r="J235" s="2006"/>
      <c r="K235" s="2006"/>
      <c r="L235" s="2006"/>
      <c r="M235" s="2006"/>
      <c r="N235" s="2006"/>
      <c r="O235" s="2006"/>
      <c r="P235" s="2006"/>
      <c r="Q235" s="2006"/>
      <c r="R235" s="2006"/>
      <c r="S235" s="2006"/>
      <c r="T235" s="2006"/>
      <c r="U235" s="2006"/>
      <c r="V235" s="2006"/>
      <c r="W235" s="2006"/>
      <c r="X235" s="2006"/>
      <c r="Y235" s="2006"/>
      <c r="Z235" s="2006"/>
      <c r="AA235" s="2006"/>
      <c r="AB235" s="2006"/>
      <c r="AC235" s="2006"/>
      <c r="AD235" s="2007"/>
      <c r="AE235" s="907" t="s">
        <v>538</v>
      </c>
      <c r="AF235" s="907" t="s">
        <v>531</v>
      </c>
      <c r="AG235" s="907" t="s">
        <v>539</v>
      </c>
    </row>
    <row r="236" spans="1:33" ht="12.9" customHeight="1">
      <c r="A236" s="906"/>
      <c r="B236" s="919"/>
      <c r="C236" s="2004"/>
      <c r="D236" s="2004"/>
      <c r="E236" s="2004"/>
      <c r="F236" s="908" t="s">
        <v>517</v>
      </c>
      <c r="G236" s="908" t="s">
        <v>518</v>
      </c>
      <c r="H236" s="908" t="s">
        <v>519</v>
      </c>
      <c r="I236" s="908" t="s">
        <v>520</v>
      </c>
      <c r="J236" s="908" t="s">
        <v>521</v>
      </c>
      <c r="K236" s="908" t="s">
        <v>522</v>
      </c>
      <c r="L236" s="908" t="s">
        <v>523</v>
      </c>
      <c r="M236" s="908" t="s">
        <v>524</v>
      </c>
      <c r="N236" s="908" t="s">
        <v>525</v>
      </c>
      <c r="O236" s="908" t="s">
        <v>526</v>
      </c>
      <c r="P236" s="908" t="s">
        <v>527</v>
      </c>
      <c r="Q236" s="908" t="s">
        <v>528</v>
      </c>
      <c r="R236" s="908" t="s">
        <v>529</v>
      </c>
      <c r="S236" s="908" t="s">
        <v>530</v>
      </c>
      <c r="T236" s="908" t="s">
        <v>325</v>
      </c>
      <c r="U236" s="908" t="s">
        <v>506</v>
      </c>
      <c r="V236" s="908" t="s">
        <v>507</v>
      </c>
      <c r="W236" s="908" t="s">
        <v>508</v>
      </c>
      <c r="X236" s="908" t="s">
        <v>509</v>
      </c>
      <c r="Y236" s="908" t="s">
        <v>510</v>
      </c>
      <c r="Z236" s="908" t="s">
        <v>958</v>
      </c>
      <c r="AA236" s="908" t="s">
        <v>959</v>
      </c>
      <c r="AB236" s="908" t="s">
        <v>960</v>
      </c>
      <c r="AC236" s="908" t="s">
        <v>961</v>
      </c>
      <c r="AD236" s="908" t="s">
        <v>962</v>
      </c>
      <c r="AE236" s="907"/>
      <c r="AF236" s="907"/>
      <c r="AG236" s="907"/>
    </row>
    <row r="237" spans="1:33">
      <c r="A237" s="909" t="s">
        <v>532</v>
      </c>
      <c r="B237" s="910">
        <v>2005</v>
      </c>
      <c r="C237" s="909"/>
      <c r="D237" s="909"/>
      <c r="E237" s="920"/>
      <c r="F237" s="261"/>
      <c r="G237" s="261"/>
      <c r="H237" s="261"/>
      <c r="I237" s="261"/>
      <c r="J237" s="261"/>
      <c r="K237" s="261"/>
      <c r="L237" s="261"/>
      <c r="M237" s="261"/>
      <c r="N237" s="261"/>
      <c r="O237" s="261"/>
      <c r="P237" s="261"/>
      <c r="Q237" s="261"/>
      <c r="R237" s="261"/>
      <c r="S237" s="261"/>
      <c r="T237" s="261"/>
      <c r="U237" s="261"/>
      <c r="V237" s="261"/>
      <c r="W237" s="261"/>
      <c r="X237" s="261"/>
      <c r="Y237" s="261"/>
      <c r="Z237" s="261"/>
      <c r="AA237" s="261"/>
      <c r="AB237" s="261"/>
      <c r="AC237" s="261"/>
      <c r="AD237" s="261"/>
      <c r="AE237" s="921"/>
      <c r="AF237" s="921"/>
      <c r="AG237" s="921"/>
    </row>
    <row r="238" spans="1:33">
      <c r="A238" s="909" t="s">
        <v>533</v>
      </c>
      <c r="B238" s="910" t="s">
        <v>517</v>
      </c>
      <c r="C238" s="909"/>
      <c r="D238" s="909"/>
      <c r="E238" s="920"/>
      <c r="F238" s="252"/>
      <c r="G238" s="261"/>
      <c r="H238" s="261"/>
      <c r="I238" s="261"/>
      <c r="J238" s="261"/>
      <c r="K238" s="261"/>
      <c r="L238" s="261"/>
      <c r="M238" s="261"/>
      <c r="N238" s="261"/>
      <c r="O238" s="261"/>
      <c r="P238" s="261"/>
      <c r="Q238" s="261"/>
      <c r="R238" s="261"/>
      <c r="S238" s="261"/>
      <c r="T238" s="261"/>
      <c r="U238" s="261"/>
      <c r="V238" s="261"/>
      <c r="W238" s="261"/>
      <c r="X238" s="261"/>
      <c r="Y238" s="261"/>
      <c r="Z238" s="261"/>
      <c r="AA238" s="261"/>
      <c r="AB238" s="261"/>
      <c r="AC238" s="261"/>
      <c r="AD238" s="261"/>
      <c r="AE238" s="921"/>
      <c r="AF238" s="921"/>
      <c r="AG238" s="921"/>
    </row>
    <row r="239" spans="1:33">
      <c r="A239" s="909" t="s">
        <v>533</v>
      </c>
      <c r="B239" s="910" t="s">
        <v>518</v>
      </c>
      <c r="C239" s="909"/>
      <c r="D239" s="909"/>
      <c r="E239" s="920"/>
      <c r="F239" s="262"/>
      <c r="G239" s="252"/>
      <c r="H239" s="261"/>
      <c r="I239" s="261"/>
      <c r="J239" s="261"/>
      <c r="K239" s="261"/>
      <c r="L239" s="261"/>
      <c r="M239" s="261"/>
      <c r="N239" s="261"/>
      <c r="O239" s="261"/>
      <c r="P239" s="261"/>
      <c r="Q239" s="261"/>
      <c r="R239" s="261"/>
      <c r="S239" s="261"/>
      <c r="T239" s="261"/>
      <c r="U239" s="261"/>
      <c r="V239" s="261"/>
      <c r="W239" s="261"/>
      <c r="X239" s="261"/>
      <c r="Y239" s="261"/>
      <c r="Z239" s="261"/>
      <c r="AA239" s="261"/>
      <c r="AB239" s="261"/>
      <c r="AC239" s="261"/>
      <c r="AD239" s="261"/>
      <c r="AE239" s="921"/>
      <c r="AF239" s="921"/>
      <c r="AG239" s="921"/>
    </row>
    <row r="240" spans="1:33">
      <c r="A240" s="909" t="s">
        <v>533</v>
      </c>
      <c r="B240" s="910" t="s">
        <v>519</v>
      </c>
      <c r="C240" s="909"/>
      <c r="D240" s="909"/>
      <c r="E240" s="920"/>
      <c r="F240" s="262"/>
      <c r="G240" s="262"/>
      <c r="H240" s="252"/>
      <c r="I240" s="261"/>
      <c r="J240" s="261"/>
      <c r="K240" s="261"/>
      <c r="L240" s="261"/>
      <c r="M240" s="261"/>
      <c r="N240" s="261"/>
      <c r="O240" s="261"/>
      <c r="P240" s="261"/>
      <c r="Q240" s="261"/>
      <c r="R240" s="261"/>
      <c r="S240" s="261"/>
      <c r="T240" s="261"/>
      <c r="U240" s="261"/>
      <c r="V240" s="261"/>
      <c r="W240" s="261"/>
      <c r="X240" s="261"/>
      <c r="Y240" s="261"/>
      <c r="Z240" s="261"/>
      <c r="AA240" s="261"/>
      <c r="AB240" s="261"/>
      <c r="AC240" s="261"/>
      <c r="AD240" s="261"/>
      <c r="AE240" s="921"/>
      <c r="AF240" s="921"/>
      <c r="AG240" s="921"/>
    </row>
    <row r="241" spans="1:33">
      <c r="A241" s="909" t="s">
        <v>533</v>
      </c>
      <c r="B241" s="910" t="s">
        <v>520</v>
      </c>
      <c r="C241" s="909"/>
      <c r="D241" s="909"/>
      <c r="E241" s="920"/>
      <c r="F241" s="262"/>
      <c r="G241" s="262"/>
      <c r="H241" s="262"/>
      <c r="I241" s="252"/>
      <c r="J241" s="261"/>
      <c r="K241" s="261"/>
      <c r="L241" s="261"/>
      <c r="M241" s="261"/>
      <c r="N241" s="261"/>
      <c r="O241" s="261"/>
      <c r="P241" s="261"/>
      <c r="Q241" s="261"/>
      <c r="R241" s="261"/>
      <c r="S241" s="261"/>
      <c r="T241" s="261"/>
      <c r="U241" s="261"/>
      <c r="V241" s="261"/>
      <c r="W241" s="261"/>
      <c r="X241" s="261"/>
      <c r="Y241" s="261"/>
      <c r="Z241" s="261"/>
      <c r="AA241" s="261"/>
      <c r="AB241" s="261"/>
      <c r="AC241" s="261"/>
      <c r="AD241" s="261"/>
      <c r="AE241" s="921"/>
      <c r="AF241" s="921"/>
      <c r="AG241" s="921"/>
    </row>
    <row r="242" spans="1:33">
      <c r="A242" s="909" t="s">
        <v>533</v>
      </c>
      <c r="B242" s="910" t="s">
        <v>521</v>
      </c>
      <c r="C242" s="909"/>
      <c r="D242" s="909"/>
      <c r="E242" s="920"/>
      <c r="F242" s="262"/>
      <c r="G242" s="262"/>
      <c r="H242" s="262"/>
      <c r="I242" s="262"/>
      <c r="J242" s="252"/>
      <c r="K242" s="261"/>
      <c r="L242" s="261"/>
      <c r="M242" s="261"/>
      <c r="N242" s="261"/>
      <c r="O242" s="261"/>
      <c r="P242" s="261"/>
      <c r="Q242" s="261"/>
      <c r="R242" s="261"/>
      <c r="S242" s="261"/>
      <c r="T242" s="261"/>
      <c r="U242" s="261"/>
      <c r="V242" s="261"/>
      <c r="W242" s="261"/>
      <c r="X242" s="261"/>
      <c r="Y242" s="261"/>
      <c r="Z242" s="261"/>
      <c r="AA242" s="261"/>
      <c r="AB242" s="261"/>
      <c r="AC242" s="261"/>
      <c r="AD242" s="261"/>
      <c r="AE242" s="921"/>
      <c r="AF242" s="921"/>
      <c r="AG242" s="921"/>
    </row>
    <row r="243" spans="1:33">
      <c r="A243" s="909" t="s">
        <v>533</v>
      </c>
      <c r="B243" s="910" t="s">
        <v>522</v>
      </c>
      <c r="C243" s="909"/>
      <c r="D243" s="909"/>
      <c r="E243" s="920"/>
      <c r="F243" s="262"/>
      <c r="G243" s="262"/>
      <c r="H243" s="262"/>
      <c r="I243" s="262"/>
      <c r="J243" s="262"/>
      <c r="K243" s="252"/>
      <c r="L243" s="261"/>
      <c r="M243" s="261"/>
      <c r="N243" s="261"/>
      <c r="O243" s="261"/>
      <c r="P243" s="261"/>
      <c r="Q243" s="261"/>
      <c r="R243" s="261"/>
      <c r="S243" s="261"/>
      <c r="T243" s="261"/>
      <c r="U243" s="261"/>
      <c r="V243" s="261"/>
      <c r="W243" s="261"/>
      <c r="X243" s="261"/>
      <c r="Y243" s="261"/>
      <c r="Z243" s="261"/>
      <c r="AA243" s="261"/>
      <c r="AB243" s="261"/>
      <c r="AC243" s="261"/>
      <c r="AD243" s="261"/>
      <c r="AE243" s="921"/>
      <c r="AF243" s="921"/>
      <c r="AG243" s="921"/>
    </row>
    <row r="244" spans="1:33">
      <c r="A244" s="909" t="s">
        <v>533</v>
      </c>
      <c r="B244" s="910" t="s">
        <v>523</v>
      </c>
      <c r="C244" s="909"/>
      <c r="D244" s="909"/>
      <c r="E244" s="920"/>
      <c r="F244" s="262"/>
      <c r="G244" s="262"/>
      <c r="H244" s="262"/>
      <c r="I244" s="262"/>
      <c r="J244" s="262"/>
      <c r="K244" s="262"/>
      <c r="L244" s="252"/>
      <c r="M244" s="261"/>
      <c r="N244" s="261"/>
      <c r="O244" s="261"/>
      <c r="P244" s="261"/>
      <c r="Q244" s="261"/>
      <c r="R244" s="261"/>
      <c r="S244" s="261"/>
      <c r="T244" s="261"/>
      <c r="U244" s="261"/>
      <c r="V244" s="261"/>
      <c r="W244" s="261"/>
      <c r="X244" s="261"/>
      <c r="Y244" s="261"/>
      <c r="Z244" s="261"/>
      <c r="AA244" s="261"/>
      <c r="AB244" s="261"/>
      <c r="AC244" s="261"/>
      <c r="AD244" s="261"/>
      <c r="AE244" s="921"/>
      <c r="AF244" s="921"/>
      <c r="AG244" s="921"/>
    </row>
    <row r="245" spans="1:33">
      <c r="A245" s="909" t="s">
        <v>533</v>
      </c>
      <c r="B245" s="910" t="s">
        <v>524</v>
      </c>
      <c r="C245" s="909"/>
      <c r="D245" s="909"/>
      <c r="E245" s="920"/>
      <c r="F245" s="262"/>
      <c r="G245" s="262"/>
      <c r="H245" s="262"/>
      <c r="I245" s="262"/>
      <c r="J245" s="262"/>
      <c r="K245" s="262"/>
      <c r="L245" s="262"/>
      <c r="M245" s="252"/>
      <c r="N245" s="261"/>
      <c r="O245" s="261"/>
      <c r="P245" s="261"/>
      <c r="Q245" s="261"/>
      <c r="R245" s="261"/>
      <c r="S245" s="261"/>
      <c r="T245" s="261"/>
      <c r="U245" s="261"/>
      <c r="V245" s="261"/>
      <c r="W245" s="261"/>
      <c r="X245" s="261"/>
      <c r="Y245" s="261"/>
      <c r="Z245" s="261"/>
      <c r="AA245" s="261"/>
      <c r="AB245" s="261"/>
      <c r="AC245" s="261"/>
      <c r="AD245" s="261"/>
      <c r="AE245" s="921"/>
      <c r="AF245" s="921"/>
      <c r="AG245" s="921"/>
    </row>
    <row r="246" spans="1:33">
      <c r="A246" s="909" t="s">
        <v>533</v>
      </c>
      <c r="B246" s="910" t="s">
        <v>525</v>
      </c>
      <c r="C246" s="909"/>
      <c r="D246" s="909"/>
      <c r="E246" s="920"/>
      <c r="F246" s="262"/>
      <c r="G246" s="262"/>
      <c r="H246" s="262"/>
      <c r="I246" s="262"/>
      <c r="J246" s="262"/>
      <c r="K246" s="262"/>
      <c r="L246" s="262"/>
      <c r="M246" s="262"/>
      <c r="N246" s="252"/>
      <c r="O246" s="261"/>
      <c r="P246" s="261"/>
      <c r="Q246" s="261"/>
      <c r="R246" s="261"/>
      <c r="S246" s="261"/>
      <c r="T246" s="261"/>
      <c r="U246" s="261"/>
      <c r="V246" s="261"/>
      <c r="W246" s="261"/>
      <c r="X246" s="261"/>
      <c r="Y246" s="261"/>
      <c r="Z246" s="261"/>
      <c r="AA246" s="261"/>
      <c r="AB246" s="261"/>
      <c r="AC246" s="261"/>
      <c r="AD246" s="261"/>
      <c r="AE246" s="921"/>
      <c r="AF246" s="921"/>
      <c r="AG246" s="921"/>
    </row>
    <row r="247" spans="1:33">
      <c r="A247" s="909" t="s">
        <v>533</v>
      </c>
      <c r="B247" s="910" t="s">
        <v>526</v>
      </c>
      <c r="C247" s="250"/>
      <c r="D247" s="909"/>
      <c r="E247" s="920"/>
      <c r="F247" s="262"/>
      <c r="G247" s="262"/>
      <c r="H247" s="262"/>
      <c r="I247" s="262"/>
      <c r="J247" s="262"/>
      <c r="K247" s="262"/>
      <c r="L247" s="262"/>
      <c r="M247" s="262"/>
      <c r="N247" s="262"/>
      <c r="O247" s="252"/>
      <c r="P247" s="261"/>
      <c r="Q247" s="261"/>
      <c r="R247" s="261"/>
      <c r="S247" s="261"/>
      <c r="T247" s="261"/>
      <c r="U247" s="261"/>
      <c r="V247" s="261"/>
      <c r="W247" s="261"/>
      <c r="X247" s="261"/>
      <c r="Y247" s="261"/>
      <c r="Z247" s="261"/>
      <c r="AA247" s="261"/>
      <c r="AB247" s="261"/>
      <c r="AC247" s="261"/>
      <c r="AD247" s="261"/>
      <c r="AE247" s="921"/>
      <c r="AF247" s="921"/>
      <c r="AG247" s="921"/>
    </row>
    <row r="248" spans="1:33">
      <c r="A248" s="909" t="s">
        <v>533</v>
      </c>
      <c r="B248" s="910" t="s">
        <v>527</v>
      </c>
      <c r="C248" s="250"/>
      <c r="D248" s="909"/>
      <c r="E248" s="920"/>
      <c r="F248" s="262"/>
      <c r="G248" s="262"/>
      <c r="H248" s="262"/>
      <c r="I248" s="262"/>
      <c r="J248" s="262"/>
      <c r="K248" s="262"/>
      <c r="L248" s="262"/>
      <c r="M248" s="262"/>
      <c r="N248" s="262"/>
      <c r="O248" s="262"/>
      <c r="P248" s="252"/>
      <c r="Q248" s="261"/>
      <c r="R248" s="261"/>
      <c r="S248" s="261"/>
      <c r="T248" s="261"/>
      <c r="U248" s="261"/>
      <c r="V248" s="261"/>
      <c r="W248" s="261"/>
      <c r="X248" s="261"/>
      <c r="Y248" s="261"/>
      <c r="Z248" s="261"/>
      <c r="AA248" s="261"/>
      <c r="AB248" s="261"/>
      <c r="AC248" s="261"/>
      <c r="AD248" s="261"/>
      <c r="AE248" s="921"/>
      <c r="AF248" s="921"/>
      <c r="AG248" s="921"/>
    </row>
    <row r="249" spans="1:33">
      <c r="A249" s="909" t="s">
        <v>533</v>
      </c>
      <c r="B249" s="910" t="s">
        <v>528</v>
      </c>
      <c r="C249" s="250"/>
      <c r="D249" s="250"/>
      <c r="E249" s="920"/>
      <c r="F249" s="262"/>
      <c r="G249" s="262"/>
      <c r="H249" s="262"/>
      <c r="I249" s="262"/>
      <c r="J249" s="262"/>
      <c r="K249" s="262"/>
      <c r="L249" s="262"/>
      <c r="M249" s="262"/>
      <c r="N249" s="262"/>
      <c r="O249" s="262"/>
      <c r="P249" s="262"/>
      <c r="Q249" s="252"/>
      <c r="R249" s="261"/>
      <c r="S249" s="261"/>
      <c r="T249" s="261"/>
      <c r="U249" s="261"/>
      <c r="V249" s="261"/>
      <c r="W249" s="261"/>
      <c r="X249" s="261"/>
      <c r="Y249" s="261"/>
      <c r="Z249" s="261"/>
      <c r="AA249" s="261"/>
      <c r="AB249" s="261"/>
      <c r="AC249" s="261"/>
      <c r="AD249" s="261"/>
      <c r="AE249" s="921"/>
      <c r="AF249" s="921"/>
      <c r="AG249" s="921"/>
    </row>
    <row r="250" spans="1:33">
      <c r="A250" s="909" t="s">
        <v>533</v>
      </c>
      <c r="B250" s="910" t="s">
        <v>529</v>
      </c>
      <c r="C250" s="250"/>
      <c r="D250" s="250"/>
      <c r="E250" s="920"/>
      <c r="F250" s="262"/>
      <c r="G250" s="262"/>
      <c r="H250" s="262"/>
      <c r="I250" s="262"/>
      <c r="J250" s="262"/>
      <c r="K250" s="262"/>
      <c r="L250" s="262"/>
      <c r="M250" s="262"/>
      <c r="N250" s="262"/>
      <c r="O250" s="262"/>
      <c r="P250" s="262"/>
      <c r="Q250" s="262"/>
      <c r="R250" s="252"/>
      <c r="S250" s="261"/>
      <c r="T250" s="261"/>
      <c r="U250" s="261"/>
      <c r="V250" s="261"/>
      <c r="W250" s="261"/>
      <c r="X250" s="261"/>
      <c r="Y250" s="261"/>
      <c r="Z250" s="261"/>
      <c r="AA250" s="261"/>
      <c r="AB250" s="261"/>
      <c r="AC250" s="261"/>
      <c r="AD250" s="261"/>
      <c r="AE250" s="921"/>
      <c r="AF250" s="921"/>
      <c r="AG250" s="921"/>
    </row>
    <row r="251" spans="1:33">
      <c r="A251" s="909" t="s">
        <v>533</v>
      </c>
      <c r="B251" s="910" t="s">
        <v>530</v>
      </c>
      <c r="C251" s="250"/>
      <c r="D251" s="250"/>
      <c r="E251" s="920"/>
      <c r="F251" s="262"/>
      <c r="G251" s="262"/>
      <c r="H251" s="262"/>
      <c r="I251" s="262"/>
      <c r="J251" s="262"/>
      <c r="K251" s="262"/>
      <c r="L251" s="262"/>
      <c r="M251" s="262"/>
      <c r="N251" s="262"/>
      <c r="O251" s="262"/>
      <c r="P251" s="262"/>
      <c r="Q251" s="262"/>
      <c r="R251" s="262"/>
      <c r="S251" s="252"/>
      <c r="T251" s="261"/>
      <c r="U251" s="261"/>
      <c r="V251" s="261"/>
      <c r="W251" s="261"/>
      <c r="X251" s="261"/>
      <c r="Y251" s="261"/>
      <c r="Z251" s="261"/>
      <c r="AA251" s="261"/>
      <c r="AB251" s="261"/>
      <c r="AC251" s="261"/>
      <c r="AD251" s="261"/>
      <c r="AE251" s="921"/>
      <c r="AF251" s="921"/>
      <c r="AG251" s="921"/>
    </row>
    <row r="252" spans="1:33">
      <c r="A252" s="909" t="s">
        <v>533</v>
      </c>
      <c r="B252" s="910" t="s">
        <v>534</v>
      </c>
      <c r="C252" s="250"/>
      <c r="D252" s="250"/>
      <c r="E252" s="923"/>
      <c r="F252" s="262"/>
      <c r="G252" s="262"/>
      <c r="H252" s="262"/>
      <c r="I252" s="262"/>
      <c r="J252" s="262"/>
      <c r="K252" s="262"/>
      <c r="L252" s="262"/>
      <c r="M252" s="262"/>
      <c r="N252" s="262"/>
      <c r="O252" s="262"/>
      <c r="P252" s="262"/>
      <c r="Q252" s="262"/>
      <c r="R252" s="262"/>
      <c r="S252" s="262"/>
      <c r="T252" s="252"/>
      <c r="U252" s="261"/>
      <c r="V252" s="261"/>
      <c r="W252" s="261"/>
      <c r="X252" s="261"/>
      <c r="Y252" s="261"/>
      <c r="Z252" s="261"/>
      <c r="AA252" s="261"/>
      <c r="AB252" s="261"/>
      <c r="AC252" s="261"/>
      <c r="AD252" s="261"/>
      <c r="AE252" s="921"/>
      <c r="AF252" s="921"/>
      <c r="AG252" s="921"/>
    </row>
    <row r="253" spans="1:33">
      <c r="A253" s="909" t="s">
        <v>533</v>
      </c>
      <c r="B253" s="910" t="s">
        <v>535</v>
      </c>
      <c r="C253" s="250"/>
      <c r="D253" s="250"/>
      <c r="E253" s="923"/>
      <c r="F253" s="262"/>
      <c r="G253" s="262"/>
      <c r="H253" s="262"/>
      <c r="I253" s="262"/>
      <c r="J253" s="262"/>
      <c r="K253" s="262"/>
      <c r="L253" s="262"/>
      <c r="M253" s="262"/>
      <c r="N253" s="262"/>
      <c r="O253" s="262"/>
      <c r="P253" s="262"/>
      <c r="Q253" s="262"/>
      <c r="R253" s="262"/>
      <c r="S253" s="262"/>
      <c r="T253" s="262"/>
      <c r="U253" s="252"/>
      <c r="V253" s="261"/>
      <c r="W253" s="261"/>
      <c r="X253" s="261"/>
      <c r="Y253" s="261"/>
      <c r="Z253" s="261"/>
      <c r="AA253" s="261"/>
      <c r="AB253" s="261"/>
      <c r="AC253" s="261"/>
      <c r="AD253" s="261"/>
      <c r="AE253" s="921"/>
      <c r="AF253" s="921"/>
      <c r="AG253" s="921"/>
    </row>
    <row r="254" spans="1:33">
      <c r="A254" s="909" t="s">
        <v>533</v>
      </c>
      <c r="B254" s="910" t="s">
        <v>536</v>
      </c>
      <c r="C254" s="250"/>
      <c r="D254" s="250"/>
      <c r="E254" s="923"/>
      <c r="F254" s="262"/>
      <c r="G254" s="262"/>
      <c r="H254" s="262"/>
      <c r="I254" s="262"/>
      <c r="J254" s="262"/>
      <c r="K254" s="262"/>
      <c r="L254" s="262"/>
      <c r="M254" s="262"/>
      <c r="N254" s="262"/>
      <c r="O254" s="262"/>
      <c r="P254" s="262"/>
      <c r="Q254" s="262"/>
      <c r="R254" s="262"/>
      <c r="S254" s="262"/>
      <c r="T254" s="262"/>
      <c r="U254" s="262"/>
      <c r="V254" s="252"/>
      <c r="W254" s="261"/>
      <c r="X254" s="261"/>
      <c r="Y254" s="261"/>
      <c r="Z254" s="261"/>
      <c r="AA254" s="261"/>
      <c r="AB254" s="261"/>
      <c r="AC254" s="261"/>
      <c r="AD254" s="261"/>
      <c r="AE254" s="921"/>
      <c r="AF254" s="921"/>
      <c r="AG254" s="921"/>
    </row>
    <row r="255" spans="1:33">
      <c r="A255" s="909" t="s">
        <v>533</v>
      </c>
      <c r="B255" s="910" t="s">
        <v>546</v>
      </c>
      <c r="C255" s="250"/>
      <c r="D255" s="250"/>
      <c r="E255" s="923"/>
      <c r="F255" s="262"/>
      <c r="G255" s="262"/>
      <c r="H255" s="262"/>
      <c r="I255" s="262"/>
      <c r="J255" s="262"/>
      <c r="K255" s="262"/>
      <c r="L255" s="262"/>
      <c r="M255" s="262"/>
      <c r="N255" s="262"/>
      <c r="O255" s="262"/>
      <c r="P255" s="262"/>
      <c r="Q255" s="262"/>
      <c r="R255" s="262"/>
      <c r="S255" s="262"/>
      <c r="T255" s="262"/>
      <c r="U255" s="262"/>
      <c r="V255" s="262"/>
      <c r="W255" s="252"/>
      <c r="X255" s="261"/>
      <c r="Y255" s="261"/>
      <c r="Z255" s="261"/>
      <c r="AA255" s="261"/>
      <c r="AB255" s="261"/>
      <c r="AC255" s="261"/>
      <c r="AD255" s="261"/>
      <c r="AE255" s="921"/>
      <c r="AF255" s="921"/>
      <c r="AG255" s="921"/>
    </row>
    <row r="256" spans="1:33">
      <c r="A256" s="909" t="s">
        <v>533</v>
      </c>
      <c r="B256" s="910" t="s">
        <v>547</v>
      </c>
      <c r="C256" s="250"/>
      <c r="D256" s="250"/>
      <c r="E256" s="923"/>
      <c r="F256" s="262"/>
      <c r="G256" s="262"/>
      <c r="H256" s="262"/>
      <c r="I256" s="262"/>
      <c r="J256" s="262"/>
      <c r="K256" s="262"/>
      <c r="L256" s="262"/>
      <c r="M256" s="262"/>
      <c r="N256" s="262"/>
      <c r="O256" s="262"/>
      <c r="P256" s="262"/>
      <c r="Q256" s="262"/>
      <c r="R256" s="262"/>
      <c r="S256" s="262"/>
      <c r="T256" s="262"/>
      <c r="U256" s="262"/>
      <c r="V256" s="262"/>
      <c r="W256" s="262"/>
      <c r="X256" s="252"/>
      <c r="Y256" s="261"/>
      <c r="Z256" s="261"/>
      <c r="AA256" s="261"/>
      <c r="AB256" s="261"/>
      <c r="AC256" s="261"/>
      <c r="AD256" s="261"/>
      <c r="AE256" s="921"/>
      <c r="AF256" s="921"/>
      <c r="AG256" s="921"/>
    </row>
    <row r="257" spans="1:33">
      <c r="A257" s="909" t="s">
        <v>533</v>
      </c>
      <c r="B257" s="910" t="s">
        <v>548</v>
      </c>
      <c r="C257" s="250"/>
      <c r="D257" s="250"/>
      <c r="E257" s="923"/>
      <c r="F257" s="262"/>
      <c r="G257" s="262"/>
      <c r="H257" s="262"/>
      <c r="I257" s="262"/>
      <c r="J257" s="262"/>
      <c r="K257" s="262"/>
      <c r="L257" s="262"/>
      <c r="M257" s="262"/>
      <c r="N257" s="262"/>
      <c r="O257" s="262"/>
      <c r="P257" s="262"/>
      <c r="Q257" s="262"/>
      <c r="R257" s="262"/>
      <c r="S257" s="262"/>
      <c r="T257" s="262"/>
      <c r="U257" s="262"/>
      <c r="V257" s="262"/>
      <c r="W257" s="262"/>
      <c r="X257" s="262"/>
      <c r="Y257" s="252"/>
      <c r="Z257" s="921"/>
      <c r="AA257" s="921"/>
      <c r="AB257" s="921"/>
      <c r="AC257" s="921"/>
      <c r="AD257" s="921"/>
      <c r="AE257" s="921"/>
      <c r="AF257" s="921"/>
      <c r="AG257" s="921"/>
    </row>
    <row r="258" spans="1:33">
      <c r="A258" s="909" t="s">
        <v>533</v>
      </c>
      <c r="B258" s="910" t="s">
        <v>1038</v>
      </c>
      <c r="C258" s="250"/>
      <c r="D258" s="250"/>
      <c r="E258" s="923"/>
      <c r="F258" s="262"/>
      <c r="G258" s="262"/>
      <c r="H258" s="262"/>
      <c r="I258" s="262"/>
      <c r="J258" s="262"/>
      <c r="K258" s="262"/>
      <c r="L258" s="262"/>
      <c r="M258" s="262"/>
      <c r="N258" s="262"/>
      <c r="O258" s="262"/>
      <c r="P258" s="262"/>
      <c r="Q258" s="262"/>
      <c r="R258" s="262"/>
      <c r="S258" s="262"/>
      <c r="T258" s="262"/>
      <c r="U258" s="262"/>
      <c r="V258" s="262"/>
      <c r="W258" s="262"/>
      <c r="X258" s="262"/>
      <c r="Y258" s="262"/>
      <c r="Z258" s="252"/>
      <c r="AA258" s="261"/>
      <c r="AB258" s="261"/>
      <c r="AC258" s="261"/>
      <c r="AD258" s="261"/>
      <c r="AE258" s="250"/>
      <c r="AF258" s="250"/>
      <c r="AG258" s="921"/>
    </row>
    <row r="259" spans="1:33">
      <c r="A259" s="909" t="s">
        <v>533</v>
      </c>
      <c r="B259" s="910" t="s">
        <v>1039</v>
      </c>
      <c r="C259" s="250"/>
      <c r="D259" s="250"/>
      <c r="E259" s="923"/>
      <c r="F259" s="262"/>
      <c r="G259" s="262"/>
      <c r="H259" s="262"/>
      <c r="I259" s="262"/>
      <c r="J259" s="262"/>
      <c r="K259" s="262"/>
      <c r="L259" s="262"/>
      <c r="M259" s="262"/>
      <c r="N259" s="262"/>
      <c r="O259" s="262"/>
      <c r="P259" s="262"/>
      <c r="Q259" s="262"/>
      <c r="R259" s="262"/>
      <c r="S259" s="262"/>
      <c r="T259" s="262"/>
      <c r="U259" s="262"/>
      <c r="V259" s="262"/>
      <c r="W259" s="262"/>
      <c r="X259" s="262"/>
      <c r="Y259" s="262"/>
      <c r="Z259" s="262"/>
      <c r="AA259" s="252"/>
      <c r="AB259" s="261"/>
      <c r="AC259" s="261"/>
      <c r="AD259" s="261"/>
      <c r="AE259" s="250"/>
      <c r="AF259" s="250"/>
      <c r="AG259" s="921"/>
    </row>
    <row r="260" spans="1:33">
      <c r="A260" s="909" t="s">
        <v>533</v>
      </c>
      <c r="B260" s="910" t="s">
        <v>1040</v>
      </c>
      <c r="C260" s="250"/>
      <c r="D260" s="250"/>
      <c r="E260" s="923"/>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52"/>
      <c r="AC260" s="261"/>
      <c r="AD260" s="261"/>
      <c r="AE260" s="250"/>
      <c r="AF260" s="250"/>
      <c r="AG260" s="921"/>
    </row>
    <row r="261" spans="1:33">
      <c r="A261" s="909" t="s">
        <v>533</v>
      </c>
      <c r="B261" s="910" t="s">
        <v>1041</v>
      </c>
      <c r="C261" s="250"/>
      <c r="D261" s="250"/>
      <c r="E261" s="923"/>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52"/>
      <c r="AD261" s="261"/>
      <c r="AE261" s="250"/>
      <c r="AF261" s="250"/>
      <c r="AG261" s="921"/>
    </row>
    <row r="262" spans="1:33">
      <c r="A262" s="909" t="s">
        <v>533</v>
      </c>
      <c r="B262" s="910" t="s">
        <v>1042</v>
      </c>
      <c r="C262" s="250"/>
      <c r="D262" s="250"/>
      <c r="E262" s="923"/>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252"/>
      <c r="AE262" s="250"/>
      <c r="AF262" s="250"/>
      <c r="AG262" s="921"/>
    </row>
    <row r="263" spans="1:33" ht="13">
      <c r="A263" s="913"/>
      <c r="B263" s="914" t="s">
        <v>271</v>
      </c>
      <c r="C263" s="251"/>
      <c r="D263" s="251"/>
      <c r="E263" s="251"/>
      <c r="F263" s="251"/>
      <c r="G263" s="251"/>
      <c r="H263" s="251"/>
      <c r="I263" s="251"/>
      <c r="J263" s="251"/>
      <c r="K263" s="251"/>
      <c r="L263" s="251"/>
      <c r="M263" s="251"/>
      <c r="N263" s="251"/>
      <c r="O263" s="251"/>
      <c r="P263" s="251"/>
      <c r="Q263" s="251"/>
      <c r="R263" s="251"/>
      <c r="S263" s="251"/>
      <c r="T263" s="251"/>
      <c r="U263" s="251"/>
      <c r="V263" s="251"/>
      <c r="W263" s="251"/>
      <c r="X263" s="251"/>
      <c r="Y263" s="251"/>
      <c r="Z263" s="251"/>
      <c r="AA263" s="251"/>
      <c r="AB263" s="251"/>
      <c r="AC263" s="251"/>
      <c r="AD263" s="251"/>
      <c r="AE263" s="251"/>
      <c r="AF263" s="251"/>
      <c r="AG263" s="251"/>
    </row>
    <row r="264" spans="1:33">
      <c r="C264" s="925"/>
    </row>
    <row r="267" spans="1:33" ht="13">
      <c r="B267" s="904" t="s">
        <v>260</v>
      </c>
      <c r="F267" s="905" t="s">
        <v>10</v>
      </c>
    </row>
    <row r="268" spans="1:33" ht="26.15" customHeight="1">
      <c r="A268" s="906"/>
      <c r="B268" s="919" t="s">
        <v>413</v>
      </c>
      <c r="C268" s="2003" t="s">
        <v>515</v>
      </c>
      <c r="D268" s="2003" t="s">
        <v>516</v>
      </c>
      <c r="E268" s="2003" t="s">
        <v>586</v>
      </c>
      <c r="F268" s="2005" t="s">
        <v>587</v>
      </c>
      <c r="G268" s="2006"/>
      <c r="H268" s="2006"/>
      <c r="I268" s="2006"/>
      <c r="J268" s="2006"/>
      <c r="K268" s="2006"/>
      <c r="L268" s="2006"/>
      <c r="M268" s="2006"/>
      <c r="N268" s="2006"/>
      <c r="O268" s="2006"/>
      <c r="P268" s="2006"/>
      <c r="Q268" s="2006"/>
      <c r="R268" s="2006"/>
      <c r="S268" s="2006"/>
      <c r="T268" s="2006"/>
      <c r="U268" s="2006"/>
      <c r="V268" s="2006"/>
      <c r="W268" s="2006"/>
      <c r="X268" s="2006"/>
      <c r="Y268" s="2006"/>
      <c r="Z268" s="2006"/>
      <c r="AA268" s="2006"/>
      <c r="AB268" s="2006"/>
      <c r="AC268" s="2006"/>
      <c r="AD268" s="2007"/>
      <c r="AE268" s="907" t="s">
        <v>538</v>
      </c>
      <c r="AF268" s="907" t="s">
        <v>531</v>
      </c>
      <c r="AG268" s="907" t="s">
        <v>539</v>
      </c>
    </row>
    <row r="269" spans="1:33" ht="12.9" customHeight="1">
      <c r="A269" s="906"/>
      <c r="B269" s="919"/>
      <c r="C269" s="2004"/>
      <c r="D269" s="2004"/>
      <c r="E269" s="2004"/>
      <c r="F269" s="908" t="s">
        <v>517</v>
      </c>
      <c r="G269" s="908" t="s">
        <v>518</v>
      </c>
      <c r="H269" s="908" t="s">
        <v>519</v>
      </c>
      <c r="I269" s="908" t="s">
        <v>520</v>
      </c>
      <c r="J269" s="908" t="s">
        <v>521</v>
      </c>
      <c r="K269" s="908" t="s">
        <v>522</v>
      </c>
      <c r="L269" s="908" t="s">
        <v>523</v>
      </c>
      <c r="M269" s="908" t="s">
        <v>524</v>
      </c>
      <c r="N269" s="908" t="s">
        <v>525</v>
      </c>
      <c r="O269" s="908" t="s">
        <v>526</v>
      </c>
      <c r="P269" s="908" t="s">
        <v>527</v>
      </c>
      <c r="Q269" s="908" t="s">
        <v>528</v>
      </c>
      <c r="R269" s="908" t="s">
        <v>529</v>
      </c>
      <c r="S269" s="908" t="s">
        <v>530</v>
      </c>
      <c r="T269" s="908" t="s">
        <v>325</v>
      </c>
      <c r="U269" s="908" t="s">
        <v>506</v>
      </c>
      <c r="V269" s="908" t="s">
        <v>507</v>
      </c>
      <c r="W269" s="908" t="s">
        <v>508</v>
      </c>
      <c r="X269" s="908" t="s">
        <v>509</v>
      </c>
      <c r="Y269" s="908" t="s">
        <v>510</v>
      </c>
      <c r="Z269" s="908" t="s">
        <v>958</v>
      </c>
      <c r="AA269" s="908" t="s">
        <v>959</v>
      </c>
      <c r="AB269" s="908" t="s">
        <v>960</v>
      </c>
      <c r="AC269" s="908" t="s">
        <v>961</v>
      </c>
      <c r="AD269" s="908" t="s">
        <v>962</v>
      </c>
      <c r="AE269" s="907"/>
      <c r="AF269" s="907"/>
      <c r="AG269" s="907"/>
    </row>
    <row r="270" spans="1:33">
      <c r="A270" s="909" t="s">
        <v>532</v>
      </c>
      <c r="B270" s="910">
        <v>2005</v>
      </c>
      <c r="C270" s="909"/>
      <c r="D270" s="909"/>
      <c r="E270" s="920"/>
      <c r="F270" s="261"/>
      <c r="G270" s="261"/>
      <c r="H270" s="261"/>
      <c r="I270" s="261"/>
      <c r="J270" s="261"/>
      <c r="K270" s="261"/>
      <c r="L270" s="261"/>
      <c r="M270" s="261"/>
      <c r="N270" s="261"/>
      <c r="O270" s="261"/>
      <c r="P270" s="261"/>
      <c r="Q270" s="261"/>
      <c r="R270" s="261"/>
      <c r="S270" s="261"/>
      <c r="T270" s="261"/>
      <c r="U270" s="261"/>
      <c r="V270" s="261"/>
      <c r="W270" s="261"/>
      <c r="X270" s="261"/>
      <c r="Y270" s="261"/>
      <c r="Z270" s="261"/>
      <c r="AA270" s="261"/>
      <c r="AB270" s="261"/>
      <c r="AC270" s="261"/>
      <c r="AD270" s="261"/>
      <c r="AE270" s="921"/>
      <c r="AF270" s="921"/>
      <c r="AG270" s="921"/>
    </row>
    <row r="271" spans="1:33">
      <c r="A271" s="909" t="s">
        <v>533</v>
      </c>
      <c r="B271" s="910" t="s">
        <v>517</v>
      </c>
      <c r="C271" s="909"/>
      <c r="D271" s="909"/>
      <c r="E271" s="920"/>
      <c r="F271" s="252"/>
      <c r="G271" s="261"/>
      <c r="H271" s="261"/>
      <c r="I271" s="261"/>
      <c r="J271" s="261"/>
      <c r="K271" s="261"/>
      <c r="L271" s="261"/>
      <c r="M271" s="261"/>
      <c r="N271" s="261"/>
      <c r="O271" s="261"/>
      <c r="P271" s="261"/>
      <c r="Q271" s="261"/>
      <c r="R271" s="261"/>
      <c r="S271" s="261"/>
      <c r="T271" s="261"/>
      <c r="U271" s="261"/>
      <c r="V271" s="261"/>
      <c r="W271" s="261"/>
      <c r="X271" s="261"/>
      <c r="Y271" s="261"/>
      <c r="Z271" s="261"/>
      <c r="AA271" s="261"/>
      <c r="AB271" s="261"/>
      <c r="AC271" s="261"/>
      <c r="AD271" s="261"/>
      <c r="AE271" s="921"/>
      <c r="AF271" s="921"/>
      <c r="AG271" s="921"/>
    </row>
    <row r="272" spans="1:33">
      <c r="A272" s="909" t="s">
        <v>533</v>
      </c>
      <c r="B272" s="910" t="s">
        <v>518</v>
      </c>
      <c r="C272" s="909"/>
      <c r="D272" s="909"/>
      <c r="E272" s="920"/>
      <c r="F272" s="262"/>
      <c r="G272" s="252"/>
      <c r="H272" s="261"/>
      <c r="I272" s="261"/>
      <c r="J272" s="261"/>
      <c r="K272" s="261"/>
      <c r="L272" s="261"/>
      <c r="M272" s="261"/>
      <c r="N272" s="261"/>
      <c r="O272" s="261"/>
      <c r="P272" s="261"/>
      <c r="Q272" s="261"/>
      <c r="R272" s="261"/>
      <c r="S272" s="261"/>
      <c r="T272" s="261"/>
      <c r="U272" s="261"/>
      <c r="V272" s="261"/>
      <c r="W272" s="261"/>
      <c r="X272" s="261"/>
      <c r="Y272" s="261"/>
      <c r="Z272" s="261"/>
      <c r="AA272" s="261"/>
      <c r="AB272" s="261"/>
      <c r="AC272" s="261"/>
      <c r="AD272" s="261"/>
      <c r="AE272" s="921"/>
      <c r="AF272" s="921"/>
      <c r="AG272" s="921"/>
    </row>
    <row r="273" spans="1:33">
      <c r="A273" s="909" t="s">
        <v>533</v>
      </c>
      <c r="B273" s="910" t="s">
        <v>519</v>
      </c>
      <c r="C273" s="909"/>
      <c r="D273" s="909"/>
      <c r="E273" s="920"/>
      <c r="F273" s="262"/>
      <c r="G273" s="262"/>
      <c r="H273" s="252"/>
      <c r="I273" s="261"/>
      <c r="J273" s="261"/>
      <c r="K273" s="261"/>
      <c r="L273" s="261"/>
      <c r="M273" s="261"/>
      <c r="N273" s="261"/>
      <c r="O273" s="261"/>
      <c r="P273" s="261"/>
      <c r="Q273" s="261"/>
      <c r="R273" s="261"/>
      <c r="S273" s="261"/>
      <c r="T273" s="261"/>
      <c r="U273" s="261"/>
      <c r="V273" s="261"/>
      <c r="W273" s="261"/>
      <c r="X273" s="261"/>
      <c r="Y273" s="261"/>
      <c r="Z273" s="261"/>
      <c r="AA273" s="261"/>
      <c r="AB273" s="261"/>
      <c r="AC273" s="261"/>
      <c r="AD273" s="261"/>
      <c r="AE273" s="921"/>
      <c r="AF273" s="921"/>
      <c r="AG273" s="921"/>
    </row>
    <row r="274" spans="1:33">
      <c r="A274" s="909" t="s">
        <v>533</v>
      </c>
      <c r="B274" s="910" t="s">
        <v>520</v>
      </c>
      <c r="C274" s="909"/>
      <c r="D274" s="909"/>
      <c r="E274" s="920"/>
      <c r="F274" s="262"/>
      <c r="G274" s="262"/>
      <c r="H274" s="262"/>
      <c r="I274" s="252"/>
      <c r="J274" s="261"/>
      <c r="K274" s="261"/>
      <c r="L274" s="261"/>
      <c r="M274" s="261"/>
      <c r="N274" s="261"/>
      <c r="O274" s="261"/>
      <c r="P274" s="261"/>
      <c r="Q274" s="261"/>
      <c r="R274" s="261"/>
      <c r="S274" s="261"/>
      <c r="T274" s="261"/>
      <c r="U274" s="261"/>
      <c r="V274" s="261"/>
      <c r="W274" s="261"/>
      <c r="X274" s="261"/>
      <c r="Y274" s="261"/>
      <c r="Z274" s="261"/>
      <c r="AA274" s="261"/>
      <c r="AB274" s="261"/>
      <c r="AC274" s="261"/>
      <c r="AD274" s="261"/>
      <c r="AE274" s="921"/>
      <c r="AF274" s="921"/>
      <c r="AG274" s="921"/>
    </row>
    <row r="275" spans="1:33">
      <c r="A275" s="909" t="s">
        <v>533</v>
      </c>
      <c r="B275" s="910" t="s">
        <v>521</v>
      </c>
      <c r="C275" s="909"/>
      <c r="D275" s="909"/>
      <c r="E275" s="920"/>
      <c r="F275" s="262"/>
      <c r="G275" s="262"/>
      <c r="H275" s="262"/>
      <c r="I275" s="262"/>
      <c r="J275" s="252"/>
      <c r="K275" s="261"/>
      <c r="L275" s="261"/>
      <c r="M275" s="261"/>
      <c r="N275" s="261"/>
      <c r="O275" s="261"/>
      <c r="P275" s="261"/>
      <c r="Q275" s="261"/>
      <c r="R275" s="261"/>
      <c r="S275" s="261"/>
      <c r="T275" s="261"/>
      <c r="U275" s="261"/>
      <c r="V275" s="261"/>
      <c r="W275" s="261"/>
      <c r="X275" s="261"/>
      <c r="Y275" s="261"/>
      <c r="Z275" s="261"/>
      <c r="AA275" s="261"/>
      <c r="AB275" s="261"/>
      <c r="AC275" s="261"/>
      <c r="AD275" s="261"/>
      <c r="AE275" s="921"/>
      <c r="AF275" s="921"/>
      <c r="AG275" s="921"/>
    </row>
    <row r="276" spans="1:33">
      <c r="A276" s="909" t="s">
        <v>533</v>
      </c>
      <c r="B276" s="910" t="s">
        <v>522</v>
      </c>
      <c r="C276" s="909"/>
      <c r="D276" s="909"/>
      <c r="E276" s="920"/>
      <c r="F276" s="262"/>
      <c r="G276" s="262"/>
      <c r="H276" s="262"/>
      <c r="I276" s="262"/>
      <c r="J276" s="262"/>
      <c r="K276" s="252"/>
      <c r="L276" s="261"/>
      <c r="M276" s="261"/>
      <c r="N276" s="261"/>
      <c r="O276" s="261"/>
      <c r="P276" s="261"/>
      <c r="Q276" s="261"/>
      <c r="R276" s="261"/>
      <c r="S276" s="261"/>
      <c r="T276" s="261"/>
      <c r="U276" s="261"/>
      <c r="V276" s="261"/>
      <c r="W276" s="261"/>
      <c r="X276" s="261"/>
      <c r="Y276" s="261"/>
      <c r="Z276" s="261"/>
      <c r="AA276" s="261"/>
      <c r="AB276" s="261"/>
      <c r="AC276" s="261"/>
      <c r="AD276" s="261"/>
      <c r="AE276" s="921"/>
      <c r="AF276" s="921"/>
      <c r="AG276" s="921"/>
    </row>
    <row r="277" spans="1:33">
      <c r="A277" s="909" t="s">
        <v>533</v>
      </c>
      <c r="B277" s="910" t="s">
        <v>523</v>
      </c>
      <c r="C277" s="909"/>
      <c r="D277" s="909"/>
      <c r="E277" s="920"/>
      <c r="F277" s="262"/>
      <c r="G277" s="262"/>
      <c r="H277" s="262"/>
      <c r="I277" s="262"/>
      <c r="J277" s="262"/>
      <c r="K277" s="262"/>
      <c r="L277" s="252"/>
      <c r="M277" s="261"/>
      <c r="N277" s="261"/>
      <c r="O277" s="261"/>
      <c r="P277" s="261"/>
      <c r="Q277" s="261"/>
      <c r="R277" s="261"/>
      <c r="S277" s="261"/>
      <c r="T277" s="261"/>
      <c r="U277" s="261"/>
      <c r="V277" s="261"/>
      <c r="W277" s="261"/>
      <c r="X277" s="261"/>
      <c r="Y277" s="261"/>
      <c r="Z277" s="261"/>
      <c r="AA277" s="261"/>
      <c r="AB277" s="261"/>
      <c r="AC277" s="261"/>
      <c r="AD277" s="261"/>
      <c r="AE277" s="921"/>
      <c r="AF277" s="921"/>
      <c r="AG277" s="921"/>
    </row>
    <row r="278" spans="1:33">
      <c r="A278" s="909" t="s">
        <v>533</v>
      </c>
      <c r="B278" s="910" t="s">
        <v>524</v>
      </c>
      <c r="C278" s="909"/>
      <c r="D278" s="909"/>
      <c r="E278" s="920"/>
      <c r="F278" s="262"/>
      <c r="G278" s="262"/>
      <c r="H278" s="262"/>
      <c r="I278" s="262"/>
      <c r="J278" s="262"/>
      <c r="K278" s="262"/>
      <c r="L278" s="262"/>
      <c r="M278" s="252"/>
      <c r="N278" s="261"/>
      <c r="O278" s="261"/>
      <c r="P278" s="261"/>
      <c r="Q278" s="261"/>
      <c r="R278" s="261"/>
      <c r="S278" s="261"/>
      <c r="T278" s="261"/>
      <c r="U278" s="261"/>
      <c r="V278" s="261"/>
      <c r="W278" s="261"/>
      <c r="X278" s="261"/>
      <c r="Y278" s="261"/>
      <c r="Z278" s="261"/>
      <c r="AA278" s="261"/>
      <c r="AB278" s="261"/>
      <c r="AC278" s="261"/>
      <c r="AD278" s="261"/>
      <c r="AE278" s="921"/>
      <c r="AF278" s="921"/>
      <c r="AG278" s="921"/>
    </row>
    <row r="279" spans="1:33">
      <c r="A279" s="909" t="s">
        <v>533</v>
      </c>
      <c r="B279" s="910" t="s">
        <v>525</v>
      </c>
      <c r="C279" s="909"/>
      <c r="D279" s="909"/>
      <c r="E279" s="920"/>
      <c r="F279" s="262"/>
      <c r="G279" s="262"/>
      <c r="H279" s="262"/>
      <c r="I279" s="262"/>
      <c r="J279" s="262"/>
      <c r="K279" s="262"/>
      <c r="L279" s="262"/>
      <c r="M279" s="262"/>
      <c r="N279" s="252"/>
      <c r="O279" s="261"/>
      <c r="P279" s="261"/>
      <c r="Q279" s="261"/>
      <c r="R279" s="261"/>
      <c r="S279" s="261"/>
      <c r="T279" s="261"/>
      <c r="U279" s="261"/>
      <c r="V279" s="261"/>
      <c r="W279" s="261"/>
      <c r="X279" s="261"/>
      <c r="Y279" s="261"/>
      <c r="Z279" s="261"/>
      <c r="AA279" s="261"/>
      <c r="AB279" s="261"/>
      <c r="AC279" s="261"/>
      <c r="AD279" s="261"/>
      <c r="AE279" s="921"/>
      <c r="AF279" s="921"/>
      <c r="AG279" s="921"/>
    </row>
    <row r="280" spans="1:33">
      <c r="A280" s="909" t="s">
        <v>533</v>
      </c>
      <c r="B280" s="910" t="s">
        <v>526</v>
      </c>
      <c r="C280" s="250"/>
      <c r="D280" s="909"/>
      <c r="E280" s="920"/>
      <c r="F280" s="262"/>
      <c r="G280" s="262"/>
      <c r="H280" s="262"/>
      <c r="I280" s="262"/>
      <c r="J280" s="262"/>
      <c r="K280" s="262"/>
      <c r="L280" s="262"/>
      <c r="M280" s="262"/>
      <c r="N280" s="262"/>
      <c r="O280" s="252"/>
      <c r="P280" s="261"/>
      <c r="Q280" s="261"/>
      <c r="R280" s="261"/>
      <c r="S280" s="261"/>
      <c r="T280" s="261"/>
      <c r="U280" s="261"/>
      <c r="V280" s="261"/>
      <c r="W280" s="261"/>
      <c r="X280" s="261"/>
      <c r="Y280" s="261"/>
      <c r="Z280" s="261"/>
      <c r="AA280" s="261"/>
      <c r="AB280" s="261"/>
      <c r="AC280" s="261"/>
      <c r="AD280" s="261"/>
      <c r="AE280" s="921"/>
      <c r="AF280" s="921"/>
      <c r="AG280" s="921"/>
    </row>
    <row r="281" spans="1:33">
      <c r="A281" s="909" t="s">
        <v>533</v>
      </c>
      <c r="B281" s="910" t="s">
        <v>527</v>
      </c>
      <c r="C281" s="250"/>
      <c r="D281" s="909"/>
      <c r="E281" s="920"/>
      <c r="F281" s="262"/>
      <c r="G281" s="262"/>
      <c r="H281" s="262"/>
      <c r="I281" s="262"/>
      <c r="J281" s="262"/>
      <c r="K281" s="262"/>
      <c r="L281" s="262"/>
      <c r="M281" s="262"/>
      <c r="N281" s="262"/>
      <c r="O281" s="262"/>
      <c r="P281" s="252"/>
      <c r="Q281" s="261"/>
      <c r="R281" s="261"/>
      <c r="S281" s="261"/>
      <c r="T281" s="261"/>
      <c r="U281" s="261"/>
      <c r="V281" s="261"/>
      <c r="W281" s="261"/>
      <c r="X281" s="261"/>
      <c r="Y281" s="261"/>
      <c r="Z281" s="261"/>
      <c r="AA281" s="261"/>
      <c r="AB281" s="261"/>
      <c r="AC281" s="261"/>
      <c r="AD281" s="261"/>
      <c r="AE281" s="921"/>
      <c r="AF281" s="921"/>
      <c r="AG281" s="921"/>
    </row>
    <row r="282" spans="1:33">
      <c r="A282" s="909" t="s">
        <v>533</v>
      </c>
      <c r="B282" s="910" t="s">
        <v>528</v>
      </c>
      <c r="C282" s="250"/>
      <c r="D282" s="250"/>
      <c r="E282" s="920"/>
      <c r="F282" s="262"/>
      <c r="G282" s="262"/>
      <c r="H282" s="262"/>
      <c r="I282" s="262"/>
      <c r="J282" s="262"/>
      <c r="K282" s="262"/>
      <c r="L282" s="262"/>
      <c r="M282" s="262"/>
      <c r="N282" s="262"/>
      <c r="O282" s="262"/>
      <c r="P282" s="262"/>
      <c r="Q282" s="252"/>
      <c r="R282" s="261"/>
      <c r="S282" s="261"/>
      <c r="T282" s="261"/>
      <c r="U282" s="261"/>
      <c r="V282" s="261"/>
      <c r="W282" s="261"/>
      <c r="X282" s="261"/>
      <c r="Y282" s="261"/>
      <c r="Z282" s="261"/>
      <c r="AA282" s="261"/>
      <c r="AB282" s="261"/>
      <c r="AC282" s="261"/>
      <c r="AD282" s="261"/>
      <c r="AE282" s="921"/>
      <c r="AF282" s="921"/>
      <c r="AG282" s="921"/>
    </row>
    <row r="283" spans="1:33">
      <c r="A283" s="909" t="s">
        <v>533</v>
      </c>
      <c r="B283" s="910" t="s">
        <v>529</v>
      </c>
      <c r="C283" s="250"/>
      <c r="D283" s="250"/>
      <c r="E283" s="920"/>
      <c r="F283" s="262"/>
      <c r="G283" s="262"/>
      <c r="H283" s="262"/>
      <c r="I283" s="262"/>
      <c r="J283" s="262"/>
      <c r="K283" s="262"/>
      <c r="L283" s="262"/>
      <c r="M283" s="262"/>
      <c r="N283" s="262"/>
      <c r="O283" s="262"/>
      <c r="P283" s="262"/>
      <c r="Q283" s="262"/>
      <c r="R283" s="252"/>
      <c r="S283" s="261"/>
      <c r="T283" s="261"/>
      <c r="U283" s="261"/>
      <c r="V283" s="261"/>
      <c r="W283" s="261"/>
      <c r="X283" s="261"/>
      <c r="Y283" s="261"/>
      <c r="Z283" s="261"/>
      <c r="AA283" s="261"/>
      <c r="AB283" s="261"/>
      <c r="AC283" s="261"/>
      <c r="AD283" s="261"/>
      <c r="AE283" s="921"/>
      <c r="AF283" s="921"/>
      <c r="AG283" s="921"/>
    </row>
    <row r="284" spans="1:33">
      <c r="A284" s="909" t="s">
        <v>533</v>
      </c>
      <c r="B284" s="910" t="s">
        <v>530</v>
      </c>
      <c r="C284" s="250"/>
      <c r="D284" s="250"/>
      <c r="E284" s="920"/>
      <c r="F284" s="262"/>
      <c r="G284" s="262"/>
      <c r="H284" s="262"/>
      <c r="I284" s="262"/>
      <c r="J284" s="262"/>
      <c r="K284" s="262"/>
      <c r="L284" s="262"/>
      <c r="M284" s="262"/>
      <c r="N284" s="262"/>
      <c r="O284" s="262"/>
      <c r="P284" s="262"/>
      <c r="Q284" s="262"/>
      <c r="R284" s="262"/>
      <c r="S284" s="252"/>
      <c r="T284" s="261"/>
      <c r="U284" s="261"/>
      <c r="V284" s="261"/>
      <c r="W284" s="261"/>
      <c r="X284" s="261"/>
      <c r="Y284" s="261"/>
      <c r="Z284" s="261"/>
      <c r="AA284" s="261"/>
      <c r="AB284" s="261"/>
      <c r="AC284" s="261"/>
      <c r="AD284" s="261"/>
      <c r="AE284" s="921"/>
      <c r="AF284" s="921"/>
      <c r="AG284" s="921"/>
    </row>
    <row r="285" spans="1:33">
      <c r="A285" s="909" t="s">
        <v>533</v>
      </c>
      <c r="B285" s="910" t="s">
        <v>534</v>
      </c>
      <c r="C285" s="250"/>
      <c r="D285" s="250"/>
      <c r="E285" s="923"/>
      <c r="F285" s="262"/>
      <c r="G285" s="262"/>
      <c r="H285" s="262"/>
      <c r="I285" s="262"/>
      <c r="J285" s="262"/>
      <c r="K285" s="262"/>
      <c r="L285" s="262"/>
      <c r="M285" s="262"/>
      <c r="N285" s="262"/>
      <c r="O285" s="262"/>
      <c r="P285" s="262"/>
      <c r="Q285" s="262"/>
      <c r="R285" s="262"/>
      <c r="S285" s="262"/>
      <c r="T285" s="252"/>
      <c r="U285" s="261"/>
      <c r="V285" s="261"/>
      <c r="W285" s="261"/>
      <c r="X285" s="261"/>
      <c r="Y285" s="261"/>
      <c r="Z285" s="261"/>
      <c r="AA285" s="261"/>
      <c r="AB285" s="261"/>
      <c r="AC285" s="261"/>
      <c r="AD285" s="261"/>
      <c r="AE285" s="921"/>
      <c r="AF285" s="921"/>
      <c r="AG285" s="921"/>
    </row>
    <row r="286" spans="1:33">
      <c r="A286" s="909" t="s">
        <v>533</v>
      </c>
      <c r="B286" s="910" t="s">
        <v>535</v>
      </c>
      <c r="C286" s="250"/>
      <c r="D286" s="250"/>
      <c r="E286" s="923"/>
      <c r="F286" s="262"/>
      <c r="G286" s="262"/>
      <c r="H286" s="262"/>
      <c r="I286" s="262"/>
      <c r="J286" s="262"/>
      <c r="K286" s="262"/>
      <c r="L286" s="262"/>
      <c r="M286" s="262"/>
      <c r="N286" s="262"/>
      <c r="O286" s="262"/>
      <c r="P286" s="262"/>
      <c r="Q286" s="262"/>
      <c r="R286" s="262"/>
      <c r="S286" s="262"/>
      <c r="T286" s="262"/>
      <c r="U286" s="252"/>
      <c r="V286" s="261"/>
      <c r="W286" s="261"/>
      <c r="X286" s="261"/>
      <c r="Y286" s="261"/>
      <c r="Z286" s="261"/>
      <c r="AA286" s="261"/>
      <c r="AB286" s="261"/>
      <c r="AC286" s="261"/>
      <c r="AD286" s="261"/>
      <c r="AE286" s="921"/>
      <c r="AF286" s="921"/>
      <c r="AG286" s="921"/>
    </row>
    <row r="287" spans="1:33">
      <c r="A287" s="909" t="s">
        <v>533</v>
      </c>
      <c r="B287" s="910" t="s">
        <v>536</v>
      </c>
      <c r="C287" s="250"/>
      <c r="D287" s="250"/>
      <c r="E287" s="923"/>
      <c r="F287" s="262"/>
      <c r="G287" s="262"/>
      <c r="H287" s="262"/>
      <c r="I287" s="262"/>
      <c r="J287" s="262"/>
      <c r="K287" s="262"/>
      <c r="L287" s="262"/>
      <c r="M287" s="262"/>
      <c r="N287" s="262"/>
      <c r="O287" s="262"/>
      <c r="P287" s="262"/>
      <c r="Q287" s="262"/>
      <c r="R287" s="262"/>
      <c r="S287" s="262"/>
      <c r="T287" s="262"/>
      <c r="U287" s="262"/>
      <c r="V287" s="252"/>
      <c r="W287" s="261"/>
      <c r="X287" s="261"/>
      <c r="Y287" s="261"/>
      <c r="Z287" s="261"/>
      <c r="AA287" s="261"/>
      <c r="AB287" s="261"/>
      <c r="AC287" s="261"/>
      <c r="AD287" s="261"/>
      <c r="AE287" s="921"/>
      <c r="AF287" s="921"/>
      <c r="AG287" s="921"/>
    </row>
    <row r="288" spans="1:33">
      <c r="A288" s="909" t="s">
        <v>533</v>
      </c>
      <c r="B288" s="910" t="s">
        <v>546</v>
      </c>
      <c r="C288" s="250"/>
      <c r="D288" s="250"/>
      <c r="E288" s="923"/>
      <c r="F288" s="262"/>
      <c r="G288" s="262"/>
      <c r="H288" s="262"/>
      <c r="I288" s="262"/>
      <c r="J288" s="262"/>
      <c r="K288" s="262"/>
      <c r="L288" s="262"/>
      <c r="M288" s="262"/>
      <c r="N288" s="262"/>
      <c r="O288" s="262"/>
      <c r="P288" s="262"/>
      <c r="Q288" s="262"/>
      <c r="R288" s="262"/>
      <c r="S288" s="262"/>
      <c r="T288" s="262"/>
      <c r="U288" s="262"/>
      <c r="V288" s="262"/>
      <c r="W288" s="252"/>
      <c r="X288" s="261"/>
      <c r="Y288" s="261"/>
      <c r="Z288" s="261"/>
      <c r="AA288" s="261"/>
      <c r="AB288" s="261"/>
      <c r="AC288" s="261"/>
      <c r="AD288" s="261"/>
      <c r="AE288" s="921"/>
      <c r="AF288" s="921"/>
      <c r="AG288" s="921"/>
    </row>
    <row r="289" spans="1:33">
      <c r="A289" s="909" t="s">
        <v>533</v>
      </c>
      <c r="B289" s="910" t="s">
        <v>547</v>
      </c>
      <c r="C289" s="250"/>
      <c r="D289" s="250"/>
      <c r="E289" s="923"/>
      <c r="F289" s="262"/>
      <c r="G289" s="262"/>
      <c r="H289" s="262"/>
      <c r="I289" s="262"/>
      <c r="J289" s="262"/>
      <c r="K289" s="262"/>
      <c r="L289" s="262"/>
      <c r="M289" s="262"/>
      <c r="N289" s="262"/>
      <c r="O289" s="262"/>
      <c r="P289" s="262"/>
      <c r="Q289" s="262"/>
      <c r="R289" s="262"/>
      <c r="S289" s="262"/>
      <c r="T289" s="262"/>
      <c r="U289" s="262"/>
      <c r="V289" s="262"/>
      <c r="W289" s="262"/>
      <c r="X289" s="252"/>
      <c r="Y289" s="261"/>
      <c r="Z289" s="261"/>
      <c r="AA289" s="261"/>
      <c r="AB289" s="261"/>
      <c r="AC289" s="261"/>
      <c r="AD289" s="261"/>
      <c r="AE289" s="921"/>
      <c r="AF289" s="921"/>
      <c r="AG289" s="921"/>
    </row>
    <row r="290" spans="1:33">
      <c r="A290" s="909" t="s">
        <v>533</v>
      </c>
      <c r="B290" s="910" t="s">
        <v>548</v>
      </c>
      <c r="C290" s="250"/>
      <c r="D290" s="250"/>
      <c r="E290" s="923"/>
      <c r="F290" s="262"/>
      <c r="G290" s="262"/>
      <c r="H290" s="262"/>
      <c r="I290" s="262"/>
      <c r="J290" s="262"/>
      <c r="K290" s="262"/>
      <c r="L290" s="262"/>
      <c r="M290" s="262"/>
      <c r="N290" s="262"/>
      <c r="O290" s="262"/>
      <c r="P290" s="262"/>
      <c r="Q290" s="262"/>
      <c r="R290" s="262"/>
      <c r="S290" s="262"/>
      <c r="T290" s="262"/>
      <c r="U290" s="262"/>
      <c r="V290" s="262"/>
      <c r="W290" s="262"/>
      <c r="X290" s="262"/>
      <c r="Y290" s="252"/>
      <c r="Z290" s="921"/>
      <c r="AA290" s="921"/>
      <c r="AB290" s="921"/>
      <c r="AC290" s="921"/>
      <c r="AD290" s="921"/>
      <c r="AE290" s="921"/>
      <c r="AF290" s="921"/>
      <c r="AG290" s="921"/>
    </row>
    <row r="291" spans="1:33">
      <c r="A291" s="909" t="s">
        <v>533</v>
      </c>
      <c r="B291" s="910" t="s">
        <v>1038</v>
      </c>
      <c r="C291" s="250"/>
      <c r="D291" s="250"/>
      <c r="E291" s="923"/>
      <c r="F291" s="262"/>
      <c r="G291" s="262"/>
      <c r="H291" s="262"/>
      <c r="I291" s="262"/>
      <c r="J291" s="262"/>
      <c r="K291" s="262"/>
      <c r="L291" s="262"/>
      <c r="M291" s="262"/>
      <c r="N291" s="262"/>
      <c r="O291" s="262"/>
      <c r="P291" s="262"/>
      <c r="Q291" s="262"/>
      <c r="R291" s="262"/>
      <c r="S291" s="262"/>
      <c r="T291" s="262"/>
      <c r="U291" s="262"/>
      <c r="V291" s="262"/>
      <c r="W291" s="262"/>
      <c r="X291" s="262"/>
      <c r="Y291" s="262"/>
      <c r="Z291" s="252"/>
      <c r="AA291" s="261"/>
      <c r="AB291" s="261"/>
      <c r="AC291" s="261"/>
      <c r="AD291" s="261"/>
      <c r="AE291" s="250"/>
      <c r="AF291" s="250"/>
      <c r="AG291" s="921"/>
    </row>
    <row r="292" spans="1:33">
      <c r="A292" s="909" t="s">
        <v>533</v>
      </c>
      <c r="B292" s="910" t="s">
        <v>1039</v>
      </c>
      <c r="C292" s="250"/>
      <c r="D292" s="250"/>
      <c r="E292" s="923"/>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52"/>
      <c r="AB292" s="261"/>
      <c r="AC292" s="261"/>
      <c r="AD292" s="261"/>
      <c r="AE292" s="250"/>
      <c r="AF292" s="250"/>
      <c r="AG292" s="921"/>
    </row>
    <row r="293" spans="1:33">
      <c r="A293" s="909" t="s">
        <v>533</v>
      </c>
      <c r="B293" s="910" t="s">
        <v>1040</v>
      </c>
      <c r="C293" s="250"/>
      <c r="D293" s="250"/>
      <c r="E293" s="923"/>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52"/>
      <c r="AC293" s="261"/>
      <c r="AD293" s="261"/>
      <c r="AE293" s="250"/>
      <c r="AF293" s="250"/>
      <c r="AG293" s="921"/>
    </row>
    <row r="294" spans="1:33">
      <c r="A294" s="909" t="s">
        <v>533</v>
      </c>
      <c r="B294" s="910" t="s">
        <v>1041</v>
      </c>
      <c r="C294" s="250"/>
      <c r="D294" s="250"/>
      <c r="E294" s="923"/>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52"/>
      <c r="AD294" s="261"/>
      <c r="AE294" s="250"/>
      <c r="AF294" s="250"/>
      <c r="AG294" s="921"/>
    </row>
    <row r="295" spans="1:33">
      <c r="A295" s="909" t="s">
        <v>533</v>
      </c>
      <c r="B295" s="910" t="s">
        <v>1042</v>
      </c>
      <c r="C295" s="250"/>
      <c r="D295" s="250"/>
      <c r="E295" s="923"/>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252"/>
      <c r="AE295" s="250"/>
      <c r="AF295" s="250"/>
      <c r="AG295" s="921"/>
    </row>
    <row r="296" spans="1:33" ht="13">
      <c r="A296" s="913"/>
      <c r="B296" s="914" t="s">
        <v>271</v>
      </c>
      <c r="C296" s="251"/>
      <c r="D296" s="251"/>
      <c r="E296" s="251"/>
      <c r="F296" s="251"/>
      <c r="G296" s="251"/>
      <c r="H296" s="251"/>
      <c r="I296" s="251"/>
      <c r="J296" s="251"/>
      <c r="K296" s="251"/>
      <c r="L296" s="251"/>
      <c r="M296" s="251"/>
      <c r="N296" s="251"/>
      <c r="O296" s="251"/>
      <c r="P296" s="251"/>
      <c r="Q296" s="251"/>
      <c r="R296" s="251"/>
      <c r="S296" s="251"/>
      <c r="T296" s="251"/>
      <c r="U296" s="251"/>
      <c r="V296" s="251"/>
      <c r="W296" s="251"/>
      <c r="X296" s="251"/>
      <c r="Y296" s="251"/>
      <c r="Z296" s="251"/>
      <c r="AA296" s="251"/>
      <c r="AB296" s="251"/>
      <c r="AC296" s="251"/>
      <c r="AD296" s="251"/>
      <c r="AE296" s="251"/>
      <c r="AF296" s="251"/>
      <c r="AG296" s="251"/>
    </row>
    <row r="297" spans="1:33">
      <c r="C297" s="925"/>
    </row>
    <row r="300" spans="1:33" ht="13">
      <c r="B300" s="904" t="s">
        <v>271</v>
      </c>
      <c r="F300" s="905" t="s">
        <v>10</v>
      </c>
    </row>
    <row r="301" spans="1:33" ht="26.15" customHeight="1">
      <c r="A301" s="906"/>
      <c r="B301" s="919" t="s">
        <v>413</v>
      </c>
      <c r="C301" s="2003" t="s">
        <v>515</v>
      </c>
      <c r="D301" s="2003" t="s">
        <v>516</v>
      </c>
      <c r="E301" s="2003" t="s">
        <v>586</v>
      </c>
      <c r="F301" s="2005" t="s">
        <v>587</v>
      </c>
      <c r="G301" s="2006"/>
      <c r="H301" s="2006"/>
      <c r="I301" s="2006"/>
      <c r="J301" s="2006"/>
      <c r="K301" s="2006"/>
      <c r="L301" s="2006"/>
      <c r="M301" s="2006"/>
      <c r="N301" s="2006"/>
      <c r="O301" s="2006"/>
      <c r="P301" s="2006"/>
      <c r="Q301" s="2006"/>
      <c r="R301" s="2006"/>
      <c r="S301" s="2006"/>
      <c r="T301" s="2006"/>
      <c r="U301" s="2006"/>
      <c r="V301" s="2006"/>
      <c r="W301" s="2006"/>
      <c r="X301" s="2006"/>
      <c r="Y301" s="2006"/>
      <c r="Z301" s="2006"/>
      <c r="AA301" s="2006"/>
      <c r="AB301" s="2006"/>
      <c r="AC301" s="2006"/>
      <c r="AD301" s="2007"/>
      <c r="AE301" s="907" t="s">
        <v>538</v>
      </c>
      <c r="AF301" s="907" t="s">
        <v>531</v>
      </c>
      <c r="AG301" s="907" t="s">
        <v>539</v>
      </c>
    </row>
    <row r="302" spans="1:33" ht="12.9" customHeight="1">
      <c r="A302" s="906"/>
      <c r="B302" s="919"/>
      <c r="C302" s="2004"/>
      <c r="D302" s="2004"/>
      <c r="E302" s="2004"/>
      <c r="F302" s="908" t="s">
        <v>517</v>
      </c>
      <c r="G302" s="908" t="s">
        <v>518</v>
      </c>
      <c r="H302" s="908" t="s">
        <v>519</v>
      </c>
      <c r="I302" s="908" t="s">
        <v>520</v>
      </c>
      <c r="J302" s="908" t="s">
        <v>521</v>
      </c>
      <c r="K302" s="908" t="s">
        <v>522</v>
      </c>
      <c r="L302" s="908" t="s">
        <v>523</v>
      </c>
      <c r="M302" s="908" t="s">
        <v>524</v>
      </c>
      <c r="N302" s="908" t="s">
        <v>525</v>
      </c>
      <c r="O302" s="908" t="s">
        <v>526</v>
      </c>
      <c r="P302" s="908" t="s">
        <v>527</v>
      </c>
      <c r="Q302" s="908" t="s">
        <v>528</v>
      </c>
      <c r="R302" s="908" t="s">
        <v>529</v>
      </c>
      <c r="S302" s="908" t="s">
        <v>530</v>
      </c>
      <c r="T302" s="908" t="s">
        <v>325</v>
      </c>
      <c r="U302" s="908" t="s">
        <v>506</v>
      </c>
      <c r="V302" s="908" t="s">
        <v>507</v>
      </c>
      <c r="W302" s="908" t="s">
        <v>508</v>
      </c>
      <c r="X302" s="908" t="s">
        <v>509</v>
      </c>
      <c r="Y302" s="908" t="s">
        <v>510</v>
      </c>
      <c r="Z302" s="908" t="s">
        <v>958</v>
      </c>
      <c r="AA302" s="908" t="s">
        <v>959</v>
      </c>
      <c r="AB302" s="908" t="s">
        <v>960</v>
      </c>
      <c r="AC302" s="908" t="s">
        <v>961</v>
      </c>
      <c r="AD302" s="908" t="s">
        <v>962</v>
      </c>
      <c r="AE302" s="907"/>
      <c r="AF302" s="907"/>
      <c r="AG302" s="907"/>
    </row>
    <row r="303" spans="1:33">
      <c r="A303" s="909" t="s">
        <v>532</v>
      </c>
      <c r="B303" s="910">
        <v>2005</v>
      </c>
      <c r="C303" s="928"/>
      <c r="D303" s="928"/>
      <c r="E303" s="920"/>
      <c r="F303" s="261"/>
      <c r="G303" s="261"/>
      <c r="H303" s="261"/>
      <c r="I303" s="261"/>
      <c r="J303" s="261"/>
      <c r="K303" s="261"/>
      <c r="L303" s="261"/>
      <c r="M303" s="261"/>
      <c r="N303" s="261"/>
      <c r="O303" s="261"/>
      <c r="P303" s="261"/>
      <c r="Q303" s="261"/>
      <c r="R303" s="261"/>
      <c r="S303" s="261"/>
      <c r="T303" s="261"/>
      <c r="U303" s="261"/>
      <c r="V303" s="261"/>
      <c r="W303" s="261"/>
      <c r="X303" s="261"/>
      <c r="Y303" s="261"/>
      <c r="Z303" s="261"/>
      <c r="AA303" s="261"/>
      <c r="AB303" s="261"/>
      <c r="AC303" s="261"/>
      <c r="AD303" s="261"/>
      <c r="AE303" s="921"/>
      <c r="AF303" s="921"/>
      <c r="AG303" s="921"/>
    </row>
    <row r="304" spans="1:33">
      <c r="A304" s="909" t="s">
        <v>533</v>
      </c>
      <c r="B304" s="910" t="s">
        <v>517</v>
      </c>
      <c r="C304" s="928"/>
      <c r="D304" s="928"/>
      <c r="E304" s="920"/>
      <c r="F304" s="252"/>
      <c r="G304" s="261"/>
      <c r="H304" s="261"/>
      <c r="I304" s="261"/>
      <c r="J304" s="261"/>
      <c r="K304" s="261"/>
      <c r="L304" s="261"/>
      <c r="M304" s="261"/>
      <c r="N304" s="261"/>
      <c r="O304" s="261"/>
      <c r="P304" s="261"/>
      <c r="Q304" s="261"/>
      <c r="R304" s="261"/>
      <c r="S304" s="261"/>
      <c r="T304" s="261"/>
      <c r="U304" s="261"/>
      <c r="V304" s="261"/>
      <c r="W304" s="261"/>
      <c r="X304" s="261"/>
      <c r="Y304" s="261"/>
      <c r="Z304" s="261"/>
      <c r="AA304" s="261"/>
      <c r="AB304" s="261"/>
      <c r="AC304" s="261"/>
      <c r="AD304" s="261"/>
      <c r="AE304" s="921"/>
      <c r="AF304" s="921"/>
      <c r="AG304" s="921"/>
    </row>
    <row r="305" spans="1:33">
      <c r="A305" s="909" t="s">
        <v>533</v>
      </c>
      <c r="B305" s="910" t="s">
        <v>518</v>
      </c>
      <c r="C305" s="928"/>
      <c r="D305" s="928"/>
      <c r="E305" s="920"/>
      <c r="F305" s="262"/>
      <c r="G305" s="252"/>
      <c r="H305" s="261"/>
      <c r="I305" s="261"/>
      <c r="J305" s="261"/>
      <c r="K305" s="261"/>
      <c r="L305" s="261"/>
      <c r="M305" s="261"/>
      <c r="N305" s="261"/>
      <c r="O305" s="261"/>
      <c r="P305" s="261"/>
      <c r="Q305" s="261"/>
      <c r="R305" s="261"/>
      <c r="S305" s="261"/>
      <c r="T305" s="261"/>
      <c r="U305" s="261"/>
      <c r="V305" s="261"/>
      <c r="W305" s="261"/>
      <c r="X305" s="261"/>
      <c r="Y305" s="261"/>
      <c r="Z305" s="261"/>
      <c r="AA305" s="261"/>
      <c r="AB305" s="261"/>
      <c r="AC305" s="261"/>
      <c r="AD305" s="261"/>
      <c r="AE305" s="921"/>
      <c r="AF305" s="921"/>
      <c r="AG305" s="921"/>
    </row>
    <row r="306" spans="1:33">
      <c r="A306" s="909" t="s">
        <v>533</v>
      </c>
      <c r="B306" s="910" t="s">
        <v>519</v>
      </c>
      <c r="C306" s="928"/>
      <c r="D306" s="928"/>
      <c r="E306" s="920"/>
      <c r="F306" s="262"/>
      <c r="G306" s="262"/>
      <c r="H306" s="252"/>
      <c r="I306" s="261"/>
      <c r="J306" s="261"/>
      <c r="K306" s="261"/>
      <c r="L306" s="261"/>
      <c r="M306" s="261"/>
      <c r="N306" s="261"/>
      <c r="O306" s="261"/>
      <c r="P306" s="261"/>
      <c r="Q306" s="261"/>
      <c r="R306" s="261"/>
      <c r="S306" s="261"/>
      <c r="T306" s="261"/>
      <c r="U306" s="261"/>
      <c r="V306" s="261"/>
      <c r="W306" s="261"/>
      <c r="X306" s="261"/>
      <c r="Y306" s="261"/>
      <c r="Z306" s="261"/>
      <c r="AA306" s="261"/>
      <c r="AB306" s="261"/>
      <c r="AC306" s="261"/>
      <c r="AD306" s="261"/>
      <c r="AE306" s="921"/>
      <c r="AF306" s="921"/>
      <c r="AG306" s="921"/>
    </row>
    <row r="307" spans="1:33">
      <c r="A307" s="909" t="s">
        <v>533</v>
      </c>
      <c r="B307" s="910" t="s">
        <v>520</v>
      </c>
      <c r="C307" s="928"/>
      <c r="D307" s="928"/>
      <c r="E307" s="920"/>
      <c r="F307" s="262"/>
      <c r="G307" s="262"/>
      <c r="H307" s="262"/>
      <c r="I307" s="252"/>
      <c r="J307" s="261"/>
      <c r="K307" s="261"/>
      <c r="L307" s="261"/>
      <c r="M307" s="261"/>
      <c r="N307" s="261"/>
      <c r="O307" s="261"/>
      <c r="P307" s="261"/>
      <c r="Q307" s="261"/>
      <c r="R307" s="261"/>
      <c r="S307" s="261"/>
      <c r="T307" s="261"/>
      <c r="U307" s="261"/>
      <c r="V307" s="261"/>
      <c r="W307" s="261"/>
      <c r="X307" s="261"/>
      <c r="Y307" s="261"/>
      <c r="Z307" s="261"/>
      <c r="AA307" s="261"/>
      <c r="AB307" s="261"/>
      <c r="AC307" s="261"/>
      <c r="AD307" s="261"/>
      <c r="AE307" s="921"/>
      <c r="AF307" s="921"/>
      <c r="AG307" s="921"/>
    </row>
    <row r="308" spans="1:33">
      <c r="A308" s="909" t="s">
        <v>533</v>
      </c>
      <c r="B308" s="910" t="s">
        <v>521</v>
      </c>
      <c r="C308" s="928"/>
      <c r="D308" s="928"/>
      <c r="E308" s="920"/>
      <c r="F308" s="262"/>
      <c r="G308" s="262"/>
      <c r="H308" s="262"/>
      <c r="I308" s="262"/>
      <c r="J308" s="252"/>
      <c r="K308" s="261"/>
      <c r="L308" s="261"/>
      <c r="M308" s="261"/>
      <c r="N308" s="261"/>
      <c r="O308" s="261"/>
      <c r="P308" s="261"/>
      <c r="Q308" s="261"/>
      <c r="R308" s="261"/>
      <c r="S308" s="261"/>
      <c r="T308" s="261"/>
      <c r="U308" s="261"/>
      <c r="V308" s="261"/>
      <c r="W308" s="261"/>
      <c r="X308" s="261"/>
      <c r="Y308" s="261"/>
      <c r="Z308" s="261"/>
      <c r="AA308" s="261"/>
      <c r="AB308" s="261"/>
      <c r="AC308" s="261"/>
      <c r="AD308" s="261"/>
      <c r="AE308" s="921"/>
      <c r="AF308" s="921"/>
      <c r="AG308" s="921"/>
    </row>
    <row r="309" spans="1:33">
      <c r="A309" s="909" t="s">
        <v>533</v>
      </c>
      <c r="B309" s="910" t="s">
        <v>522</v>
      </c>
      <c r="C309" s="928"/>
      <c r="D309" s="928"/>
      <c r="E309" s="920"/>
      <c r="F309" s="262"/>
      <c r="G309" s="262"/>
      <c r="H309" s="262"/>
      <c r="I309" s="262"/>
      <c r="J309" s="262"/>
      <c r="K309" s="252"/>
      <c r="L309" s="261"/>
      <c r="M309" s="261"/>
      <c r="N309" s="261"/>
      <c r="O309" s="261"/>
      <c r="P309" s="261"/>
      <c r="Q309" s="261"/>
      <c r="R309" s="261"/>
      <c r="S309" s="261"/>
      <c r="T309" s="261"/>
      <c r="U309" s="261"/>
      <c r="V309" s="261"/>
      <c r="W309" s="261"/>
      <c r="X309" s="261"/>
      <c r="Y309" s="261"/>
      <c r="Z309" s="261"/>
      <c r="AA309" s="261"/>
      <c r="AB309" s="261"/>
      <c r="AC309" s="261"/>
      <c r="AD309" s="261"/>
      <c r="AE309" s="921"/>
      <c r="AF309" s="921"/>
      <c r="AG309" s="921"/>
    </row>
    <row r="310" spans="1:33">
      <c r="A310" s="909" t="s">
        <v>533</v>
      </c>
      <c r="B310" s="910" t="s">
        <v>523</v>
      </c>
      <c r="C310" s="928"/>
      <c r="D310" s="928"/>
      <c r="E310" s="920"/>
      <c r="F310" s="262"/>
      <c r="G310" s="262"/>
      <c r="H310" s="262"/>
      <c r="I310" s="262"/>
      <c r="J310" s="262"/>
      <c r="K310" s="262"/>
      <c r="L310" s="252"/>
      <c r="M310" s="261"/>
      <c r="N310" s="261"/>
      <c r="O310" s="261"/>
      <c r="P310" s="261"/>
      <c r="Q310" s="261"/>
      <c r="R310" s="261"/>
      <c r="S310" s="261"/>
      <c r="T310" s="261"/>
      <c r="U310" s="261"/>
      <c r="V310" s="261"/>
      <c r="W310" s="261"/>
      <c r="X310" s="261"/>
      <c r="Y310" s="261"/>
      <c r="Z310" s="261"/>
      <c r="AA310" s="261"/>
      <c r="AB310" s="261"/>
      <c r="AC310" s="261"/>
      <c r="AD310" s="261"/>
      <c r="AE310" s="921"/>
      <c r="AF310" s="921"/>
      <c r="AG310" s="921"/>
    </row>
    <row r="311" spans="1:33">
      <c r="A311" s="909" t="s">
        <v>533</v>
      </c>
      <c r="B311" s="910" t="s">
        <v>524</v>
      </c>
      <c r="C311" s="928"/>
      <c r="D311" s="928"/>
      <c r="E311" s="920"/>
      <c r="F311" s="262"/>
      <c r="G311" s="262"/>
      <c r="H311" s="262"/>
      <c r="I311" s="262"/>
      <c r="J311" s="262"/>
      <c r="K311" s="262"/>
      <c r="L311" s="262"/>
      <c r="M311" s="252"/>
      <c r="N311" s="261"/>
      <c r="O311" s="261"/>
      <c r="P311" s="261"/>
      <c r="Q311" s="261"/>
      <c r="R311" s="261"/>
      <c r="S311" s="261"/>
      <c r="T311" s="261"/>
      <c r="U311" s="261"/>
      <c r="V311" s="261"/>
      <c r="W311" s="261"/>
      <c r="X311" s="261"/>
      <c r="Y311" s="261"/>
      <c r="Z311" s="261"/>
      <c r="AA311" s="261"/>
      <c r="AB311" s="261"/>
      <c r="AC311" s="261"/>
      <c r="AD311" s="261"/>
      <c r="AE311" s="921"/>
      <c r="AF311" s="921"/>
      <c r="AG311" s="921"/>
    </row>
    <row r="312" spans="1:33">
      <c r="A312" s="909" t="s">
        <v>533</v>
      </c>
      <c r="B312" s="910" t="s">
        <v>525</v>
      </c>
      <c r="C312" s="928"/>
      <c r="D312" s="928"/>
      <c r="E312" s="920"/>
      <c r="F312" s="262"/>
      <c r="G312" s="262"/>
      <c r="H312" s="262"/>
      <c r="I312" s="262"/>
      <c r="J312" s="262"/>
      <c r="K312" s="262"/>
      <c r="L312" s="262"/>
      <c r="M312" s="262"/>
      <c r="N312" s="252"/>
      <c r="O312" s="261"/>
      <c r="P312" s="261"/>
      <c r="Q312" s="261"/>
      <c r="R312" s="261"/>
      <c r="S312" s="261"/>
      <c r="T312" s="261"/>
      <c r="U312" s="261"/>
      <c r="V312" s="261"/>
      <c r="W312" s="261"/>
      <c r="X312" s="261"/>
      <c r="Y312" s="261"/>
      <c r="Z312" s="261"/>
      <c r="AA312" s="261"/>
      <c r="AB312" s="261"/>
      <c r="AC312" s="261"/>
      <c r="AD312" s="261"/>
      <c r="AE312" s="921"/>
      <c r="AF312" s="921"/>
      <c r="AG312" s="921"/>
    </row>
    <row r="313" spans="1:33">
      <c r="A313" s="909" t="s">
        <v>533</v>
      </c>
      <c r="B313" s="910" t="s">
        <v>526</v>
      </c>
      <c r="C313" s="928"/>
      <c r="D313" s="928"/>
      <c r="E313" s="920"/>
      <c r="F313" s="262"/>
      <c r="G313" s="262"/>
      <c r="H313" s="262"/>
      <c r="I313" s="262"/>
      <c r="J313" s="262"/>
      <c r="K313" s="262"/>
      <c r="L313" s="262"/>
      <c r="M313" s="262"/>
      <c r="N313" s="262"/>
      <c r="O313" s="252"/>
      <c r="P313" s="261"/>
      <c r="Q313" s="261"/>
      <c r="R313" s="261"/>
      <c r="S313" s="261"/>
      <c r="T313" s="261"/>
      <c r="U313" s="261"/>
      <c r="V313" s="261"/>
      <c r="W313" s="261"/>
      <c r="X313" s="261"/>
      <c r="Y313" s="261"/>
      <c r="Z313" s="261"/>
      <c r="AA313" s="261"/>
      <c r="AB313" s="261"/>
      <c r="AC313" s="261"/>
      <c r="AD313" s="261"/>
      <c r="AE313" s="921"/>
      <c r="AF313" s="921"/>
      <c r="AG313" s="921"/>
    </row>
    <row r="314" spans="1:33">
      <c r="A314" s="909" t="s">
        <v>533</v>
      </c>
      <c r="B314" s="910" t="s">
        <v>527</v>
      </c>
      <c r="C314" s="928"/>
      <c r="D314" s="928"/>
      <c r="E314" s="920"/>
      <c r="F314" s="262"/>
      <c r="G314" s="262"/>
      <c r="H314" s="262"/>
      <c r="I314" s="262"/>
      <c r="J314" s="262"/>
      <c r="K314" s="262"/>
      <c r="L314" s="262"/>
      <c r="M314" s="262"/>
      <c r="N314" s="262"/>
      <c r="O314" s="262"/>
      <c r="P314" s="252"/>
      <c r="Q314" s="261"/>
      <c r="R314" s="261"/>
      <c r="S314" s="261"/>
      <c r="T314" s="261"/>
      <c r="U314" s="261"/>
      <c r="V314" s="261"/>
      <c r="W314" s="261"/>
      <c r="X314" s="261"/>
      <c r="Y314" s="261"/>
      <c r="Z314" s="261"/>
      <c r="AA314" s="261"/>
      <c r="AB314" s="261"/>
      <c r="AC314" s="261"/>
      <c r="AD314" s="261"/>
      <c r="AE314" s="921"/>
      <c r="AF314" s="921"/>
      <c r="AG314" s="921"/>
    </row>
    <row r="315" spans="1:33">
      <c r="A315" s="909" t="s">
        <v>533</v>
      </c>
      <c r="B315" s="910" t="s">
        <v>528</v>
      </c>
      <c r="C315" s="928"/>
      <c r="D315" s="928"/>
      <c r="E315" s="920"/>
      <c r="F315" s="262"/>
      <c r="G315" s="262"/>
      <c r="H315" s="262"/>
      <c r="I315" s="262"/>
      <c r="J315" s="262"/>
      <c r="K315" s="262"/>
      <c r="L315" s="262"/>
      <c r="M315" s="262"/>
      <c r="N315" s="262"/>
      <c r="O315" s="262"/>
      <c r="P315" s="262"/>
      <c r="Q315" s="252"/>
      <c r="R315" s="261"/>
      <c r="S315" s="261"/>
      <c r="T315" s="261"/>
      <c r="U315" s="261"/>
      <c r="V315" s="261"/>
      <c r="W315" s="261"/>
      <c r="X315" s="261"/>
      <c r="Y315" s="261"/>
      <c r="Z315" s="261"/>
      <c r="AA315" s="261"/>
      <c r="AB315" s="261"/>
      <c r="AC315" s="261"/>
      <c r="AD315" s="261"/>
      <c r="AE315" s="921"/>
      <c r="AF315" s="921"/>
      <c r="AG315" s="921"/>
    </row>
    <row r="316" spans="1:33">
      <c r="A316" s="909" t="s">
        <v>533</v>
      </c>
      <c r="B316" s="910" t="s">
        <v>529</v>
      </c>
      <c r="C316" s="928"/>
      <c r="D316" s="928"/>
      <c r="E316" s="920"/>
      <c r="F316" s="262"/>
      <c r="G316" s="262"/>
      <c r="H316" s="262"/>
      <c r="I316" s="262"/>
      <c r="J316" s="262"/>
      <c r="K316" s="262"/>
      <c r="L316" s="262"/>
      <c r="M316" s="262"/>
      <c r="N316" s="262"/>
      <c r="O316" s="262"/>
      <c r="P316" s="262"/>
      <c r="Q316" s="262"/>
      <c r="R316" s="252"/>
      <c r="S316" s="261"/>
      <c r="T316" s="261"/>
      <c r="U316" s="261"/>
      <c r="V316" s="261"/>
      <c r="W316" s="261"/>
      <c r="X316" s="261"/>
      <c r="Y316" s="261"/>
      <c r="Z316" s="261"/>
      <c r="AA316" s="261"/>
      <c r="AB316" s="261"/>
      <c r="AC316" s="261"/>
      <c r="AD316" s="261"/>
      <c r="AE316" s="921"/>
      <c r="AF316" s="921"/>
      <c r="AG316" s="921"/>
    </row>
    <row r="317" spans="1:33">
      <c r="A317" s="909" t="s">
        <v>533</v>
      </c>
      <c r="B317" s="910" t="s">
        <v>530</v>
      </c>
      <c r="C317" s="928"/>
      <c r="D317" s="928"/>
      <c r="E317" s="920"/>
      <c r="F317" s="262"/>
      <c r="G317" s="262"/>
      <c r="H317" s="262"/>
      <c r="I317" s="262"/>
      <c r="J317" s="262"/>
      <c r="K317" s="262"/>
      <c r="L317" s="262"/>
      <c r="M317" s="262"/>
      <c r="N317" s="262"/>
      <c r="O317" s="262"/>
      <c r="P317" s="262"/>
      <c r="Q317" s="262"/>
      <c r="R317" s="262"/>
      <c r="S317" s="252"/>
      <c r="T317" s="261"/>
      <c r="U317" s="261"/>
      <c r="V317" s="261"/>
      <c r="W317" s="261"/>
      <c r="X317" s="261"/>
      <c r="Y317" s="261"/>
      <c r="Z317" s="261"/>
      <c r="AA317" s="261"/>
      <c r="AB317" s="261"/>
      <c r="AC317" s="261"/>
      <c r="AD317" s="261"/>
      <c r="AE317" s="921"/>
      <c r="AF317" s="921"/>
      <c r="AG317" s="921"/>
    </row>
    <row r="318" spans="1:33">
      <c r="A318" s="909" t="s">
        <v>533</v>
      </c>
      <c r="B318" s="910" t="s">
        <v>534</v>
      </c>
      <c r="C318" s="928"/>
      <c r="D318" s="928"/>
      <c r="E318" s="920"/>
      <c r="F318" s="262"/>
      <c r="G318" s="262"/>
      <c r="H318" s="262"/>
      <c r="I318" s="262"/>
      <c r="J318" s="262"/>
      <c r="K318" s="262"/>
      <c r="L318" s="262"/>
      <c r="M318" s="262"/>
      <c r="N318" s="262"/>
      <c r="O318" s="262"/>
      <c r="P318" s="262"/>
      <c r="Q318" s="262"/>
      <c r="R318" s="262"/>
      <c r="S318" s="262"/>
      <c r="T318" s="252"/>
      <c r="U318" s="261"/>
      <c r="V318" s="261"/>
      <c r="W318" s="261"/>
      <c r="X318" s="261"/>
      <c r="Y318" s="261"/>
      <c r="Z318" s="261"/>
      <c r="AA318" s="261"/>
      <c r="AB318" s="261"/>
      <c r="AC318" s="261"/>
      <c r="AD318" s="261"/>
      <c r="AE318" s="921"/>
      <c r="AF318" s="921"/>
      <c r="AG318" s="921"/>
    </row>
    <row r="319" spans="1:33">
      <c r="A319" s="909" t="s">
        <v>533</v>
      </c>
      <c r="B319" s="910" t="s">
        <v>535</v>
      </c>
      <c r="C319" s="928"/>
      <c r="D319" s="928"/>
      <c r="E319" s="920"/>
      <c r="F319" s="262"/>
      <c r="G319" s="262"/>
      <c r="H319" s="262"/>
      <c r="I319" s="262"/>
      <c r="J319" s="262"/>
      <c r="K319" s="262"/>
      <c r="L319" s="262"/>
      <c r="M319" s="262"/>
      <c r="N319" s="262"/>
      <c r="O319" s="262"/>
      <c r="P319" s="262"/>
      <c r="Q319" s="262"/>
      <c r="R319" s="262"/>
      <c r="S319" s="262"/>
      <c r="T319" s="262"/>
      <c r="U319" s="252"/>
      <c r="V319" s="261"/>
      <c r="W319" s="261"/>
      <c r="X319" s="261"/>
      <c r="Y319" s="261"/>
      <c r="Z319" s="261"/>
      <c r="AA319" s="261"/>
      <c r="AB319" s="261"/>
      <c r="AC319" s="261"/>
      <c r="AD319" s="261"/>
      <c r="AE319" s="921"/>
      <c r="AF319" s="921"/>
      <c r="AG319" s="921"/>
    </row>
    <row r="320" spans="1:33">
      <c r="A320" s="909" t="s">
        <v>533</v>
      </c>
      <c r="B320" s="910" t="s">
        <v>536</v>
      </c>
      <c r="C320" s="928"/>
      <c r="D320" s="928"/>
      <c r="E320" s="920"/>
      <c r="F320" s="262"/>
      <c r="G320" s="262"/>
      <c r="H320" s="262"/>
      <c r="I320" s="262"/>
      <c r="J320" s="262"/>
      <c r="K320" s="262"/>
      <c r="L320" s="262"/>
      <c r="M320" s="262"/>
      <c r="N320" s="262"/>
      <c r="O320" s="262"/>
      <c r="P320" s="262"/>
      <c r="Q320" s="262"/>
      <c r="R320" s="262"/>
      <c r="S320" s="262"/>
      <c r="T320" s="262"/>
      <c r="U320" s="262"/>
      <c r="V320" s="252"/>
      <c r="W320" s="261"/>
      <c r="X320" s="261"/>
      <c r="Y320" s="261"/>
      <c r="Z320" s="261"/>
      <c r="AA320" s="261"/>
      <c r="AB320" s="261"/>
      <c r="AC320" s="261"/>
      <c r="AD320" s="261"/>
      <c r="AE320" s="921"/>
      <c r="AF320" s="921"/>
      <c r="AG320" s="921"/>
    </row>
    <row r="321" spans="1:33">
      <c r="A321" s="909" t="s">
        <v>533</v>
      </c>
      <c r="B321" s="910" t="s">
        <v>546</v>
      </c>
      <c r="C321" s="928"/>
      <c r="D321" s="928"/>
      <c r="E321" s="920"/>
      <c r="F321" s="262"/>
      <c r="G321" s="262"/>
      <c r="H321" s="262"/>
      <c r="I321" s="262"/>
      <c r="J321" s="262"/>
      <c r="K321" s="262"/>
      <c r="L321" s="262"/>
      <c r="M321" s="262"/>
      <c r="N321" s="262"/>
      <c r="O321" s="262"/>
      <c r="P321" s="262"/>
      <c r="Q321" s="262"/>
      <c r="R321" s="262"/>
      <c r="S321" s="262"/>
      <c r="T321" s="262"/>
      <c r="U321" s="262"/>
      <c r="V321" s="262"/>
      <c r="W321" s="252"/>
      <c r="X321" s="261"/>
      <c r="Y321" s="261"/>
      <c r="Z321" s="261"/>
      <c r="AA321" s="261"/>
      <c r="AB321" s="261"/>
      <c r="AC321" s="261"/>
      <c r="AD321" s="261"/>
      <c r="AE321" s="921"/>
      <c r="AF321" s="921"/>
      <c r="AG321" s="921"/>
    </row>
    <row r="322" spans="1:33">
      <c r="A322" s="909" t="s">
        <v>533</v>
      </c>
      <c r="B322" s="910" t="s">
        <v>547</v>
      </c>
      <c r="C322" s="928"/>
      <c r="D322" s="928"/>
      <c r="E322" s="920"/>
      <c r="F322" s="262"/>
      <c r="G322" s="262"/>
      <c r="H322" s="262"/>
      <c r="I322" s="262"/>
      <c r="J322" s="262"/>
      <c r="K322" s="262"/>
      <c r="L322" s="262"/>
      <c r="M322" s="262"/>
      <c r="N322" s="262"/>
      <c r="O322" s="262"/>
      <c r="P322" s="262"/>
      <c r="Q322" s="262"/>
      <c r="R322" s="262"/>
      <c r="S322" s="262"/>
      <c r="T322" s="262"/>
      <c r="U322" s="262"/>
      <c r="V322" s="262"/>
      <c r="W322" s="262"/>
      <c r="X322" s="252"/>
      <c r="Y322" s="261"/>
      <c r="Z322" s="261"/>
      <c r="AA322" s="261"/>
      <c r="AB322" s="261"/>
      <c r="AC322" s="261"/>
      <c r="AD322" s="261"/>
      <c r="AE322" s="921"/>
      <c r="AF322" s="921"/>
      <c r="AG322" s="921"/>
    </row>
    <row r="323" spans="1:33">
      <c r="A323" s="909" t="s">
        <v>533</v>
      </c>
      <c r="B323" s="910" t="s">
        <v>548</v>
      </c>
      <c r="C323" s="928"/>
      <c r="D323" s="928"/>
      <c r="E323" s="920"/>
      <c r="F323" s="262"/>
      <c r="G323" s="262"/>
      <c r="H323" s="262"/>
      <c r="I323" s="262"/>
      <c r="J323" s="262"/>
      <c r="K323" s="262"/>
      <c r="L323" s="262"/>
      <c r="M323" s="262"/>
      <c r="N323" s="262"/>
      <c r="O323" s="262"/>
      <c r="P323" s="262"/>
      <c r="Q323" s="262"/>
      <c r="R323" s="262"/>
      <c r="S323" s="262"/>
      <c r="T323" s="262"/>
      <c r="U323" s="262"/>
      <c r="V323" s="262"/>
      <c r="W323" s="262"/>
      <c r="X323" s="262"/>
      <c r="Y323" s="252"/>
      <c r="Z323" s="921"/>
      <c r="AA323" s="921"/>
      <c r="AB323" s="921"/>
      <c r="AC323" s="921"/>
      <c r="AD323" s="921"/>
      <c r="AE323" s="921"/>
      <c r="AF323" s="921"/>
      <c r="AG323" s="921"/>
    </row>
    <row r="324" spans="1:33">
      <c r="A324" s="909" t="s">
        <v>533</v>
      </c>
      <c r="B324" s="910" t="s">
        <v>1038</v>
      </c>
      <c r="C324" s="250"/>
      <c r="D324" s="250"/>
      <c r="E324" s="923"/>
      <c r="F324" s="262"/>
      <c r="G324" s="262"/>
      <c r="H324" s="262"/>
      <c r="I324" s="262"/>
      <c r="J324" s="262"/>
      <c r="K324" s="262"/>
      <c r="L324" s="262"/>
      <c r="M324" s="262"/>
      <c r="N324" s="262"/>
      <c r="O324" s="262"/>
      <c r="P324" s="262"/>
      <c r="Q324" s="262"/>
      <c r="R324" s="262"/>
      <c r="S324" s="262"/>
      <c r="T324" s="262"/>
      <c r="U324" s="262"/>
      <c r="V324" s="262"/>
      <c r="W324" s="262"/>
      <c r="X324" s="262"/>
      <c r="Y324" s="262"/>
      <c r="Z324" s="252"/>
      <c r="AA324" s="261"/>
      <c r="AB324" s="261"/>
      <c r="AC324" s="261"/>
      <c r="AD324" s="261"/>
      <c r="AE324" s="250"/>
      <c r="AF324" s="250"/>
      <c r="AG324" s="921"/>
    </row>
    <row r="325" spans="1:33">
      <c r="A325" s="909" t="s">
        <v>533</v>
      </c>
      <c r="B325" s="910" t="s">
        <v>1039</v>
      </c>
      <c r="C325" s="250"/>
      <c r="D325" s="250"/>
      <c r="E325" s="923"/>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52"/>
      <c r="AB325" s="261"/>
      <c r="AC325" s="261"/>
      <c r="AD325" s="261"/>
      <c r="AE325" s="250"/>
      <c r="AF325" s="250"/>
      <c r="AG325" s="921"/>
    </row>
    <row r="326" spans="1:33">
      <c r="A326" s="909" t="s">
        <v>533</v>
      </c>
      <c r="B326" s="910" t="s">
        <v>1040</v>
      </c>
      <c r="C326" s="250"/>
      <c r="D326" s="250"/>
      <c r="E326" s="923"/>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52"/>
      <c r="AC326" s="261"/>
      <c r="AD326" s="261"/>
      <c r="AE326" s="250"/>
      <c r="AF326" s="250"/>
      <c r="AG326" s="921"/>
    </row>
    <row r="327" spans="1:33">
      <c r="A327" s="909" t="s">
        <v>533</v>
      </c>
      <c r="B327" s="910" t="s">
        <v>1041</v>
      </c>
      <c r="C327" s="250"/>
      <c r="D327" s="250"/>
      <c r="E327" s="923"/>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52"/>
      <c r="AD327" s="261"/>
      <c r="AE327" s="250"/>
      <c r="AF327" s="250"/>
      <c r="AG327" s="921"/>
    </row>
    <row r="328" spans="1:33">
      <c r="A328" s="909" t="s">
        <v>533</v>
      </c>
      <c r="B328" s="910" t="s">
        <v>1042</v>
      </c>
      <c r="C328" s="250"/>
      <c r="D328" s="250"/>
      <c r="E328" s="923"/>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252"/>
      <c r="AE328" s="250"/>
      <c r="AF328" s="250"/>
      <c r="AG328" s="921"/>
    </row>
    <row r="329" spans="1:33" ht="13">
      <c r="A329" s="913"/>
      <c r="B329" s="914" t="s">
        <v>271</v>
      </c>
      <c r="C329" s="251"/>
      <c r="D329" s="251"/>
      <c r="E329" s="251"/>
      <c r="F329" s="251"/>
      <c r="G329" s="251"/>
      <c r="H329" s="251"/>
      <c r="I329" s="251"/>
      <c r="J329" s="251"/>
      <c r="K329" s="251"/>
      <c r="L329" s="251"/>
      <c r="M329" s="251"/>
      <c r="N329" s="251"/>
      <c r="O329" s="251"/>
      <c r="P329" s="251"/>
      <c r="Q329" s="251"/>
      <c r="R329" s="251"/>
      <c r="S329" s="251"/>
      <c r="T329" s="251"/>
      <c r="U329" s="251"/>
      <c r="V329" s="251"/>
      <c r="W329" s="251"/>
      <c r="X329" s="251"/>
      <c r="Y329" s="251"/>
      <c r="Z329" s="251"/>
      <c r="AA329" s="251"/>
      <c r="AB329" s="251"/>
      <c r="AC329" s="251"/>
      <c r="AD329" s="251"/>
      <c r="AE329" s="251"/>
      <c r="AF329" s="251"/>
      <c r="AG329" s="251"/>
    </row>
  </sheetData>
  <mergeCells count="44">
    <mergeCell ref="C301:C302"/>
    <mergeCell ref="D301:D302"/>
    <mergeCell ref="E301:E302"/>
    <mergeCell ref="F301:AD301"/>
    <mergeCell ref="C235:C236"/>
    <mergeCell ref="D235:D236"/>
    <mergeCell ref="E235:E236"/>
    <mergeCell ref="F235:AD235"/>
    <mergeCell ref="C268:C269"/>
    <mergeCell ref="D268:D269"/>
    <mergeCell ref="E268:E269"/>
    <mergeCell ref="F268:AD268"/>
    <mergeCell ref="C169:C170"/>
    <mergeCell ref="D169:D170"/>
    <mergeCell ref="E169:E170"/>
    <mergeCell ref="F169:AD169"/>
    <mergeCell ref="C202:C203"/>
    <mergeCell ref="D202:D203"/>
    <mergeCell ref="E202:E203"/>
    <mergeCell ref="F202:AD202"/>
    <mergeCell ref="C103:C104"/>
    <mergeCell ref="D103:D104"/>
    <mergeCell ref="E103:E104"/>
    <mergeCell ref="F103:AD103"/>
    <mergeCell ref="C136:C137"/>
    <mergeCell ref="D136:D137"/>
    <mergeCell ref="E136:E137"/>
    <mergeCell ref="F136:AD136"/>
    <mergeCell ref="C37:C38"/>
    <mergeCell ref="D37:D38"/>
    <mergeCell ref="E37:E38"/>
    <mergeCell ref="F37:AD37"/>
    <mergeCell ref="C70:C71"/>
    <mergeCell ref="D70:D71"/>
    <mergeCell ref="E70:E71"/>
    <mergeCell ref="F70:AD70"/>
    <mergeCell ref="A2:T2"/>
    <mergeCell ref="A3:T3"/>
    <mergeCell ref="A4:T4"/>
    <mergeCell ref="B6:B7"/>
    <mergeCell ref="C6:C7"/>
    <mergeCell ref="D6:D7"/>
    <mergeCell ref="E6:E7"/>
    <mergeCell ref="F6:AD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4"/>
  <dimension ref="B2:O405"/>
  <sheetViews>
    <sheetView showGridLines="0" zoomScale="50" zoomScaleNormal="50" workbookViewId="0">
      <selection activeCell="S39" sqref="S39"/>
    </sheetView>
  </sheetViews>
  <sheetFormatPr defaultColWidth="9.36328125" defaultRowHeight="14"/>
  <cols>
    <col min="1" max="1" width="9.36328125" style="256"/>
    <col min="2" max="2" width="7.453125" style="256" bestFit="1" customWidth="1"/>
    <col min="3" max="3" width="32" style="256" bestFit="1" customWidth="1"/>
    <col min="4" max="4" width="8.6328125" style="256" customWidth="1"/>
    <col min="5" max="5" width="18.36328125" style="256" customWidth="1"/>
    <col min="6" max="6" width="13.6328125" style="256" bestFit="1" customWidth="1"/>
    <col min="7" max="8" width="19.36328125" style="256" customWidth="1"/>
    <col min="9" max="9" width="21.54296875" style="256" customWidth="1"/>
    <col min="10" max="10" width="13.54296875" style="256" customWidth="1"/>
    <col min="11" max="11" width="18.36328125" style="256" customWidth="1"/>
    <col min="12" max="12" width="20" style="256" customWidth="1"/>
    <col min="13" max="13" width="18.453125" style="256" customWidth="1"/>
    <col min="14" max="14" width="17.6328125" style="256" customWidth="1"/>
    <col min="15" max="15" width="17.36328125" style="256" customWidth="1"/>
    <col min="16" max="16384" width="9.36328125" style="256"/>
  </cols>
  <sheetData>
    <row r="2" spans="2:15">
      <c r="B2" s="1776" t="str">
        <f>Index!B2</f>
        <v xml:space="preserve">      Maharashtra State Power Generation Company Ltd.</v>
      </c>
      <c r="C2" s="1776"/>
      <c r="D2" s="1776"/>
      <c r="E2" s="1776"/>
      <c r="F2" s="1776"/>
      <c r="G2" s="1776"/>
      <c r="H2" s="1776"/>
      <c r="I2" s="1776"/>
      <c r="J2" s="1776"/>
      <c r="K2" s="1776"/>
      <c r="L2" s="1776"/>
      <c r="M2" s="1776"/>
      <c r="N2" s="1776"/>
      <c r="O2" s="1776"/>
    </row>
    <row r="3" spans="2:15">
      <c r="B3" s="1776" t="str">
        <f>Index!B3</f>
        <v>MYT Petition Formats for Parli 8</v>
      </c>
      <c r="C3" s="1776"/>
      <c r="D3" s="1776"/>
      <c r="E3" s="1776"/>
      <c r="F3" s="1776"/>
      <c r="G3" s="1776"/>
      <c r="H3" s="1776"/>
      <c r="I3" s="1776"/>
      <c r="J3" s="1776"/>
      <c r="K3" s="1776"/>
      <c r="L3" s="1776"/>
      <c r="M3" s="1776"/>
      <c r="N3" s="1776"/>
      <c r="O3" s="1776"/>
    </row>
    <row r="4" spans="2:15">
      <c r="B4" s="1966" t="s">
        <v>732</v>
      </c>
      <c r="C4" s="1966"/>
      <c r="D4" s="1966"/>
      <c r="E4" s="1966"/>
      <c r="F4" s="1966"/>
      <c r="G4" s="1966"/>
      <c r="H4" s="1966"/>
      <c r="I4" s="1966"/>
      <c r="J4" s="1966"/>
      <c r="K4" s="1966"/>
      <c r="L4" s="1966"/>
      <c r="M4" s="1966"/>
      <c r="N4" s="1966"/>
      <c r="O4" s="1966"/>
    </row>
    <row r="5" spans="2:15">
      <c r="B5" s="14"/>
      <c r="C5" s="14"/>
      <c r="D5" s="14"/>
      <c r="E5" s="14"/>
      <c r="F5" s="14"/>
      <c r="G5" s="14"/>
      <c r="H5" s="14"/>
      <c r="I5" s="14"/>
      <c r="J5" s="14"/>
      <c r="K5" s="14"/>
      <c r="L5" s="14"/>
    </row>
    <row r="6" spans="2:15">
      <c r="B6" s="2008" t="s">
        <v>734</v>
      </c>
      <c r="C6" s="2008"/>
      <c r="D6" s="257"/>
      <c r="E6" s="14"/>
      <c r="F6" s="14"/>
      <c r="G6" s="14"/>
      <c r="H6" s="14"/>
      <c r="I6" s="14"/>
      <c r="J6" s="14"/>
      <c r="K6" s="14"/>
      <c r="L6" s="14"/>
    </row>
    <row r="8" spans="2:15" ht="79.25" customHeight="1">
      <c r="B8" s="1778" t="s">
        <v>340</v>
      </c>
      <c r="C8" s="1778" t="s">
        <v>559</v>
      </c>
      <c r="D8" s="1778" t="s">
        <v>570</v>
      </c>
      <c r="E8" s="260" t="s">
        <v>640</v>
      </c>
      <c r="F8" s="1770" t="s">
        <v>560</v>
      </c>
      <c r="G8" s="1770"/>
      <c r="H8" s="1770"/>
      <c r="I8" s="1770"/>
      <c r="J8" s="1770"/>
      <c r="K8" s="1770" t="s">
        <v>564</v>
      </c>
      <c r="L8" s="1770"/>
      <c r="M8" s="1770"/>
      <c r="N8" s="1770" t="s">
        <v>568</v>
      </c>
      <c r="O8" s="1770" t="s">
        <v>569</v>
      </c>
    </row>
    <row r="9" spans="2:15" ht="42.75" customHeight="1">
      <c r="B9" s="1807"/>
      <c r="C9" s="1807"/>
      <c r="D9" s="1807"/>
      <c r="E9" s="235" t="s">
        <v>642</v>
      </c>
      <c r="F9" s="234" t="s">
        <v>566</v>
      </c>
      <c r="G9" s="234" t="s">
        <v>561</v>
      </c>
      <c r="H9" s="258" t="s">
        <v>644</v>
      </c>
      <c r="I9" s="235" t="s">
        <v>562</v>
      </c>
      <c r="J9" s="235" t="s">
        <v>563</v>
      </c>
      <c r="K9" s="235" t="s">
        <v>565</v>
      </c>
      <c r="L9" s="235" t="s">
        <v>567</v>
      </c>
      <c r="M9" s="235" t="s">
        <v>643</v>
      </c>
      <c r="N9" s="1770"/>
      <c r="O9" s="1770"/>
    </row>
    <row r="10" spans="2:15">
      <c r="B10" s="2009">
        <f>B9+1</f>
        <v>1</v>
      </c>
      <c r="C10" s="2012"/>
      <c r="D10" s="125" t="s">
        <v>279</v>
      </c>
      <c r="E10" s="2015" t="s">
        <v>770</v>
      </c>
      <c r="F10" s="2016"/>
      <c r="G10" s="2016"/>
      <c r="H10" s="2016"/>
      <c r="I10" s="2016"/>
      <c r="J10" s="2016"/>
      <c r="K10" s="2016"/>
      <c r="L10" s="2016"/>
      <c r="M10" s="2016"/>
      <c r="N10" s="2016"/>
      <c r="O10" s="2017"/>
    </row>
    <row r="11" spans="2:15">
      <c r="B11" s="2010"/>
      <c r="C11" s="2013"/>
      <c r="D11" s="125" t="s">
        <v>280</v>
      </c>
      <c r="E11" s="2018"/>
      <c r="F11" s="2019"/>
      <c r="G11" s="2019"/>
      <c r="H11" s="2019"/>
      <c r="I11" s="2019"/>
      <c r="J11" s="2019"/>
      <c r="K11" s="2019"/>
      <c r="L11" s="2019"/>
      <c r="M11" s="2019"/>
      <c r="N11" s="2019"/>
      <c r="O11" s="2020"/>
    </row>
    <row r="12" spans="2:15">
      <c r="B12" s="2010"/>
      <c r="C12" s="2013"/>
      <c r="D12" s="125" t="s">
        <v>281</v>
      </c>
      <c r="E12" s="2018"/>
      <c r="F12" s="2019"/>
      <c r="G12" s="2019"/>
      <c r="H12" s="2019"/>
      <c r="I12" s="2019"/>
      <c r="J12" s="2019"/>
      <c r="K12" s="2019"/>
      <c r="L12" s="2019"/>
      <c r="M12" s="2019"/>
      <c r="N12" s="2019"/>
      <c r="O12" s="2020"/>
    </row>
    <row r="13" spans="2:15">
      <c r="B13" s="2010"/>
      <c r="C13" s="2013"/>
      <c r="D13" s="125" t="s">
        <v>571</v>
      </c>
      <c r="E13" s="2018"/>
      <c r="F13" s="2019"/>
      <c r="G13" s="2019"/>
      <c r="H13" s="2019"/>
      <c r="I13" s="2019"/>
      <c r="J13" s="2019"/>
      <c r="K13" s="2019"/>
      <c r="L13" s="2019"/>
      <c r="M13" s="2019"/>
      <c r="N13" s="2019"/>
      <c r="O13" s="2020"/>
    </row>
    <row r="14" spans="2:15">
      <c r="B14" s="2010"/>
      <c r="C14" s="2013"/>
      <c r="D14" s="125" t="s">
        <v>283</v>
      </c>
      <c r="E14" s="2018"/>
      <c r="F14" s="2019"/>
      <c r="G14" s="2019"/>
      <c r="H14" s="2019"/>
      <c r="I14" s="2019"/>
      <c r="J14" s="2019"/>
      <c r="K14" s="2019"/>
      <c r="L14" s="2019"/>
      <c r="M14" s="2019"/>
      <c r="N14" s="2019"/>
      <c r="O14" s="2020"/>
    </row>
    <row r="15" spans="2:15">
      <c r="B15" s="2010"/>
      <c r="C15" s="2013"/>
      <c r="D15" s="125" t="s">
        <v>284</v>
      </c>
      <c r="E15" s="2018"/>
      <c r="F15" s="2019"/>
      <c r="G15" s="2019"/>
      <c r="H15" s="2019"/>
      <c r="I15" s="2019"/>
      <c r="J15" s="2019"/>
      <c r="K15" s="2019"/>
      <c r="L15" s="2019"/>
      <c r="M15" s="2019"/>
      <c r="N15" s="2019"/>
      <c r="O15" s="2020"/>
    </row>
    <row r="16" spans="2:15">
      <c r="B16" s="2010"/>
      <c r="C16" s="2013"/>
      <c r="D16" s="125" t="s">
        <v>285</v>
      </c>
      <c r="E16" s="2018"/>
      <c r="F16" s="2019"/>
      <c r="G16" s="2019"/>
      <c r="H16" s="2019"/>
      <c r="I16" s="2019"/>
      <c r="J16" s="2019"/>
      <c r="K16" s="2019"/>
      <c r="L16" s="2019"/>
      <c r="M16" s="2019"/>
      <c r="N16" s="2019"/>
      <c r="O16" s="2020"/>
    </row>
    <row r="17" spans="2:15">
      <c r="B17" s="2010"/>
      <c r="C17" s="2013"/>
      <c r="D17" s="125" t="s">
        <v>572</v>
      </c>
      <c r="E17" s="2018"/>
      <c r="F17" s="2019"/>
      <c r="G17" s="2019"/>
      <c r="H17" s="2019"/>
      <c r="I17" s="2019"/>
      <c r="J17" s="2019"/>
      <c r="K17" s="2019"/>
      <c r="L17" s="2019"/>
      <c r="M17" s="2019"/>
      <c r="N17" s="2019"/>
      <c r="O17" s="2020"/>
    </row>
    <row r="18" spans="2:15">
      <c r="B18" s="2010"/>
      <c r="C18" s="2013"/>
      <c r="D18" s="125" t="s">
        <v>287</v>
      </c>
      <c r="E18" s="2018"/>
      <c r="F18" s="2019"/>
      <c r="G18" s="2019"/>
      <c r="H18" s="2019"/>
      <c r="I18" s="2019"/>
      <c r="J18" s="2019"/>
      <c r="K18" s="2019"/>
      <c r="L18" s="2019"/>
      <c r="M18" s="2019"/>
      <c r="N18" s="2019"/>
      <c r="O18" s="2020"/>
    </row>
    <row r="19" spans="2:15">
      <c r="B19" s="2010"/>
      <c r="C19" s="2013"/>
      <c r="D19" s="125" t="s">
        <v>288</v>
      </c>
      <c r="E19" s="2018"/>
      <c r="F19" s="2019"/>
      <c r="G19" s="2019"/>
      <c r="H19" s="2019"/>
      <c r="I19" s="2019"/>
      <c r="J19" s="2019"/>
      <c r="K19" s="2019"/>
      <c r="L19" s="2019"/>
      <c r="M19" s="2019"/>
      <c r="N19" s="2019"/>
      <c r="O19" s="2020"/>
    </row>
    <row r="20" spans="2:15">
      <c r="B20" s="2010"/>
      <c r="C20" s="2013"/>
      <c r="D20" s="125" t="s">
        <v>289</v>
      </c>
      <c r="E20" s="2018"/>
      <c r="F20" s="2019"/>
      <c r="G20" s="2019"/>
      <c r="H20" s="2019"/>
      <c r="I20" s="2019"/>
      <c r="J20" s="2019"/>
      <c r="K20" s="2019"/>
      <c r="L20" s="2019"/>
      <c r="M20" s="2019"/>
      <c r="N20" s="2019"/>
      <c r="O20" s="2020"/>
    </row>
    <row r="21" spans="2:15">
      <c r="B21" s="2011"/>
      <c r="C21" s="2014"/>
      <c r="D21" s="125" t="s">
        <v>290</v>
      </c>
      <c r="E21" s="2018"/>
      <c r="F21" s="2019"/>
      <c r="G21" s="2019"/>
      <c r="H21" s="2019"/>
      <c r="I21" s="2019"/>
      <c r="J21" s="2019"/>
      <c r="K21" s="2019"/>
      <c r="L21" s="2019"/>
      <c r="M21" s="2019"/>
      <c r="N21" s="2019"/>
      <c r="O21" s="2020"/>
    </row>
    <row r="22" spans="2:15">
      <c r="B22" s="2009">
        <f>B10+1</f>
        <v>2</v>
      </c>
      <c r="C22" s="2012"/>
      <c r="D22" s="125" t="s">
        <v>279</v>
      </c>
      <c r="E22" s="2018"/>
      <c r="F22" s="2019"/>
      <c r="G22" s="2019"/>
      <c r="H22" s="2019"/>
      <c r="I22" s="2019"/>
      <c r="J22" s="2019"/>
      <c r="K22" s="2019"/>
      <c r="L22" s="2019"/>
      <c r="M22" s="2019"/>
      <c r="N22" s="2019"/>
      <c r="O22" s="2020"/>
    </row>
    <row r="23" spans="2:15">
      <c r="B23" s="2010"/>
      <c r="C23" s="2013"/>
      <c r="D23" s="125" t="s">
        <v>280</v>
      </c>
      <c r="E23" s="2018"/>
      <c r="F23" s="2019"/>
      <c r="G23" s="2019"/>
      <c r="H23" s="2019"/>
      <c r="I23" s="2019"/>
      <c r="J23" s="2019"/>
      <c r="K23" s="2019"/>
      <c r="L23" s="2019"/>
      <c r="M23" s="2019"/>
      <c r="N23" s="2019"/>
      <c r="O23" s="2020"/>
    </row>
    <row r="24" spans="2:15">
      <c r="B24" s="2010"/>
      <c r="C24" s="2013"/>
      <c r="D24" s="125" t="s">
        <v>281</v>
      </c>
      <c r="E24" s="2018"/>
      <c r="F24" s="2019"/>
      <c r="G24" s="2019"/>
      <c r="H24" s="2019"/>
      <c r="I24" s="2019"/>
      <c r="J24" s="2019"/>
      <c r="K24" s="2019"/>
      <c r="L24" s="2019"/>
      <c r="M24" s="2019"/>
      <c r="N24" s="2019"/>
      <c r="O24" s="2020"/>
    </row>
    <row r="25" spans="2:15">
      <c r="B25" s="2010"/>
      <c r="C25" s="2013"/>
      <c r="D25" s="125" t="s">
        <v>571</v>
      </c>
      <c r="E25" s="2018"/>
      <c r="F25" s="2019"/>
      <c r="G25" s="2019"/>
      <c r="H25" s="2019"/>
      <c r="I25" s="2019"/>
      <c r="J25" s="2019"/>
      <c r="K25" s="2019"/>
      <c r="L25" s="2019"/>
      <c r="M25" s="2019"/>
      <c r="N25" s="2019"/>
      <c r="O25" s="2020"/>
    </row>
    <row r="26" spans="2:15">
      <c r="B26" s="2010"/>
      <c r="C26" s="2013"/>
      <c r="D26" s="125" t="s">
        <v>283</v>
      </c>
      <c r="E26" s="2018"/>
      <c r="F26" s="2019"/>
      <c r="G26" s="2019"/>
      <c r="H26" s="2019"/>
      <c r="I26" s="2019"/>
      <c r="J26" s="2019"/>
      <c r="K26" s="2019"/>
      <c r="L26" s="2019"/>
      <c r="M26" s="2019"/>
      <c r="N26" s="2019"/>
      <c r="O26" s="2020"/>
    </row>
    <row r="27" spans="2:15">
      <c r="B27" s="2010"/>
      <c r="C27" s="2013"/>
      <c r="D27" s="125" t="s">
        <v>284</v>
      </c>
      <c r="E27" s="2018"/>
      <c r="F27" s="2019"/>
      <c r="G27" s="2019"/>
      <c r="H27" s="2019"/>
      <c r="I27" s="2019"/>
      <c r="J27" s="2019"/>
      <c r="K27" s="2019"/>
      <c r="L27" s="2019"/>
      <c r="M27" s="2019"/>
      <c r="N27" s="2019"/>
      <c r="O27" s="2020"/>
    </row>
    <row r="28" spans="2:15">
      <c r="B28" s="2010"/>
      <c r="C28" s="2013"/>
      <c r="D28" s="125" t="s">
        <v>285</v>
      </c>
      <c r="E28" s="2018"/>
      <c r="F28" s="2019"/>
      <c r="G28" s="2019"/>
      <c r="H28" s="2019"/>
      <c r="I28" s="2019"/>
      <c r="J28" s="2019"/>
      <c r="K28" s="2019"/>
      <c r="L28" s="2019"/>
      <c r="M28" s="2019"/>
      <c r="N28" s="2019"/>
      <c r="O28" s="2020"/>
    </row>
    <row r="29" spans="2:15">
      <c r="B29" s="2010"/>
      <c r="C29" s="2013"/>
      <c r="D29" s="125" t="s">
        <v>572</v>
      </c>
      <c r="E29" s="2018"/>
      <c r="F29" s="2019"/>
      <c r="G29" s="2019"/>
      <c r="H29" s="2019"/>
      <c r="I29" s="2019"/>
      <c r="J29" s="2019"/>
      <c r="K29" s="2019"/>
      <c r="L29" s="2019"/>
      <c r="M29" s="2019"/>
      <c r="N29" s="2019"/>
      <c r="O29" s="2020"/>
    </row>
    <row r="30" spans="2:15">
      <c r="B30" s="2010"/>
      <c r="C30" s="2013"/>
      <c r="D30" s="125" t="s">
        <v>287</v>
      </c>
      <c r="E30" s="2018"/>
      <c r="F30" s="2019"/>
      <c r="G30" s="2019"/>
      <c r="H30" s="2019"/>
      <c r="I30" s="2019"/>
      <c r="J30" s="2019"/>
      <c r="K30" s="2019"/>
      <c r="L30" s="2019"/>
      <c r="M30" s="2019"/>
      <c r="N30" s="2019"/>
      <c r="O30" s="2020"/>
    </row>
    <row r="31" spans="2:15">
      <c r="B31" s="2010"/>
      <c r="C31" s="2013"/>
      <c r="D31" s="125" t="s">
        <v>288</v>
      </c>
      <c r="E31" s="2018"/>
      <c r="F31" s="2019"/>
      <c r="G31" s="2019"/>
      <c r="H31" s="2019"/>
      <c r="I31" s="2019"/>
      <c r="J31" s="2019"/>
      <c r="K31" s="2019"/>
      <c r="L31" s="2019"/>
      <c r="M31" s="2019"/>
      <c r="N31" s="2019"/>
      <c r="O31" s="2020"/>
    </row>
    <row r="32" spans="2:15">
      <c r="B32" s="2010"/>
      <c r="C32" s="2013"/>
      <c r="D32" s="125" t="s">
        <v>289</v>
      </c>
      <c r="E32" s="2018"/>
      <c r="F32" s="2019"/>
      <c r="G32" s="2019"/>
      <c r="H32" s="2019"/>
      <c r="I32" s="2019"/>
      <c r="J32" s="2019"/>
      <c r="K32" s="2019"/>
      <c r="L32" s="2019"/>
      <c r="M32" s="2019"/>
      <c r="N32" s="2019"/>
      <c r="O32" s="2020"/>
    </row>
    <row r="33" spans="2:15">
      <c r="B33" s="2011"/>
      <c r="C33" s="2014"/>
      <c r="D33" s="125" t="s">
        <v>290</v>
      </c>
      <c r="E33" s="2018"/>
      <c r="F33" s="2019"/>
      <c r="G33" s="2019"/>
      <c r="H33" s="2019"/>
      <c r="I33" s="2019"/>
      <c r="J33" s="2019"/>
      <c r="K33" s="2019"/>
      <c r="L33" s="2019"/>
      <c r="M33" s="2019"/>
      <c r="N33" s="2019"/>
      <c r="O33" s="2020"/>
    </row>
    <row r="34" spans="2:15">
      <c r="B34" s="99">
        <v>3</v>
      </c>
      <c r="C34" s="124"/>
      <c r="D34" s="124"/>
      <c r="E34" s="2018"/>
      <c r="F34" s="2019"/>
      <c r="G34" s="2019"/>
      <c r="H34" s="2019"/>
      <c r="I34" s="2019"/>
      <c r="J34" s="2019"/>
      <c r="K34" s="2019"/>
      <c r="L34" s="2019"/>
      <c r="M34" s="2019"/>
      <c r="N34" s="2019"/>
      <c r="O34" s="2020"/>
    </row>
    <row r="35" spans="2:15">
      <c r="B35" s="99" t="s">
        <v>477</v>
      </c>
      <c r="C35" s="126"/>
      <c r="D35" s="126"/>
      <c r="E35" s="2021"/>
      <c r="F35" s="2022"/>
      <c r="G35" s="2022"/>
      <c r="H35" s="2022"/>
      <c r="I35" s="2022"/>
      <c r="J35" s="2022"/>
      <c r="K35" s="2022"/>
      <c r="L35" s="2022"/>
      <c r="M35" s="2022"/>
      <c r="N35" s="2022"/>
      <c r="O35" s="2023"/>
    </row>
    <row r="37" spans="2:15">
      <c r="B37" s="2008" t="s">
        <v>1011</v>
      </c>
      <c r="C37" s="2008"/>
      <c r="D37" s="305"/>
      <c r="E37" s="14"/>
      <c r="F37" s="14"/>
      <c r="G37" s="14"/>
      <c r="H37" s="14"/>
      <c r="I37" s="14"/>
      <c r="J37" s="14"/>
      <c r="K37" s="14"/>
      <c r="L37" s="14"/>
    </row>
    <row r="39" spans="2:15" ht="79.25" customHeight="1">
      <c r="B39" s="1778" t="s">
        <v>340</v>
      </c>
      <c r="C39" s="1778" t="s">
        <v>559</v>
      </c>
      <c r="D39" s="1778" t="s">
        <v>570</v>
      </c>
      <c r="E39" s="298" t="s">
        <v>640</v>
      </c>
      <c r="F39" s="1770" t="s">
        <v>560</v>
      </c>
      <c r="G39" s="1770"/>
      <c r="H39" s="1770"/>
      <c r="I39" s="1770"/>
      <c r="J39" s="1770"/>
      <c r="K39" s="1770" t="s">
        <v>564</v>
      </c>
      <c r="L39" s="1770"/>
      <c r="M39" s="1770"/>
      <c r="N39" s="1770" t="s">
        <v>737</v>
      </c>
      <c r="O39" s="1770" t="s">
        <v>569</v>
      </c>
    </row>
    <row r="40" spans="2:15" ht="42.75" customHeight="1">
      <c r="B40" s="1807"/>
      <c r="C40" s="1807"/>
      <c r="D40" s="1807"/>
      <c r="E40" s="297" t="s">
        <v>642</v>
      </c>
      <c r="F40" s="295" t="s">
        <v>566</v>
      </c>
      <c r="G40" s="295" t="s">
        <v>561</v>
      </c>
      <c r="H40" s="295" t="s">
        <v>644</v>
      </c>
      <c r="I40" s="297" t="s">
        <v>682</v>
      </c>
      <c r="J40" s="297" t="s">
        <v>735</v>
      </c>
      <c r="K40" s="297" t="s">
        <v>565</v>
      </c>
      <c r="L40" s="297" t="s">
        <v>736</v>
      </c>
      <c r="M40" s="297" t="s">
        <v>643</v>
      </c>
      <c r="N40" s="1770"/>
      <c r="O40" s="1770"/>
    </row>
    <row r="41" spans="2:15">
      <c r="B41" s="2009">
        <f>B40+1</f>
        <v>1</v>
      </c>
      <c r="C41" s="2012"/>
      <c r="D41" s="125" t="s">
        <v>279</v>
      </c>
      <c r="E41" s="2015" t="s">
        <v>770</v>
      </c>
      <c r="F41" s="2016"/>
      <c r="G41" s="2016"/>
      <c r="H41" s="2016"/>
      <c r="I41" s="2016"/>
      <c r="J41" s="2016"/>
      <c r="K41" s="2016"/>
      <c r="L41" s="2016"/>
      <c r="M41" s="2016"/>
      <c r="N41" s="2016"/>
      <c r="O41" s="2017"/>
    </row>
    <row r="42" spans="2:15">
      <c r="B42" s="2010"/>
      <c r="C42" s="2013"/>
      <c r="D42" s="125" t="s">
        <v>280</v>
      </c>
      <c r="E42" s="2018"/>
      <c r="F42" s="2019"/>
      <c r="G42" s="2019"/>
      <c r="H42" s="2019"/>
      <c r="I42" s="2019"/>
      <c r="J42" s="2019"/>
      <c r="K42" s="2019"/>
      <c r="L42" s="2019"/>
      <c r="M42" s="2019"/>
      <c r="N42" s="2019"/>
      <c r="O42" s="2020"/>
    </row>
    <row r="43" spans="2:15">
      <c r="B43" s="2010"/>
      <c r="C43" s="2013"/>
      <c r="D43" s="125" t="s">
        <v>281</v>
      </c>
      <c r="E43" s="2018"/>
      <c r="F43" s="2019"/>
      <c r="G43" s="2019"/>
      <c r="H43" s="2019"/>
      <c r="I43" s="2019"/>
      <c r="J43" s="2019"/>
      <c r="K43" s="2019"/>
      <c r="L43" s="2019"/>
      <c r="M43" s="2019"/>
      <c r="N43" s="2019"/>
      <c r="O43" s="2020"/>
    </row>
    <row r="44" spans="2:15">
      <c r="B44" s="2010"/>
      <c r="C44" s="2013"/>
      <c r="D44" s="125" t="s">
        <v>571</v>
      </c>
      <c r="E44" s="2018"/>
      <c r="F44" s="2019"/>
      <c r="G44" s="2019"/>
      <c r="H44" s="2019"/>
      <c r="I44" s="2019"/>
      <c r="J44" s="2019"/>
      <c r="K44" s="2019"/>
      <c r="L44" s="2019"/>
      <c r="M44" s="2019"/>
      <c r="N44" s="2019"/>
      <c r="O44" s="2020"/>
    </row>
    <row r="45" spans="2:15">
      <c r="B45" s="2010"/>
      <c r="C45" s="2013"/>
      <c r="D45" s="125" t="s">
        <v>283</v>
      </c>
      <c r="E45" s="2018"/>
      <c r="F45" s="2019"/>
      <c r="G45" s="2019"/>
      <c r="H45" s="2019"/>
      <c r="I45" s="2019"/>
      <c r="J45" s="2019"/>
      <c r="K45" s="2019"/>
      <c r="L45" s="2019"/>
      <c r="M45" s="2019"/>
      <c r="N45" s="2019"/>
      <c r="O45" s="2020"/>
    </row>
    <row r="46" spans="2:15">
      <c r="B46" s="2010"/>
      <c r="C46" s="2013"/>
      <c r="D46" s="125" t="s">
        <v>284</v>
      </c>
      <c r="E46" s="2018"/>
      <c r="F46" s="2019"/>
      <c r="G46" s="2019"/>
      <c r="H46" s="2019"/>
      <c r="I46" s="2019"/>
      <c r="J46" s="2019"/>
      <c r="K46" s="2019"/>
      <c r="L46" s="2019"/>
      <c r="M46" s="2019"/>
      <c r="N46" s="2019"/>
      <c r="O46" s="2020"/>
    </row>
    <row r="47" spans="2:15">
      <c r="B47" s="2010"/>
      <c r="C47" s="2013"/>
      <c r="D47" s="125" t="s">
        <v>285</v>
      </c>
      <c r="E47" s="2018"/>
      <c r="F47" s="2019"/>
      <c r="G47" s="2019"/>
      <c r="H47" s="2019"/>
      <c r="I47" s="2019"/>
      <c r="J47" s="2019"/>
      <c r="K47" s="2019"/>
      <c r="L47" s="2019"/>
      <c r="M47" s="2019"/>
      <c r="N47" s="2019"/>
      <c r="O47" s="2020"/>
    </row>
    <row r="48" spans="2:15">
      <c r="B48" s="2010"/>
      <c r="C48" s="2013"/>
      <c r="D48" s="125" t="s">
        <v>572</v>
      </c>
      <c r="E48" s="2018"/>
      <c r="F48" s="2019"/>
      <c r="G48" s="2019"/>
      <c r="H48" s="2019"/>
      <c r="I48" s="2019"/>
      <c r="J48" s="2019"/>
      <c r="K48" s="2019"/>
      <c r="L48" s="2019"/>
      <c r="M48" s="2019"/>
      <c r="N48" s="2019"/>
      <c r="O48" s="2020"/>
    </row>
    <row r="49" spans="2:15">
      <c r="B49" s="2010"/>
      <c r="C49" s="2013"/>
      <c r="D49" s="125" t="s">
        <v>287</v>
      </c>
      <c r="E49" s="2018"/>
      <c r="F49" s="2019"/>
      <c r="G49" s="2019"/>
      <c r="H49" s="2019"/>
      <c r="I49" s="2019"/>
      <c r="J49" s="2019"/>
      <c r="K49" s="2019"/>
      <c r="L49" s="2019"/>
      <c r="M49" s="2019"/>
      <c r="N49" s="2019"/>
      <c r="O49" s="2020"/>
    </row>
    <row r="50" spans="2:15">
      <c r="B50" s="2010"/>
      <c r="C50" s="2013"/>
      <c r="D50" s="125" t="s">
        <v>288</v>
      </c>
      <c r="E50" s="2018"/>
      <c r="F50" s="2019"/>
      <c r="G50" s="2019"/>
      <c r="H50" s="2019"/>
      <c r="I50" s="2019"/>
      <c r="J50" s="2019"/>
      <c r="K50" s="2019"/>
      <c r="L50" s="2019"/>
      <c r="M50" s="2019"/>
      <c r="N50" s="2019"/>
      <c r="O50" s="2020"/>
    </row>
    <row r="51" spans="2:15">
      <c r="B51" s="2010"/>
      <c r="C51" s="2013"/>
      <c r="D51" s="125" t="s">
        <v>289</v>
      </c>
      <c r="E51" s="2018"/>
      <c r="F51" s="2019"/>
      <c r="G51" s="2019"/>
      <c r="H51" s="2019"/>
      <c r="I51" s="2019"/>
      <c r="J51" s="2019"/>
      <c r="K51" s="2019"/>
      <c r="L51" s="2019"/>
      <c r="M51" s="2019"/>
      <c r="N51" s="2019"/>
      <c r="O51" s="2020"/>
    </row>
    <row r="52" spans="2:15">
      <c r="B52" s="2011"/>
      <c r="C52" s="2014"/>
      <c r="D52" s="125" t="s">
        <v>290</v>
      </c>
      <c r="E52" s="2018"/>
      <c r="F52" s="2019"/>
      <c r="G52" s="2019"/>
      <c r="H52" s="2019"/>
      <c r="I52" s="2019"/>
      <c r="J52" s="2019"/>
      <c r="K52" s="2019"/>
      <c r="L52" s="2019"/>
      <c r="M52" s="2019"/>
      <c r="N52" s="2019"/>
      <c r="O52" s="2020"/>
    </row>
    <row r="53" spans="2:15">
      <c r="B53" s="2009">
        <f>B41+1</f>
        <v>2</v>
      </c>
      <c r="C53" s="2012"/>
      <c r="D53" s="125" t="s">
        <v>279</v>
      </c>
      <c r="E53" s="2018"/>
      <c r="F53" s="2019"/>
      <c r="G53" s="2019"/>
      <c r="H53" s="2019"/>
      <c r="I53" s="2019"/>
      <c r="J53" s="2019"/>
      <c r="K53" s="2019"/>
      <c r="L53" s="2019"/>
      <c r="M53" s="2019"/>
      <c r="N53" s="2019"/>
      <c r="O53" s="2020"/>
    </row>
    <row r="54" spans="2:15">
      <c r="B54" s="2010"/>
      <c r="C54" s="2013"/>
      <c r="D54" s="125" t="s">
        <v>280</v>
      </c>
      <c r="E54" s="2018"/>
      <c r="F54" s="2019"/>
      <c r="G54" s="2019"/>
      <c r="H54" s="2019"/>
      <c r="I54" s="2019"/>
      <c r="J54" s="2019"/>
      <c r="K54" s="2019"/>
      <c r="L54" s="2019"/>
      <c r="M54" s="2019"/>
      <c r="N54" s="2019"/>
      <c r="O54" s="2020"/>
    </row>
    <row r="55" spans="2:15">
      <c r="B55" s="2010"/>
      <c r="C55" s="2013"/>
      <c r="D55" s="125" t="s">
        <v>281</v>
      </c>
      <c r="E55" s="2018"/>
      <c r="F55" s="2019"/>
      <c r="G55" s="2019"/>
      <c r="H55" s="2019"/>
      <c r="I55" s="2019"/>
      <c r="J55" s="2019"/>
      <c r="K55" s="2019"/>
      <c r="L55" s="2019"/>
      <c r="M55" s="2019"/>
      <c r="N55" s="2019"/>
      <c r="O55" s="2020"/>
    </row>
    <row r="56" spans="2:15">
      <c r="B56" s="2010"/>
      <c r="C56" s="2013"/>
      <c r="D56" s="125" t="s">
        <v>571</v>
      </c>
      <c r="E56" s="2018"/>
      <c r="F56" s="2019"/>
      <c r="G56" s="2019"/>
      <c r="H56" s="2019"/>
      <c r="I56" s="2019"/>
      <c r="J56" s="2019"/>
      <c r="K56" s="2019"/>
      <c r="L56" s="2019"/>
      <c r="M56" s="2019"/>
      <c r="N56" s="2019"/>
      <c r="O56" s="2020"/>
    </row>
    <row r="57" spans="2:15">
      <c r="B57" s="2010"/>
      <c r="C57" s="2013"/>
      <c r="D57" s="125" t="s">
        <v>283</v>
      </c>
      <c r="E57" s="2018"/>
      <c r="F57" s="2019"/>
      <c r="G57" s="2019"/>
      <c r="H57" s="2019"/>
      <c r="I57" s="2019"/>
      <c r="J57" s="2019"/>
      <c r="K57" s="2019"/>
      <c r="L57" s="2019"/>
      <c r="M57" s="2019"/>
      <c r="N57" s="2019"/>
      <c r="O57" s="2020"/>
    </row>
    <row r="58" spans="2:15">
      <c r="B58" s="2010"/>
      <c r="C58" s="2013"/>
      <c r="D58" s="125" t="s">
        <v>284</v>
      </c>
      <c r="E58" s="2018"/>
      <c r="F58" s="2019"/>
      <c r="G58" s="2019"/>
      <c r="H58" s="2019"/>
      <c r="I58" s="2019"/>
      <c r="J58" s="2019"/>
      <c r="K58" s="2019"/>
      <c r="L58" s="2019"/>
      <c r="M58" s="2019"/>
      <c r="N58" s="2019"/>
      <c r="O58" s="2020"/>
    </row>
    <row r="59" spans="2:15">
      <c r="B59" s="2010"/>
      <c r="C59" s="2013"/>
      <c r="D59" s="125" t="s">
        <v>285</v>
      </c>
      <c r="E59" s="2018"/>
      <c r="F59" s="2019"/>
      <c r="G59" s="2019"/>
      <c r="H59" s="2019"/>
      <c r="I59" s="2019"/>
      <c r="J59" s="2019"/>
      <c r="K59" s="2019"/>
      <c r="L59" s="2019"/>
      <c r="M59" s="2019"/>
      <c r="N59" s="2019"/>
      <c r="O59" s="2020"/>
    </row>
    <row r="60" spans="2:15">
      <c r="B60" s="2010"/>
      <c r="C60" s="2013"/>
      <c r="D60" s="125" t="s">
        <v>572</v>
      </c>
      <c r="E60" s="2018"/>
      <c r="F60" s="2019"/>
      <c r="G60" s="2019"/>
      <c r="H60" s="2019"/>
      <c r="I60" s="2019"/>
      <c r="J60" s="2019"/>
      <c r="K60" s="2019"/>
      <c r="L60" s="2019"/>
      <c r="M60" s="2019"/>
      <c r="N60" s="2019"/>
      <c r="O60" s="2020"/>
    </row>
    <row r="61" spans="2:15">
      <c r="B61" s="2010"/>
      <c r="C61" s="2013"/>
      <c r="D61" s="125" t="s">
        <v>287</v>
      </c>
      <c r="E61" s="2018"/>
      <c r="F61" s="2019"/>
      <c r="G61" s="2019"/>
      <c r="H61" s="2019"/>
      <c r="I61" s="2019"/>
      <c r="J61" s="2019"/>
      <c r="K61" s="2019"/>
      <c r="L61" s="2019"/>
      <c r="M61" s="2019"/>
      <c r="N61" s="2019"/>
      <c r="O61" s="2020"/>
    </row>
    <row r="62" spans="2:15">
      <c r="B62" s="2010"/>
      <c r="C62" s="2013"/>
      <c r="D62" s="125" t="s">
        <v>288</v>
      </c>
      <c r="E62" s="2018"/>
      <c r="F62" s="2019"/>
      <c r="G62" s="2019"/>
      <c r="H62" s="2019"/>
      <c r="I62" s="2019"/>
      <c r="J62" s="2019"/>
      <c r="K62" s="2019"/>
      <c r="L62" s="2019"/>
      <c r="M62" s="2019"/>
      <c r="N62" s="2019"/>
      <c r="O62" s="2020"/>
    </row>
    <row r="63" spans="2:15">
      <c r="B63" s="2010"/>
      <c r="C63" s="2013"/>
      <c r="D63" s="125" t="s">
        <v>289</v>
      </c>
      <c r="E63" s="2018"/>
      <c r="F63" s="2019"/>
      <c r="G63" s="2019"/>
      <c r="H63" s="2019"/>
      <c r="I63" s="2019"/>
      <c r="J63" s="2019"/>
      <c r="K63" s="2019"/>
      <c r="L63" s="2019"/>
      <c r="M63" s="2019"/>
      <c r="N63" s="2019"/>
      <c r="O63" s="2020"/>
    </row>
    <row r="64" spans="2:15">
      <c r="B64" s="2011"/>
      <c r="C64" s="2014"/>
      <c r="D64" s="125" t="s">
        <v>290</v>
      </c>
      <c r="E64" s="2018"/>
      <c r="F64" s="2019"/>
      <c r="G64" s="2019"/>
      <c r="H64" s="2019"/>
      <c r="I64" s="2019"/>
      <c r="J64" s="2019"/>
      <c r="K64" s="2019"/>
      <c r="L64" s="2019"/>
      <c r="M64" s="2019"/>
      <c r="N64" s="2019"/>
      <c r="O64" s="2020"/>
    </row>
    <row r="65" spans="2:15">
      <c r="B65" s="99">
        <v>3</v>
      </c>
      <c r="C65" s="124"/>
      <c r="D65" s="124"/>
      <c r="E65" s="2018"/>
      <c r="F65" s="2019"/>
      <c r="G65" s="2019"/>
      <c r="H65" s="2019"/>
      <c r="I65" s="2019"/>
      <c r="J65" s="2019"/>
      <c r="K65" s="2019"/>
      <c r="L65" s="2019"/>
      <c r="M65" s="2019"/>
      <c r="N65" s="2019"/>
      <c r="O65" s="2020"/>
    </row>
    <row r="66" spans="2:15">
      <c r="B66" s="99" t="s">
        <v>477</v>
      </c>
      <c r="C66" s="126"/>
      <c r="D66" s="126"/>
      <c r="E66" s="2021"/>
      <c r="F66" s="2022"/>
      <c r="G66" s="2022"/>
      <c r="H66" s="2022"/>
      <c r="I66" s="2022"/>
      <c r="J66" s="2022"/>
      <c r="K66" s="2022"/>
      <c r="L66" s="2022"/>
      <c r="M66" s="2022"/>
      <c r="N66" s="2022"/>
      <c r="O66" s="2023"/>
    </row>
    <row r="68" spans="2:15">
      <c r="B68" s="256" t="s">
        <v>733</v>
      </c>
    </row>
    <row r="70" spans="2:15">
      <c r="B70" s="2008" t="s">
        <v>1012</v>
      </c>
      <c r="C70" s="2008"/>
      <c r="D70" s="257"/>
      <c r="E70" s="14"/>
      <c r="F70" s="14"/>
      <c r="G70" s="14"/>
      <c r="H70" s="14"/>
      <c r="I70" s="14"/>
      <c r="J70" s="14"/>
      <c r="K70" s="14"/>
      <c r="L70" s="14"/>
    </row>
    <row r="72" spans="2:15" ht="56">
      <c r="B72" s="1778" t="s">
        <v>340</v>
      </c>
      <c r="C72" s="1778" t="s">
        <v>559</v>
      </c>
      <c r="D72" s="1778" t="s">
        <v>570</v>
      </c>
      <c r="E72" s="260" t="s">
        <v>640</v>
      </c>
      <c r="F72" s="1770" t="s">
        <v>560</v>
      </c>
      <c r="G72" s="1770"/>
      <c r="H72" s="1770"/>
      <c r="I72" s="1770"/>
      <c r="J72" s="1770"/>
      <c r="K72" s="1770" t="s">
        <v>564</v>
      </c>
      <c r="L72" s="1770"/>
      <c r="M72" s="1770"/>
      <c r="N72" s="1770" t="s">
        <v>568</v>
      </c>
      <c r="O72" s="1770" t="s">
        <v>569</v>
      </c>
    </row>
    <row r="73" spans="2:15" ht="28">
      <c r="B73" s="1807"/>
      <c r="C73" s="1807"/>
      <c r="D73" s="1807"/>
      <c r="E73" s="259" t="s">
        <v>642</v>
      </c>
      <c r="F73" s="258" t="s">
        <v>566</v>
      </c>
      <c r="G73" s="258" t="s">
        <v>561</v>
      </c>
      <c r="H73" s="258" t="s">
        <v>644</v>
      </c>
      <c r="I73" s="259" t="s">
        <v>562</v>
      </c>
      <c r="J73" s="259" t="s">
        <v>563</v>
      </c>
      <c r="K73" s="259" t="s">
        <v>565</v>
      </c>
      <c r="L73" s="259" t="s">
        <v>567</v>
      </c>
      <c r="M73" s="259" t="s">
        <v>643</v>
      </c>
      <c r="N73" s="1770"/>
      <c r="O73" s="1770"/>
    </row>
    <row r="74" spans="2:15">
      <c r="B74" s="2009">
        <f>B73+1</f>
        <v>1</v>
      </c>
      <c r="C74" s="2012"/>
      <c r="D74" s="125" t="s">
        <v>279</v>
      </c>
      <c r="E74" s="2015" t="s">
        <v>770</v>
      </c>
      <c r="F74" s="2016"/>
      <c r="G74" s="2016"/>
      <c r="H74" s="2016"/>
      <c r="I74" s="2016"/>
      <c r="J74" s="2016"/>
      <c r="K74" s="2016"/>
      <c r="L74" s="2016"/>
      <c r="M74" s="2016"/>
      <c r="N74" s="2016"/>
      <c r="O74" s="2017"/>
    </row>
    <row r="75" spans="2:15">
      <c r="B75" s="2010"/>
      <c r="C75" s="2013"/>
      <c r="D75" s="125" t="s">
        <v>280</v>
      </c>
      <c r="E75" s="2018"/>
      <c r="F75" s="2019"/>
      <c r="G75" s="2019"/>
      <c r="H75" s="2019"/>
      <c r="I75" s="2019"/>
      <c r="J75" s="2019"/>
      <c r="K75" s="2019"/>
      <c r="L75" s="2019"/>
      <c r="M75" s="2019"/>
      <c r="N75" s="2019"/>
      <c r="O75" s="2020"/>
    </row>
    <row r="76" spans="2:15">
      <c r="B76" s="2010"/>
      <c r="C76" s="2013"/>
      <c r="D76" s="125" t="s">
        <v>281</v>
      </c>
      <c r="E76" s="2018"/>
      <c r="F76" s="2019"/>
      <c r="G76" s="2019"/>
      <c r="H76" s="2019"/>
      <c r="I76" s="2019"/>
      <c r="J76" s="2019"/>
      <c r="K76" s="2019"/>
      <c r="L76" s="2019"/>
      <c r="M76" s="2019"/>
      <c r="N76" s="2019"/>
      <c r="O76" s="2020"/>
    </row>
    <row r="77" spans="2:15">
      <c r="B77" s="2010"/>
      <c r="C77" s="2013"/>
      <c r="D77" s="125" t="s">
        <v>571</v>
      </c>
      <c r="E77" s="2018"/>
      <c r="F77" s="2019"/>
      <c r="G77" s="2019"/>
      <c r="H77" s="2019"/>
      <c r="I77" s="2019"/>
      <c r="J77" s="2019"/>
      <c r="K77" s="2019"/>
      <c r="L77" s="2019"/>
      <c r="M77" s="2019"/>
      <c r="N77" s="2019"/>
      <c r="O77" s="2020"/>
    </row>
    <row r="78" spans="2:15">
      <c r="B78" s="2010"/>
      <c r="C78" s="2013"/>
      <c r="D78" s="125" t="s">
        <v>283</v>
      </c>
      <c r="E78" s="2018"/>
      <c r="F78" s="2019"/>
      <c r="G78" s="2019"/>
      <c r="H78" s="2019"/>
      <c r="I78" s="2019"/>
      <c r="J78" s="2019"/>
      <c r="K78" s="2019"/>
      <c r="L78" s="2019"/>
      <c r="M78" s="2019"/>
      <c r="N78" s="2019"/>
      <c r="O78" s="2020"/>
    </row>
    <row r="79" spans="2:15">
      <c r="B79" s="2010"/>
      <c r="C79" s="2013"/>
      <c r="D79" s="125" t="s">
        <v>284</v>
      </c>
      <c r="E79" s="2018"/>
      <c r="F79" s="2019"/>
      <c r="G79" s="2019"/>
      <c r="H79" s="2019"/>
      <c r="I79" s="2019"/>
      <c r="J79" s="2019"/>
      <c r="K79" s="2019"/>
      <c r="L79" s="2019"/>
      <c r="M79" s="2019"/>
      <c r="N79" s="2019"/>
      <c r="O79" s="2020"/>
    </row>
    <row r="80" spans="2:15">
      <c r="B80" s="2010"/>
      <c r="C80" s="2013"/>
      <c r="D80" s="125" t="s">
        <v>285</v>
      </c>
      <c r="E80" s="2018"/>
      <c r="F80" s="2019"/>
      <c r="G80" s="2019"/>
      <c r="H80" s="2019"/>
      <c r="I80" s="2019"/>
      <c r="J80" s="2019"/>
      <c r="K80" s="2019"/>
      <c r="L80" s="2019"/>
      <c r="M80" s="2019"/>
      <c r="N80" s="2019"/>
      <c r="O80" s="2020"/>
    </row>
    <row r="81" spans="2:15">
      <c r="B81" s="2010"/>
      <c r="C81" s="2013"/>
      <c r="D81" s="125" t="s">
        <v>572</v>
      </c>
      <c r="E81" s="2018"/>
      <c r="F81" s="2019"/>
      <c r="G81" s="2019"/>
      <c r="H81" s="2019"/>
      <c r="I81" s="2019"/>
      <c r="J81" s="2019"/>
      <c r="K81" s="2019"/>
      <c r="L81" s="2019"/>
      <c r="M81" s="2019"/>
      <c r="N81" s="2019"/>
      <c r="O81" s="2020"/>
    </row>
    <row r="82" spans="2:15">
      <c r="B82" s="2010"/>
      <c r="C82" s="2013"/>
      <c r="D82" s="125" t="s">
        <v>287</v>
      </c>
      <c r="E82" s="2018"/>
      <c r="F82" s="2019"/>
      <c r="G82" s="2019"/>
      <c r="H82" s="2019"/>
      <c r="I82" s="2019"/>
      <c r="J82" s="2019"/>
      <c r="K82" s="2019"/>
      <c r="L82" s="2019"/>
      <c r="M82" s="2019"/>
      <c r="N82" s="2019"/>
      <c r="O82" s="2020"/>
    </row>
    <row r="83" spans="2:15">
      <c r="B83" s="2010"/>
      <c r="C83" s="2013"/>
      <c r="D83" s="125" t="s">
        <v>288</v>
      </c>
      <c r="E83" s="2018"/>
      <c r="F83" s="2019"/>
      <c r="G83" s="2019"/>
      <c r="H83" s="2019"/>
      <c r="I83" s="2019"/>
      <c r="J83" s="2019"/>
      <c r="K83" s="2019"/>
      <c r="L83" s="2019"/>
      <c r="M83" s="2019"/>
      <c r="N83" s="2019"/>
      <c r="O83" s="2020"/>
    </row>
    <row r="84" spans="2:15">
      <c r="B84" s="2010"/>
      <c r="C84" s="2013"/>
      <c r="D84" s="125" t="s">
        <v>289</v>
      </c>
      <c r="E84" s="2018"/>
      <c r="F84" s="2019"/>
      <c r="G84" s="2019"/>
      <c r="H84" s="2019"/>
      <c r="I84" s="2019"/>
      <c r="J84" s="2019"/>
      <c r="K84" s="2019"/>
      <c r="L84" s="2019"/>
      <c r="M84" s="2019"/>
      <c r="N84" s="2019"/>
      <c r="O84" s="2020"/>
    </row>
    <row r="85" spans="2:15">
      <c r="B85" s="2011"/>
      <c r="C85" s="2014"/>
      <c r="D85" s="125" t="s">
        <v>290</v>
      </c>
      <c r="E85" s="2018"/>
      <c r="F85" s="2019"/>
      <c r="G85" s="2019"/>
      <c r="H85" s="2019"/>
      <c r="I85" s="2019"/>
      <c r="J85" s="2019"/>
      <c r="K85" s="2019"/>
      <c r="L85" s="2019"/>
      <c r="M85" s="2019"/>
      <c r="N85" s="2019"/>
      <c r="O85" s="2020"/>
    </row>
    <row r="86" spans="2:15">
      <c r="B86" s="2009">
        <f>B74+1</f>
        <v>2</v>
      </c>
      <c r="C86" s="2012"/>
      <c r="D86" s="125" t="s">
        <v>279</v>
      </c>
      <c r="E86" s="2018"/>
      <c r="F86" s="2019"/>
      <c r="G86" s="2019"/>
      <c r="H86" s="2019"/>
      <c r="I86" s="2019"/>
      <c r="J86" s="2019"/>
      <c r="K86" s="2019"/>
      <c r="L86" s="2019"/>
      <c r="M86" s="2019"/>
      <c r="N86" s="2019"/>
      <c r="O86" s="2020"/>
    </row>
    <row r="87" spans="2:15">
      <c r="B87" s="2010"/>
      <c r="C87" s="2013"/>
      <c r="D87" s="125" t="s">
        <v>280</v>
      </c>
      <c r="E87" s="2018"/>
      <c r="F87" s="2019"/>
      <c r="G87" s="2019"/>
      <c r="H87" s="2019"/>
      <c r="I87" s="2019"/>
      <c r="J87" s="2019"/>
      <c r="K87" s="2019"/>
      <c r="L87" s="2019"/>
      <c r="M87" s="2019"/>
      <c r="N87" s="2019"/>
      <c r="O87" s="2020"/>
    </row>
    <row r="88" spans="2:15">
      <c r="B88" s="2010"/>
      <c r="C88" s="2013"/>
      <c r="D88" s="125" t="s">
        <v>281</v>
      </c>
      <c r="E88" s="2018"/>
      <c r="F88" s="2019"/>
      <c r="G88" s="2019"/>
      <c r="H88" s="2019"/>
      <c r="I88" s="2019"/>
      <c r="J88" s="2019"/>
      <c r="K88" s="2019"/>
      <c r="L88" s="2019"/>
      <c r="M88" s="2019"/>
      <c r="N88" s="2019"/>
      <c r="O88" s="2020"/>
    </row>
    <row r="89" spans="2:15">
      <c r="B89" s="2010"/>
      <c r="C89" s="2013"/>
      <c r="D89" s="125" t="s">
        <v>571</v>
      </c>
      <c r="E89" s="2018"/>
      <c r="F89" s="2019"/>
      <c r="G89" s="2019"/>
      <c r="H89" s="2019"/>
      <c r="I89" s="2019"/>
      <c r="J89" s="2019"/>
      <c r="K89" s="2019"/>
      <c r="L89" s="2019"/>
      <c r="M89" s="2019"/>
      <c r="N89" s="2019"/>
      <c r="O89" s="2020"/>
    </row>
    <row r="90" spans="2:15">
      <c r="B90" s="2010"/>
      <c r="C90" s="2013"/>
      <c r="D90" s="125" t="s">
        <v>283</v>
      </c>
      <c r="E90" s="2018"/>
      <c r="F90" s="2019"/>
      <c r="G90" s="2019"/>
      <c r="H90" s="2019"/>
      <c r="I90" s="2019"/>
      <c r="J90" s="2019"/>
      <c r="K90" s="2019"/>
      <c r="L90" s="2019"/>
      <c r="M90" s="2019"/>
      <c r="N90" s="2019"/>
      <c r="O90" s="2020"/>
    </row>
    <row r="91" spans="2:15">
      <c r="B91" s="2010"/>
      <c r="C91" s="2013"/>
      <c r="D91" s="125" t="s">
        <v>284</v>
      </c>
      <c r="E91" s="2018"/>
      <c r="F91" s="2019"/>
      <c r="G91" s="2019"/>
      <c r="H91" s="2019"/>
      <c r="I91" s="2019"/>
      <c r="J91" s="2019"/>
      <c r="K91" s="2019"/>
      <c r="L91" s="2019"/>
      <c r="M91" s="2019"/>
      <c r="N91" s="2019"/>
      <c r="O91" s="2020"/>
    </row>
    <row r="92" spans="2:15">
      <c r="B92" s="2010"/>
      <c r="C92" s="2013"/>
      <c r="D92" s="125" t="s">
        <v>285</v>
      </c>
      <c r="E92" s="2018"/>
      <c r="F92" s="2019"/>
      <c r="G92" s="2019"/>
      <c r="H92" s="2019"/>
      <c r="I92" s="2019"/>
      <c r="J92" s="2019"/>
      <c r="K92" s="2019"/>
      <c r="L92" s="2019"/>
      <c r="M92" s="2019"/>
      <c r="N92" s="2019"/>
      <c r="O92" s="2020"/>
    </row>
    <row r="93" spans="2:15">
      <c r="B93" s="2010"/>
      <c r="C93" s="2013"/>
      <c r="D93" s="125" t="s">
        <v>572</v>
      </c>
      <c r="E93" s="2018"/>
      <c r="F93" s="2019"/>
      <c r="G93" s="2019"/>
      <c r="H93" s="2019"/>
      <c r="I93" s="2019"/>
      <c r="J93" s="2019"/>
      <c r="K93" s="2019"/>
      <c r="L93" s="2019"/>
      <c r="M93" s="2019"/>
      <c r="N93" s="2019"/>
      <c r="O93" s="2020"/>
    </row>
    <row r="94" spans="2:15">
      <c r="B94" s="2010"/>
      <c r="C94" s="2013"/>
      <c r="D94" s="125" t="s">
        <v>287</v>
      </c>
      <c r="E94" s="2018"/>
      <c r="F94" s="2019"/>
      <c r="G94" s="2019"/>
      <c r="H94" s="2019"/>
      <c r="I94" s="2019"/>
      <c r="J94" s="2019"/>
      <c r="K94" s="2019"/>
      <c r="L94" s="2019"/>
      <c r="M94" s="2019"/>
      <c r="N94" s="2019"/>
      <c r="O94" s="2020"/>
    </row>
    <row r="95" spans="2:15">
      <c r="B95" s="2010"/>
      <c r="C95" s="2013"/>
      <c r="D95" s="125" t="s">
        <v>288</v>
      </c>
      <c r="E95" s="2018"/>
      <c r="F95" s="2019"/>
      <c r="G95" s="2019"/>
      <c r="H95" s="2019"/>
      <c r="I95" s="2019"/>
      <c r="J95" s="2019"/>
      <c r="K95" s="2019"/>
      <c r="L95" s="2019"/>
      <c r="M95" s="2019"/>
      <c r="N95" s="2019"/>
      <c r="O95" s="2020"/>
    </row>
    <row r="96" spans="2:15">
      <c r="B96" s="2010"/>
      <c r="C96" s="2013"/>
      <c r="D96" s="125" t="s">
        <v>289</v>
      </c>
      <c r="E96" s="2018"/>
      <c r="F96" s="2019"/>
      <c r="G96" s="2019"/>
      <c r="H96" s="2019"/>
      <c r="I96" s="2019"/>
      <c r="J96" s="2019"/>
      <c r="K96" s="2019"/>
      <c r="L96" s="2019"/>
      <c r="M96" s="2019"/>
      <c r="N96" s="2019"/>
      <c r="O96" s="2020"/>
    </row>
    <row r="97" spans="2:15">
      <c r="B97" s="2011"/>
      <c r="C97" s="2014"/>
      <c r="D97" s="125" t="s">
        <v>290</v>
      </c>
      <c r="E97" s="2018"/>
      <c r="F97" s="2019"/>
      <c r="G97" s="2019"/>
      <c r="H97" s="2019"/>
      <c r="I97" s="2019"/>
      <c r="J97" s="2019"/>
      <c r="K97" s="2019"/>
      <c r="L97" s="2019"/>
      <c r="M97" s="2019"/>
      <c r="N97" s="2019"/>
      <c r="O97" s="2020"/>
    </row>
    <row r="98" spans="2:15">
      <c r="B98" s="99">
        <v>3</v>
      </c>
      <c r="C98" s="124"/>
      <c r="D98" s="124"/>
      <c r="E98" s="2018"/>
      <c r="F98" s="2019"/>
      <c r="G98" s="2019"/>
      <c r="H98" s="2019"/>
      <c r="I98" s="2019"/>
      <c r="J98" s="2019"/>
      <c r="K98" s="2019"/>
      <c r="L98" s="2019"/>
      <c r="M98" s="2019"/>
      <c r="N98" s="2019"/>
      <c r="O98" s="2020"/>
    </row>
    <row r="99" spans="2:15">
      <c r="B99" s="99" t="s">
        <v>477</v>
      </c>
      <c r="C99" s="126"/>
      <c r="D99" s="126"/>
      <c r="E99" s="2021"/>
      <c r="F99" s="2022"/>
      <c r="G99" s="2022"/>
      <c r="H99" s="2022"/>
      <c r="I99" s="2022"/>
      <c r="J99" s="2022"/>
      <c r="K99" s="2022"/>
      <c r="L99" s="2022"/>
      <c r="M99" s="2022"/>
      <c r="N99" s="2022"/>
      <c r="O99" s="2023"/>
    </row>
    <row r="101" spans="2:15">
      <c r="B101" s="2008" t="s">
        <v>1013</v>
      </c>
      <c r="C101" s="2008"/>
      <c r="D101" s="305"/>
      <c r="E101" s="14"/>
      <c r="F101" s="14"/>
      <c r="G101" s="14"/>
      <c r="H101" s="14"/>
      <c r="I101" s="14"/>
      <c r="J101" s="14"/>
      <c r="K101" s="14"/>
      <c r="L101" s="14"/>
    </row>
    <row r="103" spans="2:15" ht="56">
      <c r="B103" s="1778" t="s">
        <v>340</v>
      </c>
      <c r="C103" s="1778" t="s">
        <v>559</v>
      </c>
      <c r="D103" s="1778" t="s">
        <v>570</v>
      </c>
      <c r="E103" s="298" t="s">
        <v>640</v>
      </c>
      <c r="F103" s="1770" t="s">
        <v>560</v>
      </c>
      <c r="G103" s="1770"/>
      <c r="H103" s="1770"/>
      <c r="I103" s="1770"/>
      <c r="J103" s="1770"/>
      <c r="K103" s="1770" t="s">
        <v>564</v>
      </c>
      <c r="L103" s="1770"/>
      <c r="M103" s="1770"/>
      <c r="N103" s="1770" t="s">
        <v>737</v>
      </c>
      <c r="O103" s="1770" t="s">
        <v>569</v>
      </c>
    </row>
    <row r="104" spans="2:15" ht="28">
      <c r="B104" s="1807"/>
      <c r="C104" s="1807"/>
      <c r="D104" s="1807"/>
      <c r="E104" s="297" t="s">
        <v>642</v>
      </c>
      <c r="F104" s="295" t="s">
        <v>566</v>
      </c>
      <c r="G104" s="295" t="s">
        <v>561</v>
      </c>
      <c r="H104" s="295" t="s">
        <v>644</v>
      </c>
      <c r="I104" s="297" t="s">
        <v>682</v>
      </c>
      <c r="J104" s="297" t="s">
        <v>735</v>
      </c>
      <c r="K104" s="297" t="s">
        <v>565</v>
      </c>
      <c r="L104" s="297" t="s">
        <v>736</v>
      </c>
      <c r="M104" s="297" t="s">
        <v>643</v>
      </c>
      <c r="N104" s="1770"/>
      <c r="O104" s="1770"/>
    </row>
    <row r="105" spans="2:15">
      <c r="B105" s="2009">
        <f>B104+1</f>
        <v>1</v>
      </c>
      <c r="C105" s="2012"/>
      <c r="D105" s="125" t="s">
        <v>279</v>
      </c>
      <c r="E105" s="2015" t="s">
        <v>770</v>
      </c>
      <c r="F105" s="2016"/>
      <c r="G105" s="2016"/>
      <c r="H105" s="2016"/>
      <c r="I105" s="2016"/>
      <c r="J105" s="2016"/>
      <c r="K105" s="2016"/>
      <c r="L105" s="2016"/>
      <c r="M105" s="2016"/>
      <c r="N105" s="2016"/>
      <c r="O105" s="2017"/>
    </row>
    <row r="106" spans="2:15">
      <c r="B106" s="2010"/>
      <c r="C106" s="2013"/>
      <c r="D106" s="125" t="s">
        <v>280</v>
      </c>
      <c r="E106" s="2018"/>
      <c r="F106" s="2019"/>
      <c r="G106" s="2019"/>
      <c r="H106" s="2019"/>
      <c r="I106" s="2019"/>
      <c r="J106" s="2019"/>
      <c r="K106" s="2019"/>
      <c r="L106" s="2019"/>
      <c r="M106" s="2019"/>
      <c r="N106" s="2019"/>
      <c r="O106" s="2020"/>
    </row>
    <row r="107" spans="2:15">
      <c r="B107" s="2010"/>
      <c r="C107" s="2013"/>
      <c r="D107" s="125" t="s">
        <v>281</v>
      </c>
      <c r="E107" s="2018"/>
      <c r="F107" s="2019"/>
      <c r="G107" s="2019"/>
      <c r="H107" s="2019"/>
      <c r="I107" s="2019"/>
      <c r="J107" s="2019"/>
      <c r="K107" s="2019"/>
      <c r="L107" s="2019"/>
      <c r="M107" s="2019"/>
      <c r="N107" s="2019"/>
      <c r="O107" s="2020"/>
    </row>
    <row r="108" spans="2:15">
      <c r="B108" s="2010"/>
      <c r="C108" s="2013"/>
      <c r="D108" s="125" t="s">
        <v>571</v>
      </c>
      <c r="E108" s="2018"/>
      <c r="F108" s="2019"/>
      <c r="G108" s="2019"/>
      <c r="H108" s="2019"/>
      <c r="I108" s="2019"/>
      <c r="J108" s="2019"/>
      <c r="K108" s="2019"/>
      <c r="L108" s="2019"/>
      <c r="M108" s="2019"/>
      <c r="N108" s="2019"/>
      <c r="O108" s="2020"/>
    </row>
    <row r="109" spans="2:15">
      <c r="B109" s="2010"/>
      <c r="C109" s="2013"/>
      <c r="D109" s="125" t="s">
        <v>283</v>
      </c>
      <c r="E109" s="2018"/>
      <c r="F109" s="2019"/>
      <c r="G109" s="2019"/>
      <c r="H109" s="2019"/>
      <c r="I109" s="2019"/>
      <c r="J109" s="2019"/>
      <c r="K109" s="2019"/>
      <c r="L109" s="2019"/>
      <c r="M109" s="2019"/>
      <c r="N109" s="2019"/>
      <c r="O109" s="2020"/>
    </row>
    <row r="110" spans="2:15">
      <c r="B110" s="2010"/>
      <c r="C110" s="2013"/>
      <c r="D110" s="125" t="s">
        <v>284</v>
      </c>
      <c r="E110" s="2018"/>
      <c r="F110" s="2019"/>
      <c r="G110" s="2019"/>
      <c r="H110" s="2019"/>
      <c r="I110" s="2019"/>
      <c r="J110" s="2019"/>
      <c r="K110" s="2019"/>
      <c r="L110" s="2019"/>
      <c r="M110" s="2019"/>
      <c r="N110" s="2019"/>
      <c r="O110" s="2020"/>
    </row>
    <row r="111" spans="2:15">
      <c r="B111" s="2010"/>
      <c r="C111" s="2013"/>
      <c r="D111" s="125" t="s">
        <v>285</v>
      </c>
      <c r="E111" s="2018"/>
      <c r="F111" s="2019"/>
      <c r="G111" s="2019"/>
      <c r="H111" s="2019"/>
      <c r="I111" s="2019"/>
      <c r="J111" s="2019"/>
      <c r="K111" s="2019"/>
      <c r="L111" s="2019"/>
      <c r="M111" s="2019"/>
      <c r="N111" s="2019"/>
      <c r="O111" s="2020"/>
    </row>
    <row r="112" spans="2:15">
      <c r="B112" s="2010"/>
      <c r="C112" s="2013"/>
      <c r="D112" s="125" t="s">
        <v>572</v>
      </c>
      <c r="E112" s="2018"/>
      <c r="F112" s="2019"/>
      <c r="G112" s="2019"/>
      <c r="H112" s="2019"/>
      <c r="I112" s="2019"/>
      <c r="J112" s="2019"/>
      <c r="K112" s="2019"/>
      <c r="L112" s="2019"/>
      <c r="M112" s="2019"/>
      <c r="N112" s="2019"/>
      <c r="O112" s="2020"/>
    </row>
    <row r="113" spans="2:15">
      <c r="B113" s="2010"/>
      <c r="C113" s="2013"/>
      <c r="D113" s="125" t="s">
        <v>287</v>
      </c>
      <c r="E113" s="2018"/>
      <c r="F113" s="2019"/>
      <c r="G113" s="2019"/>
      <c r="H113" s="2019"/>
      <c r="I113" s="2019"/>
      <c r="J113" s="2019"/>
      <c r="K113" s="2019"/>
      <c r="L113" s="2019"/>
      <c r="M113" s="2019"/>
      <c r="N113" s="2019"/>
      <c r="O113" s="2020"/>
    </row>
    <row r="114" spans="2:15">
      <c r="B114" s="2010"/>
      <c r="C114" s="2013"/>
      <c r="D114" s="125" t="s">
        <v>288</v>
      </c>
      <c r="E114" s="2018"/>
      <c r="F114" s="2019"/>
      <c r="G114" s="2019"/>
      <c r="H114" s="2019"/>
      <c r="I114" s="2019"/>
      <c r="J114" s="2019"/>
      <c r="K114" s="2019"/>
      <c r="L114" s="2019"/>
      <c r="M114" s="2019"/>
      <c r="N114" s="2019"/>
      <c r="O114" s="2020"/>
    </row>
    <row r="115" spans="2:15">
      <c r="B115" s="2010"/>
      <c r="C115" s="2013"/>
      <c r="D115" s="125" t="s">
        <v>289</v>
      </c>
      <c r="E115" s="2018"/>
      <c r="F115" s="2019"/>
      <c r="G115" s="2019"/>
      <c r="H115" s="2019"/>
      <c r="I115" s="2019"/>
      <c r="J115" s="2019"/>
      <c r="K115" s="2019"/>
      <c r="L115" s="2019"/>
      <c r="M115" s="2019"/>
      <c r="N115" s="2019"/>
      <c r="O115" s="2020"/>
    </row>
    <row r="116" spans="2:15">
      <c r="B116" s="2011"/>
      <c r="C116" s="2014"/>
      <c r="D116" s="125" t="s">
        <v>290</v>
      </c>
      <c r="E116" s="2018"/>
      <c r="F116" s="2019"/>
      <c r="G116" s="2019"/>
      <c r="H116" s="2019"/>
      <c r="I116" s="2019"/>
      <c r="J116" s="2019"/>
      <c r="K116" s="2019"/>
      <c r="L116" s="2019"/>
      <c r="M116" s="2019"/>
      <c r="N116" s="2019"/>
      <c r="O116" s="2020"/>
    </row>
    <row r="117" spans="2:15">
      <c r="B117" s="2009">
        <f>B105+1</f>
        <v>2</v>
      </c>
      <c r="C117" s="2012"/>
      <c r="D117" s="125" t="s">
        <v>279</v>
      </c>
      <c r="E117" s="2018"/>
      <c r="F117" s="2019"/>
      <c r="G117" s="2019"/>
      <c r="H117" s="2019"/>
      <c r="I117" s="2019"/>
      <c r="J117" s="2019"/>
      <c r="K117" s="2019"/>
      <c r="L117" s="2019"/>
      <c r="M117" s="2019"/>
      <c r="N117" s="2019"/>
      <c r="O117" s="2020"/>
    </row>
    <row r="118" spans="2:15">
      <c r="B118" s="2010"/>
      <c r="C118" s="2013"/>
      <c r="D118" s="125" t="s">
        <v>280</v>
      </c>
      <c r="E118" s="2018"/>
      <c r="F118" s="2019"/>
      <c r="G118" s="2019"/>
      <c r="H118" s="2019"/>
      <c r="I118" s="2019"/>
      <c r="J118" s="2019"/>
      <c r="K118" s="2019"/>
      <c r="L118" s="2019"/>
      <c r="M118" s="2019"/>
      <c r="N118" s="2019"/>
      <c r="O118" s="2020"/>
    </row>
    <row r="119" spans="2:15">
      <c r="B119" s="2010"/>
      <c r="C119" s="2013"/>
      <c r="D119" s="125" t="s">
        <v>281</v>
      </c>
      <c r="E119" s="2018"/>
      <c r="F119" s="2019"/>
      <c r="G119" s="2019"/>
      <c r="H119" s="2019"/>
      <c r="I119" s="2019"/>
      <c r="J119" s="2019"/>
      <c r="K119" s="2019"/>
      <c r="L119" s="2019"/>
      <c r="M119" s="2019"/>
      <c r="N119" s="2019"/>
      <c r="O119" s="2020"/>
    </row>
    <row r="120" spans="2:15">
      <c r="B120" s="2010"/>
      <c r="C120" s="2013"/>
      <c r="D120" s="125" t="s">
        <v>571</v>
      </c>
      <c r="E120" s="2018"/>
      <c r="F120" s="2019"/>
      <c r="G120" s="2019"/>
      <c r="H120" s="2019"/>
      <c r="I120" s="2019"/>
      <c r="J120" s="2019"/>
      <c r="K120" s="2019"/>
      <c r="L120" s="2019"/>
      <c r="M120" s="2019"/>
      <c r="N120" s="2019"/>
      <c r="O120" s="2020"/>
    </row>
    <row r="121" spans="2:15">
      <c r="B121" s="2010"/>
      <c r="C121" s="2013"/>
      <c r="D121" s="125" t="s">
        <v>283</v>
      </c>
      <c r="E121" s="2018"/>
      <c r="F121" s="2019"/>
      <c r="G121" s="2019"/>
      <c r="H121" s="2019"/>
      <c r="I121" s="2019"/>
      <c r="J121" s="2019"/>
      <c r="K121" s="2019"/>
      <c r="L121" s="2019"/>
      <c r="M121" s="2019"/>
      <c r="N121" s="2019"/>
      <c r="O121" s="2020"/>
    </row>
    <row r="122" spans="2:15">
      <c r="B122" s="2010"/>
      <c r="C122" s="2013"/>
      <c r="D122" s="125" t="s">
        <v>284</v>
      </c>
      <c r="E122" s="2018"/>
      <c r="F122" s="2019"/>
      <c r="G122" s="2019"/>
      <c r="H122" s="2019"/>
      <c r="I122" s="2019"/>
      <c r="J122" s="2019"/>
      <c r="K122" s="2019"/>
      <c r="L122" s="2019"/>
      <c r="M122" s="2019"/>
      <c r="N122" s="2019"/>
      <c r="O122" s="2020"/>
    </row>
    <row r="123" spans="2:15">
      <c r="B123" s="2010"/>
      <c r="C123" s="2013"/>
      <c r="D123" s="125" t="s">
        <v>285</v>
      </c>
      <c r="E123" s="2018"/>
      <c r="F123" s="2019"/>
      <c r="G123" s="2019"/>
      <c r="H123" s="2019"/>
      <c r="I123" s="2019"/>
      <c r="J123" s="2019"/>
      <c r="K123" s="2019"/>
      <c r="L123" s="2019"/>
      <c r="M123" s="2019"/>
      <c r="N123" s="2019"/>
      <c r="O123" s="2020"/>
    </row>
    <row r="124" spans="2:15">
      <c r="B124" s="2010"/>
      <c r="C124" s="2013"/>
      <c r="D124" s="125" t="s">
        <v>572</v>
      </c>
      <c r="E124" s="2018"/>
      <c r="F124" s="2019"/>
      <c r="G124" s="2019"/>
      <c r="H124" s="2019"/>
      <c r="I124" s="2019"/>
      <c r="J124" s="2019"/>
      <c r="K124" s="2019"/>
      <c r="L124" s="2019"/>
      <c r="M124" s="2019"/>
      <c r="N124" s="2019"/>
      <c r="O124" s="2020"/>
    </row>
    <row r="125" spans="2:15">
      <c r="B125" s="2010"/>
      <c r="C125" s="2013"/>
      <c r="D125" s="125" t="s">
        <v>287</v>
      </c>
      <c r="E125" s="2018"/>
      <c r="F125" s="2019"/>
      <c r="G125" s="2019"/>
      <c r="H125" s="2019"/>
      <c r="I125" s="2019"/>
      <c r="J125" s="2019"/>
      <c r="K125" s="2019"/>
      <c r="L125" s="2019"/>
      <c r="M125" s="2019"/>
      <c r="N125" s="2019"/>
      <c r="O125" s="2020"/>
    </row>
    <row r="126" spans="2:15">
      <c r="B126" s="2010"/>
      <c r="C126" s="2013"/>
      <c r="D126" s="125" t="s">
        <v>288</v>
      </c>
      <c r="E126" s="2018"/>
      <c r="F126" s="2019"/>
      <c r="G126" s="2019"/>
      <c r="H126" s="2019"/>
      <c r="I126" s="2019"/>
      <c r="J126" s="2019"/>
      <c r="K126" s="2019"/>
      <c r="L126" s="2019"/>
      <c r="M126" s="2019"/>
      <c r="N126" s="2019"/>
      <c r="O126" s="2020"/>
    </row>
    <row r="127" spans="2:15">
      <c r="B127" s="2010"/>
      <c r="C127" s="2013"/>
      <c r="D127" s="125" t="s">
        <v>289</v>
      </c>
      <c r="E127" s="2018"/>
      <c r="F127" s="2019"/>
      <c r="G127" s="2019"/>
      <c r="H127" s="2019"/>
      <c r="I127" s="2019"/>
      <c r="J127" s="2019"/>
      <c r="K127" s="2019"/>
      <c r="L127" s="2019"/>
      <c r="M127" s="2019"/>
      <c r="N127" s="2019"/>
      <c r="O127" s="2020"/>
    </row>
    <row r="128" spans="2:15">
      <c r="B128" s="2011"/>
      <c r="C128" s="2014"/>
      <c r="D128" s="125" t="s">
        <v>290</v>
      </c>
      <c r="E128" s="2018"/>
      <c r="F128" s="2019"/>
      <c r="G128" s="2019"/>
      <c r="H128" s="2019"/>
      <c r="I128" s="2019"/>
      <c r="J128" s="2019"/>
      <c r="K128" s="2019"/>
      <c r="L128" s="2019"/>
      <c r="M128" s="2019"/>
      <c r="N128" s="2019"/>
      <c r="O128" s="2020"/>
    </row>
    <row r="129" spans="2:15">
      <c r="B129" s="99">
        <v>3</v>
      </c>
      <c r="C129" s="124"/>
      <c r="D129" s="124"/>
      <c r="E129" s="2018"/>
      <c r="F129" s="2019"/>
      <c r="G129" s="2019"/>
      <c r="H129" s="2019"/>
      <c r="I129" s="2019"/>
      <c r="J129" s="2019"/>
      <c r="K129" s="2019"/>
      <c r="L129" s="2019"/>
      <c r="M129" s="2019"/>
      <c r="N129" s="2019"/>
      <c r="O129" s="2020"/>
    </row>
    <row r="130" spans="2:15">
      <c r="B130" s="99" t="s">
        <v>477</v>
      </c>
      <c r="C130" s="126"/>
      <c r="D130" s="126"/>
      <c r="E130" s="2021"/>
      <c r="F130" s="2022"/>
      <c r="G130" s="2022"/>
      <c r="H130" s="2022"/>
      <c r="I130" s="2022"/>
      <c r="J130" s="2022"/>
      <c r="K130" s="2022"/>
      <c r="L130" s="2022"/>
      <c r="M130" s="2022"/>
      <c r="N130" s="2022"/>
      <c r="O130" s="2023"/>
    </row>
    <row r="132" spans="2:15">
      <c r="B132" s="256" t="s">
        <v>733</v>
      </c>
    </row>
    <row r="135" spans="2:15">
      <c r="B135" s="2008" t="s">
        <v>1014</v>
      </c>
      <c r="C135" s="2008"/>
      <c r="D135" s="257"/>
      <c r="E135" s="14"/>
      <c r="F135" s="14"/>
      <c r="G135" s="14"/>
      <c r="H135" s="14"/>
      <c r="I135" s="14"/>
      <c r="J135" s="14"/>
      <c r="K135" s="14"/>
      <c r="L135" s="14"/>
    </row>
    <row r="137" spans="2:15" ht="56">
      <c r="B137" s="1778" t="s">
        <v>340</v>
      </c>
      <c r="C137" s="1778" t="s">
        <v>559</v>
      </c>
      <c r="D137" s="1778" t="s">
        <v>570</v>
      </c>
      <c r="E137" s="260" t="s">
        <v>640</v>
      </c>
      <c r="F137" s="1770" t="s">
        <v>560</v>
      </c>
      <c r="G137" s="1770"/>
      <c r="H137" s="1770"/>
      <c r="I137" s="1770"/>
      <c r="J137" s="1770"/>
      <c r="K137" s="1770" t="s">
        <v>564</v>
      </c>
      <c r="L137" s="1770"/>
      <c r="M137" s="1770"/>
      <c r="N137" s="1770" t="s">
        <v>568</v>
      </c>
      <c r="O137" s="1770" t="s">
        <v>569</v>
      </c>
    </row>
    <row r="138" spans="2:15" ht="28">
      <c r="B138" s="1807"/>
      <c r="C138" s="1807"/>
      <c r="D138" s="1807"/>
      <c r="E138" s="259" t="s">
        <v>642</v>
      </c>
      <c r="F138" s="258" t="s">
        <v>566</v>
      </c>
      <c r="G138" s="258" t="s">
        <v>561</v>
      </c>
      <c r="H138" s="258" t="s">
        <v>644</v>
      </c>
      <c r="I138" s="259" t="s">
        <v>562</v>
      </c>
      <c r="J138" s="259" t="s">
        <v>563</v>
      </c>
      <c r="K138" s="259" t="s">
        <v>565</v>
      </c>
      <c r="L138" s="259" t="s">
        <v>567</v>
      </c>
      <c r="M138" s="259" t="s">
        <v>643</v>
      </c>
      <c r="N138" s="1770"/>
      <c r="O138" s="1770"/>
    </row>
    <row r="139" spans="2:15">
      <c r="B139" s="2009">
        <f>B138+1</f>
        <v>1</v>
      </c>
      <c r="C139" s="2012"/>
      <c r="D139" s="125" t="s">
        <v>279</v>
      </c>
      <c r="E139" s="2015" t="s">
        <v>770</v>
      </c>
      <c r="F139" s="2016"/>
      <c r="G139" s="2016"/>
      <c r="H139" s="2016"/>
      <c r="I139" s="2016"/>
      <c r="J139" s="2016"/>
      <c r="K139" s="2016"/>
      <c r="L139" s="2016"/>
      <c r="M139" s="2016"/>
      <c r="N139" s="2016"/>
      <c r="O139" s="2017"/>
    </row>
    <row r="140" spans="2:15">
      <c r="B140" s="2010"/>
      <c r="C140" s="2013"/>
      <c r="D140" s="125" t="s">
        <v>280</v>
      </c>
      <c r="E140" s="2018"/>
      <c r="F140" s="2019"/>
      <c r="G140" s="2019"/>
      <c r="H140" s="2019"/>
      <c r="I140" s="2019"/>
      <c r="J140" s="2019"/>
      <c r="K140" s="2019"/>
      <c r="L140" s="2019"/>
      <c r="M140" s="2019"/>
      <c r="N140" s="2019"/>
      <c r="O140" s="2020"/>
    </row>
    <row r="141" spans="2:15">
      <c r="B141" s="2010"/>
      <c r="C141" s="2013"/>
      <c r="D141" s="125" t="s">
        <v>281</v>
      </c>
      <c r="E141" s="2018"/>
      <c r="F141" s="2019"/>
      <c r="G141" s="2019"/>
      <c r="H141" s="2019"/>
      <c r="I141" s="2019"/>
      <c r="J141" s="2019"/>
      <c r="K141" s="2019"/>
      <c r="L141" s="2019"/>
      <c r="M141" s="2019"/>
      <c r="N141" s="2019"/>
      <c r="O141" s="2020"/>
    </row>
    <row r="142" spans="2:15">
      <c r="B142" s="2010"/>
      <c r="C142" s="2013"/>
      <c r="D142" s="125" t="s">
        <v>571</v>
      </c>
      <c r="E142" s="2018"/>
      <c r="F142" s="2019"/>
      <c r="G142" s="2019"/>
      <c r="H142" s="2019"/>
      <c r="I142" s="2019"/>
      <c r="J142" s="2019"/>
      <c r="K142" s="2019"/>
      <c r="L142" s="2019"/>
      <c r="M142" s="2019"/>
      <c r="N142" s="2019"/>
      <c r="O142" s="2020"/>
    </row>
    <row r="143" spans="2:15">
      <c r="B143" s="2010"/>
      <c r="C143" s="2013"/>
      <c r="D143" s="125" t="s">
        <v>283</v>
      </c>
      <c r="E143" s="2018"/>
      <c r="F143" s="2019"/>
      <c r="G143" s="2019"/>
      <c r="H143" s="2019"/>
      <c r="I143" s="2019"/>
      <c r="J143" s="2019"/>
      <c r="K143" s="2019"/>
      <c r="L143" s="2019"/>
      <c r="M143" s="2019"/>
      <c r="N143" s="2019"/>
      <c r="O143" s="2020"/>
    </row>
    <row r="144" spans="2:15">
      <c r="B144" s="2010"/>
      <c r="C144" s="2013"/>
      <c r="D144" s="125" t="s">
        <v>284</v>
      </c>
      <c r="E144" s="2018"/>
      <c r="F144" s="2019"/>
      <c r="G144" s="2019"/>
      <c r="H144" s="2019"/>
      <c r="I144" s="2019"/>
      <c r="J144" s="2019"/>
      <c r="K144" s="2019"/>
      <c r="L144" s="2019"/>
      <c r="M144" s="2019"/>
      <c r="N144" s="2019"/>
      <c r="O144" s="2020"/>
    </row>
    <row r="145" spans="2:15">
      <c r="B145" s="2010"/>
      <c r="C145" s="2013"/>
      <c r="D145" s="125" t="s">
        <v>285</v>
      </c>
      <c r="E145" s="2018"/>
      <c r="F145" s="2019"/>
      <c r="G145" s="2019"/>
      <c r="H145" s="2019"/>
      <c r="I145" s="2019"/>
      <c r="J145" s="2019"/>
      <c r="K145" s="2019"/>
      <c r="L145" s="2019"/>
      <c r="M145" s="2019"/>
      <c r="N145" s="2019"/>
      <c r="O145" s="2020"/>
    </row>
    <row r="146" spans="2:15">
      <c r="B146" s="2010"/>
      <c r="C146" s="2013"/>
      <c r="D146" s="125" t="s">
        <v>572</v>
      </c>
      <c r="E146" s="2018"/>
      <c r="F146" s="2019"/>
      <c r="G146" s="2019"/>
      <c r="H146" s="2019"/>
      <c r="I146" s="2019"/>
      <c r="J146" s="2019"/>
      <c r="K146" s="2019"/>
      <c r="L146" s="2019"/>
      <c r="M146" s="2019"/>
      <c r="N146" s="2019"/>
      <c r="O146" s="2020"/>
    </row>
    <row r="147" spans="2:15">
      <c r="B147" s="2010"/>
      <c r="C147" s="2013"/>
      <c r="D147" s="125" t="s">
        <v>287</v>
      </c>
      <c r="E147" s="2018"/>
      <c r="F147" s="2019"/>
      <c r="G147" s="2019"/>
      <c r="H147" s="2019"/>
      <c r="I147" s="2019"/>
      <c r="J147" s="2019"/>
      <c r="K147" s="2019"/>
      <c r="L147" s="2019"/>
      <c r="M147" s="2019"/>
      <c r="N147" s="2019"/>
      <c r="O147" s="2020"/>
    </row>
    <row r="148" spans="2:15">
      <c r="B148" s="2010"/>
      <c r="C148" s="2013"/>
      <c r="D148" s="125" t="s">
        <v>288</v>
      </c>
      <c r="E148" s="2018"/>
      <c r="F148" s="2019"/>
      <c r="G148" s="2019"/>
      <c r="H148" s="2019"/>
      <c r="I148" s="2019"/>
      <c r="J148" s="2019"/>
      <c r="K148" s="2019"/>
      <c r="L148" s="2019"/>
      <c r="M148" s="2019"/>
      <c r="N148" s="2019"/>
      <c r="O148" s="2020"/>
    </row>
    <row r="149" spans="2:15">
      <c r="B149" s="2010"/>
      <c r="C149" s="2013"/>
      <c r="D149" s="125" t="s">
        <v>289</v>
      </c>
      <c r="E149" s="2018"/>
      <c r="F149" s="2019"/>
      <c r="G149" s="2019"/>
      <c r="H149" s="2019"/>
      <c r="I149" s="2019"/>
      <c r="J149" s="2019"/>
      <c r="K149" s="2019"/>
      <c r="L149" s="2019"/>
      <c r="M149" s="2019"/>
      <c r="N149" s="2019"/>
      <c r="O149" s="2020"/>
    </row>
    <row r="150" spans="2:15">
      <c r="B150" s="2011"/>
      <c r="C150" s="2014"/>
      <c r="D150" s="125" t="s">
        <v>290</v>
      </c>
      <c r="E150" s="2018"/>
      <c r="F150" s="2019"/>
      <c r="G150" s="2019"/>
      <c r="H150" s="2019"/>
      <c r="I150" s="2019"/>
      <c r="J150" s="2019"/>
      <c r="K150" s="2019"/>
      <c r="L150" s="2019"/>
      <c r="M150" s="2019"/>
      <c r="N150" s="2019"/>
      <c r="O150" s="2020"/>
    </row>
    <row r="151" spans="2:15">
      <c r="B151" s="2009">
        <f>B139+1</f>
        <v>2</v>
      </c>
      <c r="C151" s="2012"/>
      <c r="D151" s="125" t="s">
        <v>279</v>
      </c>
      <c r="E151" s="2018"/>
      <c r="F151" s="2019"/>
      <c r="G151" s="2019"/>
      <c r="H151" s="2019"/>
      <c r="I151" s="2019"/>
      <c r="J151" s="2019"/>
      <c r="K151" s="2019"/>
      <c r="L151" s="2019"/>
      <c r="M151" s="2019"/>
      <c r="N151" s="2019"/>
      <c r="O151" s="2020"/>
    </row>
    <row r="152" spans="2:15">
      <c r="B152" s="2010"/>
      <c r="C152" s="2013"/>
      <c r="D152" s="125" t="s">
        <v>280</v>
      </c>
      <c r="E152" s="2018"/>
      <c r="F152" s="2019"/>
      <c r="G152" s="2019"/>
      <c r="H152" s="2019"/>
      <c r="I152" s="2019"/>
      <c r="J152" s="2019"/>
      <c r="K152" s="2019"/>
      <c r="L152" s="2019"/>
      <c r="M152" s="2019"/>
      <c r="N152" s="2019"/>
      <c r="O152" s="2020"/>
    </row>
    <row r="153" spans="2:15">
      <c r="B153" s="2010"/>
      <c r="C153" s="2013"/>
      <c r="D153" s="125" t="s">
        <v>281</v>
      </c>
      <c r="E153" s="2018"/>
      <c r="F153" s="2019"/>
      <c r="G153" s="2019"/>
      <c r="H153" s="2019"/>
      <c r="I153" s="2019"/>
      <c r="J153" s="2019"/>
      <c r="K153" s="2019"/>
      <c r="L153" s="2019"/>
      <c r="M153" s="2019"/>
      <c r="N153" s="2019"/>
      <c r="O153" s="2020"/>
    </row>
    <row r="154" spans="2:15">
      <c r="B154" s="2010"/>
      <c r="C154" s="2013"/>
      <c r="D154" s="125" t="s">
        <v>571</v>
      </c>
      <c r="E154" s="2018"/>
      <c r="F154" s="2019"/>
      <c r="G154" s="2019"/>
      <c r="H154" s="2019"/>
      <c r="I154" s="2019"/>
      <c r="J154" s="2019"/>
      <c r="K154" s="2019"/>
      <c r="L154" s="2019"/>
      <c r="M154" s="2019"/>
      <c r="N154" s="2019"/>
      <c r="O154" s="2020"/>
    </row>
    <row r="155" spans="2:15">
      <c r="B155" s="2010"/>
      <c r="C155" s="2013"/>
      <c r="D155" s="125" t="s">
        <v>283</v>
      </c>
      <c r="E155" s="2018"/>
      <c r="F155" s="2019"/>
      <c r="G155" s="2019"/>
      <c r="H155" s="2019"/>
      <c r="I155" s="2019"/>
      <c r="J155" s="2019"/>
      <c r="K155" s="2019"/>
      <c r="L155" s="2019"/>
      <c r="M155" s="2019"/>
      <c r="N155" s="2019"/>
      <c r="O155" s="2020"/>
    </row>
    <row r="156" spans="2:15">
      <c r="B156" s="2010"/>
      <c r="C156" s="2013"/>
      <c r="D156" s="125" t="s">
        <v>284</v>
      </c>
      <c r="E156" s="2018"/>
      <c r="F156" s="2019"/>
      <c r="G156" s="2019"/>
      <c r="H156" s="2019"/>
      <c r="I156" s="2019"/>
      <c r="J156" s="2019"/>
      <c r="K156" s="2019"/>
      <c r="L156" s="2019"/>
      <c r="M156" s="2019"/>
      <c r="N156" s="2019"/>
      <c r="O156" s="2020"/>
    </row>
    <row r="157" spans="2:15">
      <c r="B157" s="2010"/>
      <c r="C157" s="2013"/>
      <c r="D157" s="125" t="s">
        <v>285</v>
      </c>
      <c r="E157" s="2018"/>
      <c r="F157" s="2019"/>
      <c r="G157" s="2019"/>
      <c r="H157" s="2019"/>
      <c r="I157" s="2019"/>
      <c r="J157" s="2019"/>
      <c r="K157" s="2019"/>
      <c r="L157" s="2019"/>
      <c r="M157" s="2019"/>
      <c r="N157" s="2019"/>
      <c r="O157" s="2020"/>
    </row>
    <row r="158" spans="2:15">
      <c r="B158" s="2010"/>
      <c r="C158" s="2013"/>
      <c r="D158" s="125" t="s">
        <v>572</v>
      </c>
      <c r="E158" s="2018"/>
      <c r="F158" s="2019"/>
      <c r="G158" s="2019"/>
      <c r="H158" s="2019"/>
      <c r="I158" s="2019"/>
      <c r="J158" s="2019"/>
      <c r="K158" s="2019"/>
      <c r="L158" s="2019"/>
      <c r="M158" s="2019"/>
      <c r="N158" s="2019"/>
      <c r="O158" s="2020"/>
    </row>
    <row r="159" spans="2:15">
      <c r="B159" s="2010"/>
      <c r="C159" s="2013"/>
      <c r="D159" s="125" t="s">
        <v>287</v>
      </c>
      <c r="E159" s="2018"/>
      <c r="F159" s="2019"/>
      <c r="G159" s="2019"/>
      <c r="H159" s="2019"/>
      <c r="I159" s="2019"/>
      <c r="J159" s="2019"/>
      <c r="K159" s="2019"/>
      <c r="L159" s="2019"/>
      <c r="M159" s="2019"/>
      <c r="N159" s="2019"/>
      <c r="O159" s="2020"/>
    </row>
    <row r="160" spans="2:15">
      <c r="B160" s="2010"/>
      <c r="C160" s="2013"/>
      <c r="D160" s="125" t="s">
        <v>288</v>
      </c>
      <c r="E160" s="2018"/>
      <c r="F160" s="2019"/>
      <c r="G160" s="2019"/>
      <c r="H160" s="2019"/>
      <c r="I160" s="2019"/>
      <c r="J160" s="2019"/>
      <c r="K160" s="2019"/>
      <c r="L160" s="2019"/>
      <c r="M160" s="2019"/>
      <c r="N160" s="2019"/>
      <c r="O160" s="2020"/>
    </row>
    <row r="161" spans="2:15">
      <c r="B161" s="2010"/>
      <c r="C161" s="2013"/>
      <c r="D161" s="125" t="s">
        <v>289</v>
      </c>
      <c r="E161" s="2018"/>
      <c r="F161" s="2019"/>
      <c r="G161" s="2019"/>
      <c r="H161" s="2019"/>
      <c r="I161" s="2019"/>
      <c r="J161" s="2019"/>
      <c r="K161" s="2019"/>
      <c r="L161" s="2019"/>
      <c r="M161" s="2019"/>
      <c r="N161" s="2019"/>
      <c r="O161" s="2020"/>
    </row>
    <row r="162" spans="2:15">
      <c r="B162" s="2011"/>
      <c r="C162" s="2014"/>
      <c r="D162" s="125" t="s">
        <v>290</v>
      </c>
      <c r="E162" s="2018"/>
      <c r="F162" s="2019"/>
      <c r="G162" s="2019"/>
      <c r="H162" s="2019"/>
      <c r="I162" s="2019"/>
      <c r="J162" s="2019"/>
      <c r="K162" s="2019"/>
      <c r="L162" s="2019"/>
      <c r="M162" s="2019"/>
      <c r="N162" s="2019"/>
      <c r="O162" s="2020"/>
    </row>
    <row r="163" spans="2:15">
      <c r="B163" s="99">
        <v>3</v>
      </c>
      <c r="C163" s="124"/>
      <c r="D163" s="124"/>
      <c r="E163" s="2018"/>
      <c r="F163" s="2019"/>
      <c r="G163" s="2019"/>
      <c r="H163" s="2019"/>
      <c r="I163" s="2019"/>
      <c r="J163" s="2019"/>
      <c r="K163" s="2019"/>
      <c r="L163" s="2019"/>
      <c r="M163" s="2019"/>
      <c r="N163" s="2019"/>
      <c r="O163" s="2020"/>
    </row>
    <row r="164" spans="2:15">
      <c r="B164" s="99" t="s">
        <v>477</v>
      </c>
      <c r="C164" s="126"/>
      <c r="D164" s="126"/>
      <c r="E164" s="2021"/>
      <c r="F164" s="2022"/>
      <c r="G164" s="2022"/>
      <c r="H164" s="2022"/>
      <c r="I164" s="2022"/>
      <c r="J164" s="2022"/>
      <c r="K164" s="2022"/>
      <c r="L164" s="2022"/>
      <c r="M164" s="2022"/>
      <c r="N164" s="2022"/>
      <c r="O164" s="2023"/>
    </row>
    <row r="166" spans="2:15">
      <c r="B166" s="2008" t="s">
        <v>1015</v>
      </c>
      <c r="C166" s="2008"/>
      <c r="D166" s="305"/>
      <c r="E166" s="14"/>
      <c r="F166" s="14"/>
      <c r="G166" s="14"/>
      <c r="H166" s="14"/>
      <c r="I166" s="14"/>
      <c r="J166" s="14"/>
      <c r="K166" s="14"/>
      <c r="L166" s="14"/>
    </row>
    <row r="168" spans="2:15" ht="56">
      <c r="B168" s="1778" t="s">
        <v>340</v>
      </c>
      <c r="C168" s="1778" t="s">
        <v>559</v>
      </c>
      <c r="D168" s="1778" t="s">
        <v>570</v>
      </c>
      <c r="E168" s="298" t="s">
        <v>640</v>
      </c>
      <c r="F168" s="1770" t="s">
        <v>560</v>
      </c>
      <c r="G168" s="1770"/>
      <c r="H168" s="1770"/>
      <c r="I168" s="1770"/>
      <c r="J168" s="1770"/>
      <c r="K168" s="1770" t="s">
        <v>564</v>
      </c>
      <c r="L168" s="1770"/>
      <c r="M168" s="1770"/>
      <c r="N168" s="1770" t="s">
        <v>737</v>
      </c>
      <c r="O168" s="1770" t="s">
        <v>569</v>
      </c>
    </row>
    <row r="169" spans="2:15" ht="28">
      <c r="B169" s="1807"/>
      <c r="C169" s="1807"/>
      <c r="D169" s="1807"/>
      <c r="E169" s="297" t="s">
        <v>642</v>
      </c>
      <c r="F169" s="295" t="s">
        <v>566</v>
      </c>
      <c r="G169" s="295" t="s">
        <v>561</v>
      </c>
      <c r="H169" s="295" t="s">
        <v>644</v>
      </c>
      <c r="I169" s="297" t="s">
        <v>682</v>
      </c>
      <c r="J169" s="297" t="s">
        <v>735</v>
      </c>
      <c r="K169" s="297" t="s">
        <v>565</v>
      </c>
      <c r="L169" s="297" t="s">
        <v>736</v>
      </c>
      <c r="M169" s="297" t="s">
        <v>643</v>
      </c>
      <c r="N169" s="1770"/>
      <c r="O169" s="1770"/>
    </row>
    <row r="170" spans="2:15">
      <c r="B170" s="2009">
        <f>B169+1</f>
        <v>1</v>
      </c>
      <c r="C170" s="2012"/>
      <c r="D170" s="125" t="s">
        <v>279</v>
      </c>
      <c r="E170" s="2024" t="s">
        <v>770</v>
      </c>
      <c r="F170" s="2025"/>
      <c r="G170" s="2025"/>
      <c r="H170" s="2025"/>
      <c r="I170" s="2025"/>
      <c r="J170" s="2025"/>
      <c r="K170" s="2025"/>
      <c r="L170" s="2025"/>
      <c r="M170" s="2025"/>
      <c r="N170" s="2025"/>
      <c r="O170" s="2026"/>
    </row>
    <row r="171" spans="2:15">
      <c r="B171" s="2010"/>
      <c r="C171" s="2013"/>
      <c r="D171" s="125" t="s">
        <v>280</v>
      </c>
      <c r="E171" s="2027"/>
      <c r="F171" s="2028"/>
      <c r="G171" s="2028"/>
      <c r="H171" s="2028"/>
      <c r="I171" s="2028"/>
      <c r="J171" s="2028"/>
      <c r="K171" s="2028"/>
      <c r="L171" s="2028"/>
      <c r="M171" s="2028"/>
      <c r="N171" s="2028"/>
      <c r="O171" s="2029"/>
    </row>
    <row r="172" spans="2:15">
      <c r="B172" s="2010"/>
      <c r="C172" s="2013"/>
      <c r="D172" s="125" t="s">
        <v>281</v>
      </c>
      <c r="E172" s="2027"/>
      <c r="F172" s="2028"/>
      <c r="G172" s="2028"/>
      <c r="H172" s="2028"/>
      <c r="I172" s="2028"/>
      <c r="J172" s="2028"/>
      <c r="K172" s="2028"/>
      <c r="L172" s="2028"/>
      <c r="M172" s="2028"/>
      <c r="N172" s="2028"/>
      <c r="O172" s="2029"/>
    </row>
    <row r="173" spans="2:15">
      <c r="B173" s="2010"/>
      <c r="C173" s="2013"/>
      <c r="D173" s="125" t="s">
        <v>571</v>
      </c>
      <c r="E173" s="2027"/>
      <c r="F173" s="2028"/>
      <c r="G173" s="2028"/>
      <c r="H173" s="2028"/>
      <c r="I173" s="2028"/>
      <c r="J173" s="2028"/>
      <c r="K173" s="2028"/>
      <c r="L173" s="2028"/>
      <c r="M173" s="2028"/>
      <c r="N173" s="2028"/>
      <c r="O173" s="2029"/>
    </row>
    <row r="174" spans="2:15">
      <c r="B174" s="2010"/>
      <c r="C174" s="2013"/>
      <c r="D174" s="125" t="s">
        <v>283</v>
      </c>
      <c r="E174" s="2027"/>
      <c r="F174" s="2028"/>
      <c r="G174" s="2028"/>
      <c r="H174" s="2028"/>
      <c r="I174" s="2028"/>
      <c r="J174" s="2028"/>
      <c r="K174" s="2028"/>
      <c r="L174" s="2028"/>
      <c r="M174" s="2028"/>
      <c r="N174" s="2028"/>
      <c r="O174" s="2029"/>
    </row>
    <row r="175" spans="2:15">
      <c r="B175" s="2010"/>
      <c r="C175" s="2013"/>
      <c r="D175" s="125" t="s">
        <v>284</v>
      </c>
      <c r="E175" s="2027"/>
      <c r="F175" s="2028"/>
      <c r="G175" s="2028"/>
      <c r="H175" s="2028"/>
      <c r="I175" s="2028"/>
      <c r="J175" s="2028"/>
      <c r="K175" s="2028"/>
      <c r="L175" s="2028"/>
      <c r="M175" s="2028"/>
      <c r="N175" s="2028"/>
      <c r="O175" s="2029"/>
    </row>
    <row r="176" spans="2:15">
      <c r="B176" s="2009">
        <f>B170+1</f>
        <v>2</v>
      </c>
      <c r="C176" s="2012"/>
      <c r="D176" s="125" t="s">
        <v>279</v>
      </c>
      <c r="E176" s="2027"/>
      <c r="F176" s="2028"/>
      <c r="G176" s="2028"/>
      <c r="H176" s="2028"/>
      <c r="I176" s="2028"/>
      <c r="J176" s="2028"/>
      <c r="K176" s="2028"/>
      <c r="L176" s="2028"/>
      <c r="M176" s="2028"/>
      <c r="N176" s="2028"/>
      <c r="O176" s="2029"/>
    </row>
    <row r="177" spans="2:15">
      <c r="B177" s="2010"/>
      <c r="C177" s="2013"/>
      <c r="D177" s="125" t="s">
        <v>280</v>
      </c>
      <c r="E177" s="2027"/>
      <c r="F177" s="2028"/>
      <c r="G177" s="2028"/>
      <c r="H177" s="2028"/>
      <c r="I177" s="2028"/>
      <c r="J177" s="2028"/>
      <c r="K177" s="2028"/>
      <c r="L177" s="2028"/>
      <c r="M177" s="2028"/>
      <c r="N177" s="2028"/>
      <c r="O177" s="2029"/>
    </row>
    <row r="178" spans="2:15">
      <c r="B178" s="2010"/>
      <c r="C178" s="2013"/>
      <c r="D178" s="125" t="s">
        <v>281</v>
      </c>
      <c r="E178" s="2027"/>
      <c r="F178" s="2028"/>
      <c r="G178" s="2028"/>
      <c r="H178" s="2028"/>
      <c r="I178" s="2028"/>
      <c r="J178" s="2028"/>
      <c r="K178" s="2028"/>
      <c r="L178" s="2028"/>
      <c r="M178" s="2028"/>
      <c r="N178" s="2028"/>
      <c r="O178" s="2029"/>
    </row>
    <row r="179" spans="2:15">
      <c r="B179" s="2010"/>
      <c r="C179" s="2013"/>
      <c r="D179" s="125" t="s">
        <v>571</v>
      </c>
      <c r="E179" s="2027"/>
      <c r="F179" s="2028"/>
      <c r="G179" s="2028"/>
      <c r="H179" s="2028"/>
      <c r="I179" s="2028"/>
      <c r="J179" s="2028"/>
      <c r="K179" s="2028"/>
      <c r="L179" s="2028"/>
      <c r="M179" s="2028"/>
      <c r="N179" s="2028"/>
      <c r="O179" s="2029"/>
    </row>
    <row r="180" spans="2:15">
      <c r="B180" s="2010"/>
      <c r="C180" s="2013"/>
      <c r="D180" s="125" t="s">
        <v>283</v>
      </c>
      <c r="E180" s="2027"/>
      <c r="F180" s="2028"/>
      <c r="G180" s="2028"/>
      <c r="H180" s="2028"/>
      <c r="I180" s="2028"/>
      <c r="J180" s="2028"/>
      <c r="K180" s="2028"/>
      <c r="L180" s="2028"/>
      <c r="M180" s="2028"/>
      <c r="N180" s="2028"/>
      <c r="O180" s="2029"/>
    </row>
    <row r="181" spans="2:15">
      <c r="B181" s="2010"/>
      <c r="C181" s="2013"/>
      <c r="D181" s="125" t="s">
        <v>284</v>
      </c>
      <c r="E181" s="2027"/>
      <c r="F181" s="2028"/>
      <c r="G181" s="2028"/>
      <c r="H181" s="2028"/>
      <c r="I181" s="2028"/>
      <c r="J181" s="2028"/>
      <c r="K181" s="2028"/>
      <c r="L181" s="2028"/>
      <c r="M181" s="2028"/>
      <c r="N181" s="2028"/>
      <c r="O181" s="2029"/>
    </row>
    <row r="182" spans="2:15">
      <c r="B182" s="99">
        <v>3</v>
      </c>
      <c r="C182" s="124"/>
      <c r="D182" s="124"/>
      <c r="E182" s="2027"/>
      <c r="F182" s="2028"/>
      <c r="G182" s="2028"/>
      <c r="H182" s="2028"/>
      <c r="I182" s="2028"/>
      <c r="J182" s="2028"/>
      <c r="K182" s="2028"/>
      <c r="L182" s="2028"/>
      <c r="M182" s="2028"/>
      <c r="N182" s="2028"/>
      <c r="O182" s="2029"/>
    </row>
    <row r="183" spans="2:15">
      <c r="B183" s="99" t="s">
        <v>477</v>
      </c>
      <c r="C183" s="126"/>
      <c r="D183" s="126"/>
      <c r="E183" s="2030"/>
      <c r="F183" s="2031"/>
      <c r="G183" s="2031"/>
      <c r="H183" s="2031"/>
      <c r="I183" s="2031"/>
      <c r="J183" s="2031"/>
      <c r="K183" s="2031"/>
      <c r="L183" s="2031"/>
      <c r="M183" s="2031"/>
      <c r="N183" s="2031"/>
      <c r="O183" s="2032"/>
    </row>
    <row r="186" spans="2:15">
      <c r="B186" s="2008" t="s">
        <v>1016</v>
      </c>
      <c r="C186" s="2008"/>
      <c r="D186" s="305"/>
      <c r="E186" s="14"/>
      <c r="F186" s="14"/>
      <c r="G186" s="14"/>
      <c r="H186" s="14"/>
      <c r="I186" s="14"/>
      <c r="J186" s="14"/>
      <c r="K186" s="14"/>
      <c r="L186" s="14"/>
    </row>
    <row r="188" spans="2:15" ht="56">
      <c r="B188" s="1778" t="s">
        <v>340</v>
      </c>
      <c r="C188" s="1778" t="s">
        <v>559</v>
      </c>
      <c r="D188" s="1778" t="s">
        <v>570</v>
      </c>
      <c r="E188" s="298" t="s">
        <v>640</v>
      </c>
      <c r="F188" s="1770" t="s">
        <v>560</v>
      </c>
      <c r="G188" s="1770"/>
      <c r="H188" s="1770"/>
      <c r="I188" s="1770"/>
      <c r="J188" s="1770"/>
      <c r="K188" s="1770" t="s">
        <v>564</v>
      </c>
      <c r="L188" s="1770"/>
      <c r="M188" s="1770"/>
      <c r="N188" s="1770" t="s">
        <v>568</v>
      </c>
      <c r="O188" s="1770" t="s">
        <v>569</v>
      </c>
    </row>
    <row r="189" spans="2:15" ht="28">
      <c r="B189" s="1807"/>
      <c r="C189" s="1807"/>
      <c r="D189" s="1807"/>
      <c r="E189" s="297" t="s">
        <v>642</v>
      </c>
      <c r="F189" s="295" t="s">
        <v>566</v>
      </c>
      <c r="G189" s="295" t="s">
        <v>561</v>
      </c>
      <c r="H189" s="295" t="s">
        <v>644</v>
      </c>
      <c r="I189" s="297" t="s">
        <v>562</v>
      </c>
      <c r="J189" s="297" t="s">
        <v>563</v>
      </c>
      <c r="K189" s="297" t="s">
        <v>565</v>
      </c>
      <c r="L189" s="297" t="s">
        <v>567</v>
      </c>
      <c r="M189" s="297" t="s">
        <v>643</v>
      </c>
      <c r="N189" s="1770"/>
      <c r="O189" s="1770"/>
    </row>
    <row r="190" spans="2:15">
      <c r="B190" s="2009">
        <f>B189+1</f>
        <v>1</v>
      </c>
      <c r="C190" s="2012"/>
      <c r="D190" s="125" t="s">
        <v>279</v>
      </c>
      <c r="E190" s="2015" t="s">
        <v>770</v>
      </c>
      <c r="F190" s="2016"/>
      <c r="G190" s="2016"/>
      <c r="H190" s="2016"/>
      <c r="I190" s="2016"/>
      <c r="J190" s="2016"/>
      <c r="K190" s="2016"/>
      <c r="L190" s="2016"/>
      <c r="M190" s="2016"/>
      <c r="N190" s="2016"/>
      <c r="O190" s="2017"/>
    </row>
    <row r="191" spans="2:15">
      <c r="B191" s="2010"/>
      <c r="C191" s="2013"/>
      <c r="D191" s="125" t="s">
        <v>280</v>
      </c>
      <c r="E191" s="2018"/>
      <c r="F191" s="2019"/>
      <c r="G191" s="2019"/>
      <c r="H191" s="2019"/>
      <c r="I191" s="2019"/>
      <c r="J191" s="2019"/>
      <c r="K191" s="2019"/>
      <c r="L191" s="2019"/>
      <c r="M191" s="2019"/>
      <c r="N191" s="2019"/>
      <c r="O191" s="2020"/>
    </row>
    <row r="192" spans="2:15">
      <c r="B192" s="2010"/>
      <c r="C192" s="2013"/>
      <c r="D192" s="125" t="s">
        <v>281</v>
      </c>
      <c r="E192" s="2018"/>
      <c r="F192" s="2019"/>
      <c r="G192" s="2019"/>
      <c r="H192" s="2019"/>
      <c r="I192" s="2019"/>
      <c r="J192" s="2019"/>
      <c r="K192" s="2019"/>
      <c r="L192" s="2019"/>
      <c r="M192" s="2019"/>
      <c r="N192" s="2019"/>
      <c r="O192" s="2020"/>
    </row>
    <row r="193" spans="2:15">
      <c r="B193" s="2010"/>
      <c r="C193" s="2013"/>
      <c r="D193" s="125" t="s">
        <v>571</v>
      </c>
      <c r="E193" s="2018"/>
      <c r="F193" s="2019"/>
      <c r="G193" s="2019"/>
      <c r="H193" s="2019"/>
      <c r="I193" s="2019"/>
      <c r="J193" s="2019"/>
      <c r="K193" s="2019"/>
      <c r="L193" s="2019"/>
      <c r="M193" s="2019"/>
      <c r="N193" s="2019"/>
      <c r="O193" s="2020"/>
    </row>
    <row r="194" spans="2:15">
      <c r="B194" s="2010"/>
      <c r="C194" s="2013"/>
      <c r="D194" s="125" t="s">
        <v>283</v>
      </c>
      <c r="E194" s="2018"/>
      <c r="F194" s="2019"/>
      <c r="G194" s="2019"/>
      <c r="H194" s="2019"/>
      <c r="I194" s="2019"/>
      <c r="J194" s="2019"/>
      <c r="K194" s="2019"/>
      <c r="L194" s="2019"/>
      <c r="M194" s="2019"/>
      <c r="N194" s="2019"/>
      <c r="O194" s="2020"/>
    </row>
    <row r="195" spans="2:15">
      <c r="B195" s="2010"/>
      <c r="C195" s="2013"/>
      <c r="D195" s="125" t="s">
        <v>284</v>
      </c>
      <c r="E195" s="2018"/>
      <c r="F195" s="2019"/>
      <c r="G195" s="2019"/>
      <c r="H195" s="2019"/>
      <c r="I195" s="2019"/>
      <c r="J195" s="2019"/>
      <c r="K195" s="2019"/>
      <c r="L195" s="2019"/>
      <c r="M195" s="2019"/>
      <c r="N195" s="2019"/>
      <c r="O195" s="2020"/>
    </row>
    <row r="196" spans="2:15">
      <c r="B196" s="2010"/>
      <c r="C196" s="2013"/>
      <c r="D196" s="125" t="s">
        <v>285</v>
      </c>
      <c r="E196" s="2018"/>
      <c r="F196" s="2019"/>
      <c r="G196" s="2019"/>
      <c r="H196" s="2019"/>
      <c r="I196" s="2019"/>
      <c r="J196" s="2019"/>
      <c r="K196" s="2019"/>
      <c r="L196" s="2019"/>
      <c r="M196" s="2019"/>
      <c r="N196" s="2019"/>
      <c r="O196" s="2020"/>
    </row>
    <row r="197" spans="2:15">
      <c r="B197" s="2010"/>
      <c r="C197" s="2013"/>
      <c r="D197" s="125" t="s">
        <v>572</v>
      </c>
      <c r="E197" s="2018"/>
      <c r="F197" s="2019"/>
      <c r="G197" s="2019"/>
      <c r="H197" s="2019"/>
      <c r="I197" s="2019"/>
      <c r="J197" s="2019"/>
      <c r="K197" s="2019"/>
      <c r="L197" s="2019"/>
      <c r="M197" s="2019"/>
      <c r="N197" s="2019"/>
      <c r="O197" s="2020"/>
    </row>
    <row r="198" spans="2:15">
      <c r="B198" s="2010"/>
      <c r="C198" s="2013"/>
      <c r="D198" s="125" t="s">
        <v>287</v>
      </c>
      <c r="E198" s="2018"/>
      <c r="F198" s="2019"/>
      <c r="G198" s="2019"/>
      <c r="H198" s="2019"/>
      <c r="I198" s="2019"/>
      <c r="J198" s="2019"/>
      <c r="K198" s="2019"/>
      <c r="L198" s="2019"/>
      <c r="M198" s="2019"/>
      <c r="N198" s="2019"/>
      <c r="O198" s="2020"/>
    </row>
    <row r="199" spans="2:15">
      <c r="B199" s="2010"/>
      <c r="C199" s="2013"/>
      <c r="D199" s="125" t="s">
        <v>288</v>
      </c>
      <c r="E199" s="2018"/>
      <c r="F199" s="2019"/>
      <c r="G199" s="2019"/>
      <c r="H199" s="2019"/>
      <c r="I199" s="2019"/>
      <c r="J199" s="2019"/>
      <c r="K199" s="2019"/>
      <c r="L199" s="2019"/>
      <c r="M199" s="2019"/>
      <c r="N199" s="2019"/>
      <c r="O199" s="2020"/>
    </row>
    <row r="200" spans="2:15">
      <c r="B200" s="2010"/>
      <c r="C200" s="2013"/>
      <c r="D200" s="125" t="s">
        <v>289</v>
      </c>
      <c r="E200" s="2018"/>
      <c r="F200" s="2019"/>
      <c r="G200" s="2019"/>
      <c r="H200" s="2019"/>
      <c r="I200" s="2019"/>
      <c r="J200" s="2019"/>
      <c r="K200" s="2019"/>
      <c r="L200" s="2019"/>
      <c r="M200" s="2019"/>
      <c r="N200" s="2019"/>
      <c r="O200" s="2020"/>
    </row>
    <row r="201" spans="2:15">
      <c r="B201" s="2011"/>
      <c r="C201" s="2014"/>
      <c r="D201" s="125" t="s">
        <v>290</v>
      </c>
      <c r="E201" s="2018"/>
      <c r="F201" s="2019"/>
      <c r="G201" s="2019"/>
      <c r="H201" s="2019"/>
      <c r="I201" s="2019"/>
      <c r="J201" s="2019"/>
      <c r="K201" s="2019"/>
      <c r="L201" s="2019"/>
      <c r="M201" s="2019"/>
      <c r="N201" s="2019"/>
      <c r="O201" s="2020"/>
    </row>
    <row r="202" spans="2:15">
      <c r="B202" s="2009">
        <f>B190+1</f>
        <v>2</v>
      </c>
      <c r="C202" s="2012"/>
      <c r="D202" s="125" t="s">
        <v>279</v>
      </c>
      <c r="E202" s="2018"/>
      <c r="F202" s="2019"/>
      <c r="G202" s="2019"/>
      <c r="H202" s="2019"/>
      <c r="I202" s="2019"/>
      <c r="J202" s="2019"/>
      <c r="K202" s="2019"/>
      <c r="L202" s="2019"/>
      <c r="M202" s="2019"/>
      <c r="N202" s="2019"/>
      <c r="O202" s="2020"/>
    </row>
    <row r="203" spans="2:15">
      <c r="B203" s="2010"/>
      <c r="C203" s="2013"/>
      <c r="D203" s="125" t="s">
        <v>280</v>
      </c>
      <c r="E203" s="2018"/>
      <c r="F203" s="2019"/>
      <c r="G203" s="2019"/>
      <c r="H203" s="2019"/>
      <c r="I203" s="2019"/>
      <c r="J203" s="2019"/>
      <c r="K203" s="2019"/>
      <c r="L203" s="2019"/>
      <c r="M203" s="2019"/>
      <c r="N203" s="2019"/>
      <c r="O203" s="2020"/>
    </row>
    <row r="204" spans="2:15">
      <c r="B204" s="2010"/>
      <c r="C204" s="2013"/>
      <c r="D204" s="125" t="s">
        <v>281</v>
      </c>
      <c r="E204" s="2018"/>
      <c r="F204" s="2019"/>
      <c r="G204" s="2019"/>
      <c r="H204" s="2019"/>
      <c r="I204" s="2019"/>
      <c r="J204" s="2019"/>
      <c r="K204" s="2019"/>
      <c r="L204" s="2019"/>
      <c r="M204" s="2019"/>
      <c r="N204" s="2019"/>
      <c r="O204" s="2020"/>
    </row>
    <row r="205" spans="2:15">
      <c r="B205" s="2010"/>
      <c r="C205" s="2013"/>
      <c r="D205" s="125" t="s">
        <v>571</v>
      </c>
      <c r="E205" s="2018"/>
      <c r="F205" s="2019"/>
      <c r="G205" s="2019"/>
      <c r="H205" s="2019"/>
      <c r="I205" s="2019"/>
      <c r="J205" s="2019"/>
      <c r="K205" s="2019"/>
      <c r="L205" s="2019"/>
      <c r="M205" s="2019"/>
      <c r="N205" s="2019"/>
      <c r="O205" s="2020"/>
    </row>
    <row r="206" spans="2:15">
      <c r="B206" s="2010"/>
      <c r="C206" s="2013"/>
      <c r="D206" s="125" t="s">
        <v>283</v>
      </c>
      <c r="E206" s="2018"/>
      <c r="F206" s="2019"/>
      <c r="G206" s="2019"/>
      <c r="H206" s="2019"/>
      <c r="I206" s="2019"/>
      <c r="J206" s="2019"/>
      <c r="K206" s="2019"/>
      <c r="L206" s="2019"/>
      <c r="M206" s="2019"/>
      <c r="N206" s="2019"/>
      <c r="O206" s="2020"/>
    </row>
    <row r="207" spans="2:15">
      <c r="B207" s="2010"/>
      <c r="C207" s="2013"/>
      <c r="D207" s="125" t="s">
        <v>284</v>
      </c>
      <c r="E207" s="2018"/>
      <c r="F207" s="2019"/>
      <c r="G207" s="2019"/>
      <c r="H207" s="2019"/>
      <c r="I207" s="2019"/>
      <c r="J207" s="2019"/>
      <c r="K207" s="2019"/>
      <c r="L207" s="2019"/>
      <c r="M207" s="2019"/>
      <c r="N207" s="2019"/>
      <c r="O207" s="2020"/>
    </row>
    <row r="208" spans="2:15">
      <c r="B208" s="2010"/>
      <c r="C208" s="2013"/>
      <c r="D208" s="125" t="s">
        <v>285</v>
      </c>
      <c r="E208" s="2018"/>
      <c r="F208" s="2019"/>
      <c r="G208" s="2019"/>
      <c r="H208" s="2019"/>
      <c r="I208" s="2019"/>
      <c r="J208" s="2019"/>
      <c r="K208" s="2019"/>
      <c r="L208" s="2019"/>
      <c r="M208" s="2019"/>
      <c r="N208" s="2019"/>
      <c r="O208" s="2020"/>
    </row>
    <row r="209" spans="2:15">
      <c r="B209" s="2010"/>
      <c r="C209" s="2013"/>
      <c r="D209" s="125" t="s">
        <v>572</v>
      </c>
      <c r="E209" s="2018"/>
      <c r="F209" s="2019"/>
      <c r="G209" s="2019"/>
      <c r="H209" s="2019"/>
      <c r="I209" s="2019"/>
      <c r="J209" s="2019"/>
      <c r="K209" s="2019"/>
      <c r="L209" s="2019"/>
      <c r="M209" s="2019"/>
      <c r="N209" s="2019"/>
      <c r="O209" s="2020"/>
    </row>
    <row r="210" spans="2:15">
      <c r="B210" s="2010"/>
      <c r="C210" s="2013"/>
      <c r="D210" s="125" t="s">
        <v>287</v>
      </c>
      <c r="E210" s="2018"/>
      <c r="F210" s="2019"/>
      <c r="G210" s="2019"/>
      <c r="H210" s="2019"/>
      <c r="I210" s="2019"/>
      <c r="J210" s="2019"/>
      <c r="K210" s="2019"/>
      <c r="L210" s="2019"/>
      <c r="M210" s="2019"/>
      <c r="N210" s="2019"/>
      <c r="O210" s="2020"/>
    </row>
    <row r="211" spans="2:15">
      <c r="B211" s="2010"/>
      <c r="C211" s="2013"/>
      <c r="D211" s="125" t="s">
        <v>288</v>
      </c>
      <c r="E211" s="2018"/>
      <c r="F211" s="2019"/>
      <c r="G211" s="2019"/>
      <c r="H211" s="2019"/>
      <c r="I211" s="2019"/>
      <c r="J211" s="2019"/>
      <c r="K211" s="2019"/>
      <c r="L211" s="2019"/>
      <c r="M211" s="2019"/>
      <c r="N211" s="2019"/>
      <c r="O211" s="2020"/>
    </row>
    <row r="212" spans="2:15">
      <c r="B212" s="2010"/>
      <c r="C212" s="2013"/>
      <c r="D212" s="125" t="s">
        <v>289</v>
      </c>
      <c r="E212" s="2018"/>
      <c r="F212" s="2019"/>
      <c r="G212" s="2019"/>
      <c r="H212" s="2019"/>
      <c r="I212" s="2019"/>
      <c r="J212" s="2019"/>
      <c r="K212" s="2019"/>
      <c r="L212" s="2019"/>
      <c r="M212" s="2019"/>
      <c r="N212" s="2019"/>
      <c r="O212" s="2020"/>
    </row>
    <row r="213" spans="2:15">
      <c r="B213" s="2011"/>
      <c r="C213" s="2014"/>
      <c r="D213" s="125" t="s">
        <v>290</v>
      </c>
      <c r="E213" s="2018"/>
      <c r="F213" s="2019"/>
      <c r="G213" s="2019"/>
      <c r="H213" s="2019"/>
      <c r="I213" s="2019"/>
      <c r="J213" s="2019"/>
      <c r="K213" s="2019"/>
      <c r="L213" s="2019"/>
      <c r="M213" s="2019"/>
      <c r="N213" s="2019"/>
      <c r="O213" s="2020"/>
    </row>
    <row r="214" spans="2:15">
      <c r="B214" s="99">
        <v>3</v>
      </c>
      <c r="C214" s="124"/>
      <c r="D214" s="124"/>
      <c r="E214" s="2018"/>
      <c r="F214" s="2019"/>
      <c r="G214" s="2019"/>
      <c r="H214" s="2019"/>
      <c r="I214" s="2019"/>
      <c r="J214" s="2019"/>
      <c r="K214" s="2019"/>
      <c r="L214" s="2019"/>
      <c r="M214" s="2019"/>
      <c r="N214" s="2019"/>
      <c r="O214" s="2020"/>
    </row>
    <row r="215" spans="2:15">
      <c r="B215" s="99" t="s">
        <v>477</v>
      </c>
      <c r="C215" s="126"/>
      <c r="D215" s="126"/>
      <c r="E215" s="2021"/>
      <c r="F215" s="2022"/>
      <c r="G215" s="2022"/>
      <c r="H215" s="2022"/>
      <c r="I215" s="2022"/>
      <c r="J215" s="2022"/>
      <c r="K215" s="2022"/>
      <c r="L215" s="2022"/>
      <c r="M215" s="2022"/>
      <c r="N215" s="2022"/>
      <c r="O215" s="2023"/>
    </row>
    <row r="217" spans="2:15">
      <c r="B217" s="256" t="s">
        <v>573</v>
      </c>
    </row>
    <row r="218" spans="2:15">
      <c r="B218" s="256" t="s">
        <v>639</v>
      </c>
    </row>
    <row r="219" spans="2:15">
      <c r="B219" s="256" t="s">
        <v>574</v>
      </c>
    </row>
    <row r="220" spans="2:15">
      <c r="B220" s="256" t="s">
        <v>641</v>
      </c>
    </row>
    <row r="222" spans="2:15">
      <c r="B222" s="2008" t="s">
        <v>1017</v>
      </c>
      <c r="C222" s="2008"/>
      <c r="D222" s="305"/>
      <c r="E222" s="14"/>
      <c r="F222" s="14"/>
      <c r="G222" s="14"/>
      <c r="H222" s="14"/>
      <c r="I222" s="14"/>
      <c r="J222" s="14"/>
      <c r="K222" s="14"/>
      <c r="L222" s="14"/>
    </row>
    <row r="224" spans="2:15" ht="57" customHeight="1">
      <c r="B224" s="1778" t="s">
        <v>340</v>
      </c>
      <c r="C224" s="1778" t="s">
        <v>559</v>
      </c>
      <c r="D224" s="1778" t="s">
        <v>570</v>
      </c>
      <c r="E224" s="298" t="s">
        <v>640</v>
      </c>
      <c r="F224" s="1772" t="s">
        <v>560</v>
      </c>
      <c r="G224" s="1773"/>
      <c r="H224" s="1773"/>
      <c r="I224" s="1773"/>
      <c r="J224" s="1774"/>
      <c r="K224" s="1772" t="s">
        <v>564</v>
      </c>
      <c r="L224" s="1773"/>
      <c r="M224" s="1774"/>
      <c r="N224" s="1778" t="s">
        <v>568</v>
      </c>
      <c r="O224" s="1778" t="s">
        <v>569</v>
      </c>
    </row>
    <row r="225" spans="2:15" ht="28">
      <c r="B225" s="1807"/>
      <c r="C225" s="1807"/>
      <c r="D225" s="1807"/>
      <c r="E225" s="297" t="s">
        <v>642</v>
      </c>
      <c r="F225" s="295" t="s">
        <v>566</v>
      </c>
      <c r="G225" s="295" t="s">
        <v>561</v>
      </c>
      <c r="H225" s="295" t="s">
        <v>644</v>
      </c>
      <c r="I225" s="297" t="s">
        <v>562</v>
      </c>
      <c r="J225" s="297" t="s">
        <v>563</v>
      </c>
      <c r="K225" s="297" t="s">
        <v>565</v>
      </c>
      <c r="L225" s="297" t="s">
        <v>567</v>
      </c>
      <c r="M225" s="297" t="s">
        <v>643</v>
      </c>
      <c r="N225" s="1807"/>
      <c r="O225" s="1807"/>
    </row>
    <row r="226" spans="2:15">
      <c r="B226" s="2009">
        <f>B225+1</f>
        <v>1</v>
      </c>
      <c r="C226" s="2012"/>
      <c r="D226" s="125" t="s">
        <v>279</v>
      </c>
      <c r="E226" s="2015" t="s">
        <v>770</v>
      </c>
      <c r="F226" s="2016"/>
      <c r="G226" s="2016"/>
      <c r="H226" s="2016"/>
      <c r="I226" s="2016"/>
      <c r="J226" s="2016"/>
      <c r="K226" s="2016"/>
      <c r="L226" s="2016"/>
      <c r="M226" s="2016"/>
      <c r="N226" s="2016"/>
      <c r="O226" s="2017"/>
    </row>
    <row r="227" spans="2:15">
      <c r="B227" s="2010"/>
      <c r="C227" s="2013"/>
      <c r="D227" s="125" t="s">
        <v>280</v>
      </c>
      <c r="E227" s="2018"/>
      <c r="F227" s="2019"/>
      <c r="G227" s="2019"/>
      <c r="H227" s="2019"/>
      <c r="I227" s="2019"/>
      <c r="J227" s="2019"/>
      <c r="K227" s="2019"/>
      <c r="L227" s="2019"/>
      <c r="M227" s="2019"/>
      <c r="N227" s="2019"/>
      <c r="O227" s="2020"/>
    </row>
    <row r="228" spans="2:15">
      <c r="B228" s="2010"/>
      <c r="C228" s="2013"/>
      <c r="D228" s="125" t="s">
        <v>281</v>
      </c>
      <c r="E228" s="2018"/>
      <c r="F228" s="2019"/>
      <c r="G228" s="2019"/>
      <c r="H228" s="2019"/>
      <c r="I228" s="2019"/>
      <c r="J228" s="2019"/>
      <c r="K228" s="2019"/>
      <c r="L228" s="2019"/>
      <c r="M228" s="2019"/>
      <c r="N228" s="2019"/>
      <c r="O228" s="2020"/>
    </row>
    <row r="229" spans="2:15">
      <c r="B229" s="2010"/>
      <c r="C229" s="2013"/>
      <c r="D229" s="125" t="s">
        <v>571</v>
      </c>
      <c r="E229" s="2018"/>
      <c r="F229" s="2019"/>
      <c r="G229" s="2019"/>
      <c r="H229" s="2019"/>
      <c r="I229" s="2019"/>
      <c r="J229" s="2019"/>
      <c r="K229" s="2019"/>
      <c r="L229" s="2019"/>
      <c r="M229" s="2019"/>
      <c r="N229" s="2019"/>
      <c r="O229" s="2020"/>
    </row>
    <row r="230" spans="2:15">
      <c r="B230" s="2010"/>
      <c r="C230" s="2013"/>
      <c r="D230" s="125" t="s">
        <v>283</v>
      </c>
      <c r="E230" s="2018"/>
      <c r="F230" s="2019"/>
      <c r="G230" s="2019"/>
      <c r="H230" s="2019"/>
      <c r="I230" s="2019"/>
      <c r="J230" s="2019"/>
      <c r="K230" s="2019"/>
      <c r="L230" s="2019"/>
      <c r="M230" s="2019"/>
      <c r="N230" s="2019"/>
      <c r="O230" s="2020"/>
    </row>
    <row r="231" spans="2:15">
      <c r="B231" s="2010"/>
      <c r="C231" s="2013"/>
      <c r="D231" s="125" t="s">
        <v>284</v>
      </c>
      <c r="E231" s="2018"/>
      <c r="F231" s="2019"/>
      <c r="G231" s="2019"/>
      <c r="H231" s="2019"/>
      <c r="I231" s="2019"/>
      <c r="J231" s="2019"/>
      <c r="K231" s="2019"/>
      <c r="L231" s="2019"/>
      <c r="M231" s="2019"/>
      <c r="N231" s="2019"/>
      <c r="O231" s="2020"/>
    </row>
    <row r="232" spans="2:15">
      <c r="B232" s="2010"/>
      <c r="C232" s="2013"/>
      <c r="D232" s="125" t="s">
        <v>285</v>
      </c>
      <c r="E232" s="2018"/>
      <c r="F232" s="2019"/>
      <c r="G232" s="2019"/>
      <c r="H232" s="2019"/>
      <c r="I232" s="2019"/>
      <c r="J232" s="2019"/>
      <c r="K232" s="2019"/>
      <c r="L232" s="2019"/>
      <c r="M232" s="2019"/>
      <c r="N232" s="2019"/>
      <c r="O232" s="2020"/>
    </row>
    <row r="233" spans="2:15">
      <c r="B233" s="2010"/>
      <c r="C233" s="2013"/>
      <c r="D233" s="125" t="s">
        <v>572</v>
      </c>
      <c r="E233" s="2018"/>
      <c r="F233" s="2019"/>
      <c r="G233" s="2019"/>
      <c r="H233" s="2019"/>
      <c r="I233" s="2019"/>
      <c r="J233" s="2019"/>
      <c r="K233" s="2019"/>
      <c r="L233" s="2019"/>
      <c r="M233" s="2019"/>
      <c r="N233" s="2019"/>
      <c r="O233" s="2020"/>
    </row>
    <row r="234" spans="2:15">
      <c r="B234" s="2010"/>
      <c r="C234" s="2013"/>
      <c r="D234" s="125" t="s">
        <v>287</v>
      </c>
      <c r="E234" s="2018"/>
      <c r="F234" s="2019"/>
      <c r="G234" s="2019"/>
      <c r="H234" s="2019"/>
      <c r="I234" s="2019"/>
      <c r="J234" s="2019"/>
      <c r="K234" s="2019"/>
      <c r="L234" s="2019"/>
      <c r="M234" s="2019"/>
      <c r="N234" s="2019"/>
      <c r="O234" s="2020"/>
    </row>
    <row r="235" spans="2:15">
      <c r="B235" s="2010"/>
      <c r="C235" s="2013"/>
      <c r="D235" s="125" t="s">
        <v>288</v>
      </c>
      <c r="E235" s="2018"/>
      <c r="F235" s="2019"/>
      <c r="G235" s="2019"/>
      <c r="H235" s="2019"/>
      <c r="I235" s="2019"/>
      <c r="J235" s="2019"/>
      <c r="K235" s="2019"/>
      <c r="L235" s="2019"/>
      <c r="M235" s="2019"/>
      <c r="N235" s="2019"/>
      <c r="O235" s="2020"/>
    </row>
    <row r="236" spans="2:15">
      <c r="B236" s="2010"/>
      <c r="C236" s="2013"/>
      <c r="D236" s="125" t="s">
        <v>289</v>
      </c>
      <c r="E236" s="2018"/>
      <c r="F236" s="2019"/>
      <c r="G236" s="2019"/>
      <c r="H236" s="2019"/>
      <c r="I236" s="2019"/>
      <c r="J236" s="2019"/>
      <c r="K236" s="2019"/>
      <c r="L236" s="2019"/>
      <c r="M236" s="2019"/>
      <c r="N236" s="2019"/>
      <c r="O236" s="2020"/>
    </row>
    <row r="237" spans="2:15">
      <c r="B237" s="2011"/>
      <c r="C237" s="2014"/>
      <c r="D237" s="125" t="s">
        <v>290</v>
      </c>
      <c r="E237" s="2018"/>
      <c r="F237" s="2019"/>
      <c r="G237" s="2019"/>
      <c r="H237" s="2019"/>
      <c r="I237" s="2019"/>
      <c r="J237" s="2019"/>
      <c r="K237" s="2019"/>
      <c r="L237" s="2019"/>
      <c r="M237" s="2019"/>
      <c r="N237" s="2019"/>
      <c r="O237" s="2020"/>
    </row>
    <row r="238" spans="2:15">
      <c r="B238" s="2009">
        <f>B226+1</f>
        <v>2</v>
      </c>
      <c r="C238" s="2012"/>
      <c r="D238" s="125" t="s">
        <v>279</v>
      </c>
      <c r="E238" s="2018"/>
      <c r="F238" s="2019"/>
      <c r="G238" s="2019"/>
      <c r="H238" s="2019"/>
      <c r="I238" s="2019"/>
      <c r="J238" s="2019"/>
      <c r="K238" s="2019"/>
      <c r="L238" s="2019"/>
      <c r="M238" s="2019"/>
      <c r="N238" s="2019"/>
      <c r="O238" s="2020"/>
    </row>
    <row r="239" spans="2:15">
      <c r="B239" s="2010"/>
      <c r="C239" s="2013"/>
      <c r="D239" s="125" t="s">
        <v>280</v>
      </c>
      <c r="E239" s="2018"/>
      <c r="F239" s="2019"/>
      <c r="G239" s="2019"/>
      <c r="H239" s="2019"/>
      <c r="I239" s="2019"/>
      <c r="J239" s="2019"/>
      <c r="K239" s="2019"/>
      <c r="L239" s="2019"/>
      <c r="M239" s="2019"/>
      <c r="N239" s="2019"/>
      <c r="O239" s="2020"/>
    </row>
    <row r="240" spans="2:15">
      <c r="B240" s="2010"/>
      <c r="C240" s="2013"/>
      <c r="D240" s="125" t="s">
        <v>281</v>
      </c>
      <c r="E240" s="2018"/>
      <c r="F240" s="2019"/>
      <c r="G240" s="2019"/>
      <c r="H240" s="2019"/>
      <c r="I240" s="2019"/>
      <c r="J240" s="2019"/>
      <c r="K240" s="2019"/>
      <c r="L240" s="2019"/>
      <c r="M240" s="2019"/>
      <c r="N240" s="2019"/>
      <c r="O240" s="2020"/>
    </row>
    <row r="241" spans="2:15">
      <c r="B241" s="2010"/>
      <c r="C241" s="2013"/>
      <c r="D241" s="125" t="s">
        <v>571</v>
      </c>
      <c r="E241" s="2018"/>
      <c r="F241" s="2019"/>
      <c r="G241" s="2019"/>
      <c r="H241" s="2019"/>
      <c r="I241" s="2019"/>
      <c r="J241" s="2019"/>
      <c r="K241" s="2019"/>
      <c r="L241" s="2019"/>
      <c r="M241" s="2019"/>
      <c r="N241" s="2019"/>
      <c r="O241" s="2020"/>
    </row>
    <row r="242" spans="2:15">
      <c r="B242" s="2010"/>
      <c r="C242" s="2013"/>
      <c r="D242" s="125" t="s">
        <v>283</v>
      </c>
      <c r="E242" s="2018"/>
      <c r="F242" s="2019"/>
      <c r="G242" s="2019"/>
      <c r="H242" s="2019"/>
      <c r="I242" s="2019"/>
      <c r="J242" s="2019"/>
      <c r="K242" s="2019"/>
      <c r="L242" s="2019"/>
      <c r="M242" s="2019"/>
      <c r="N242" s="2019"/>
      <c r="O242" s="2020"/>
    </row>
    <row r="243" spans="2:15">
      <c r="B243" s="2010"/>
      <c r="C243" s="2013"/>
      <c r="D243" s="125" t="s">
        <v>284</v>
      </c>
      <c r="E243" s="2018"/>
      <c r="F243" s="2019"/>
      <c r="G243" s="2019"/>
      <c r="H243" s="2019"/>
      <c r="I243" s="2019"/>
      <c r="J243" s="2019"/>
      <c r="K243" s="2019"/>
      <c r="L243" s="2019"/>
      <c r="M243" s="2019"/>
      <c r="N243" s="2019"/>
      <c r="O243" s="2020"/>
    </row>
    <row r="244" spans="2:15">
      <c r="B244" s="2010"/>
      <c r="C244" s="2013"/>
      <c r="D244" s="125" t="s">
        <v>285</v>
      </c>
      <c r="E244" s="2018"/>
      <c r="F244" s="2019"/>
      <c r="G244" s="2019"/>
      <c r="H244" s="2019"/>
      <c r="I244" s="2019"/>
      <c r="J244" s="2019"/>
      <c r="K244" s="2019"/>
      <c r="L244" s="2019"/>
      <c r="M244" s="2019"/>
      <c r="N244" s="2019"/>
      <c r="O244" s="2020"/>
    </row>
    <row r="245" spans="2:15">
      <c r="B245" s="2010"/>
      <c r="C245" s="2013"/>
      <c r="D245" s="125" t="s">
        <v>572</v>
      </c>
      <c r="E245" s="2018"/>
      <c r="F245" s="2019"/>
      <c r="G245" s="2019"/>
      <c r="H245" s="2019"/>
      <c r="I245" s="2019"/>
      <c r="J245" s="2019"/>
      <c r="K245" s="2019"/>
      <c r="L245" s="2019"/>
      <c r="M245" s="2019"/>
      <c r="N245" s="2019"/>
      <c r="O245" s="2020"/>
    </row>
    <row r="246" spans="2:15">
      <c r="B246" s="2010"/>
      <c r="C246" s="2013"/>
      <c r="D246" s="125" t="s">
        <v>287</v>
      </c>
      <c r="E246" s="2018"/>
      <c r="F246" s="2019"/>
      <c r="G246" s="2019"/>
      <c r="H246" s="2019"/>
      <c r="I246" s="2019"/>
      <c r="J246" s="2019"/>
      <c r="K246" s="2019"/>
      <c r="L246" s="2019"/>
      <c r="M246" s="2019"/>
      <c r="N246" s="2019"/>
      <c r="O246" s="2020"/>
    </row>
    <row r="247" spans="2:15">
      <c r="B247" s="2010"/>
      <c r="C247" s="2013"/>
      <c r="D247" s="125" t="s">
        <v>288</v>
      </c>
      <c r="E247" s="2018"/>
      <c r="F247" s="2019"/>
      <c r="G247" s="2019"/>
      <c r="H247" s="2019"/>
      <c r="I247" s="2019"/>
      <c r="J247" s="2019"/>
      <c r="K247" s="2019"/>
      <c r="L247" s="2019"/>
      <c r="M247" s="2019"/>
      <c r="N247" s="2019"/>
      <c r="O247" s="2020"/>
    </row>
    <row r="248" spans="2:15">
      <c r="B248" s="2010"/>
      <c r="C248" s="2013"/>
      <c r="D248" s="125" t="s">
        <v>289</v>
      </c>
      <c r="E248" s="2018"/>
      <c r="F248" s="2019"/>
      <c r="G248" s="2019"/>
      <c r="H248" s="2019"/>
      <c r="I248" s="2019"/>
      <c r="J248" s="2019"/>
      <c r="K248" s="2019"/>
      <c r="L248" s="2019"/>
      <c r="M248" s="2019"/>
      <c r="N248" s="2019"/>
      <c r="O248" s="2020"/>
    </row>
    <row r="249" spans="2:15">
      <c r="B249" s="2011"/>
      <c r="C249" s="2014"/>
      <c r="D249" s="125" t="s">
        <v>290</v>
      </c>
      <c r="E249" s="2018"/>
      <c r="F249" s="2019"/>
      <c r="G249" s="2019"/>
      <c r="H249" s="2019"/>
      <c r="I249" s="2019"/>
      <c r="J249" s="2019"/>
      <c r="K249" s="2019"/>
      <c r="L249" s="2019"/>
      <c r="M249" s="2019"/>
      <c r="N249" s="2019"/>
      <c r="O249" s="2020"/>
    </row>
    <row r="250" spans="2:15">
      <c r="B250" s="99">
        <v>3</v>
      </c>
      <c r="C250" s="124"/>
      <c r="D250" s="124"/>
      <c r="E250" s="2018"/>
      <c r="F250" s="2019"/>
      <c r="G250" s="2019"/>
      <c r="H250" s="2019"/>
      <c r="I250" s="2019"/>
      <c r="J250" s="2019"/>
      <c r="K250" s="2019"/>
      <c r="L250" s="2019"/>
      <c r="M250" s="2019"/>
      <c r="N250" s="2019"/>
      <c r="O250" s="2020"/>
    </row>
    <row r="251" spans="2:15">
      <c r="B251" s="99" t="s">
        <v>477</v>
      </c>
      <c r="C251" s="126"/>
      <c r="D251" s="126"/>
      <c r="E251" s="2021"/>
      <c r="F251" s="2022"/>
      <c r="G251" s="2022"/>
      <c r="H251" s="2022"/>
      <c r="I251" s="2022"/>
      <c r="J251" s="2022"/>
      <c r="K251" s="2022"/>
      <c r="L251" s="2022"/>
      <c r="M251" s="2022"/>
      <c r="N251" s="2022"/>
      <c r="O251" s="2023"/>
    </row>
    <row r="253" spans="2:15">
      <c r="B253" s="256" t="s">
        <v>573</v>
      </c>
    </row>
    <row r="254" spans="2:15">
      <c r="B254" s="256" t="s">
        <v>639</v>
      </c>
    </row>
    <row r="255" spans="2:15">
      <c r="B255" s="256" t="s">
        <v>574</v>
      </c>
    </row>
    <row r="256" spans="2:15">
      <c r="B256" s="256" t="s">
        <v>641</v>
      </c>
    </row>
    <row r="258" spans="2:15">
      <c r="B258" s="2008" t="s">
        <v>1018</v>
      </c>
      <c r="C258" s="2008"/>
      <c r="D258" s="257"/>
      <c r="E258" s="14"/>
      <c r="F258" s="14"/>
      <c r="G258" s="14"/>
      <c r="H258" s="14"/>
      <c r="I258" s="14"/>
      <c r="J258" s="14"/>
      <c r="K258" s="14"/>
      <c r="L258" s="14"/>
    </row>
    <row r="260" spans="2:15" ht="56">
      <c r="B260" s="1778" t="s">
        <v>340</v>
      </c>
      <c r="C260" s="1778" t="s">
        <v>559</v>
      </c>
      <c r="D260" s="1778" t="s">
        <v>570</v>
      </c>
      <c r="E260" s="260" t="s">
        <v>640</v>
      </c>
      <c r="F260" s="1770" t="s">
        <v>560</v>
      </c>
      <c r="G260" s="1770"/>
      <c r="H260" s="1770"/>
      <c r="I260" s="1770"/>
      <c r="J260" s="1770"/>
      <c r="K260" s="1770" t="s">
        <v>564</v>
      </c>
      <c r="L260" s="1770"/>
      <c r="M260" s="1770"/>
      <c r="N260" s="1770" t="s">
        <v>568</v>
      </c>
      <c r="O260" s="1770" t="s">
        <v>569</v>
      </c>
    </row>
    <row r="261" spans="2:15" ht="28">
      <c r="B261" s="1807"/>
      <c r="C261" s="1807"/>
      <c r="D261" s="1807"/>
      <c r="E261" s="259" t="s">
        <v>642</v>
      </c>
      <c r="F261" s="258" t="s">
        <v>566</v>
      </c>
      <c r="G261" s="258" t="s">
        <v>561</v>
      </c>
      <c r="H261" s="258" t="s">
        <v>644</v>
      </c>
      <c r="I261" s="259" t="s">
        <v>562</v>
      </c>
      <c r="J261" s="259" t="s">
        <v>563</v>
      </c>
      <c r="K261" s="259" t="s">
        <v>565</v>
      </c>
      <c r="L261" s="259" t="s">
        <v>567</v>
      </c>
      <c r="M261" s="259" t="s">
        <v>643</v>
      </c>
      <c r="N261" s="1770"/>
      <c r="O261" s="1770"/>
    </row>
    <row r="262" spans="2:15">
      <c r="B262" s="2009">
        <f>B261+1</f>
        <v>1</v>
      </c>
      <c r="C262" s="2012"/>
      <c r="D262" s="125" t="s">
        <v>279</v>
      </c>
      <c r="E262" s="2015" t="s">
        <v>770</v>
      </c>
      <c r="F262" s="2016"/>
      <c r="G262" s="2016"/>
      <c r="H262" s="2016"/>
      <c r="I262" s="2016"/>
      <c r="J262" s="2016"/>
      <c r="K262" s="2016"/>
      <c r="L262" s="2016"/>
      <c r="M262" s="2016"/>
      <c r="N262" s="2016"/>
      <c r="O262" s="2017"/>
    </row>
    <row r="263" spans="2:15">
      <c r="B263" s="2010"/>
      <c r="C263" s="2013"/>
      <c r="D263" s="125" t="s">
        <v>280</v>
      </c>
      <c r="E263" s="2018"/>
      <c r="F263" s="2019"/>
      <c r="G263" s="2019"/>
      <c r="H263" s="2019"/>
      <c r="I263" s="2019"/>
      <c r="J263" s="2019"/>
      <c r="K263" s="2019"/>
      <c r="L263" s="2019"/>
      <c r="M263" s="2019"/>
      <c r="N263" s="2019"/>
      <c r="O263" s="2020"/>
    </row>
    <row r="264" spans="2:15">
      <c r="B264" s="2010"/>
      <c r="C264" s="2013"/>
      <c r="D264" s="125" t="s">
        <v>281</v>
      </c>
      <c r="E264" s="2018"/>
      <c r="F264" s="2019"/>
      <c r="G264" s="2019"/>
      <c r="H264" s="2019"/>
      <c r="I264" s="2019"/>
      <c r="J264" s="2019"/>
      <c r="K264" s="2019"/>
      <c r="L264" s="2019"/>
      <c r="M264" s="2019"/>
      <c r="N264" s="2019"/>
      <c r="O264" s="2020"/>
    </row>
    <row r="265" spans="2:15">
      <c r="B265" s="2010"/>
      <c r="C265" s="2013"/>
      <c r="D265" s="125" t="s">
        <v>571</v>
      </c>
      <c r="E265" s="2018"/>
      <c r="F265" s="2019"/>
      <c r="G265" s="2019"/>
      <c r="H265" s="2019"/>
      <c r="I265" s="2019"/>
      <c r="J265" s="2019"/>
      <c r="K265" s="2019"/>
      <c r="L265" s="2019"/>
      <c r="M265" s="2019"/>
      <c r="N265" s="2019"/>
      <c r="O265" s="2020"/>
    </row>
    <row r="266" spans="2:15">
      <c r="B266" s="2010"/>
      <c r="C266" s="2013"/>
      <c r="D266" s="125" t="s">
        <v>283</v>
      </c>
      <c r="E266" s="2018"/>
      <c r="F266" s="2019"/>
      <c r="G266" s="2019"/>
      <c r="H266" s="2019"/>
      <c r="I266" s="2019"/>
      <c r="J266" s="2019"/>
      <c r="K266" s="2019"/>
      <c r="L266" s="2019"/>
      <c r="M266" s="2019"/>
      <c r="N266" s="2019"/>
      <c r="O266" s="2020"/>
    </row>
    <row r="267" spans="2:15">
      <c r="B267" s="2010"/>
      <c r="C267" s="2013"/>
      <c r="D267" s="125" t="s">
        <v>284</v>
      </c>
      <c r="E267" s="2018"/>
      <c r="F267" s="2019"/>
      <c r="G267" s="2019"/>
      <c r="H267" s="2019"/>
      <c r="I267" s="2019"/>
      <c r="J267" s="2019"/>
      <c r="K267" s="2019"/>
      <c r="L267" s="2019"/>
      <c r="M267" s="2019"/>
      <c r="N267" s="2019"/>
      <c r="O267" s="2020"/>
    </row>
    <row r="268" spans="2:15">
      <c r="B268" s="2010"/>
      <c r="C268" s="2013"/>
      <c r="D268" s="125" t="s">
        <v>285</v>
      </c>
      <c r="E268" s="2018"/>
      <c r="F268" s="2019"/>
      <c r="G268" s="2019"/>
      <c r="H268" s="2019"/>
      <c r="I268" s="2019"/>
      <c r="J268" s="2019"/>
      <c r="K268" s="2019"/>
      <c r="L268" s="2019"/>
      <c r="M268" s="2019"/>
      <c r="N268" s="2019"/>
      <c r="O268" s="2020"/>
    </row>
    <row r="269" spans="2:15">
      <c r="B269" s="2010"/>
      <c r="C269" s="2013"/>
      <c r="D269" s="125" t="s">
        <v>572</v>
      </c>
      <c r="E269" s="2018"/>
      <c r="F269" s="2019"/>
      <c r="G269" s="2019"/>
      <c r="H269" s="2019"/>
      <c r="I269" s="2019"/>
      <c r="J269" s="2019"/>
      <c r="K269" s="2019"/>
      <c r="L269" s="2019"/>
      <c r="M269" s="2019"/>
      <c r="N269" s="2019"/>
      <c r="O269" s="2020"/>
    </row>
    <row r="270" spans="2:15">
      <c r="B270" s="2010"/>
      <c r="C270" s="2013"/>
      <c r="D270" s="125" t="s">
        <v>287</v>
      </c>
      <c r="E270" s="2018"/>
      <c r="F270" s="2019"/>
      <c r="G270" s="2019"/>
      <c r="H270" s="2019"/>
      <c r="I270" s="2019"/>
      <c r="J270" s="2019"/>
      <c r="K270" s="2019"/>
      <c r="L270" s="2019"/>
      <c r="M270" s="2019"/>
      <c r="N270" s="2019"/>
      <c r="O270" s="2020"/>
    </row>
    <row r="271" spans="2:15">
      <c r="B271" s="2010"/>
      <c r="C271" s="2013"/>
      <c r="D271" s="125" t="s">
        <v>288</v>
      </c>
      <c r="E271" s="2018"/>
      <c r="F271" s="2019"/>
      <c r="G271" s="2019"/>
      <c r="H271" s="2019"/>
      <c r="I271" s="2019"/>
      <c r="J271" s="2019"/>
      <c r="K271" s="2019"/>
      <c r="L271" s="2019"/>
      <c r="M271" s="2019"/>
      <c r="N271" s="2019"/>
      <c r="O271" s="2020"/>
    </row>
    <row r="272" spans="2:15">
      <c r="B272" s="2010"/>
      <c r="C272" s="2013"/>
      <c r="D272" s="125" t="s">
        <v>289</v>
      </c>
      <c r="E272" s="2018"/>
      <c r="F272" s="2019"/>
      <c r="G272" s="2019"/>
      <c r="H272" s="2019"/>
      <c r="I272" s="2019"/>
      <c r="J272" s="2019"/>
      <c r="K272" s="2019"/>
      <c r="L272" s="2019"/>
      <c r="M272" s="2019"/>
      <c r="N272" s="2019"/>
      <c r="O272" s="2020"/>
    </row>
    <row r="273" spans="2:15">
      <c r="B273" s="2011"/>
      <c r="C273" s="2014"/>
      <c r="D273" s="125" t="s">
        <v>290</v>
      </c>
      <c r="E273" s="2018"/>
      <c r="F273" s="2019"/>
      <c r="G273" s="2019"/>
      <c r="H273" s="2019"/>
      <c r="I273" s="2019"/>
      <c r="J273" s="2019"/>
      <c r="K273" s="2019"/>
      <c r="L273" s="2019"/>
      <c r="M273" s="2019"/>
      <c r="N273" s="2019"/>
      <c r="O273" s="2020"/>
    </row>
    <row r="274" spans="2:15">
      <c r="B274" s="2009">
        <f>B262+1</f>
        <v>2</v>
      </c>
      <c r="C274" s="2012"/>
      <c r="D274" s="125" t="s">
        <v>279</v>
      </c>
      <c r="E274" s="2018"/>
      <c r="F274" s="2019"/>
      <c r="G274" s="2019"/>
      <c r="H274" s="2019"/>
      <c r="I274" s="2019"/>
      <c r="J274" s="2019"/>
      <c r="K274" s="2019"/>
      <c r="L274" s="2019"/>
      <c r="M274" s="2019"/>
      <c r="N274" s="2019"/>
      <c r="O274" s="2020"/>
    </row>
    <row r="275" spans="2:15">
      <c r="B275" s="2010"/>
      <c r="C275" s="2013"/>
      <c r="D275" s="125" t="s">
        <v>280</v>
      </c>
      <c r="E275" s="2018"/>
      <c r="F275" s="2019"/>
      <c r="G275" s="2019"/>
      <c r="H275" s="2019"/>
      <c r="I275" s="2019"/>
      <c r="J275" s="2019"/>
      <c r="K275" s="2019"/>
      <c r="L275" s="2019"/>
      <c r="M275" s="2019"/>
      <c r="N275" s="2019"/>
      <c r="O275" s="2020"/>
    </row>
    <row r="276" spans="2:15">
      <c r="B276" s="2010"/>
      <c r="C276" s="2013"/>
      <c r="D276" s="125" t="s">
        <v>281</v>
      </c>
      <c r="E276" s="2018"/>
      <c r="F276" s="2019"/>
      <c r="G276" s="2019"/>
      <c r="H276" s="2019"/>
      <c r="I276" s="2019"/>
      <c r="J276" s="2019"/>
      <c r="K276" s="2019"/>
      <c r="L276" s="2019"/>
      <c r="M276" s="2019"/>
      <c r="N276" s="2019"/>
      <c r="O276" s="2020"/>
    </row>
    <row r="277" spans="2:15">
      <c r="B277" s="2010"/>
      <c r="C277" s="2013"/>
      <c r="D277" s="125" t="s">
        <v>571</v>
      </c>
      <c r="E277" s="2018"/>
      <c r="F277" s="2019"/>
      <c r="G277" s="2019"/>
      <c r="H277" s="2019"/>
      <c r="I277" s="2019"/>
      <c r="J277" s="2019"/>
      <c r="K277" s="2019"/>
      <c r="L277" s="2019"/>
      <c r="M277" s="2019"/>
      <c r="N277" s="2019"/>
      <c r="O277" s="2020"/>
    </row>
    <row r="278" spans="2:15">
      <c r="B278" s="2010"/>
      <c r="C278" s="2013"/>
      <c r="D278" s="125" t="s">
        <v>283</v>
      </c>
      <c r="E278" s="2018"/>
      <c r="F278" s="2019"/>
      <c r="G278" s="2019"/>
      <c r="H278" s="2019"/>
      <c r="I278" s="2019"/>
      <c r="J278" s="2019"/>
      <c r="K278" s="2019"/>
      <c r="L278" s="2019"/>
      <c r="M278" s="2019"/>
      <c r="N278" s="2019"/>
      <c r="O278" s="2020"/>
    </row>
    <row r="279" spans="2:15">
      <c r="B279" s="2010"/>
      <c r="C279" s="2013"/>
      <c r="D279" s="125" t="s">
        <v>284</v>
      </c>
      <c r="E279" s="2018"/>
      <c r="F279" s="2019"/>
      <c r="G279" s="2019"/>
      <c r="H279" s="2019"/>
      <c r="I279" s="2019"/>
      <c r="J279" s="2019"/>
      <c r="K279" s="2019"/>
      <c r="L279" s="2019"/>
      <c r="M279" s="2019"/>
      <c r="N279" s="2019"/>
      <c r="O279" s="2020"/>
    </row>
    <row r="280" spans="2:15">
      <c r="B280" s="2010"/>
      <c r="C280" s="2013"/>
      <c r="D280" s="125" t="s">
        <v>285</v>
      </c>
      <c r="E280" s="2018"/>
      <c r="F280" s="2019"/>
      <c r="G280" s="2019"/>
      <c r="H280" s="2019"/>
      <c r="I280" s="2019"/>
      <c r="J280" s="2019"/>
      <c r="K280" s="2019"/>
      <c r="L280" s="2019"/>
      <c r="M280" s="2019"/>
      <c r="N280" s="2019"/>
      <c r="O280" s="2020"/>
    </row>
    <row r="281" spans="2:15">
      <c r="B281" s="2010"/>
      <c r="C281" s="2013"/>
      <c r="D281" s="125" t="s">
        <v>572</v>
      </c>
      <c r="E281" s="2018"/>
      <c r="F281" s="2019"/>
      <c r="G281" s="2019"/>
      <c r="H281" s="2019"/>
      <c r="I281" s="2019"/>
      <c r="J281" s="2019"/>
      <c r="K281" s="2019"/>
      <c r="L281" s="2019"/>
      <c r="M281" s="2019"/>
      <c r="N281" s="2019"/>
      <c r="O281" s="2020"/>
    </row>
    <row r="282" spans="2:15">
      <c r="B282" s="2010"/>
      <c r="C282" s="2013"/>
      <c r="D282" s="125" t="s">
        <v>287</v>
      </c>
      <c r="E282" s="2018"/>
      <c r="F282" s="2019"/>
      <c r="G282" s="2019"/>
      <c r="H282" s="2019"/>
      <c r="I282" s="2019"/>
      <c r="J282" s="2019"/>
      <c r="K282" s="2019"/>
      <c r="L282" s="2019"/>
      <c r="M282" s="2019"/>
      <c r="N282" s="2019"/>
      <c r="O282" s="2020"/>
    </row>
    <row r="283" spans="2:15">
      <c r="B283" s="2010"/>
      <c r="C283" s="2013"/>
      <c r="D283" s="125" t="s">
        <v>288</v>
      </c>
      <c r="E283" s="2018"/>
      <c r="F283" s="2019"/>
      <c r="G283" s="2019"/>
      <c r="H283" s="2019"/>
      <c r="I283" s="2019"/>
      <c r="J283" s="2019"/>
      <c r="K283" s="2019"/>
      <c r="L283" s="2019"/>
      <c r="M283" s="2019"/>
      <c r="N283" s="2019"/>
      <c r="O283" s="2020"/>
    </row>
    <row r="284" spans="2:15">
      <c r="B284" s="2010"/>
      <c r="C284" s="2013"/>
      <c r="D284" s="125" t="s">
        <v>289</v>
      </c>
      <c r="E284" s="2018"/>
      <c r="F284" s="2019"/>
      <c r="G284" s="2019"/>
      <c r="H284" s="2019"/>
      <c r="I284" s="2019"/>
      <c r="J284" s="2019"/>
      <c r="K284" s="2019"/>
      <c r="L284" s="2019"/>
      <c r="M284" s="2019"/>
      <c r="N284" s="2019"/>
      <c r="O284" s="2020"/>
    </row>
    <row r="285" spans="2:15">
      <c r="B285" s="2011"/>
      <c r="C285" s="2014"/>
      <c r="D285" s="125" t="s">
        <v>290</v>
      </c>
      <c r="E285" s="2018"/>
      <c r="F285" s="2019"/>
      <c r="G285" s="2019"/>
      <c r="H285" s="2019"/>
      <c r="I285" s="2019"/>
      <c r="J285" s="2019"/>
      <c r="K285" s="2019"/>
      <c r="L285" s="2019"/>
      <c r="M285" s="2019"/>
      <c r="N285" s="2019"/>
      <c r="O285" s="2020"/>
    </row>
    <row r="286" spans="2:15">
      <c r="B286" s="99">
        <v>3</v>
      </c>
      <c r="C286" s="124"/>
      <c r="D286" s="124"/>
      <c r="E286" s="2018"/>
      <c r="F286" s="2019"/>
      <c r="G286" s="2019"/>
      <c r="H286" s="2019"/>
      <c r="I286" s="2019"/>
      <c r="J286" s="2019"/>
      <c r="K286" s="2019"/>
      <c r="L286" s="2019"/>
      <c r="M286" s="2019"/>
      <c r="N286" s="2019"/>
      <c r="O286" s="2020"/>
    </row>
    <row r="287" spans="2:15">
      <c r="B287" s="99" t="s">
        <v>477</v>
      </c>
      <c r="C287" s="126"/>
      <c r="D287" s="126"/>
      <c r="E287" s="2021"/>
      <c r="F287" s="2022"/>
      <c r="G287" s="2022"/>
      <c r="H287" s="2022"/>
      <c r="I287" s="2022"/>
      <c r="J287" s="2022"/>
      <c r="K287" s="2022"/>
      <c r="L287" s="2022"/>
      <c r="M287" s="2022"/>
      <c r="N287" s="2022"/>
      <c r="O287" s="2023"/>
    </row>
    <row r="289" spans="2:15">
      <c r="B289" s="256" t="s">
        <v>573</v>
      </c>
    </row>
    <row r="290" spans="2:15">
      <c r="B290" s="256" t="s">
        <v>639</v>
      </c>
    </row>
    <row r="291" spans="2:15">
      <c r="B291" s="256" t="s">
        <v>574</v>
      </c>
    </row>
    <row r="292" spans="2:15">
      <c r="B292" s="256" t="s">
        <v>641</v>
      </c>
    </row>
    <row r="295" spans="2:15">
      <c r="B295" s="2008" t="s">
        <v>1019</v>
      </c>
      <c r="C295" s="2008"/>
      <c r="D295" s="757"/>
      <c r="E295" s="14"/>
      <c r="F295" s="14"/>
      <c r="G295" s="14"/>
      <c r="H295" s="14"/>
      <c r="I295" s="14"/>
      <c r="J295" s="14"/>
      <c r="K295" s="14"/>
      <c r="L295" s="14"/>
    </row>
    <row r="297" spans="2:15" ht="56">
      <c r="B297" s="1778" t="s">
        <v>340</v>
      </c>
      <c r="C297" s="1778" t="s">
        <v>559</v>
      </c>
      <c r="D297" s="1778" t="s">
        <v>570</v>
      </c>
      <c r="E297" s="750" t="s">
        <v>640</v>
      </c>
      <c r="F297" s="1770" t="s">
        <v>560</v>
      </c>
      <c r="G297" s="1770"/>
      <c r="H297" s="1770"/>
      <c r="I297" s="1770"/>
      <c r="J297" s="1770"/>
      <c r="K297" s="1770" t="s">
        <v>564</v>
      </c>
      <c r="L297" s="1770"/>
      <c r="M297" s="1770"/>
      <c r="N297" s="1770" t="s">
        <v>568</v>
      </c>
      <c r="O297" s="1770" t="s">
        <v>569</v>
      </c>
    </row>
    <row r="298" spans="2:15" ht="28">
      <c r="B298" s="1807"/>
      <c r="C298" s="1807"/>
      <c r="D298" s="1807"/>
      <c r="E298" s="751" t="s">
        <v>642</v>
      </c>
      <c r="F298" s="748" t="s">
        <v>566</v>
      </c>
      <c r="G298" s="748" t="s">
        <v>561</v>
      </c>
      <c r="H298" s="748" t="s">
        <v>644</v>
      </c>
      <c r="I298" s="751" t="s">
        <v>562</v>
      </c>
      <c r="J298" s="751" t="s">
        <v>563</v>
      </c>
      <c r="K298" s="751" t="s">
        <v>565</v>
      </c>
      <c r="L298" s="751" t="s">
        <v>567</v>
      </c>
      <c r="M298" s="751" t="s">
        <v>643</v>
      </c>
      <c r="N298" s="1770"/>
      <c r="O298" s="1770"/>
    </row>
    <row r="299" spans="2:15">
      <c r="B299" s="2009">
        <f>B298+1</f>
        <v>1</v>
      </c>
      <c r="C299" s="2012"/>
      <c r="D299" s="125" t="s">
        <v>279</v>
      </c>
      <c r="E299" s="2015" t="s">
        <v>770</v>
      </c>
      <c r="F299" s="2016"/>
      <c r="G299" s="2016"/>
      <c r="H299" s="2016"/>
      <c r="I299" s="2016"/>
      <c r="J299" s="2016"/>
      <c r="K299" s="2016"/>
      <c r="L299" s="2016"/>
      <c r="M299" s="2016"/>
      <c r="N299" s="2016"/>
      <c r="O299" s="2017"/>
    </row>
    <row r="300" spans="2:15">
      <c r="B300" s="2010"/>
      <c r="C300" s="2013"/>
      <c r="D300" s="125" t="s">
        <v>280</v>
      </c>
      <c r="E300" s="2018"/>
      <c r="F300" s="2019"/>
      <c r="G300" s="2019"/>
      <c r="H300" s="2019"/>
      <c r="I300" s="2019"/>
      <c r="J300" s="2019"/>
      <c r="K300" s="2019"/>
      <c r="L300" s="2019"/>
      <c r="M300" s="2019"/>
      <c r="N300" s="2019"/>
      <c r="O300" s="2020"/>
    </row>
    <row r="301" spans="2:15">
      <c r="B301" s="2010"/>
      <c r="C301" s="2013"/>
      <c r="D301" s="125" t="s">
        <v>281</v>
      </c>
      <c r="E301" s="2018"/>
      <c r="F301" s="2019"/>
      <c r="G301" s="2019"/>
      <c r="H301" s="2019"/>
      <c r="I301" s="2019"/>
      <c r="J301" s="2019"/>
      <c r="K301" s="2019"/>
      <c r="L301" s="2019"/>
      <c r="M301" s="2019"/>
      <c r="N301" s="2019"/>
      <c r="O301" s="2020"/>
    </row>
    <row r="302" spans="2:15">
      <c r="B302" s="2010"/>
      <c r="C302" s="2013"/>
      <c r="D302" s="125" t="s">
        <v>571</v>
      </c>
      <c r="E302" s="2018"/>
      <c r="F302" s="2019"/>
      <c r="G302" s="2019"/>
      <c r="H302" s="2019"/>
      <c r="I302" s="2019"/>
      <c r="J302" s="2019"/>
      <c r="K302" s="2019"/>
      <c r="L302" s="2019"/>
      <c r="M302" s="2019"/>
      <c r="N302" s="2019"/>
      <c r="O302" s="2020"/>
    </row>
    <row r="303" spans="2:15">
      <c r="B303" s="2010"/>
      <c r="C303" s="2013"/>
      <c r="D303" s="125" t="s">
        <v>283</v>
      </c>
      <c r="E303" s="2018"/>
      <c r="F303" s="2019"/>
      <c r="G303" s="2019"/>
      <c r="H303" s="2019"/>
      <c r="I303" s="2019"/>
      <c r="J303" s="2019"/>
      <c r="K303" s="2019"/>
      <c r="L303" s="2019"/>
      <c r="M303" s="2019"/>
      <c r="N303" s="2019"/>
      <c r="O303" s="2020"/>
    </row>
    <row r="304" spans="2:15">
      <c r="B304" s="2010"/>
      <c r="C304" s="2013"/>
      <c r="D304" s="125" t="s">
        <v>284</v>
      </c>
      <c r="E304" s="2018"/>
      <c r="F304" s="2019"/>
      <c r="G304" s="2019"/>
      <c r="H304" s="2019"/>
      <c r="I304" s="2019"/>
      <c r="J304" s="2019"/>
      <c r="K304" s="2019"/>
      <c r="L304" s="2019"/>
      <c r="M304" s="2019"/>
      <c r="N304" s="2019"/>
      <c r="O304" s="2020"/>
    </row>
    <row r="305" spans="2:15">
      <c r="B305" s="2010"/>
      <c r="C305" s="2013"/>
      <c r="D305" s="125" t="s">
        <v>285</v>
      </c>
      <c r="E305" s="2018"/>
      <c r="F305" s="2019"/>
      <c r="G305" s="2019"/>
      <c r="H305" s="2019"/>
      <c r="I305" s="2019"/>
      <c r="J305" s="2019"/>
      <c r="K305" s="2019"/>
      <c r="L305" s="2019"/>
      <c r="M305" s="2019"/>
      <c r="N305" s="2019"/>
      <c r="O305" s="2020"/>
    </row>
    <row r="306" spans="2:15">
      <c r="B306" s="2010"/>
      <c r="C306" s="2013"/>
      <c r="D306" s="125" t="s">
        <v>572</v>
      </c>
      <c r="E306" s="2018"/>
      <c r="F306" s="2019"/>
      <c r="G306" s="2019"/>
      <c r="H306" s="2019"/>
      <c r="I306" s="2019"/>
      <c r="J306" s="2019"/>
      <c r="K306" s="2019"/>
      <c r="L306" s="2019"/>
      <c r="M306" s="2019"/>
      <c r="N306" s="2019"/>
      <c r="O306" s="2020"/>
    </row>
    <row r="307" spans="2:15">
      <c r="B307" s="2010"/>
      <c r="C307" s="2013"/>
      <c r="D307" s="125" t="s">
        <v>287</v>
      </c>
      <c r="E307" s="2018"/>
      <c r="F307" s="2019"/>
      <c r="G307" s="2019"/>
      <c r="H307" s="2019"/>
      <c r="I307" s="2019"/>
      <c r="J307" s="2019"/>
      <c r="K307" s="2019"/>
      <c r="L307" s="2019"/>
      <c r="M307" s="2019"/>
      <c r="N307" s="2019"/>
      <c r="O307" s="2020"/>
    </row>
    <row r="308" spans="2:15">
      <c r="B308" s="2010"/>
      <c r="C308" s="2013"/>
      <c r="D308" s="125" t="s">
        <v>288</v>
      </c>
      <c r="E308" s="2018"/>
      <c r="F308" s="2019"/>
      <c r="G308" s="2019"/>
      <c r="H308" s="2019"/>
      <c r="I308" s="2019"/>
      <c r="J308" s="2019"/>
      <c r="K308" s="2019"/>
      <c r="L308" s="2019"/>
      <c r="M308" s="2019"/>
      <c r="N308" s="2019"/>
      <c r="O308" s="2020"/>
    </row>
    <row r="309" spans="2:15">
      <c r="B309" s="2010"/>
      <c r="C309" s="2013"/>
      <c r="D309" s="125" t="s">
        <v>289</v>
      </c>
      <c r="E309" s="2018"/>
      <c r="F309" s="2019"/>
      <c r="G309" s="2019"/>
      <c r="H309" s="2019"/>
      <c r="I309" s="2019"/>
      <c r="J309" s="2019"/>
      <c r="K309" s="2019"/>
      <c r="L309" s="2019"/>
      <c r="M309" s="2019"/>
      <c r="N309" s="2019"/>
      <c r="O309" s="2020"/>
    </row>
    <row r="310" spans="2:15">
      <c r="B310" s="2011"/>
      <c r="C310" s="2014"/>
      <c r="D310" s="125" t="s">
        <v>290</v>
      </c>
      <c r="E310" s="2018"/>
      <c r="F310" s="2019"/>
      <c r="G310" s="2019"/>
      <c r="H310" s="2019"/>
      <c r="I310" s="2019"/>
      <c r="J310" s="2019"/>
      <c r="K310" s="2019"/>
      <c r="L310" s="2019"/>
      <c r="M310" s="2019"/>
      <c r="N310" s="2019"/>
      <c r="O310" s="2020"/>
    </row>
    <row r="311" spans="2:15">
      <c r="B311" s="2009">
        <f>B299+1</f>
        <v>2</v>
      </c>
      <c r="C311" s="2012"/>
      <c r="D311" s="125" t="s">
        <v>279</v>
      </c>
      <c r="E311" s="2018"/>
      <c r="F311" s="2019"/>
      <c r="G311" s="2019"/>
      <c r="H311" s="2019"/>
      <c r="I311" s="2019"/>
      <c r="J311" s="2019"/>
      <c r="K311" s="2019"/>
      <c r="L311" s="2019"/>
      <c r="M311" s="2019"/>
      <c r="N311" s="2019"/>
      <c r="O311" s="2020"/>
    </row>
    <row r="312" spans="2:15">
      <c r="B312" s="2010"/>
      <c r="C312" s="2013"/>
      <c r="D312" s="125" t="s">
        <v>280</v>
      </c>
      <c r="E312" s="2018"/>
      <c r="F312" s="2019"/>
      <c r="G312" s="2019"/>
      <c r="H312" s="2019"/>
      <c r="I312" s="2019"/>
      <c r="J312" s="2019"/>
      <c r="K312" s="2019"/>
      <c r="L312" s="2019"/>
      <c r="M312" s="2019"/>
      <c r="N312" s="2019"/>
      <c r="O312" s="2020"/>
    </row>
    <row r="313" spans="2:15">
      <c r="B313" s="2010"/>
      <c r="C313" s="2013"/>
      <c r="D313" s="125" t="s">
        <v>281</v>
      </c>
      <c r="E313" s="2018"/>
      <c r="F313" s="2019"/>
      <c r="G313" s="2019"/>
      <c r="H313" s="2019"/>
      <c r="I313" s="2019"/>
      <c r="J313" s="2019"/>
      <c r="K313" s="2019"/>
      <c r="L313" s="2019"/>
      <c r="M313" s="2019"/>
      <c r="N313" s="2019"/>
      <c r="O313" s="2020"/>
    </row>
    <row r="314" spans="2:15">
      <c r="B314" s="2010"/>
      <c r="C314" s="2013"/>
      <c r="D314" s="125" t="s">
        <v>571</v>
      </c>
      <c r="E314" s="2018"/>
      <c r="F314" s="2019"/>
      <c r="G314" s="2019"/>
      <c r="H314" s="2019"/>
      <c r="I314" s="2019"/>
      <c r="J314" s="2019"/>
      <c r="K314" s="2019"/>
      <c r="L314" s="2019"/>
      <c r="M314" s="2019"/>
      <c r="N314" s="2019"/>
      <c r="O314" s="2020"/>
    </row>
    <row r="315" spans="2:15">
      <c r="B315" s="2010"/>
      <c r="C315" s="2013"/>
      <c r="D315" s="125" t="s">
        <v>283</v>
      </c>
      <c r="E315" s="2018"/>
      <c r="F315" s="2019"/>
      <c r="G315" s="2019"/>
      <c r="H315" s="2019"/>
      <c r="I315" s="2019"/>
      <c r="J315" s="2019"/>
      <c r="K315" s="2019"/>
      <c r="L315" s="2019"/>
      <c r="M315" s="2019"/>
      <c r="N315" s="2019"/>
      <c r="O315" s="2020"/>
    </row>
    <row r="316" spans="2:15">
      <c r="B316" s="2010"/>
      <c r="C316" s="2013"/>
      <c r="D316" s="125" t="s">
        <v>284</v>
      </c>
      <c r="E316" s="2018"/>
      <c r="F316" s="2019"/>
      <c r="G316" s="2019"/>
      <c r="H316" s="2019"/>
      <c r="I316" s="2019"/>
      <c r="J316" s="2019"/>
      <c r="K316" s="2019"/>
      <c r="L316" s="2019"/>
      <c r="M316" s="2019"/>
      <c r="N316" s="2019"/>
      <c r="O316" s="2020"/>
    </row>
    <row r="317" spans="2:15">
      <c r="B317" s="2010"/>
      <c r="C317" s="2013"/>
      <c r="D317" s="125" t="s">
        <v>285</v>
      </c>
      <c r="E317" s="2018"/>
      <c r="F317" s="2019"/>
      <c r="G317" s="2019"/>
      <c r="H317" s="2019"/>
      <c r="I317" s="2019"/>
      <c r="J317" s="2019"/>
      <c r="K317" s="2019"/>
      <c r="L317" s="2019"/>
      <c r="M317" s="2019"/>
      <c r="N317" s="2019"/>
      <c r="O317" s="2020"/>
    </row>
    <row r="318" spans="2:15">
      <c r="B318" s="2010"/>
      <c r="C318" s="2013"/>
      <c r="D318" s="125" t="s">
        <v>572</v>
      </c>
      <c r="E318" s="2018"/>
      <c r="F318" s="2019"/>
      <c r="G318" s="2019"/>
      <c r="H318" s="2019"/>
      <c r="I318" s="2019"/>
      <c r="J318" s="2019"/>
      <c r="K318" s="2019"/>
      <c r="L318" s="2019"/>
      <c r="M318" s="2019"/>
      <c r="N318" s="2019"/>
      <c r="O318" s="2020"/>
    </row>
    <row r="319" spans="2:15">
      <c r="B319" s="2010"/>
      <c r="C319" s="2013"/>
      <c r="D319" s="125" t="s">
        <v>287</v>
      </c>
      <c r="E319" s="2018"/>
      <c r="F319" s="2019"/>
      <c r="G319" s="2019"/>
      <c r="H319" s="2019"/>
      <c r="I319" s="2019"/>
      <c r="J319" s="2019"/>
      <c r="K319" s="2019"/>
      <c r="L319" s="2019"/>
      <c r="M319" s="2019"/>
      <c r="N319" s="2019"/>
      <c r="O319" s="2020"/>
    </row>
    <row r="320" spans="2:15">
      <c r="B320" s="2010"/>
      <c r="C320" s="2013"/>
      <c r="D320" s="125" t="s">
        <v>288</v>
      </c>
      <c r="E320" s="2018"/>
      <c r="F320" s="2019"/>
      <c r="G320" s="2019"/>
      <c r="H320" s="2019"/>
      <c r="I320" s="2019"/>
      <c r="J320" s="2019"/>
      <c r="K320" s="2019"/>
      <c r="L320" s="2019"/>
      <c r="M320" s="2019"/>
      <c r="N320" s="2019"/>
      <c r="O320" s="2020"/>
    </row>
    <row r="321" spans="2:15">
      <c r="B321" s="2010"/>
      <c r="C321" s="2013"/>
      <c r="D321" s="125" t="s">
        <v>289</v>
      </c>
      <c r="E321" s="2018"/>
      <c r="F321" s="2019"/>
      <c r="G321" s="2019"/>
      <c r="H321" s="2019"/>
      <c r="I321" s="2019"/>
      <c r="J321" s="2019"/>
      <c r="K321" s="2019"/>
      <c r="L321" s="2019"/>
      <c r="M321" s="2019"/>
      <c r="N321" s="2019"/>
      <c r="O321" s="2020"/>
    </row>
    <row r="322" spans="2:15">
      <c r="B322" s="2011"/>
      <c r="C322" s="2014"/>
      <c r="D322" s="125" t="s">
        <v>290</v>
      </c>
      <c r="E322" s="2018"/>
      <c r="F322" s="2019"/>
      <c r="G322" s="2019"/>
      <c r="H322" s="2019"/>
      <c r="I322" s="2019"/>
      <c r="J322" s="2019"/>
      <c r="K322" s="2019"/>
      <c r="L322" s="2019"/>
      <c r="M322" s="2019"/>
      <c r="N322" s="2019"/>
      <c r="O322" s="2020"/>
    </row>
    <row r="323" spans="2:15">
      <c r="B323" s="99">
        <v>3</v>
      </c>
      <c r="C323" s="124"/>
      <c r="D323" s="124"/>
      <c r="E323" s="2018"/>
      <c r="F323" s="2019"/>
      <c r="G323" s="2019"/>
      <c r="H323" s="2019"/>
      <c r="I323" s="2019"/>
      <c r="J323" s="2019"/>
      <c r="K323" s="2019"/>
      <c r="L323" s="2019"/>
      <c r="M323" s="2019"/>
      <c r="N323" s="2019"/>
      <c r="O323" s="2020"/>
    </row>
    <row r="324" spans="2:15">
      <c r="B324" s="99" t="s">
        <v>477</v>
      </c>
      <c r="C324" s="126"/>
      <c r="D324" s="126"/>
      <c r="E324" s="2021"/>
      <c r="F324" s="2022"/>
      <c r="G324" s="2022"/>
      <c r="H324" s="2022"/>
      <c r="I324" s="2022"/>
      <c r="J324" s="2022"/>
      <c r="K324" s="2022"/>
      <c r="L324" s="2022"/>
      <c r="M324" s="2022"/>
      <c r="N324" s="2022"/>
      <c r="O324" s="2023"/>
    </row>
    <row r="326" spans="2:15">
      <c r="B326" s="256" t="s">
        <v>573</v>
      </c>
    </row>
    <row r="327" spans="2:15">
      <c r="B327" s="256" t="s">
        <v>639</v>
      </c>
    </row>
    <row r="328" spans="2:15">
      <c r="B328" s="256" t="s">
        <v>574</v>
      </c>
    </row>
    <row r="329" spans="2:15">
      <c r="B329" s="256" t="s">
        <v>641</v>
      </c>
    </row>
    <row r="333" spans="2:15">
      <c r="B333" s="2008" t="s">
        <v>1020</v>
      </c>
      <c r="C333" s="2008"/>
      <c r="D333" s="757"/>
      <c r="E333" s="14"/>
      <c r="F333" s="14"/>
      <c r="G333" s="14"/>
      <c r="H333" s="14"/>
      <c r="I333" s="14"/>
      <c r="J333" s="14"/>
      <c r="K333" s="14"/>
      <c r="L333" s="14"/>
    </row>
    <row r="335" spans="2:15" ht="56">
      <c r="B335" s="1778" t="s">
        <v>340</v>
      </c>
      <c r="C335" s="1778" t="s">
        <v>559</v>
      </c>
      <c r="D335" s="1778" t="s">
        <v>570</v>
      </c>
      <c r="E335" s="750" t="s">
        <v>640</v>
      </c>
      <c r="F335" s="1770" t="s">
        <v>560</v>
      </c>
      <c r="G335" s="1770"/>
      <c r="H335" s="1770"/>
      <c r="I335" s="1770"/>
      <c r="J335" s="1770"/>
      <c r="K335" s="1770" t="s">
        <v>564</v>
      </c>
      <c r="L335" s="1770"/>
      <c r="M335" s="1770"/>
      <c r="N335" s="1770" t="s">
        <v>568</v>
      </c>
      <c r="O335" s="1770" t="s">
        <v>569</v>
      </c>
    </row>
    <row r="336" spans="2:15" ht="28">
      <c r="B336" s="1807"/>
      <c r="C336" s="1807"/>
      <c r="D336" s="1807"/>
      <c r="E336" s="751" t="s">
        <v>642</v>
      </c>
      <c r="F336" s="748" t="s">
        <v>566</v>
      </c>
      <c r="G336" s="748" t="s">
        <v>561</v>
      </c>
      <c r="H336" s="748" t="s">
        <v>644</v>
      </c>
      <c r="I336" s="751" t="s">
        <v>562</v>
      </c>
      <c r="J336" s="751" t="s">
        <v>563</v>
      </c>
      <c r="K336" s="751" t="s">
        <v>565</v>
      </c>
      <c r="L336" s="751" t="s">
        <v>567</v>
      </c>
      <c r="M336" s="751" t="s">
        <v>643</v>
      </c>
      <c r="N336" s="1770"/>
      <c r="O336" s="1770"/>
    </row>
    <row r="337" spans="2:15">
      <c r="B337" s="2009">
        <f>B336+1</f>
        <v>1</v>
      </c>
      <c r="C337" s="2012"/>
      <c r="D337" s="125" t="s">
        <v>279</v>
      </c>
      <c r="E337" s="2015" t="s">
        <v>770</v>
      </c>
      <c r="F337" s="2016"/>
      <c r="G337" s="2016"/>
      <c r="H337" s="2016"/>
      <c r="I337" s="2016"/>
      <c r="J337" s="2016"/>
      <c r="K337" s="2016"/>
      <c r="L337" s="2016"/>
      <c r="M337" s="2016"/>
      <c r="N337" s="2016"/>
      <c r="O337" s="2017"/>
    </row>
    <row r="338" spans="2:15">
      <c r="B338" s="2010"/>
      <c r="C338" s="2013"/>
      <c r="D338" s="125" t="s">
        <v>280</v>
      </c>
      <c r="E338" s="2018"/>
      <c r="F338" s="2019"/>
      <c r="G338" s="2019"/>
      <c r="H338" s="2019"/>
      <c r="I338" s="2019"/>
      <c r="J338" s="2019"/>
      <c r="K338" s="2019"/>
      <c r="L338" s="2019"/>
      <c r="M338" s="2019"/>
      <c r="N338" s="2019"/>
      <c r="O338" s="2020"/>
    </row>
    <row r="339" spans="2:15">
      <c r="B339" s="2010"/>
      <c r="C339" s="2013"/>
      <c r="D339" s="125" t="s">
        <v>281</v>
      </c>
      <c r="E339" s="2018"/>
      <c r="F339" s="2019"/>
      <c r="G339" s="2019"/>
      <c r="H339" s="2019"/>
      <c r="I339" s="2019"/>
      <c r="J339" s="2019"/>
      <c r="K339" s="2019"/>
      <c r="L339" s="2019"/>
      <c r="M339" s="2019"/>
      <c r="N339" s="2019"/>
      <c r="O339" s="2020"/>
    </row>
    <row r="340" spans="2:15">
      <c r="B340" s="2010"/>
      <c r="C340" s="2013"/>
      <c r="D340" s="125" t="s">
        <v>571</v>
      </c>
      <c r="E340" s="2018"/>
      <c r="F340" s="2019"/>
      <c r="G340" s="2019"/>
      <c r="H340" s="2019"/>
      <c r="I340" s="2019"/>
      <c r="J340" s="2019"/>
      <c r="K340" s="2019"/>
      <c r="L340" s="2019"/>
      <c r="M340" s="2019"/>
      <c r="N340" s="2019"/>
      <c r="O340" s="2020"/>
    </row>
    <row r="341" spans="2:15">
      <c r="B341" s="2010"/>
      <c r="C341" s="2013"/>
      <c r="D341" s="125" t="s">
        <v>283</v>
      </c>
      <c r="E341" s="2018"/>
      <c r="F341" s="2019"/>
      <c r="G341" s="2019"/>
      <c r="H341" s="2019"/>
      <c r="I341" s="2019"/>
      <c r="J341" s="2019"/>
      <c r="K341" s="2019"/>
      <c r="L341" s="2019"/>
      <c r="M341" s="2019"/>
      <c r="N341" s="2019"/>
      <c r="O341" s="2020"/>
    </row>
    <row r="342" spans="2:15">
      <c r="B342" s="2010"/>
      <c r="C342" s="2013"/>
      <c r="D342" s="125" t="s">
        <v>284</v>
      </c>
      <c r="E342" s="2018"/>
      <c r="F342" s="2019"/>
      <c r="G342" s="2019"/>
      <c r="H342" s="2019"/>
      <c r="I342" s="2019"/>
      <c r="J342" s="2019"/>
      <c r="K342" s="2019"/>
      <c r="L342" s="2019"/>
      <c r="M342" s="2019"/>
      <c r="N342" s="2019"/>
      <c r="O342" s="2020"/>
    </row>
    <row r="343" spans="2:15">
      <c r="B343" s="2010"/>
      <c r="C343" s="2013"/>
      <c r="D343" s="125" t="s">
        <v>285</v>
      </c>
      <c r="E343" s="2018"/>
      <c r="F343" s="2019"/>
      <c r="G343" s="2019"/>
      <c r="H343" s="2019"/>
      <c r="I343" s="2019"/>
      <c r="J343" s="2019"/>
      <c r="K343" s="2019"/>
      <c r="L343" s="2019"/>
      <c r="M343" s="2019"/>
      <c r="N343" s="2019"/>
      <c r="O343" s="2020"/>
    </row>
    <row r="344" spans="2:15">
      <c r="B344" s="2010"/>
      <c r="C344" s="2013"/>
      <c r="D344" s="125" t="s">
        <v>572</v>
      </c>
      <c r="E344" s="2018"/>
      <c r="F344" s="2019"/>
      <c r="G344" s="2019"/>
      <c r="H344" s="2019"/>
      <c r="I344" s="2019"/>
      <c r="J344" s="2019"/>
      <c r="K344" s="2019"/>
      <c r="L344" s="2019"/>
      <c r="M344" s="2019"/>
      <c r="N344" s="2019"/>
      <c r="O344" s="2020"/>
    </row>
    <row r="345" spans="2:15">
      <c r="B345" s="2010"/>
      <c r="C345" s="2013"/>
      <c r="D345" s="125" t="s">
        <v>287</v>
      </c>
      <c r="E345" s="2018"/>
      <c r="F345" s="2019"/>
      <c r="G345" s="2019"/>
      <c r="H345" s="2019"/>
      <c r="I345" s="2019"/>
      <c r="J345" s="2019"/>
      <c r="K345" s="2019"/>
      <c r="L345" s="2019"/>
      <c r="M345" s="2019"/>
      <c r="N345" s="2019"/>
      <c r="O345" s="2020"/>
    </row>
    <row r="346" spans="2:15">
      <c r="B346" s="2010"/>
      <c r="C346" s="2013"/>
      <c r="D346" s="125" t="s">
        <v>288</v>
      </c>
      <c r="E346" s="2018"/>
      <c r="F346" s="2019"/>
      <c r="G346" s="2019"/>
      <c r="H346" s="2019"/>
      <c r="I346" s="2019"/>
      <c r="J346" s="2019"/>
      <c r="K346" s="2019"/>
      <c r="L346" s="2019"/>
      <c r="M346" s="2019"/>
      <c r="N346" s="2019"/>
      <c r="O346" s="2020"/>
    </row>
    <row r="347" spans="2:15">
      <c r="B347" s="2010"/>
      <c r="C347" s="2013"/>
      <c r="D347" s="125" t="s">
        <v>289</v>
      </c>
      <c r="E347" s="2018"/>
      <c r="F347" s="2019"/>
      <c r="G347" s="2019"/>
      <c r="H347" s="2019"/>
      <c r="I347" s="2019"/>
      <c r="J347" s="2019"/>
      <c r="K347" s="2019"/>
      <c r="L347" s="2019"/>
      <c r="M347" s="2019"/>
      <c r="N347" s="2019"/>
      <c r="O347" s="2020"/>
    </row>
    <row r="348" spans="2:15">
      <c r="B348" s="2011"/>
      <c r="C348" s="2014"/>
      <c r="D348" s="125" t="s">
        <v>290</v>
      </c>
      <c r="E348" s="2018"/>
      <c r="F348" s="2019"/>
      <c r="G348" s="2019"/>
      <c r="H348" s="2019"/>
      <c r="I348" s="2019"/>
      <c r="J348" s="2019"/>
      <c r="K348" s="2019"/>
      <c r="L348" s="2019"/>
      <c r="M348" s="2019"/>
      <c r="N348" s="2019"/>
      <c r="O348" s="2020"/>
    </row>
    <row r="349" spans="2:15">
      <c r="B349" s="2009">
        <f>B337+1</f>
        <v>2</v>
      </c>
      <c r="C349" s="2012"/>
      <c r="D349" s="125" t="s">
        <v>279</v>
      </c>
      <c r="E349" s="2018"/>
      <c r="F349" s="2019"/>
      <c r="G349" s="2019"/>
      <c r="H349" s="2019"/>
      <c r="I349" s="2019"/>
      <c r="J349" s="2019"/>
      <c r="K349" s="2019"/>
      <c r="L349" s="2019"/>
      <c r="M349" s="2019"/>
      <c r="N349" s="2019"/>
      <c r="O349" s="2020"/>
    </row>
    <row r="350" spans="2:15">
      <c r="B350" s="2010"/>
      <c r="C350" s="2013"/>
      <c r="D350" s="125" t="s">
        <v>280</v>
      </c>
      <c r="E350" s="2018"/>
      <c r="F350" s="2019"/>
      <c r="G350" s="2019"/>
      <c r="H350" s="2019"/>
      <c r="I350" s="2019"/>
      <c r="J350" s="2019"/>
      <c r="K350" s="2019"/>
      <c r="L350" s="2019"/>
      <c r="M350" s="2019"/>
      <c r="N350" s="2019"/>
      <c r="O350" s="2020"/>
    </row>
    <row r="351" spans="2:15">
      <c r="B351" s="2010"/>
      <c r="C351" s="2013"/>
      <c r="D351" s="125" t="s">
        <v>281</v>
      </c>
      <c r="E351" s="2018"/>
      <c r="F351" s="2019"/>
      <c r="G351" s="2019"/>
      <c r="H351" s="2019"/>
      <c r="I351" s="2019"/>
      <c r="J351" s="2019"/>
      <c r="K351" s="2019"/>
      <c r="L351" s="2019"/>
      <c r="M351" s="2019"/>
      <c r="N351" s="2019"/>
      <c r="O351" s="2020"/>
    </row>
    <row r="352" spans="2:15">
      <c r="B352" s="2010"/>
      <c r="C352" s="2013"/>
      <c r="D352" s="125" t="s">
        <v>571</v>
      </c>
      <c r="E352" s="2018"/>
      <c r="F352" s="2019"/>
      <c r="G352" s="2019"/>
      <c r="H352" s="2019"/>
      <c r="I352" s="2019"/>
      <c r="J352" s="2019"/>
      <c r="K352" s="2019"/>
      <c r="L352" s="2019"/>
      <c r="M352" s="2019"/>
      <c r="N352" s="2019"/>
      <c r="O352" s="2020"/>
    </row>
    <row r="353" spans="2:15">
      <c r="B353" s="2010"/>
      <c r="C353" s="2013"/>
      <c r="D353" s="125" t="s">
        <v>283</v>
      </c>
      <c r="E353" s="2018"/>
      <c r="F353" s="2019"/>
      <c r="G353" s="2019"/>
      <c r="H353" s="2019"/>
      <c r="I353" s="2019"/>
      <c r="J353" s="2019"/>
      <c r="K353" s="2019"/>
      <c r="L353" s="2019"/>
      <c r="M353" s="2019"/>
      <c r="N353" s="2019"/>
      <c r="O353" s="2020"/>
    </row>
    <row r="354" spans="2:15">
      <c r="B354" s="2010"/>
      <c r="C354" s="2013"/>
      <c r="D354" s="125" t="s">
        <v>284</v>
      </c>
      <c r="E354" s="2018"/>
      <c r="F354" s="2019"/>
      <c r="G354" s="2019"/>
      <c r="H354" s="2019"/>
      <c r="I354" s="2019"/>
      <c r="J354" s="2019"/>
      <c r="K354" s="2019"/>
      <c r="L354" s="2019"/>
      <c r="M354" s="2019"/>
      <c r="N354" s="2019"/>
      <c r="O354" s="2020"/>
    </row>
    <row r="355" spans="2:15">
      <c r="B355" s="2010"/>
      <c r="C355" s="2013"/>
      <c r="D355" s="125" t="s">
        <v>285</v>
      </c>
      <c r="E355" s="2018"/>
      <c r="F355" s="2019"/>
      <c r="G355" s="2019"/>
      <c r="H355" s="2019"/>
      <c r="I355" s="2019"/>
      <c r="J355" s="2019"/>
      <c r="K355" s="2019"/>
      <c r="L355" s="2019"/>
      <c r="M355" s="2019"/>
      <c r="N355" s="2019"/>
      <c r="O355" s="2020"/>
    </row>
    <row r="356" spans="2:15">
      <c r="B356" s="2010"/>
      <c r="C356" s="2013"/>
      <c r="D356" s="125" t="s">
        <v>572</v>
      </c>
      <c r="E356" s="2018"/>
      <c r="F356" s="2019"/>
      <c r="G356" s="2019"/>
      <c r="H356" s="2019"/>
      <c r="I356" s="2019"/>
      <c r="J356" s="2019"/>
      <c r="K356" s="2019"/>
      <c r="L356" s="2019"/>
      <c r="M356" s="2019"/>
      <c r="N356" s="2019"/>
      <c r="O356" s="2020"/>
    </row>
    <row r="357" spans="2:15">
      <c r="B357" s="2010"/>
      <c r="C357" s="2013"/>
      <c r="D357" s="125" t="s">
        <v>287</v>
      </c>
      <c r="E357" s="2018"/>
      <c r="F357" s="2019"/>
      <c r="G357" s="2019"/>
      <c r="H357" s="2019"/>
      <c r="I357" s="2019"/>
      <c r="J357" s="2019"/>
      <c r="K357" s="2019"/>
      <c r="L357" s="2019"/>
      <c r="M357" s="2019"/>
      <c r="N357" s="2019"/>
      <c r="O357" s="2020"/>
    </row>
    <row r="358" spans="2:15">
      <c r="B358" s="2010"/>
      <c r="C358" s="2013"/>
      <c r="D358" s="125" t="s">
        <v>288</v>
      </c>
      <c r="E358" s="2018"/>
      <c r="F358" s="2019"/>
      <c r="G358" s="2019"/>
      <c r="H358" s="2019"/>
      <c r="I358" s="2019"/>
      <c r="J358" s="2019"/>
      <c r="K358" s="2019"/>
      <c r="L358" s="2019"/>
      <c r="M358" s="2019"/>
      <c r="N358" s="2019"/>
      <c r="O358" s="2020"/>
    </row>
    <row r="359" spans="2:15">
      <c r="B359" s="2010"/>
      <c r="C359" s="2013"/>
      <c r="D359" s="125" t="s">
        <v>289</v>
      </c>
      <c r="E359" s="2018"/>
      <c r="F359" s="2019"/>
      <c r="G359" s="2019"/>
      <c r="H359" s="2019"/>
      <c r="I359" s="2019"/>
      <c r="J359" s="2019"/>
      <c r="K359" s="2019"/>
      <c r="L359" s="2019"/>
      <c r="M359" s="2019"/>
      <c r="N359" s="2019"/>
      <c r="O359" s="2020"/>
    </row>
    <row r="360" spans="2:15">
      <c r="B360" s="2011"/>
      <c r="C360" s="2014"/>
      <c r="D360" s="125" t="s">
        <v>290</v>
      </c>
      <c r="E360" s="2018"/>
      <c r="F360" s="2019"/>
      <c r="G360" s="2019"/>
      <c r="H360" s="2019"/>
      <c r="I360" s="2019"/>
      <c r="J360" s="2019"/>
      <c r="K360" s="2019"/>
      <c r="L360" s="2019"/>
      <c r="M360" s="2019"/>
      <c r="N360" s="2019"/>
      <c r="O360" s="2020"/>
    </row>
    <row r="361" spans="2:15">
      <c r="B361" s="99">
        <v>3</v>
      </c>
      <c r="C361" s="124"/>
      <c r="D361" s="124"/>
      <c r="E361" s="2018"/>
      <c r="F361" s="2019"/>
      <c r="G361" s="2019"/>
      <c r="H361" s="2019"/>
      <c r="I361" s="2019"/>
      <c r="J361" s="2019"/>
      <c r="K361" s="2019"/>
      <c r="L361" s="2019"/>
      <c r="M361" s="2019"/>
      <c r="N361" s="2019"/>
      <c r="O361" s="2020"/>
    </row>
    <row r="362" spans="2:15">
      <c r="B362" s="99" t="s">
        <v>477</v>
      </c>
      <c r="C362" s="126"/>
      <c r="D362" s="126"/>
      <c r="E362" s="2021"/>
      <c r="F362" s="2022"/>
      <c r="G362" s="2022"/>
      <c r="H362" s="2022"/>
      <c r="I362" s="2022"/>
      <c r="J362" s="2022"/>
      <c r="K362" s="2022"/>
      <c r="L362" s="2022"/>
      <c r="M362" s="2022"/>
      <c r="N362" s="2022"/>
      <c r="O362" s="2023"/>
    </row>
    <row r="364" spans="2:15">
      <c r="B364" s="256" t="s">
        <v>573</v>
      </c>
    </row>
    <row r="365" spans="2:15">
      <c r="B365" s="256" t="s">
        <v>639</v>
      </c>
    </row>
    <row r="366" spans="2:15">
      <c r="B366" s="256" t="s">
        <v>574</v>
      </c>
    </row>
    <row r="367" spans="2:15">
      <c r="B367" s="256" t="s">
        <v>641</v>
      </c>
    </row>
    <row r="371" spans="2:15">
      <c r="B371" s="2008" t="s">
        <v>1021</v>
      </c>
      <c r="C371" s="2008"/>
      <c r="D371" s="757"/>
      <c r="E371" s="14"/>
      <c r="F371" s="14"/>
      <c r="G371" s="14"/>
      <c r="H371" s="14"/>
      <c r="I371" s="14"/>
      <c r="J371" s="14"/>
      <c r="K371" s="14"/>
      <c r="L371" s="14"/>
    </row>
    <row r="373" spans="2:15" ht="56">
      <c r="B373" s="1778" t="s">
        <v>340</v>
      </c>
      <c r="C373" s="1778" t="s">
        <v>559</v>
      </c>
      <c r="D373" s="1778" t="s">
        <v>570</v>
      </c>
      <c r="E373" s="750" t="s">
        <v>640</v>
      </c>
      <c r="F373" s="1770" t="s">
        <v>560</v>
      </c>
      <c r="G373" s="1770"/>
      <c r="H373" s="1770"/>
      <c r="I373" s="1770"/>
      <c r="J373" s="1770"/>
      <c r="K373" s="1770" t="s">
        <v>564</v>
      </c>
      <c r="L373" s="1770"/>
      <c r="M373" s="1770"/>
      <c r="N373" s="1770" t="s">
        <v>568</v>
      </c>
      <c r="O373" s="1770" t="s">
        <v>569</v>
      </c>
    </row>
    <row r="374" spans="2:15" ht="28">
      <c r="B374" s="1807"/>
      <c r="C374" s="1807"/>
      <c r="D374" s="1807"/>
      <c r="E374" s="751" t="s">
        <v>642</v>
      </c>
      <c r="F374" s="748" t="s">
        <v>566</v>
      </c>
      <c r="G374" s="748" t="s">
        <v>561</v>
      </c>
      <c r="H374" s="748" t="s">
        <v>644</v>
      </c>
      <c r="I374" s="751" t="s">
        <v>562</v>
      </c>
      <c r="J374" s="751" t="s">
        <v>563</v>
      </c>
      <c r="K374" s="751" t="s">
        <v>565</v>
      </c>
      <c r="L374" s="751" t="s">
        <v>567</v>
      </c>
      <c r="M374" s="751" t="s">
        <v>643</v>
      </c>
      <c r="N374" s="1770"/>
      <c r="O374" s="1770"/>
    </row>
    <row r="375" spans="2:15">
      <c r="B375" s="2009">
        <f>B374+1</f>
        <v>1</v>
      </c>
      <c r="C375" s="2012"/>
      <c r="D375" s="125" t="s">
        <v>279</v>
      </c>
      <c r="E375" s="2015" t="s">
        <v>770</v>
      </c>
      <c r="F375" s="2016"/>
      <c r="G375" s="2016"/>
      <c r="H375" s="2016"/>
      <c r="I375" s="2016"/>
      <c r="J375" s="2016"/>
      <c r="K375" s="2016"/>
      <c r="L375" s="2016"/>
      <c r="M375" s="2016"/>
      <c r="N375" s="2016"/>
      <c r="O375" s="2017"/>
    </row>
    <row r="376" spans="2:15">
      <c r="B376" s="2010"/>
      <c r="C376" s="2013"/>
      <c r="D376" s="125" t="s">
        <v>280</v>
      </c>
      <c r="E376" s="2018"/>
      <c r="F376" s="2019"/>
      <c r="G376" s="2019"/>
      <c r="H376" s="2019"/>
      <c r="I376" s="2019"/>
      <c r="J376" s="2019"/>
      <c r="K376" s="2019"/>
      <c r="L376" s="2019"/>
      <c r="M376" s="2019"/>
      <c r="N376" s="2019"/>
      <c r="O376" s="2020"/>
    </row>
    <row r="377" spans="2:15">
      <c r="B377" s="2010"/>
      <c r="C377" s="2013"/>
      <c r="D377" s="125" t="s">
        <v>281</v>
      </c>
      <c r="E377" s="2018"/>
      <c r="F377" s="2019"/>
      <c r="G377" s="2019"/>
      <c r="H377" s="2019"/>
      <c r="I377" s="2019"/>
      <c r="J377" s="2019"/>
      <c r="K377" s="2019"/>
      <c r="L377" s="2019"/>
      <c r="M377" s="2019"/>
      <c r="N377" s="2019"/>
      <c r="O377" s="2020"/>
    </row>
    <row r="378" spans="2:15">
      <c r="B378" s="2010"/>
      <c r="C378" s="2013"/>
      <c r="D378" s="125" t="s">
        <v>571</v>
      </c>
      <c r="E378" s="2018"/>
      <c r="F378" s="2019"/>
      <c r="G378" s="2019"/>
      <c r="H378" s="2019"/>
      <c r="I378" s="2019"/>
      <c r="J378" s="2019"/>
      <c r="K378" s="2019"/>
      <c r="L378" s="2019"/>
      <c r="M378" s="2019"/>
      <c r="N378" s="2019"/>
      <c r="O378" s="2020"/>
    </row>
    <row r="379" spans="2:15">
      <c r="B379" s="2010"/>
      <c r="C379" s="2013"/>
      <c r="D379" s="125" t="s">
        <v>283</v>
      </c>
      <c r="E379" s="2018"/>
      <c r="F379" s="2019"/>
      <c r="G379" s="2019"/>
      <c r="H379" s="2019"/>
      <c r="I379" s="2019"/>
      <c r="J379" s="2019"/>
      <c r="K379" s="2019"/>
      <c r="L379" s="2019"/>
      <c r="M379" s="2019"/>
      <c r="N379" s="2019"/>
      <c r="O379" s="2020"/>
    </row>
    <row r="380" spans="2:15">
      <c r="B380" s="2010"/>
      <c r="C380" s="2013"/>
      <c r="D380" s="125" t="s">
        <v>284</v>
      </c>
      <c r="E380" s="2018"/>
      <c r="F380" s="2019"/>
      <c r="G380" s="2019"/>
      <c r="H380" s="2019"/>
      <c r="I380" s="2019"/>
      <c r="J380" s="2019"/>
      <c r="K380" s="2019"/>
      <c r="L380" s="2019"/>
      <c r="M380" s="2019"/>
      <c r="N380" s="2019"/>
      <c r="O380" s="2020"/>
    </row>
    <row r="381" spans="2:15">
      <c r="B381" s="2010"/>
      <c r="C381" s="2013"/>
      <c r="D381" s="125" t="s">
        <v>285</v>
      </c>
      <c r="E381" s="2018"/>
      <c r="F381" s="2019"/>
      <c r="G381" s="2019"/>
      <c r="H381" s="2019"/>
      <c r="I381" s="2019"/>
      <c r="J381" s="2019"/>
      <c r="K381" s="2019"/>
      <c r="L381" s="2019"/>
      <c r="M381" s="2019"/>
      <c r="N381" s="2019"/>
      <c r="O381" s="2020"/>
    </row>
    <row r="382" spans="2:15">
      <c r="B382" s="2010"/>
      <c r="C382" s="2013"/>
      <c r="D382" s="125" t="s">
        <v>572</v>
      </c>
      <c r="E382" s="2018"/>
      <c r="F382" s="2019"/>
      <c r="G382" s="2019"/>
      <c r="H382" s="2019"/>
      <c r="I382" s="2019"/>
      <c r="J382" s="2019"/>
      <c r="K382" s="2019"/>
      <c r="L382" s="2019"/>
      <c r="M382" s="2019"/>
      <c r="N382" s="2019"/>
      <c r="O382" s="2020"/>
    </row>
    <row r="383" spans="2:15">
      <c r="B383" s="2010"/>
      <c r="C383" s="2013"/>
      <c r="D383" s="125" t="s">
        <v>287</v>
      </c>
      <c r="E383" s="2018"/>
      <c r="F383" s="2019"/>
      <c r="G383" s="2019"/>
      <c r="H383" s="2019"/>
      <c r="I383" s="2019"/>
      <c r="J383" s="2019"/>
      <c r="K383" s="2019"/>
      <c r="L383" s="2019"/>
      <c r="M383" s="2019"/>
      <c r="N383" s="2019"/>
      <c r="O383" s="2020"/>
    </row>
    <row r="384" spans="2:15">
      <c r="B384" s="2010"/>
      <c r="C384" s="2013"/>
      <c r="D384" s="125" t="s">
        <v>288</v>
      </c>
      <c r="E384" s="2018"/>
      <c r="F384" s="2019"/>
      <c r="G384" s="2019"/>
      <c r="H384" s="2019"/>
      <c r="I384" s="2019"/>
      <c r="J384" s="2019"/>
      <c r="K384" s="2019"/>
      <c r="L384" s="2019"/>
      <c r="M384" s="2019"/>
      <c r="N384" s="2019"/>
      <c r="O384" s="2020"/>
    </row>
    <row r="385" spans="2:15">
      <c r="B385" s="2010"/>
      <c r="C385" s="2013"/>
      <c r="D385" s="125" t="s">
        <v>289</v>
      </c>
      <c r="E385" s="2018"/>
      <c r="F385" s="2019"/>
      <c r="G385" s="2019"/>
      <c r="H385" s="2019"/>
      <c r="I385" s="2019"/>
      <c r="J385" s="2019"/>
      <c r="K385" s="2019"/>
      <c r="L385" s="2019"/>
      <c r="M385" s="2019"/>
      <c r="N385" s="2019"/>
      <c r="O385" s="2020"/>
    </row>
    <row r="386" spans="2:15">
      <c r="B386" s="2011"/>
      <c r="C386" s="2014"/>
      <c r="D386" s="125" t="s">
        <v>290</v>
      </c>
      <c r="E386" s="2018"/>
      <c r="F386" s="2019"/>
      <c r="G386" s="2019"/>
      <c r="H386" s="2019"/>
      <c r="I386" s="2019"/>
      <c r="J386" s="2019"/>
      <c r="K386" s="2019"/>
      <c r="L386" s="2019"/>
      <c r="M386" s="2019"/>
      <c r="N386" s="2019"/>
      <c r="O386" s="2020"/>
    </row>
    <row r="387" spans="2:15">
      <c r="B387" s="2009">
        <f>B375+1</f>
        <v>2</v>
      </c>
      <c r="C387" s="2012"/>
      <c r="D387" s="125" t="s">
        <v>279</v>
      </c>
      <c r="E387" s="2018"/>
      <c r="F387" s="2019"/>
      <c r="G387" s="2019"/>
      <c r="H387" s="2019"/>
      <c r="I387" s="2019"/>
      <c r="J387" s="2019"/>
      <c r="K387" s="2019"/>
      <c r="L387" s="2019"/>
      <c r="M387" s="2019"/>
      <c r="N387" s="2019"/>
      <c r="O387" s="2020"/>
    </row>
    <row r="388" spans="2:15">
      <c r="B388" s="2010"/>
      <c r="C388" s="2013"/>
      <c r="D388" s="125" t="s">
        <v>280</v>
      </c>
      <c r="E388" s="2018"/>
      <c r="F388" s="2019"/>
      <c r="G388" s="2019"/>
      <c r="H388" s="2019"/>
      <c r="I388" s="2019"/>
      <c r="J388" s="2019"/>
      <c r="K388" s="2019"/>
      <c r="L388" s="2019"/>
      <c r="M388" s="2019"/>
      <c r="N388" s="2019"/>
      <c r="O388" s="2020"/>
    </row>
    <row r="389" spans="2:15">
      <c r="B389" s="2010"/>
      <c r="C389" s="2013"/>
      <c r="D389" s="125" t="s">
        <v>281</v>
      </c>
      <c r="E389" s="2018"/>
      <c r="F389" s="2019"/>
      <c r="G389" s="2019"/>
      <c r="H389" s="2019"/>
      <c r="I389" s="2019"/>
      <c r="J389" s="2019"/>
      <c r="K389" s="2019"/>
      <c r="L389" s="2019"/>
      <c r="M389" s="2019"/>
      <c r="N389" s="2019"/>
      <c r="O389" s="2020"/>
    </row>
    <row r="390" spans="2:15">
      <c r="B390" s="2010"/>
      <c r="C390" s="2013"/>
      <c r="D390" s="125" t="s">
        <v>571</v>
      </c>
      <c r="E390" s="2018"/>
      <c r="F390" s="2019"/>
      <c r="G390" s="2019"/>
      <c r="H390" s="2019"/>
      <c r="I390" s="2019"/>
      <c r="J390" s="2019"/>
      <c r="K390" s="2019"/>
      <c r="L390" s="2019"/>
      <c r="M390" s="2019"/>
      <c r="N390" s="2019"/>
      <c r="O390" s="2020"/>
    </row>
    <row r="391" spans="2:15">
      <c r="B391" s="2010"/>
      <c r="C391" s="2013"/>
      <c r="D391" s="125" t="s">
        <v>283</v>
      </c>
      <c r="E391" s="2018"/>
      <c r="F391" s="2019"/>
      <c r="G391" s="2019"/>
      <c r="H391" s="2019"/>
      <c r="I391" s="2019"/>
      <c r="J391" s="2019"/>
      <c r="K391" s="2019"/>
      <c r="L391" s="2019"/>
      <c r="M391" s="2019"/>
      <c r="N391" s="2019"/>
      <c r="O391" s="2020"/>
    </row>
    <row r="392" spans="2:15">
      <c r="B392" s="2010"/>
      <c r="C392" s="2013"/>
      <c r="D392" s="125" t="s">
        <v>284</v>
      </c>
      <c r="E392" s="2018"/>
      <c r="F392" s="2019"/>
      <c r="G392" s="2019"/>
      <c r="H392" s="2019"/>
      <c r="I392" s="2019"/>
      <c r="J392" s="2019"/>
      <c r="K392" s="2019"/>
      <c r="L392" s="2019"/>
      <c r="M392" s="2019"/>
      <c r="N392" s="2019"/>
      <c r="O392" s="2020"/>
    </row>
    <row r="393" spans="2:15">
      <c r="B393" s="2010"/>
      <c r="C393" s="2013"/>
      <c r="D393" s="125" t="s">
        <v>285</v>
      </c>
      <c r="E393" s="2018"/>
      <c r="F393" s="2019"/>
      <c r="G393" s="2019"/>
      <c r="H393" s="2019"/>
      <c r="I393" s="2019"/>
      <c r="J393" s="2019"/>
      <c r="K393" s="2019"/>
      <c r="L393" s="2019"/>
      <c r="M393" s="2019"/>
      <c r="N393" s="2019"/>
      <c r="O393" s="2020"/>
    </row>
    <row r="394" spans="2:15">
      <c r="B394" s="2010"/>
      <c r="C394" s="2013"/>
      <c r="D394" s="125" t="s">
        <v>572</v>
      </c>
      <c r="E394" s="2018"/>
      <c r="F394" s="2019"/>
      <c r="G394" s="2019"/>
      <c r="H394" s="2019"/>
      <c r="I394" s="2019"/>
      <c r="J394" s="2019"/>
      <c r="K394" s="2019"/>
      <c r="L394" s="2019"/>
      <c r="M394" s="2019"/>
      <c r="N394" s="2019"/>
      <c r="O394" s="2020"/>
    </row>
    <row r="395" spans="2:15">
      <c r="B395" s="2010"/>
      <c r="C395" s="2013"/>
      <c r="D395" s="125" t="s">
        <v>287</v>
      </c>
      <c r="E395" s="2018"/>
      <c r="F395" s="2019"/>
      <c r="G395" s="2019"/>
      <c r="H395" s="2019"/>
      <c r="I395" s="2019"/>
      <c r="J395" s="2019"/>
      <c r="K395" s="2019"/>
      <c r="L395" s="2019"/>
      <c r="M395" s="2019"/>
      <c r="N395" s="2019"/>
      <c r="O395" s="2020"/>
    </row>
    <row r="396" spans="2:15">
      <c r="B396" s="2010"/>
      <c r="C396" s="2013"/>
      <c r="D396" s="125" t="s">
        <v>288</v>
      </c>
      <c r="E396" s="2018"/>
      <c r="F396" s="2019"/>
      <c r="G396" s="2019"/>
      <c r="H396" s="2019"/>
      <c r="I396" s="2019"/>
      <c r="J396" s="2019"/>
      <c r="K396" s="2019"/>
      <c r="L396" s="2019"/>
      <c r="M396" s="2019"/>
      <c r="N396" s="2019"/>
      <c r="O396" s="2020"/>
    </row>
    <row r="397" spans="2:15">
      <c r="B397" s="2010"/>
      <c r="C397" s="2013"/>
      <c r="D397" s="125" t="s">
        <v>289</v>
      </c>
      <c r="E397" s="2018"/>
      <c r="F397" s="2019"/>
      <c r="G397" s="2019"/>
      <c r="H397" s="2019"/>
      <c r="I397" s="2019"/>
      <c r="J397" s="2019"/>
      <c r="K397" s="2019"/>
      <c r="L397" s="2019"/>
      <c r="M397" s="2019"/>
      <c r="N397" s="2019"/>
      <c r="O397" s="2020"/>
    </row>
    <row r="398" spans="2:15">
      <c r="B398" s="2011"/>
      <c r="C398" s="2014"/>
      <c r="D398" s="125" t="s">
        <v>290</v>
      </c>
      <c r="E398" s="2018"/>
      <c r="F398" s="2019"/>
      <c r="G398" s="2019"/>
      <c r="H398" s="2019"/>
      <c r="I398" s="2019"/>
      <c r="J398" s="2019"/>
      <c r="K398" s="2019"/>
      <c r="L398" s="2019"/>
      <c r="M398" s="2019"/>
      <c r="N398" s="2019"/>
      <c r="O398" s="2020"/>
    </row>
    <row r="399" spans="2:15">
      <c r="B399" s="99">
        <v>3</v>
      </c>
      <c r="C399" s="124"/>
      <c r="D399" s="124"/>
      <c r="E399" s="2018"/>
      <c r="F399" s="2019"/>
      <c r="G399" s="2019"/>
      <c r="H399" s="2019"/>
      <c r="I399" s="2019"/>
      <c r="J399" s="2019"/>
      <c r="K399" s="2019"/>
      <c r="L399" s="2019"/>
      <c r="M399" s="2019"/>
      <c r="N399" s="2019"/>
      <c r="O399" s="2020"/>
    </row>
    <row r="400" spans="2:15">
      <c r="B400" s="99" t="s">
        <v>477</v>
      </c>
      <c r="C400" s="126"/>
      <c r="D400" s="126"/>
      <c r="E400" s="2021"/>
      <c r="F400" s="2022"/>
      <c r="G400" s="2022"/>
      <c r="H400" s="2022"/>
      <c r="I400" s="2022"/>
      <c r="J400" s="2022"/>
      <c r="K400" s="2022"/>
      <c r="L400" s="2022"/>
      <c r="M400" s="2022"/>
      <c r="N400" s="2022"/>
      <c r="O400" s="2023"/>
    </row>
    <row r="402" spans="2:2">
      <c r="B402" s="256" t="s">
        <v>573</v>
      </c>
    </row>
    <row r="403" spans="2:2">
      <c r="B403" s="256" t="s">
        <v>639</v>
      </c>
    </row>
    <row r="404" spans="2:2">
      <c r="B404" s="256" t="s">
        <v>574</v>
      </c>
    </row>
    <row r="405" spans="2:2">
      <c r="B405" s="256" t="s">
        <v>641</v>
      </c>
    </row>
  </sheetData>
  <mergeCells count="159">
    <mergeCell ref="B274:B285"/>
    <mergeCell ref="C274:C285"/>
    <mergeCell ref="F260:J260"/>
    <mergeCell ref="K260:M260"/>
    <mergeCell ref="O224:O225"/>
    <mergeCell ref="N260:N261"/>
    <mergeCell ref="O260:O261"/>
    <mergeCell ref="B262:B273"/>
    <mergeCell ref="C262:C273"/>
    <mergeCell ref="B238:B249"/>
    <mergeCell ref="C238:C249"/>
    <mergeCell ref="B258:C258"/>
    <mergeCell ref="B260:B261"/>
    <mergeCell ref="C260:C261"/>
    <mergeCell ref="D260:D261"/>
    <mergeCell ref="B226:B237"/>
    <mergeCell ref="C226:C237"/>
    <mergeCell ref="D224:D225"/>
    <mergeCell ref="F224:J224"/>
    <mergeCell ref="K224:M224"/>
    <mergeCell ref="N224:N225"/>
    <mergeCell ref="B151:B162"/>
    <mergeCell ref="C151:C162"/>
    <mergeCell ref="B222:C222"/>
    <mergeCell ref="B224:B225"/>
    <mergeCell ref="C224:C225"/>
    <mergeCell ref="B166:C166"/>
    <mergeCell ref="B168:B169"/>
    <mergeCell ref="C168:C169"/>
    <mergeCell ref="B186:C186"/>
    <mergeCell ref="B188:B189"/>
    <mergeCell ref="C188:C189"/>
    <mergeCell ref="D168:D169"/>
    <mergeCell ref="F168:J168"/>
    <mergeCell ref="K168:M168"/>
    <mergeCell ref="N168:N169"/>
    <mergeCell ref="D188:D189"/>
    <mergeCell ref="F188:J188"/>
    <mergeCell ref="K188:M188"/>
    <mergeCell ref="N188:N189"/>
    <mergeCell ref="K103:M103"/>
    <mergeCell ref="N103:N104"/>
    <mergeCell ref="E105:O130"/>
    <mergeCell ref="E139:O164"/>
    <mergeCell ref="E170:O183"/>
    <mergeCell ref="N8:N9"/>
    <mergeCell ref="O8:O9"/>
    <mergeCell ref="D8:D9"/>
    <mergeCell ref="B10:B21"/>
    <mergeCell ref="C10:C21"/>
    <mergeCell ref="K8:M8"/>
    <mergeCell ref="K72:M72"/>
    <mergeCell ref="N72:N73"/>
    <mergeCell ref="O72:O73"/>
    <mergeCell ref="B72:B73"/>
    <mergeCell ref="C72:C73"/>
    <mergeCell ref="K39:M39"/>
    <mergeCell ref="N39:N40"/>
    <mergeCell ref="O39:O40"/>
    <mergeCell ref="E10:O35"/>
    <mergeCell ref="E41:O66"/>
    <mergeCell ref="E74:O99"/>
    <mergeCell ref="O103:O104"/>
    <mergeCell ref="B105:B116"/>
    <mergeCell ref="C105:C116"/>
    <mergeCell ref="B117:B128"/>
    <mergeCell ref="C117:C128"/>
    <mergeCell ref="F137:J137"/>
    <mergeCell ref="K137:M137"/>
    <mergeCell ref="N137:N138"/>
    <mergeCell ref="B101:C101"/>
    <mergeCell ref="B103:B104"/>
    <mergeCell ref="B137:B138"/>
    <mergeCell ref="C137:C138"/>
    <mergeCell ref="D137:D138"/>
    <mergeCell ref="C103:C104"/>
    <mergeCell ref="D103:D104"/>
    <mergeCell ref="F103:J103"/>
    <mergeCell ref="B6:C6"/>
    <mergeCell ref="C8:C9"/>
    <mergeCell ref="B8:B9"/>
    <mergeCell ref="F8:J8"/>
    <mergeCell ref="D72:D73"/>
    <mergeCell ref="F72:J72"/>
    <mergeCell ref="C22:C33"/>
    <mergeCell ref="B22:B33"/>
    <mergeCell ref="B70:C70"/>
    <mergeCell ref="B37:C37"/>
    <mergeCell ref="B39:B40"/>
    <mergeCell ref="C39:C40"/>
    <mergeCell ref="D39:D40"/>
    <mergeCell ref="F39:J39"/>
    <mergeCell ref="B53:B64"/>
    <mergeCell ref="C53:C64"/>
    <mergeCell ref="B41:B52"/>
    <mergeCell ref="C41:C52"/>
    <mergeCell ref="E190:O215"/>
    <mergeCell ref="E226:O251"/>
    <mergeCell ref="E262:O287"/>
    <mergeCell ref="B2:O2"/>
    <mergeCell ref="B3:O3"/>
    <mergeCell ref="B4:O4"/>
    <mergeCell ref="B74:B85"/>
    <mergeCell ref="C74:C85"/>
    <mergeCell ref="O188:O189"/>
    <mergeCell ref="B190:B201"/>
    <mergeCell ref="C190:C201"/>
    <mergeCell ref="B202:B213"/>
    <mergeCell ref="C202:C213"/>
    <mergeCell ref="O168:O169"/>
    <mergeCell ref="B170:B175"/>
    <mergeCell ref="C170:C175"/>
    <mergeCell ref="B176:B181"/>
    <mergeCell ref="C176:C181"/>
    <mergeCell ref="O137:O138"/>
    <mergeCell ref="B139:B150"/>
    <mergeCell ref="C139:C150"/>
    <mergeCell ref="B86:B97"/>
    <mergeCell ref="C86:C97"/>
    <mergeCell ref="B135:C135"/>
    <mergeCell ref="B295:C295"/>
    <mergeCell ref="B297:B298"/>
    <mergeCell ref="C297:C298"/>
    <mergeCell ref="D297:D298"/>
    <mergeCell ref="F297:J297"/>
    <mergeCell ref="K297:M297"/>
    <mergeCell ref="N297:N298"/>
    <mergeCell ref="O297:O298"/>
    <mergeCell ref="B299:B310"/>
    <mergeCell ref="C299:C310"/>
    <mergeCell ref="E299:O324"/>
    <mergeCell ref="B311:B322"/>
    <mergeCell ref="C311:C322"/>
    <mergeCell ref="B333:C333"/>
    <mergeCell ref="B335:B336"/>
    <mergeCell ref="C335:C336"/>
    <mergeCell ref="D335:D336"/>
    <mergeCell ref="F335:J335"/>
    <mergeCell ref="K335:M335"/>
    <mergeCell ref="N335:N336"/>
    <mergeCell ref="O335:O336"/>
    <mergeCell ref="B337:B348"/>
    <mergeCell ref="C337:C348"/>
    <mergeCell ref="E337:O362"/>
    <mergeCell ref="B349:B360"/>
    <mergeCell ref="C349:C360"/>
    <mergeCell ref="B371:C371"/>
    <mergeCell ref="B373:B374"/>
    <mergeCell ref="C373:C374"/>
    <mergeCell ref="D373:D374"/>
    <mergeCell ref="F373:J373"/>
    <mergeCell ref="K373:M373"/>
    <mergeCell ref="N373:N374"/>
    <mergeCell ref="O373:O374"/>
    <mergeCell ref="B375:B386"/>
    <mergeCell ref="C375:C386"/>
    <mergeCell ref="E375:O400"/>
    <mergeCell ref="B387:B398"/>
    <mergeCell ref="C387:C398"/>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5">
    <pageSetUpPr fitToPage="1"/>
  </sheetPr>
  <dimension ref="B2:U69"/>
  <sheetViews>
    <sheetView showGridLines="0" view="pageBreakPreview" zoomScale="75" zoomScaleNormal="75" zoomScaleSheetLayoutView="75" workbookViewId="0">
      <selection activeCell="G37" sqref="G37"/>
    </sheetView>
  </sheetViews>
  <sheetFormatPr defaultColWidth="9.36328125" defaultRowHeight="14"/>
  <cols>
    <col min="1" max="1" width="6.6328125" style="14" customWidth="1"/>
    <col min="2" max="2" width="41.36328125" style="98" bestFit="1" customWidth="1"/>
    <col min="3" max="3" width="36.453125" style="14" customWidth="1"/>
    <col min="4" max="4" width="12" style="14" customWidth="1"/>
    <col min="5" max="5" width="11.6328125" style="14" customWidth="1"/>
    <col min="6" max="6" width="11" style="14" customWidth="1"/>
    <col min="7" max="7" width="14.453125" style="14" customWidth="1"/>
    <col min="8" max="8" width="13.6328125" style="14" customWidth="1"/>
    <col min="9" max="9" width="16" style="14" customWidth="1"/>
    <col min="10" max="10" width="14.36328125" style="14" customWidth="1"/>
    <col min="11" max="11" width="11.6328125" style="14" customWidth="1"/>
    <col min="12" max="12" width="11" style="14" customWidth="1"/>
    <col min="13" max="13" width="13.6328125" style="14" customWidth="1"/>
    <col min="14" max="14" width="16" style="14" customWidth="1"/>
    <col min="15" max="16384" width="9.36328125" style="14"/>
  </cols>
  <sheetData>
    <row r="2" spans="2:14">
      <c r="C2" s="22"/>
      <c r="D2" s="22"/>
      <c r="E2" s="15" t="str">
        <f>Index!B2</f>
        <v xml:space="preserve">      Maharashtra State Power Generation Company Ltd.</v>
      </c>
      <c r="F2" s="22"/>
      <c r="G2" s="22"/>
      <c r="H2" s="22"/>
      <c r="I2" s="22"/>
    </row>
    <row r="3" spans="2:14" s="1" customFormat="1">
      <c r="C3" s="287"/>
      <c r="D3" s="287"/>
      <c r="E3" s="15" t="str">
        <f>Index!B3</f>
        <v>MYT Petition Formats for Parli 8</v>
      </c>
      <c r="F3" s="287"/>
      <c r="G3" s="287"/>
      <c r="H3" s="287"/>
      <c r="I3" s="287"/>
      <c r="J3" s="129"/>
      <c r="K3" s="129"/>
      <c r="L3" s="129"/>
      <c r="M3" s="129"/>
    </row>
    <row r="4" spans="2:14" s="1" customFormat="1">
      <c r="C4" s="44"/>
      <c r="D4" s="44"/>
      <c r="E4" s="130" t="s">
        <v>731</v>
      </c>
      <c r="F4" s="44"/>
      <c r="G4" s="44"/>
      <c r="H4" s="44"/>
      <c r="I4" s="44"/>
      <c r="J4" s="44"/>
      <c r="K4" s="44"/>
      <c r="L4" s="44"/>
      <c r="M4" s="44"/>
      <c r="N4" s="44"/>
    </row>
    <row r="5" spans="2:14" s="1" customFormat="1">
      <c r="B5" s="130"/>
      <c r="C5" s="130"/>
      <c r="D5" s="130"/>
      <c r="E5" s="130"/>
      <c r="F5" s="130"/>
      <c r="G5" s="130"/>
      <c r="H5" s="130"/>
      <c r="I5" s="130"/>
      <c r="J5" s="44"/>
      <c r="K5" s="44"/>
      <c r="L5" s="44"/>
      <c r="M5" s="44"/>
      <c r="N5" s="44"/>
    </row>
    <row r="6" spans="2:14" s="1" customFormat="1">
      <c r="B6" s="286" t="s">
        <v>975</v>
      </c>
      <c r="C6" s="285"/>
      <c r="D6" s="285"/>
      <c r="E6" s="285"/>
      <c r="F6" s="285"/>
      <c r="G6" s="285"/>
      <c r="H6" s="285"/>
      <c r="I6" s="275"/>
      <c r="J6" s="275"/>
      <c r="K6" s="44"/>
      <c r="L6" s="44"/>
      <c r="M6" s="44"/>
      <c r="N6" s="44"/>
    </row>
    <row r="7" spans="2:14" s="1" customFormat="1">
      <c r="B7" s="286"/>
      <c r="C7" s="285"/>
      <c r="D7" s="285"/>
      <c r="E7" s="285"/>
      <c r="F7" s="285"/>
      <c r="G7" s="285"/>
      <c r="H7" s="285"/>
      <c r="I7" s="275"/>
      <c r="J7" s="275"/>
      <c r="K7" s="44"/>
      <c r="L7" s="44"/>
      <c r="M7" s="44"/>
      <c r="N7" s="44"/>
    </row>
    <row r="8" spans="2:14" s="1" customFormat="1">
      <c r="B8" s="279" t="s">
        <v>629</v>
      </c>
      <c r="C8" s="285"/>
      <c r="D8" s="285"/>
      <c r="E8" s="285"/>
      <c r="F8" s="285"/>
      <c r="G8" s="285"/>
      <c r="H8" s="285"/>
      <c r="I8" s="275"/>
      <c r="J8" s="275"/>
      <c r="K8" s="44"/>
      <c r="L8" s="44"/>
      <c r="M8" s="44"/>
      <c r="N8" s="44"/>
    </row>
    <row r="9" spans="2:14" s="1" customFormat="1">
      <c r="B9" s="275"/>
      <c r="C9" s="275"/>
      <c r="D9" s="275"/>
      <c r="E9" s="275"/>
      <c r="F9" s="275"/>
      <c r="G9" s="275"/>
      <c r="H9" s="275"/>
      <c r="I9" s="275"/>
      <c r="J9" s="275"/>
      <c r="K9" s="44"/>
      <c r="L9" s="44"/>
      <c r="M9" s="44"/>
      <c r="N9" s="44"/>
    </row>
    <row r="10" spans="2:14" s="1" customFormat="1">
      <c r="B10" s="2033" t="s">
        <v>36</v>
      </c>
      <c r="C10" s="2035" t="s">
        <v>627</v>
      </c>
      <c r="D10" s="2036"/>
      <c r="E10" s="2037"/>
      <c r="F10" s="2035" t="s">
        <v>626</v>
      </c>
      <c r="G10" s="2036"/>
      <c r="H10" s="2037"/>
      <c r="I10" s="2038" t="s">
        <v>625</v>
      </c>
      <c r="J10" s="2038" t="s">
        <v>624</v>
      </c>
      <c r="K10" s="44"/>
      <c r="L10" s="44"/>
      <c r="M10" s="44"/>
      <c r="N10" s="44"/>
    </row>
    <row r="11" spans="2:14" s="1" customFormat="1" ht="28">
      <c r="B11" s="2034"/>
      <c r="C11" s="284" t="s">
        <v>623</v>
      </c>
      <c r="D11" s="284" t="s">
        <v>620</v>
      </c>
      <c r="E11" s="284" t="s">
        <v>622</v>
      </c>
      <c r="F11" s="284" t="s">
        <v>621</v>
      </c>
      <c r="G11" s="284" t="s">
        <v>620</v>
      </c>
      <c r="H11" s="283" t="s">
        <v>619</v>
      </c>
      <c r="I11" s="2038"/>
      <c r="J11" s="2038"/>
      <c r="K11" s="44"/>
      <c r="L11" s="44"/>
      <c r="M11" s="44"/>
      <c r="N11" s="44"/>
    </row>
    <row r="12" spans="2:14" s="1" customFormat="1">
      <c r="B12" s="282"/>
      <c r="C12" s="281"/>
      <c r="D12" s="281"/>
      <c r="E12" s="281"/>
      <c r="F12" s="281"/>
      <c r="G12" s="281"/>
      <c r="H12" s="280"/>
      <c r="I12" s="280"/>
      <c r="J12" s="280"/>
      <c r="K12" s="44"/>
      <c r="L12" s="44"/>
      <c r="M12" s="44"/>
      <c r="N12" s="44"/>
    </row>
    <row r="13" spans="2:14" s="1" customFormat="1">
      <c r="B13" s="278" t="s">
        <v>618</v>
      </c>
      <c r="C13" s="277"/>
      <c r="D13" s="277"/>
      <c r="E13" s="277"/>
      <c r="F13" s="277"/>
      <c r="G13" s="277"/>
      <c r="H13" s="277"/>
      <c r="I13" s="276"/>
      <c r="J13" s="276"/>
      <c r="K13" s="44"/>
      <c r="L13" s="44"/>
      <c r="M13" s="44"/>
      <c r="N13" s="44"/>
    </row>
    <row r="14" spans="2:14" s="1" customFormat="1">
      <c r="B14" s="278"/>
      <c r="C14" s="277"/>
      <c r="D14" s="277"/>
      <c r="E14" s="277"/>
      <c r="F14" s="277"/>
      <c r="G14" s="277"/>
      <c r="H14" s="277"/>
      <c r="I14" s="276"/>
      <c r="J14" s="276"/>
      <c r="K14" s="44"/>
      <c r="L14" s="44"/>
      <c r="M14" s="44"/>
      <c r="N14" s="44"/>
    </row>
    <row r="15" spans="2:14" s="1" customFormat="1">
      <c r="B15" s="276" t="s">
        <v>617</v>
      </c>
      <c r="C15" s="277"/>
      <c r="D15" s="277"/>
      <c r="E15" s="277"/>
      <c r="F15" s="277"/>
      <c r="G15" s="277"/>
      <c r="H15" s="277"/>
      <c r="I15" s="276"/>
      <c r="J15" s="276"/>
      <c r="K15" s="44"/>
      <c r="L15" s="44"/>
      <c r="M15" s="44"/>
      <c r="N15" s="44"/>
    </row>
    <row r="16" spans="2:14" s="1" customFormat="1">
      <c r="B16" s="276" t="s">
        <v>616</v>
      </c>
      <c r="C16" s="277"/>
      <c r="D16" s="277"/>
      <c r="E16" s="277"/>
      <c r="F16" s="277"/>
      <c r="G16" s="277"/>
      <c r="H16" s="277"/>
      <c r="I16" s="276"/>
      <c r="J16" s="276"/>
      <c r="K16" s="44"/>
      <c r="L16" s="44"/>
      <c r="M16" s="44"/>
      <c r="N16" s="44"/>
    </row>
    <row r="17" spans="2:14" s="1" customFormat="1">
      <c r="B17" s="276" t="s">
        <v>615</v>
      </c>
      <c r="C17" s="277"/>
      <c r="D17" s="277"/>
      <c r="E17" s="277"/>
      <c r="F17" s="277"/>
      <c r="G17" s="277"/>
      <c r="H17" s="277"/>
      <c r="I17" s="276"/>
      <c r="J17" s="276"/>
      <c r="K17" s="44"/>
      <c r="L17" s="44"/>
      <c r="M17" s="44"/>
      <c r="N17" s="44"/>
    </row>
    <row r="18" spans="2:14" s="1" customFormat="1">
      <c r="B18" s="276" t="s">
        <v>610</v>
      </c>
      <c r="C18" s="277"/>
      <c r="D18" s="277"/>
      <c r="E18" s="277"/>
      <c r="F18" s="277"/>
      <c r="G18" s="277"/>
      <c r="H18" s="277"/>
      <c r="I18" s="276"/>
      <c r="J18" s="276"/>
      <c r="K18" s="44"/>
      <c r="L18" s="44"/>
      <c r="M18" s="44"/>
      <c r="N18" s="44"/>
    </row>
    <row r="19" spans="2:14" s="1" customFormat="1">
      <c r="B19" s="278" t="s">
        <v>271</v>
      </c>
      <c r="C19" s="277"/>
      <c r="D19" s="277"/>
      <c r="E19" s="277"/>
      <c r="F19" s="277"/>
      <c r="G19" s="277"/>
      <c r="H19" s="277"/>
      <c r="I19" s="276"/>
      <c r="J19" s="276"/>
      <c r="K19" s="44"/>
      <c r="L19" s="44"/>
      <c r="M19" s="44"/>
      <c r="N19" s="44"/>
    </row>
    <row r="20" spans="2:14" s="1" customFormat="1">
      <c r="B20" s="278"/>
      <c r="C20" s="277"/>
      <c r="D20" s="277"/>
      <c r="E20" s="277"/>
      <c r="F20" s="277"/>
      <c r="G20" s="277"/>
      <c r="H20" s="277"/>
      <c r="I20" s="276"/>
      <c r="J20" s="276"/>
      <c r="K20" s="44"/>
      <c r="L20" s="44"/>
      <c r="M20" s="44"/>
      <c r="N20" s="44"/>
    </row>
    <row r="21" spans="2:14" s="1" customFormat="1">
      <c r="B21" s="278"/>
      <c r="C21" s="277"/>
      <c r="D21" s="277"/>
      <c r="E21" s="277"/>
      <c r="F21" s="277"/>
      <c r="G21" s="277"/>
      <c r="H21" s="277"/>
      <c r="I21" s="276"/>
      <c r="J21" s="276"/>
      <c r="K21" s="44"/>
      <c r="L21" s="44"/>
      <c r="M21" s="44"/>
      <c r="N21" s="44"/>
    </row>
    <row r="22" spans="2:14" s="1" customFormat="1">
      <c r="B22" s="278" t="s">
        <v>614</v>
      </c>
      <c r="C22" s="277"/>
      <c r="D22" s="277"/>
      <c r="E22" s="277"/>
      <c r="F22" s="277"/>
      <c r="G22" s="277"/>
      <c r="H22" s="277"/>
      <c r="I22" s="276"/>
      <c r="J22" s="276"/>
      <c r="K22" s="44"/>
      <c r="L22" s="44"/>
      <c r="M22" s="44"/>
      <c r="N22" s="44"/>
    </row>
    <row r="23" spans="2:14" s="1" customFormat="1">
      <c r="B23" s="276"/>
      <c r="C23" s="277"/>
      <c r="D23" s="277"/>
      <c r="E23" s="277"/>
      <c r="F23" s="277"/>
      <c r="G23" s="277"/>
      <c r="H23" s="277"/>
      <c r="I23" s="276"/>
      <c r="J23" s="276"/>
      <c r="K23" s="44"/>
      <c r="L23" s="44"/>
      <c r="M23" s="44"/>
      <c r="N23" s="44"/>
    </row>
    <row r="24" spans="2:14" s="1" customFormat="1">
      <c r="B24" s="276" t="s">
        <v>613</v>
      </c>
      <c r="C24" s="277"/>
      <c r="D24" s="277"/>
      <c r="E24" s="277"/>
      <c r="F24" s="277"/>
      <c r="G24" s="277"/>
      <c r="H24" s="277"/>
      <c r="I24" s="276"/>
      <c r="J24" s="276"/>
      <c r="K24" s="44"/>
      <c r="L24" s="44"/>
      <c r="M24" s="44"/>
      <c r="N24" s="44"/>
    </row>
    <row r="25" spans="2:14" s="1" customFormat="1">
      <c r="B25" s="276" t="s">
        <v>612</v>
      </c>
      <c r="C25" s="277"/>
      <c r="D25" s="277"/>
      <c r="E25" s="277"/>
      <c r="F25" s="277"/>
      <c r="G25" s="277"/>
      <c r="H25" s="277"/>
      <c r="I25" s="276"/>
      <c r="J25" s="276"/>
      <c r="K25" s="44"/>
      <c r="L25" s="44"/>
      <c r="M25" s="44"/>
      <c r="N25" s="44"/>
    </row>
    <row r="26" spans="2:14" s="1" customFormat="1">
      <c r="B26" s="276" t="s">
        <v>611</v>
      </c>
      <c r="C26" s="277"/>
      <c r="D26" s="277"/>
      <c r="E26" s="277"/>
      <c r="F26" s="277"/>
      <c r="G26" s="277"/>
      <c r="H26" s="277"/>
      <c r="I26" s="276"/>
      <c r="J26" s="276"/>
      <c r="K26" s="44"/>
      <c r="L26" s="44"/>
      <c r="M26" s="44"/>
      <c r="N26" s="44"/>
    </row>
    <row r="27" spans="2:14" s="1" customFormat="1">
      <c r="B27" s="276" t="s">
        <v>610</v>
      </c>
      <c r="C27" s="277"/>
      <c r="D27" s="277"/>
      <c r="E27" s="277"/>
      <c r="F27" s="277"/>
      <c r="G27" s="277"/>
      <c r="H27" s="277"/>
      <c r="I27" s="276"/>
      <c r="J27" s="276"/>
      <c r="K27" s="44"/>
      <c r="L27" s="44"/>
      <c r="M27" s="44"/>
      <c r="N27" s="44"/>
    </row>
    <row r="28" spans="2:14" s="1" customFormat="1">
      <c r="B28" s="278" t="s">
        <v>271</v>
      </c>
      <c r="C28" s="277"/>
      <c r="D28" s="277"/>
      <c r="E28" s="277"/>
      <c r="F28" s="277"/>
      <c r="G28" s="277"/>
      <c r="H28" s="277"/>
      <c r="I28" s="276"/>
      <c r="J28" s="276"/>
      <c r="K28" s="44"/>
      <c r="L28" s="44"/>
      <c r="M28" s="44"/>
      <c r="N28" s="44"/>
    </row>
    <row r="29" spans="2:14" s="1" customFormat="1">
      <c r="B29" s="278"/>
      <c r="C29" s="277"/>
      <c r="D29" s="277"/>
      <c r="E29" s="277"/>
      <c r="F29" s="277"/>
      <c r="G29" s="277"/>
      <c r="H29" s="277"/>
      <c r="I29" s="276"/>
      <c r="J29" s="276"/>
      <c r="K29" s="44"/>
      <c r="L29" s="44"/>
      <c r="M29" s="44"/>
      <c r="N29" s="44"/>
    </row>
    <row r="30" spans="2:14" s="1" customFormat="1">
      <c r="B30" s="278" t="s">
        <v>630</v>
      </c>
      <c r="C30" s="277"/>
      <c r="D30" s="277"/>
      <c r="E30" s="277"/>
      <c r="F30" s="277"/>
      <c r="G30" s="277"/>
      <c r="H30" s="277"/>
      <c r="I30" s="276"/>
      <c r="J30" s="276"/>
      <c r="K30" s="44"/>
      <c r="L30" s="44"/>
      <c r="M30" s="44"/>
      <c r="N30" s="44"/>
    </row>
    <row r="31" spans="2:14" s="1" customFormat="1">
      <c r="B31" s="276"/>
      <c r="C31" s="277"/>
      <c r="D31" s="277"/>
      <c r="E31" s="277"/>
      <c r="F31" s="277"/>
      <c r="G31" s="277"/>
      <c r="H31" s="277"/>
      <c r="I31" s="276"/>
      <c r="J31" s="276"/>
      <c r="K31" s="44"/>
      <c r="L31" s="44"/>
      <c r="M31" s="44"/>
      <c r="N31" s="44"/>
    </row>
    <row r="32" spans="2:14" s="1" customFormat="1">
      <c r="B32" s="276" t="s">
        <v>631</v>
      </c>
      <c r="C32" s="277"/>
      <c r="D32" s="277"/>
      <c r="E32" s="277"/>
      <c r="F32" s="277"/>
      <c r="G32" s="277"/>
      <c r="H32" s="277"/>
      <c r="I32" s="276"/>
      <c r="J32" s="276"/>
      <c r="K32" s="44"/>
      <c r="L32" s="44"/>
      <c r="M32" s="44"/>
      <c r="N32" s="44"/>
    </row>
    <row r="33" spans="2:21" s="1" customFormat="1">
      <c r="B33" s="276" t="s">
        <v>632</v>
      </c>
      <c r="C33" s="277"/>
      <c r="D33" s="277"/>
      <c r="E33" s="277"/>
      <c r="F33" s="277"/>
      <c r="G33" s="277"/>
      <c r="H33" s="277"/>
      <c r="I33" s="276"/>
      <c r="J33" s="276"/>
      <c r="K33" s="44"/>
      <c r="L33" s="44"/>
      <c r="M33" s="44"/>
      <c r="N33" s="44"/>
    </row>
    <row r="34" spans="2:21" s="1" customFormat="1">
      <c r="B34" s="276" t="s">
        <v>633</v>
      </c>
      <c r="C34" s="277"/>
      <c r="D34" s="277"/>
      <c r="E34" s="277"/>
      <c r="F34" s="277"/>
      <c r="G34" s="277"/>
      <c r="H34" s="277"/>
      <c r="I34" s="276"/>
      <c r="J34" s="276"/>
      <c r="K34" s="44"/>
      <c r="L34" s="44"/>
      <c r="M34" s="44"/>
      <c r="N34" s="44"/>
    </row>
    <row r="35" spans="2:21" s="1" customFormat="1">
      <c r="B35" s="276" t="s">
        <v>610</v>
      </c>
      <c r="C35" s="277"/>
      <c r="D35" s="277"/>
      <c r="E35" s="277"/>
      <c r="F35" s="277"/>
      <c r="G35" s="277"/>
      <c r="H35" s="277"/>
      <c r="I35" s="276"/>
      <c r="J35" s="276"/>
      <c r="K35" s="44"/>
      <c r="L35" s="44"/>
      <c r="M35" s="44"/>
      <c r="N35" s="44"/>
    </row>
    <row r="36" spans="2:21" s="1" customFormat="1">
      <c r="B36" s="278" t="s">
        <v>271</v>
      </c>
      <c r="C36" s="277"/>
      <c r="D36" s="277"/>
      <c r="E36" s="277"/>
      <c r="F36" s="277"/>
      <c r="G36" s="277"/>
      <c r="H36" s="277"/>
      <c r="I36" s="276"/>
      <c r="J36" s="276"/>
      <c r="K36" s="44"/>
      <c r="L36" s="44"/>
      <c r="M36" s="44"/>
      <c r="N36" s="44"/>
    </row>
    <row r="37" spans="2:21" s="1" customFormat="1">
      <c r="B37" s="279"/>
      <c r="C37" s="285"/>
      <c r="D37" s="285"/>
      <c r="E37" s="285"/>
      <c r="F37" s="285"/>
      <c r="G37" s="285"/>
      <c r="H37" s="285"/>
      <c r="I37" s="275"/>
      <c r="J37" s="275"/>
      <c r="K37" s="44"/>
      <c r="L37" s="44"/>
      <c r="M37" s="44"/>
      <c r="N37" s="44"/>
    </row>
    <row r="38" spans="2:21" s="1" customFormat="1">
      <c r="B38" s="130"/>
      <c r="C38" s="130"/>
      <c r="D38" s="130"/>
      <c r="E38" s="130"/>
      <c r="F38" s="130"/>
      <c r="G38" s="130"/>
      <c r="H38" s="130"/>
      <c r="I38" s="130"/>
      <c r="J38" s="44"/>
      <c r="K38" s="44"/>
      <c r="L38" s="44"/>
      <c r="M38" s="44"/>
      <c r="N38" s="44"/>
    </row>
    <row r="39" spans="2:21" s="275" customFormat="1">
      <c r="B39" s="286" t="s">
        <v>976</v>
      </c>
      <c r="C39" s="285"/>
      <c r="D39" s="285"/>
      <c r="E39" s="285"/>
      <c r="F39" s="285"/>
      <c r="G39" s="285"/>
      <c r="H39" s="285"/>
    </row>
    <row r="40" spans="2:21" s="275" customFormat="1">
      <c r="B40" s="286"/>
      <c r="C40" s="285"/>
      <c r="D40" s="285"/>
      <c r="E40" s="285"/>
      <c r="F40" s="285"/>
      <c r="G40" s="285"/>
      <c r="H40" s="285"/>
    </row>
    <row r="41" spans="2:21" s="275" customFormat="1">
      <c r="B41" s="279" t="s">
        <v>629</v>
      </c>
      <c r="C41" s="285"/>
      <c r="D41" s="285"/>
      <c r="E41" s="285"/>
      <c r="F41" s="285"/>
      <c r="G41" s="285"/>
      <c r="H41" s="285"/>
    </row>
    <row r="42" spans="2:21" s="275" customFormat="1"/>
    <row r="43" spans="2:21" s="275" customFormat="1">
      <c r="B43" s="2033" t="s">
        <v>36</v>
      </c>
      <c r="C43" s="2035" t="s">
        <v>627</v>
      </c>
      <c r="D43" s="2036"/>
      <c r="E43" s="2037"/>
      <c r="F43" s="2035" t="s">
        <v>626</v>
      </c>
      <c r="G43" s="2036"/>
      <c r="H43" s="2037"/>
      <c r="I43" s="2038" t="s">
        <v>625</v>
      </c>
      <c r="J43" s="2038" t="s">
        <v>624</v>
      </c>
    </row>
    <row r="44" spans="2:21" s="275" customFormat="1" ht="28">
      <c r="B44" s="2034"/>
      <c r="C44" s="284" t="s">
        <v>623</v>
      </c>
      <c r="D44" s="284" t="s">
        <v>620</v>
      </c>
      <c r="E44" s="284" t="s">
        <v>622</v>
      </c>
      <c r="F44" s="284" t="s">
        <v>621</v>
      </c>
      <c r="G44" s="284" t="s">
        <v>620</v>
      </c>
      <c r="H44" s="283" t="s">
        <v>619</v>
      </c>
      <c r="I44" s="2038"/>
      <c r="J44" s="2038"/>
    </row>
    <row r="45" spans="2:21" s="275" customFormat="1">
      <c r="B45" s="282"/>
      <c r="C45" s="281"/>
      <c r="D45" s="281"/>
      <c r="E45" s="281"/>
      <c r="F45" s="281"/>
      <c r="G45" s="281"/>
      <c r="H45" s="280"/>
      <c r="I45" s="280"/>
      <c r="J45" s="280"/>
    </row>
    <row r="46" spans="2:21" s="279" customFormat="1">
      <c r="B46" s="278" t="s">
        <v>618</v>
      </c>
      <c r="C46" s="277"/>
      <c r="D46" s="277"/>
      <c r="E46" s="277"/>
      <c r="F46" s="277"/>
      <c r="G46" s="277"/>
      <c r="H46" s="277"/>
      <c r="I46" s="276"/>
      <c r="J46" s="276"/>
      <c r="K46" s="275"/>
      <c r="L46" s="275"/>
      <c r="M46" s="275"/>
      <c r="N46" s="275"/>
      <c r="O46" s="275"/>
      <c r="P46" s="275"/>
      <c r="Q46" s="275"/>
      <c r="R46" s="275"/>
      <c r="S46" s="275"/>
      <c r="T46" s="275"/>
      <c r="U46" s="275"/>
    </row>
    <row r="47" spans="2:21" s="279" customFormat="1">
      <c r="B47" s="278"/>
      <c r="C47" s="277"/>
      <c r="D47" s="277"/>
      <c r="E47" s="277"/>
      <c r="F47" s="277"/>
      <c r="G47" s="277"/>
      <c r="H47" s="277"/>
      <c r="I47" s="276"/>
      <c r="J47" s="276"/>
      <c r="K47" s="275"/>
      <c r="L47" s="275"/>
      <c r="M47" s="275"/>
      <c r="N47" s="275"/>
      <c r="O47" s="275"/>
      <c r="P47" s="275"/>
      <c r="Q47" s="275"/>
      <c r="R47" s="275"/>
      <c r="S47" s="275"/>
      <c r="T47" s="275"/>
      <c r="U47" s="275"/>
    </row>
    <row r="48" spans="2:21" s="279" customFormat="1">
      <c r="B48" s="276" t="s">
        <v>617</v>
      </c>
      <c r="C48" s="277"/>
      <c r="D48" s="277"/>
      <c r="E48" s="277"/>
      <c r="F48" s="277"/>
      <c r="G48" s="277"/>
      <c r="H48" s="277"/>
      <c r="I48" s="276"/>
      <c r="J48" s="276"/>
      <c r="K48" s="275"/>
      <c r="L48" s="275"/>
      <c r="M48" s="275"/>
      <c r="N48" s="275"/>
      <c r="O48" s="275"/>
      <c r="P48" s="275"/>
      <c r="Q48" s="275"/>
      <c r="R48" s="275"/>
      <c r="S48" s="275"/>
      <c r="T48" s="275"/>
      <c r="U48" s="275"/>
    </row>
    <row r="49" spans="2:21" s="279" customFormat="1">
      <c r="B49" s="276" t="s">
        <v>616</v>
      </c>
      <c r="C49" s="277"/>
      <c r="D49" s="277"/>
      <c r="E49" s="277"/>
      <c r="F49" s="277"/>
      <c r="G49" s="277"/>
      <c r="H49" s="277"/>
      <c r="I49" s="276"/>
      <c r="J49" s="276"/>
      <c r="K49" s="275"/>
      <c r="L49" s="275"/>
      <c r="M49" s="275"/>
      <c r="N49" s="275"/>
      <c r="O49" s="275"/>
      <c r="P49" s="275"/>
      <c r="Q49" s="275"/>
      <c r="R49" s="275"/>
      <c r="S49" s="275"/>
      <c r="T49" s="275"/>
      <c r="U49" s="275"/>
    </row>
    <row r="50" spans="2:21" s="279" customFormat="1">
      <c r="B50" s="276" t="s">
        <v>615</v>
      </c>
      <c r="C50" s="277"/>
      <c r="D50" s="277"/>
      <c r="E50" s="277"/>
      <c r="F50" s="277"/>
      <c r="G50" s="277"/>
      <c r="H50" s="277"/>
      <c r="I50" s="276"/>
      <c r="J50" s="276"/>
      <c r="K50" s="275"/>
      <c r="L50" s="275"/>
      <c r="M50" s="275"/>
      <c r="N50" s="275"/>
      <c r="O50" s="275"/>
      <c r="P50" s="275"/>
      <c r="Q50" s="275"/>
      <c r="R50" s="275"/>
      <c r="S50" s="275"/>
      <c r="T50" s="275"/>
      <c r="U50" s="275"/>
    </row>
    <row r="51" spans="2:21" s="279" customFormat="1">
      <c r="B51" s="276" t="s">
        <v>610</v>
      </c>
      <c r="C51" s="277"/>
      <c r="D51" s="277"/>
      <c r="E51" s="277"/>
      <c r="F51" s="277"/>
      <c r="G51" s="277"/>
      <c r="H51" s="277"/>
      <c r="I51" s="276"/>
      <c r="J51" s="276"/>
      <c r="K51" s="275"/>
      <c r="L51" s="275"/>
      <c r="M51" s="275"/>
      <c r="N51" s="275"/>
      <c r="O51" s="275"/>
      <c r="P51" s="275"/>
      <c r="Q51" s="275"/>
      <c r="R51" s="275"/>
      <c r="S51" s="275"/>
      <c r="T51" s="275"/>
      <c r="U51" s="275"/>
    </row>
    <row r="52" spans="2:21" s="275" customFormat="1">
      <c r="B52" s="278" t="s">
        <v>271</v>
      </c>
      <c r="C52" s="277"/>
      <c r="D52" s="277"/>
      <c r="E52" s="277"/>
      <c r="F52" s="277"/>
      <c r="G52" s="277"/>
      <c r="H52" s="277"/>
      <c r="I52" s="276"/>
      <c r="J52" s="276"/>
    </row>
    <row r="53" spans="2:21" s="275" customFormat="1">
      <c r="B53" s="278"/>
      <c r="C53" s="277"/>
      <c r="D53" s="277"/>
      <c r="E53" s="277"/>
      <c r="F53" s="277"/>
      <c r="G53" s="277"/>
      <c r="H53" s="277"/>
      <c r="I53" s="276"/>
      <c r="J53" s="276"/>
    </row>
    <row r="54" spans="2:21" s="275" customFormat="1">
      <c r="B54" s="278"/>
      <c r="C54" s="277"/>
      <c r="D54" s="277"/>
      <c r="E54" s="277"/>
      <c r="F54" s="277"/>
      <c r="G54" s="277"/>
      <c r="H54" s="277"/>
      <c r="I54" s="276"/>
      <c r="J54" s="276"/>
    </row>
    <row r="55" spans="2:21" s="279" customFormat="1">
      <c r="B55" s="278" t="s">
        <v>614</v>
      </c>
      <c r="C55" s="277"/>
      <c r="D55" s="277"/>
      <c r="E55" s="277"/>
      <c r="F55" s="277"/>
      <c r="G55" s="277"/>
      <c r="H55" s="277"/>
      <c r="I55" s="276"/>
      <c r="J55" s="276"/>
      <c r="K55" s="275"/>
      <c r="L55" s="275"/>
      <c r="M55" s="275"/>
      <c r="N55" s="275"/>
      <c r="O55" s="275"/>
      <c r="P55" s="275"/>
      <c r="Q55" s="275"/>
      <c r="R55" s="275"/>
      <c r="S55" s="275"/>
      <c r="T55" s="275"/>
      <c r="U55" s="275"/>
    </row>
    <row r="56" spans="2:21" s="275" customFormat="1">
      <c r="B56" s="276"/>
      <c r="C56" s="277"/>
      <c r="D56" s="277"/>
      <c r="E56" s="277"/>
      <c r="F56" s="277"/>
      <c r="G56" s="277"/>
      <c r="H56" s="277"/>
      <c r="I56" s="276"/>
      <c r="J56" s="276"/>
    </row>
    <row r="57" spans="2:21" s="275" customFormat="1">
      <c r="B57" s="276" t="s">
        <v>613</v>
      </c>
      <c r="C57" s="277"/>
      <c r="D57" s="277"/>
      <c r="E57" s="277"/>
      <c r="F57" s="277"/>
      <c r="G57" s="277"/>
      <c r="H57" s="277"/>
      <c r="I57" s="276"/>
      <c r="J57" s="276"/>
    </row>
    <row r="58" spans="2:21" s="275" customFormat="1">
      <c r="B58" s="276" t="s">
        <v>612</v>
      </c>
      <c r="C58" s="277"/>
      <c r="D58" s="277"/>
      <c r="E58" s="277"/>
      <c r="F58" s="277"/>
      <c r="G58" s="277"/>
      <c r="H58" s="277"/>
      <c r="I58" s="276"/>
      <c r="J58" s="276"/>
    </row>
    <row r="59" spans="2:21" s="275" customFormat="1">
      <c r="B59" s="276" t="s">
        <v>611</v>
      </c>
      <c r="C59" s="277"/>
      <c r="D59" s="277"/>
      <c r="E59" s="277"/>
      <c r="F59" s="277"/>
      <c r="G59" s="277"/>
      <c r="H59" s="277"/>
      <c r="I59" s="276"/>
      <c r="J59" s="276"/>
    </row>
    <row r="60" spans="2:21" s="275" customFormat="1">
      <c r="B60" s="276" t="s">
        <v>610</v>
      </c>
      <c r="C60" s="277"/>
      <c r="D60" s="277"/>
      <c r="E60" s="277"/>
      <c r="F60" s="277"/>
      <c r="G60" s="277"/>
      <c r="H60" s="277"/>
      <c r="I60" s="276"/>
      <c r="J60" s="276"/>
    </row>
    <row r="61" spans="2:21" s="275" customFormat="1">
      <c r="B61" s="278" t="s">
        <v>271</v>
      </c>
      <c r="C61" s="277"/>
      <c r="D61" s="277"/>
      <c r="E61" s="277"/>
      <c r="F61" s="277"/>
      <c r="G61" s="277"/>
      <c r="H61" s="277"/>
      <c r="I61" s="276"/>
      <c r="J61" s="276"/>
    </row>
    <row r="62" spans="2:21" s="275" customFormat="1">
      <c r="B62" s="278"/>
      <c r="C62" s="277"/>
      <c r="D62" s="277"/>
      <c r="E62" s="277"/>
      <c r="F62" s="277"/>
      <c r="G62" s="277"/>
      <c r="H62" s="277"/>
      <c r="I62" s="276"/>
      <c r="J62" s="276"/>
    </row>
    <row r="63" spans="2:21" s="275" customFormat="1">
      <c r="B63" s="278" t="s">
        <v>630</v>
      </c>
      <c r="C63" s="277"/>
      <c r="D63" s="277"/>
      <c r="E63" s="277"/>
      <c r="F63" s="277"/>
      <c r="G63" s="277"/>
      <c r="H63" s="277"/>
      <c r="I63" s="276"/>
      <c r="J63" s="276"/>
    </row>
    <row r="64" spans="2:21">
      <c r="B64" s="276"/>
      <c r="C64" s="277"/>
      <c r="D64" s="277"/>
      <c r="E64" s="277"/>
      <c r="F64" s="277"/>
      <c r="G64" s="277"/>
      <c r="H64" s="277"/>
      <c r="I64" s="276"/>
      <c r="J64" s="276"/>
    </row>
    <row r="65" spans="2:10">
      <c r="B65" s="276" t="s">
        <v>631</v>
      </c>
      <c r="C65" s="277"/>
      <c r="D65" s="277"/>
      <c r="E65" s="277"/>
      <c r="F65" s="277"/>
      <c r="G65" s="277"/>
      <c r="H65" s="277"/>
      <c r="I65" s="276"/>
      <c r="J65" s="276"/>
    </row>
    <row r="66" spans="2:10">
      <c r="B66" s="276" t="s">
        <v>632</v>
      </c>
      <c r="C66" s="277"/>
      <c r="D66" s="277"/>
      <c r="E66" s="277"/>
      <c r="F66" s="277"/>
      <c r="G66" s="277"/>
      <c r="H66" s="277"/>
      <c r="I66" s="276"/>
      <c r="J66" s="276"/>
    </row>
    <row r="67" spans="2:10">
      <c r="B67" s="276" t="s">
        <v>633</v>
      </c>
      <c r="C67" s="277"/>
      <c r="D67" s="277"/>
      <c r="E67" s="277"/>
      <c r="F67" s="277"/>
      <c r="G67" s="277"/>
      <c r="H67" s="277"/>
      <c r="I67" s="276"/>
      <c r="J67" s="276"/>
    </row>
    <row r="68" spans="2:10" ht="14.4" customHeight="1">
      <c r="B68" s="276" t="s">
        <v>610</v>
      </c>
      <c r="C68" s="277"/>
      <c r="D68" s="277"/>
      <c r="E68" s="277"/>
      <c r="F68" s="277"/>
      <c r="G68" s="277"/>
      <c r="H68" s="277"/>
      <c r="I68" s="276"/>
      <c r="J68" s="276"/>
    </row>
    <row r="69" spans="2:10">
      <c r="B69" s="278" t="s">
        <v>271</v>
      </c>
      <c r="C69" s="277"/>
      <c r="D69" s="277"/>
      <c r="E69" s="277"/>
      <c r="F69" s="277"/>
      <c r="G69" s="277"/>
      <c r="H69" s="277"/>
      <c r="I69" s="276"/>
      <c r="J69" s="276"/>
    </row>
  </sheetData>
  <mergeCells count="10">
    <mergeCell ref="B10:B11"/>
    <mergeCell ref="C10:E10"/>
    <mergeCell ref="F10:H10"/>
    <mergeCell ref="I10:I11"/>
    <mergeCell ref="J10:J11"/>
    <mergeCell ref="B43:B44"/>
    <mergeCell ref="C43:E43"/>
    <mergeCell ref="F43:H43"/>
    <mergeCell ref="I43:I44"/>
    <mergeCell ref="J43:J44"/>
  </mergeCells>
  <pageMargins left="0.75" right="0.75" top="1" bottom="1" header="0.5" footer="0.5"/>
  <pageSetup paperSize="9" scale="4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L29"/>
  <sheetViews>
    <sheetView showGridLines="0" view="pageBreakPreview" zoomScale="70" zoomScaleNormal="75" zoomScaleSheetLayoutView="70" workbookViewId="0">
      <selection activeCell="B6" sqref="B6"/>
    </sheetView>
  </sheetViews>
  <sheetFormatPr defaultColWidth="9.08984375" defaultRowHeight="14"/>
  <cols>
    <col min="1" max="1" width="3.08984375" style="1" customWidth="1"/>
    <col min="2" max="2" width="8" style="1" customWidth="1"/>
    <col min="3" max="4" width="12.6328125" style="1" customWidth="1"/>
    <col min="5" max="5" width="24" style="1" customWidth="1"/>
    <col min="6" max="6" width="18.453125" style="1" customWidth="1"/>
    <col min="7" max="7" width="18" style="1" customWidth="1"/>
    <col min="8" max="12" width="15.6328125" style="1" customWidth="1"/>
    <col min="13" max="16384" width="9.08984375" style="1"/>
  </cols>
  <sheetData>
    <row r="2" spans="2:12" ht="14.15" customHeight="1">
      <c r="B2" s="1776" t="str">
        <f>Index!B2</f>
        <v xml:space="preserve">      Maharashtra State Power Generation Company Ltd.</v>
      </c>
      <c r="C2" s="1776"/>
      <c r="D2" s="1776"/>
      <c r="E2" s="2039"/>
      <c r="F2" s="2039"/>
      <c r="G2" s="2039"/>
      <c r="H2" s="2039"/>
      <c r="I2" s="2039"/>
      <c r="J2" s="2039"/>
      <c r="K2" s="2039"/>
      <c r="L2" s="2039"/>
    </row>
    <row r="3" spans="2:12" ht="14.15" customHeight="1">
      <c r="B3" s="1992" t="s">
        <v>1388</v>
      </c>
      <c r="C3" s="1992"/>
      <c r="D3" s="1992"/>
      <c r="E3" s="2039"/>
      <c r="F3" s="2039"/>
      <c r="G3" s="2039"/>
      <c r="H3" s="2039"/>
      <c r="I3" s="2039"/>
      <c r="J3" s="2039"/>
      <c r="K3" s="2039"/>
      <c r="L3" s="2039"/>
    </row>
    <row r="4" spans="2:12" ht="14.15" customHeight="1">
      <c r="B4" s="1992" t="s">
        <v>1389</v>
      </c>
      <c r="C4" s="1992"/>
      <c r="D4" s="1992"/>
      <c r="E4" s="2039"/>
      <c r="F4" s="2039"/>
      <c r="G4" s="2039"/>
      <c r="H4" s="2039"/>
      <c r="I4" s="2039"/>
      <c r="J4" s="2039"/>
      <c r="K4" s="2039"/>
      <c r="L4" s="2039"/>
    </row>
    <row r="5" spans="2:12" ht="14.15" customHeight="1">
      <c r="B5" s="1776" t="str">
        <f>Index!B3</f>
        <v>MYT Petition Formats for Parli 8</v>
      </c>
      <c r="C5" s="1776"/>
      <c r="D5" s="1776"/>
      <c r="E5" s="2039"/>
      <c r="F5" s="2039"/>
      <c r="G5" s="2039"/>
      <c r="H5" s="2039"/>
      <c r="I5" s="2039"/>
      <c r="J5" s="2039"/>
      <c r="K5" s="2039"/>
      <c r="L5" s="2039"/>
    </row>
    <row r="6" spans="2:12">
      <c r="B6" s="895"/>
      <c r="C6" s="895"/>
      <c r="D6" s="895"/>
      <c r="E6" s="1093"/>
      <c r="F6" s="1093"/>
      <c r="G6" s="1093"/>
    </row>
    <row r="7" spans="2:12" ht="14.15" customHeight="1">
      <c r="B7" s="1804" t="s">
        <v>340</v>
      </c>
      <c r="C7" s="1804" t="s">
        <v>1390</v>
      </c>
      <c r="D7" s="1808" t="s">
        <v>1391</v>
      </c>
      <c r="E7" s="1806" t="s">
        <v>1392</v>
      </c>
      <c r="F7" s="1810" t="s">
        <v>1393</v>
      </c>
      <c r="G7" s="1808" t="s">
        <v>1394</v>
      </c>
      <c r="H7" s="1770" t="s">
        <v>1395</v>
      </c>
      <c r="I7" s="1770"/>
      <c r="J7" s="1770"/>
      <c r="K7" s="1770"/>
      <c r="L7" s="1770"/>
    </row>
    <row r="8" spans="2:12" s="129" customFormat="1" ht="44.25" customHeight="1">
      <c r="B8" s="1804"/>
      <c r="C8" s="1804"/>
      <c r="D8" s="2041"/>
      <c r="E8" s="1806"/>
      <c r="F8" s="2043"/>
      <c r="G8" s="2043"/>
      <c r="H8" s="890" t="s">
        <v>958</v>
      </c>
      <c r="I8" s="889" t="s">
        <v>959</v>
      </c>
      <c r="J8" s="889" t="s">
        <v>960</v>
      </c>
      <c r="K8" s="889" t="s">
        <v>961</v>
      </c>
      <c r="L8" s="889" t="s">
        <v>962</v>
      </c>
    </row>
    <row r="9" spans="2:12" s="129" customFormat="1" ht="14.15" customHeight="1">
      <c r="B9" s="2040"/>
      <c r="C9" s="2040"/>
      <c r="D9" s="1809"/>
      <c r="E9" s="2042"/>
      <c r="F9" s="1811"/>
      <c r="G9" s="1811"/>
      <c r="H9" s="890" t="s">
        <v>21</v>
      </c>
      <c r="I9" s="889" t="s">
        <v>21</v>
      </c>
      <c r="J9" s="889" t="s">
        <v>21</v>
      </c>
      <c r="K9" s="889" t="s">
        <v>21</v>
      </c>
      <c r="L9" s="889" t="s">
        <v>21</v>
      </c>
    </row>
    <row r="10" spans="2:12" s="129" customFormat="1">
      <c r="B10" s="1094"/>
      <c r="C10" s="1094"/>
      <c r="D10" s="1094"/>
      <c r="E10" s="1095"/>
      <c r="F10" s="1095"/>
      <c r="G10" s="1095"/>
      <c r="H10" s="39"/>
      <c r="I10" s="39"/>
      <c r="J10" s="39"/>
      <c r="K10" s="39"/>
      <c r="L10" s="39"/>
    </row>
    <row r="11" spans="2:12" s="44" customFormat="1">
      <c r="B11" s="137">
        <v>1</v>
      </c>
      <c r="C11" s="137" t="s">
        <v>1396</v>
      </c>
      <c r="D11" s="137"/>
      <c r="E11" s="9"/>
      <c r="F11" s="9"/>
      <c r="G11" s="9"/>
      <c r="H11" s="39"/>
      <c r="I11" s="39"/>
      <c r="J11" s="39"/>
      <c r="K11" s="39"/>
      <c r="L11" s="39"/>
    </row>
    <row r="12" spans="2:12" s="44" customFormat="1">
      <c r="B12" s="1096"/>
      <c r="C12" s="1097" t="s">
        <v>1397</v>
      </c>
      <c r="D12" s="1097"/>
      <c r="E12" s="456"/>
      <c r="F12" s="456"/>
      <c r="G12" s="456"/>
      <c r="H12" s="1098"/>
      <c r="I12" s="1098"/>
      <c r="J12" s="1098"/>
      <c r="K12" s="1098"/>
      <c r="L12" s="1098"/>
    </row>
    <row r="13" spans="2:12" s="44" customFormat="1">
      <c r="B13" s="40"/>
      <c r="C13" s="1099" t="s">
        <v>1398</v>
      </c>
      <c r="D13" s="1099"/>
      <c r="E13" s="1100"/>
      <c r="F13" s="1100"/>
      <c r="G13" s="1100"/>
      <c r="H13" s="39"/>
      <c r="I13" s="39"/>
      <c r="J13" s="39"/>
      <c r="K13" s="39"/>
      <c r="L13" s="39"/>
    </row>
    <row r="14" spans="2:12" s="44" customFormat="1">
      <c r="B14" s="1101"/>
      <c r="C14" s="1101"/>
      <c r="D14" s="1101"/>
      <c r="E14" s="456"/>
      <c r="F14" s="456"/>
      <c r="G14" s="456"/>
      <c r="H14" s="40"/>
      <c r="I14" s="40"/>
      <c r="J14" s="40"/>
      <c r="K14" s="40"/>
      <c r="L14" s="40"/>
    </row>
    <row r="15" spans="2:12" s="44" customFormat="1">
      <c r="B15" s="137">
        <f>B12+1</f>
        <v>1</v>
      </c>
      <c r="C15" s="137"/>
      <c r="D15" s="137"/>
      <c r="E15" s="456"/>
      <c r="F15" s="456"/>
      <c r="G15" s="456"/>
      <c r="H15" s="40"/>
      <c r="I15" s="40"/>
      <c r="J15" s="40"/>
      <c r="K15" s="40"/>
      <c r="L15" s="40"/>
    </row>
    <row r="16" spans="2:12" s="44" customFormat="1">
      <c r="B16" s="137"/>
      <c r="C16" s="137"/>
      <c r="D16" s="137"/>
      <c r="E16" s="456"/>
      <c r="F16" s="456"/>
      <c r="G16" s="456"/>
      <c r="H16" s="40"/>
      <c r="I16" s="40"/>
      <c r="J16" s="40"/>
      <c r="K16" s="40"/>
      <c r="L16" s="40"/>
    </row>
    <row r="17" spans="2:12" s="44" customFormat="1">
      <c r="B17" s="137"/>
      <c r="C17" s="137"/>
      <c r="D17" s="137"/>
      <c r="E17" s="1102"/>
      <c r="F17" s="1102"/>
      <c r="G17" s="1102"/>
      <c r="H17" s="40"/>
      <c r="I17" s="40"/>
      <c r="J17" s="40"/>
      <c r="K17" s="40"/>
      <c r="L17" s="40"/>
    </row>
    <row r="18" spans="2:12" s="44" customFormat="1">
      <c r="B18" s="137"/>
      <c r="C18" s="137"/>
      <c r="D18" s="137"/>
      <c r="E18" s="1102"/>
      <c r="F18" s="1102"/>
      <c r="G18" s="1102"/>
      <c r="H18" s="40"/>
      <c r="I18" s="40"/>
      <c r="J18" s="40"/>
      <c r="K18" s="40"/>
      <c r="L18" s="40"/>
    </row>
    <row r="19" spans="2:12" s="44" customFormat="1">
      <c r="B19" s="137"/>
      <c r="C19" s="137"/>
      <c r="D19" s="137"/>
      <c r="E19" s="1102"/>
      <c r="F19" s="1102"/>
      <c r="G19" s="1102"/>
      <c r="H19" s="40"/>
      <c r="I19" s="40"/>
      <c r="J19" s="40"/>
      <c r="K19" s="40"/>
      <c r="L19" s="40"/>
    </row>
    <row r="20" spans="2:12" s="44" customFormat="1">
      <c r="B20" s="137"/>
      <c r="C20" s="137"/>
      <c r="D20" s="137"/>
      <c r="E20" s="1103"/>
      <c r="F20" s="1103"/>
      <c r="G20" s="1103"/>
      <c r="H20" s="40"/>
      <c r="I20" s="40"/>
      <c r="J20" s="40"/>
      <c r="K20" s="40"/>
      <c r="L20" s="40"/>
    </row>
    <row r="21" spans="2:12" s="44" customFormat="1">
      <c r="B21" s="137"/>
      <c r="C21" s="137"/>
      <c r="D21" s="137"/>
      <c r="E21" s="1102"/>
      <c r="F21" s="1102"/>
      <c r="G21" s="1102"/>
      <c r="H21" s="40"/>
      <c r="I21" s="40"/>
      <c r="J21" s="40"/>
      <c r="K21" s="40"/>
      <c r="L21" s="40"/>
    </row>
    <row r="22" spans="2:12">
      <c r="E22" s="129"/>
      <c r="F22" s="129"/>
      <c r="G22" s="129"/>
      <c r="H22" s="44"/>
      <c r="I22" s="44"/>
      <c r="J22" s="44"/>
      <c r="K22" s="44"/>
      <c r="L22" s="44"/>
    </row>
    <row r="23" spans="2:12">
      <c r="B23" s="1104"/>
      <c r="C23" s="1104"/>
      <c r="D23" s="1104"/>
      <c r="E23" s="1105"/>
      <c r="F23" s="1105"/>
      <c r="G23" s="1105"/>
      <c r="H23" s="44"/>
      <c r="I23" s="44"/>
      <c r="J23" s="44"/>
      <c r="K23" s="44"/>
      <c r="L23" s="44"/>
    </row>
    <row r="24" spans="2:12">
      <c r="C24" s="44" t="s">
        <v>143</v>
      </c>
      <c r="D24" s="932" t="s">
        <v>1399</v>
      </c>
      <c r="H24" s="44"/>
      <c r="I24" s="44"/>
      <c r="J24" s="44"/>
      <c r="K24" s="44"/>
      <c r="L24" s="44"/>
    </row>
    <row r="25" spans="2:12" ht="18" customHeight="1">
      <c r="E25" s="1106"/>
      <c r="F25" s="1106"/>
      <c r="G25" s="1106"/>
    </row>
    <row r="26" spans="2:12">
      <c r="B26" s="1105"/>
      <c r="C26" s="1105"/>
      <c r="D26" s="1105"/>
      <c r="E26" s="1105"/>
      <c r="F26" s="1105"/>
      <c r="G26" s="1105"/>
    </row>
    <row r="27" spans="2:12">
      <c r="B27" s="1105"/>
      <c r="C27" s="1105"/>
      <c r="D27" s="1105"/>
      <c r="E27" s="1105"/>
      <c r="F27" s="1105"/>
      <c r="G27" s="1105"/>
    </row>
    <row r="28" spans="2:12">
      <c r="B28" s="1105"/>
      <c r="C28" s="1105"/>
      <c r="D28" s="1105"/>
      <c r="E28" s="1105"/>
      <c r="F28" s="1105"/>
      <c r="G28" s="1105"/>
    </row>
    <row r="29" spans="2:12" ht="29.4" customHeight="1">
      <c r="B29" s="1105"/>
      <c r="C29" s="1107"/>
      <c r="D29" s="1105"/>
      <c r="E29" s="1105"/>
      <c r="F29" s="1105"/>
      <c r="G29" s="1105"/>
    </row>
  </sheetData>
  <mergeCells count="11">
    <mergeCell ref="H7:L7"/>
    <mergeCell ref="B2:L2"/>
    <mergeCell ref="B3:L3"/>
    <mergeCell ref="B4:L4"/>
    <mergeCell ref="B5:L5"/>
    <mergeCell ref="B7:B9"/>
    <mergeCell ref="C7:C9"/>
    <mergeCell ref="D7:D9"/>
    <mergeCell ref="E7:E9"/>
    <mergeCell ref="F7:F9"/>
    <mergeCell ref="G7:G9"/>
  </mergeCells>
  <pageMargins left="0.75" right="0.75" top="1" bottom="1" header="0.5" footer="0.5"/>
  <pageSetup paperSize="9" scale="6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H29"/>
  <sheetViews>
    <sheetView workbookViewId="0">
      <selection activeCell="B4" sqref="B4:H4"/>
    </sheetView>
  </sheetViews>
  <sheetFormatPr defaultColWidth="8.90625" defaultRowHeight="12.5"/>
  <cols>
    <col min="1" max="2" width="8.90625" style="1108"/>
    <col min="3" max="3" width="36.36328125" style="1108" customWidth="1"/>
    <col min="4" max="4" width="8.90625" style="1108"/>
    <col min="5" max="7" width="12.08984375" style="1108" customWidth="1"/>
    <col min="8" max="16384" width="8.90625" style="1108"/>
  </cols>
  <sheetData>
    <row r="2" spans="1:8" ht="14">
      <c r="A2" s="1"/>
      <c r="B2" s="1992" t="str">
        <f>Index!B2</f>
        <v xml:space="preserve">      Maharashtra State Power Generation Company Ltd.</v>
      </c>
      <c r="C2" s="2039"/>
      <c r="D2" s="2039"/>
      <c r="E2" s="2039"/>
      <c r="F2" s="2039"/>
      <c r="G2" s="2039"/>
      <c r="H2" s="2039"/>
    </row>
    <row r="3" spans="1:8" ht="14">
      <c r="A3" s="1"/>
      <c r="B3" s="1992" t="s">
        <v>1400</v>
      </c>
      <c r="C3" s="2039"/>
      <c r="D3" s="2039"/>
      <c r="E3" s="2039"/>
      <c r="F3" s="2039"/>
      <c r="G3" s="2039"/>
      <c r="H3" s="2039"/>
    </row>
    <row r="4" spans="1:8" ht="14">
      <c r="A4" s="14"/>
      <c r="B4" s="1776" t="str">
        <f>Index!B3</f>
        <v>MYT Petition Formats for Parli 8</v>
      </c>
      <c r="C4" s="2039"/>
      <c r="D4" s="2039"/>
      <c r="E4" s="2039"/>
      <c r="F4" s="2039"/>
      <c r="G4" s="2039"/>
      <c r="H4" s="2039"/>
    </row>
    <row r="5" spans="1:8" ht="14">
      <c r="A5" s="14"/>
      <c r="B5" s="14"/>
      <c r="C5" s="8"/>
      <c r="D5" s="1109"/>
      <c r="E5" s="1109"/>
      <c r="F5" s="1109"/>
      <c r="G5" s="16"/>
      <c r="H5" s="14"/>
    </row>
    <row r="6" spans="1:8" ht="14">
      <c r="A6" s="1"/>
      <c r="B6" s="889" t="s">
        <v>340</v>
      </c>
      <c r="C6" s="893" t="s">
        <v>36</v>
      </c>
      <c r="D6" s="893" t="s">
        <v>93</v>
      </c>
      <c r="E6" s="889" t="s">
        <v>508</v>
      </c>
      <c r="F6" s="889" t="s">
        <v>509</v>
      </c>
      <c r="G6" s="889" t="s">
        <v>510</v>
      </c>
      <c r="H6" s="889" t="s">
        <v>26</v>
      </c>
    </row>
    <row r="7" spans="1:8" ht="14">
      <c r="A7" s="129"/>
      <c r="B7" s="39"/>
      <c r="C7" s="143"/>
      <c r="D7" s="145"/>
      <c r="E7" s="145"/>
      <c r="F7" s="145"/>
      <c r="G7" s="37"/>
      <c r="H7" s="37"/>
    </row>
    <row r="8" spans="1:8" ht="14">
      <c r="A8" s="129"/>
      <c r="B8" s="145">
        <v>1</v>
      </c>
      <c r="C8" s="146" t="s">
        <v>1401</v>
      </c>
      <c r="D8" s="145" t="s">
        <v>96</v>
      </c>
      <c r="E8" s="145"/>
      <c r="F8" s="145"/>
      <c r="G8" s="1110"/>
      <c r="H8" s="37"/>
    </row>
    <row r="9" spans="1:8" ht="14">
      <c r="B9" s="1111">
        <f>B8+1</f>
        <v>2</v>
      </c>
      <c r="C9" s="146" t="s">
        <v>1402</v>
      </c>
      <c r="D9" s="1111" t="s">
        <v>98</v>
      </c>
      <c r="E9" s="1059"/>
      <c r="F9" s="1059"/>
      <c r="G9" s="1059"/>
      <c r="H9" s="1059"/>
    </row>
    <row r="10" spans="1:8" ht="14">
      <c r="B10" s="1111">
        <f t="shared" ref="B10:B20" si="0">B9+1</f>
        <v>3</v>
      </c>
      <c r="C10" s="146" t="s">
        <v>1403</v>
      </c>
      <c r="D10" s="1111" t="s">
        <v>98</v>
      </c>
      <c r="E10" s="1059"/>
      <c r="F10" s="1059"/>
      <c r="G10" s="1059"/>
      <c r="H10" s="1059"/>
    </row>
    <row r="11" spans="1:8" ht="14">
      <c r="B11" s="1111">
        <f t="shared" si="0"/>
        <v>4</v>
      </c>
      <c r="C11" s="146" t="s">
        <v>1404</v>
      </c>
      <c r="D11" s="1111" t="s">
        <v>98</v>
      </c>
      <c r="E11" s="1059"/>
      <c r="F11" s="1059"/>
      <c r="G11" s="1059"/>
      <c r="H11" s="1059"/>
    </row>
    <row r="12" spans="1:8" ht="14">
      <c r="B12" s="1111">
        <f t="shared" si="0"/>
        <v>5</v>
      </c>
      <c r="C12" s="146" t="s">
        <v>1405</v>
      </c>
      <c r="D12" s="1112" t="s">
        <v>100</v>
      </c>
      <c r="E12" s="1059"/>
      <c r="F12" s="1059"/>
      <c r="G12" s="1059"/>
      <c r="H12" s="1059"/>
    </row>
    <row r="13" spans="1:8" ht="28">
      <c r="B13" s="1111">
        <f t="shared" si="0"/>
        <v>6</v>
      </c>
      <c r="C13" s="146" t="s">
        <v>1406</v>
      </c>
      <c r="D13" s="1112" t="s">
        <v>100</v>
      </c>
      <c r="E13" s="1059"/>
      <c r="F13" s="1059"/>
      <c r="G13" s="1059"/>
      <c r="H13" s="1059"/>
    </row>
    <row r="14" spans="1:8" ht="14">
      <c r="B14" s="1111">
        <f t="shared" si="0"/>
        <v>7</v>
      </c>
      <c r="C14" s="146" t="s">
        <v>1407</v>
      </c>
      <c r="D14" s="1112" t="s">
        <v>100</v>
      </c>
      <c r="E14" s="1059"/>
      <c r="F14" s="1059"/>
      <c r="G14" s="1059"/>
      <c r="H14" s="1059"/>
    </row>
    <row r="15" spans="1:8" ht="14">
      <c r="B15" s="1111">
        <f t="shared" si="0"/>
        <v>8</v>
      </c>
      <c r="C15" s="146" t="s">
        <v>1408</v>
      </c>
      <c r="D15" s="1112" t="s">
        <v>100</v>
      </c>
      <c r="E15" s="1059"/>
      <c r="F15" s="1059"/>
      <c r="G15" s="1059"/>
      <c r="H15" s="1059"/>
    </row>
    <row r="16" spans="1:8" ht="14">
      <c r="B16" s="1111">
        <f t="shared" si="0"/>
        <v>9</v>
      </c>
      <c r="C16" s="146" t="s">
        <v>1409</v>
      </c>
      <c r="D16" s="1112" t="s">
        <v>100</v>
      </c>
      <c r="E16" s="1059"/>
      <c r="F16" s="1059"/>
      <c r="G16" s="1059"/>
      <c r="H16" s="1059"/>
    </row>
    <row r="17" spans="2:8" ht="14">
      <c r="B17" s="1111">
        <f t="shared" si="0"/>
        <v>10</v>
      </c>
      <c r="C17" s="146" t="s">
        <v>1410</v>
      </c>
      <c r="D17" s="1112" t="s">
        <v>100</v>
      </c>
      <c r="E17" s="1059"/>
      <c r="F17" s="1059"/>
      <c r="G17" s="1059"/>
      <c r="H17" s="1059"/>
    </row>
    <row r="18" spans="2:8" ht="14">
      <c r="B18" s="1111">
        <f t="shared" si="0"/>
        <v>11</v>
      </c>
      <c r="C18" s="146" t="s">
        <v>1411</v>
      </c>
      <c r="D18" s="1112" t="s">
        <v>1412</v>
      </c>
      <c r="E18" s="1059"/>
      <c r="F18" s="1059"/>
      <c r="G18" s="1059"/>
      <c r="H18" s="1059"/>
    </row>
    <row r="19" spans="2:8" ht="14">
      <c r="B19" s="1111">
        <f t="shared" si="0"/>
        <v>12</v>
      </c>
      <c r="C19" s="146" t="s">
        <v>1413</v>
      </c>
      <c r="D19" s="1112" t="s">
        <v>1412</v>
      </c>
      <c r="E19" s="1059"/>
      <c r="F19" s="1059"/>
      <c r="G19" s="1059"/>
      <c r="H19" s="1059"/>
    </row>
    <row r="20" spans="2:8" s="1115" customFormat="1" ht="14">
      <c r="B20" s="1113">
        <f t="shared" si="0"/>
        <v>13</v>
      </c>
      <c r="C20" s="1114" t="s">
        <v>1414</v>
      </c>
      <c r="D20" s="1113" t="s">
        <v>134</v>
      </c>
      <c r="E20" s="1062"/>
      <c r="F20" s="1062"/>
      <c r="G20" s="1062"/>
      <c r="H20" s="1062"/>
    </row>
    <row r="29" spans="2:8" ht="29.4" customHeight="1">
      <c r="C29" s="1116"/>
    </row>
  </sheetData>
  <mergeCells count="3">
    <mergeCell ref="B2:H2"/>
    <mergeCell ref="B3:H3"/>
    <mergeCell ref="B4:H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2:X67"/>
  <sheetViews>
    <sheetView showGridLines="0" view="pageBreakPreview" zoomScale="60" zoomScaleNormal="75" zoomScaleSheetLayoutView="75" workbookViewId="0">
      <pane xSplit="4" ySplit="9" topLeftCell="J42" activePane="bottomRight" state="frozen"/>
      <selection activeCell="I25" sqref="I25"/>
      <selection pane="topRight" activeCell="I25" sqref="I25"/>
      <selection pane="bottomLeft" activeCell="I25" sqref="I25"/>
      <selection pane="bottomRight" activeCell="L42" sqref="L42"/>
    </sheetView>
  </sheetViews>
  <sheetFormatPr defaultColWidth="9.36328125" defaultRowHeight="14"/>
  <cols>
    <col min="1" max="1" width="8.1796875" style="5" bestFit="1" customWidth="1"/>
    <col min="2" max="2" width="7.90625" style="5" customWidth="1"/>
    <col min="3" max="3" width="55.90625" style="5" customWidth="1"/>
    <col min="4" max="4" width="9.54296875" style="50" bestFit="1" customWidth="1"/>
    <col min="5" max="5" width="9.54296875" style="50" customWidth="1"/>
    <col min="6" max="6" width="11.08984375" style="50" bestFit="1" customWidth="1"/>
    <col min="7" max="7" width="12.54296875" style="50" bestFit="1" customWidth="1"/>
    <col min="8" max="8" width="12.90625" style="50" bestFit="1" customWidth="1"/>
    <col min="9" max="9" width="10" style="50" customWidth="1"/>
    <col min="10" max="10" width="12.54296875" style="50" bestFit="1" customWidth="1"/>
    <col min="11" max="11" width="12.36328125" style="50" bestFit="1" customWidth="1"/>
    <col min="12" max="12" width="12.90625" style="50" bestFit="1" customWidth="1"/>
    <col min="13" max="13" width="10.1796875" style="5" customWidth="1"/>
    <col min="14" max="14" width="11.453125" style="5" bestFit="1" customWidth="1"/>
    <col min="15" max="15" width="17" style="5" bestFit="1" customWidth="1"/>
    <col min="16" max="16" width="23.81640625" style="5" bestFit="1" customWidth="1"/>
    <col min="17" max="17" width="13.54296875" style="5" bestFit="1" customWidth="1"/>
    <col min="18" max="18" width="19.54296875" style="5" bestFit="1" customWidth="1"/>
    <col min="19" max="23" width="19.54296875" style="5" customWidth="1"/>
    <col min="24" max="24" width="14.08984375" style="5" customWidth="1"/>
    <col min="25" max="16384" width="9.36328125" style="5"/>
  </cols>
  <sheetData>
    <row r="2" spans="1:24">
      <c r="B2" s="1776" t="str">
        <f>Index!B2</f>
        <v xml:space="preserve">      Maharashtra State Power Generation Company Ltd.</v>
      </c>
      <c r="C2" s="1776"/>
      <c r="D2" s="1776"/>
      <c r="E2" s="1776"/>
      <c r="F2" s="1776"/>
      <c r="G2" s="1776"/>
      <c r="H2" s="1776"/>
      <c r="I2" s="1776"/>
      <c r="J2" s="1776"/>
      <c r="K2" s="1776"/>
      <c r="L2" s="1776"/>
      <c r="M2" s="635"/>
      <c r="N2" s="1802" t="str">
        <f>B2</f>
        <v xml:space="preserve">      Maharashtra State Power Generation Company Ltd.</v>
      </c>
      <c r="O2" s="1802"/>
      <c r="P2" s="1802"/>
      <c r="Q2" s="1802"/>
      <c r="R2" s="1802"/>
      <c r="S2" s="1802"/>
      <c r="T2" s="1802"/>
      <c r="U2" s="1802"/>
      <c r="V2" s="1802"/>
      <c r="W2" s="1802"/>
      <c r="X2" s="1802"/>
    </row>
    <row r="3" spans="1:24">
      <c r="B3" s="1776" t="str">
        <f>Index!B3</f>
        <v>MYT Petition Formats for Parli 8</v>
      </c>
      <c r="C3" s="1776"/>
      <c r="D3" s="1776"/>
      <c r="E3" s="1776"/>
      <c r="F3" s="1776"/>
      <c r="G3" s="1776"/>
      <c r="H3" s="1776"/>
      <c r="I3" s="1776"/>
      <c r="J3" s="1776"/>
      <c r="K3" s="1776"/>
      <c r="L3" s="1776"/>
      <c r="M3" s="635"/>
      <c r="N3" s="1802" t="str">
        <f>B3</f>
        <v>MYT Petition Formats for Parli 8</v>
      </c>
      <c r="O3" s="1802"/>
      <c r="P3" s="1802"/>
      <c r="Q3" s="1802"/>
      <c r="R3" s="1802"/>
      <c r="S3" s="1802"/>
      <c r="T3" s="1802"/>
      <c r="U3" s="1802"/>
      <c r="V3" s="1802"/>
      <c r="W3" s="1802"/>
      <c r="X3" s="1802"/>
    </row>
    <row r="4" spans="1:24">
      <c r="B4" s="1776" t="s">
        <v>372</v>
      </c>
      <c r="C4" s="1776"/>
      <c r="D4" s="1776"/>
      <c r="E4" s="1776"/>
      <c r="F4" s="1776"/>
      <c r="G4" s="1776"/>
      <c r="H4" s="1776"/>
      <c r="I4" s="1776"/>
      <c r="J4" s="1776"/>
      <c r="K4" s="1776"/>
      <c r="L4" s="1776"/>
      <c r="M4" s="635"/>
      <c r="N4" s="1802" t="str">
        <f>B4</f>
        <v>Form 2.1: Operational Parameters for Thermal Generation</v>
      </c>
      <c r="O4" s="1802"/>
      <c r="P4" s="1802"/>
      <c r="Q4" s="1802"/>
      <c r="R4" s="1802"/>
      <c r="S4" s="1802"/>
      <c r="T4" s="1802"/>
      <c r="U4" s="1802"/>
      <c r="V4" s="1802"/>
      <c r="W4" s="1802"/>
      <c r="X4" s="1802"/>
    </row>
    <row r="5" spans="1:24" s="14" customFormat="1">
      <c r="B5" s="191"/>
      <c r="C5" s="191"/>
      <c r="D5" s="191"/>
      <c r="E5" s="191"/>
      <c r="F5" s="191"/>
      <c r="G5" s="191"/>
      <c r="H5" s="191"/>
      <c r="I5" s="191"/>
      <c r="J5" s="191"/>
      <c r="K5" s="191"/>
      <c r="L5" s="191"/>
      <c r="M5" s="191"/>
      <c r="N5" s="191"/>
      <c r="O5" s="191"/>
      <c r="P5" s="191"/>
      <c r="Q5" s="191"/>
      <c r="R5" s="191"/>
      <c r="S5" s="191"/>
      <c r="T5" s="191"/>
      <c r="U5" s="191"/>
      <c r="V5" s="191"/>
      <c r="W5" s="191"/>
      <c r="X5" s="191"/>
    </row>
    <row r="6" spans="1:24" s="14" customFormat="1">
      <c r="B6" s="33"/>
      <c r="C6" s="8"/>
      <c r="D6" s="34"/>
      <c r="E6" s="34"/>
      <c r="F6" s="34"/>
      <c r="G6" s="34"/>
      <c r="H6" s="34"/>
      <c r="I6" s="34"/>
      <c r="J6" s="34"/>
      <c r="K6" s="34"/>
      <c r="L6" s="34"/>
      <c r="M6" s="16"/>
      <c r="N6" s="16"/>
      <c r="O6" s="16"/>
      <c r="P6" s="16"/>
      <c r="Q6" s="33"/>
      <c r="R6" s="33"/>
      <c r="S6" s="33"/>
      <c r="T6" s="33"/>
      <c r="U6" s="33"/>
      <c r="V6" s="33"/>
      <c r="W6" s="33"/>
    </row>
    <row r="7" spans="1:24" s="35" customFormat="1" ht="14" customHeight="1">
      <c r="B7" s="1770" t="s">
        <v>340</v>
      </c>
      <c r="C7" s="1803" t="s">
        <v>36</v>
      </c>
      <c r="D7" s="1803" t="s">
        <v>93</v>
      </c>
      <c r="E7" s="1770" t="s">
        <v>508</v>
      </c>
      <c r="F7" s="1770"/>
      <c r="G7" s="1770"/>
      <c r="H7" s="1770"/>
      <c r="I7" s="1770" t="s">
        <v>509</v>
      </c>
      <c r="J7" s="1770"/>
      <c r="K7" s="1770"/>
      <c r="L7" s="1770"/>
      <c r="M7" s="1770" t="s">
        <v>510</v>
      </c>
      <c r="N7" s="1770"/>
      <c r="O7" s="1770"/>
      <c r="P7" s="1770"/>
      <c r="Q7" s="1770"/>
      <c r="R7" s="1770"/>
      <c r="S7" s="1775" t="s">
        <v>957</v>
      </c>
      <c r="T7" s="1775"/>
      <c r="U7" s="1775"/>
      <c r="V7" s="1775"/>
      <c r="W7" s="1775"/>
      <c r="X7" s="1770" t="s">
        <v>26</v>
      </c>
    </row>
    <row r="8" spans="1:24" s="36" customFormat="1" ht="28">
      <c r="B8" s="1803"/>
      <c r="C8" s="1803"/>
      <c r="D8" s="1803"/>
      <c r="E8" s="1300" t="s">
        <v>1545</v>
      </c>
      <c r="F8" s="1300" t="s">
        <v>914</v>
      </c>
      <c r="G8" s="1300" t="s">
        <v>78</v>
      </c>
      <c r="H8" s="1300" t="s">
        <v>451</v>
      </c>
      <c r="I8" s="1300" t="s">
        <v>1545</v>
      </c>
      <c r="J8" s="1300" t="s">
        <v>914</v>
      </c>
      <c r="K8" s="1300" t="s">
        <v>78</v>
      </c>
      <c r="L8" s="1300" t="s">
        <v>451</v>
      </c>
      <c r="M8" s="1300" t="s">
        <v>1545</v>
      </c>
      <c r="N8" s="1300" t="s">
        <v>914</v>
      </c>
      <c r="O8" s="1300" t="s">
        <v>444</v>
      </c>
      <c r="P8" s="1300" t="s">
        <v>448</v>
      </c>
      <c r="Q8" s="1300" t="s">
        <v>79</v>
      </c>
      <c r="R8" s="1300" t="s">
        <v>452</v>
      </c>
      <c r="S8" s="709" t="s">
        <v>958</v>
      </c>
      <c r="T8" s="709" t="s">
        <v>959</v>
      </c>
      <c r="U8" s="709" t="s">
        <v>960</v>
      </c>
      <c r="V8" s="709" t="s">
        <v>961</v>
      </c>
      <c r="W8" s="709" t="s">
        <v>962</v>
      </c>
      <c r="X8" s="1770"/>
    </row>
    <row r="9" spans="1:24" s="36" customFormat="1" ht="15">
      <c r="B9" s="1803"/>
      <c r="C9" s="1803"/>
      <c r="D9" s="1803"/>
      <c r="E9" s="1300" t="s">
        <v>80</v>
      </c>
      <c r="F9" s="1300" t="s">
        <v>81</v>
      </c>
      <c r="G9" s="1300" t="s">
        <v>1546</v>
      </c>
      <c r="H9" s="1300" t="s">
        <v>1547</v>
      </c>
      <c r="I9" s="1300" t="s">
        <v>1508</v>
      </c>
      <c r="J9" s="1300" t="s">
        <v>511</v>
      </c>
      <c r="K9" s="1300" t="s">
        <v>410</v>
      </c>
      <c r="L9" s="1300" t="s">
        <v>1548</v>
      </c>
      <c r="M9" s="1300" t="s">
        <v>591</v>
      </c>
      <c r="N9" s="1300" t="s">
        <v>655</v>
      </c>
      <c r="O9" s="1300" t="s">
        <v>592</v>
      </c>
      <c r="P9" s="1300" t="s">
        <v>593</v>
      </c>
      <c r="Q9" s="1300" t="s">
        <v>678</v>
      </c>
      <c r="R9" s="1300" t="s">
        <v>679</v>
      </c>
      <c r="S9" s="709" t="s">
        <v>21</v>
      </c>
      <c r="T9" s="709" t="s">
        <v>21</v>
      </c>
      <c r="U9" s="709" t="s">
        <v>21</v>
      </c>
      <c r="V9" s="709" t="s">
        <v>21</v>
      </c>
      <c r="W9" s="709" t="s">
        <v>21</v>
      </c>
      <c r="X9" s="1771"/>
    </row>
    <row r="10" spans="1:24" s="36" customFormat="1" ht="15.5">
      <c r="B10" s="394"/>
      <c r="C10" s="378"/>
      <c r="D10" s="379"/>
      <c r="E10" s="379"/>
      <c r="F10" s="379"/>
      <c r="G10" s="379"/>
      <c r="H10" s="379"/>
      <c r="I10" s="379"/>
      <c r="J10" s="379"/>
      <c r="K10" s="379"/>
      <c r="L10" s="379"/>
      <c r="M10" s="392"/>
      <c r="N10" s="392"/>
      <c r="O10" s="392"/>
      <c r="P10" s="392"/>
      <c r="Q10" s="392"/>
      <c r="R10" s="392"/>
      <c r="S10" s="392"/>
      <c r="T10" s="392"/>
      <c r="U10" s="392"/>
      <c r="V10" s="392"/>
      <c r="W10" s="392"/>
      <c r="X10" s="392"/>
    </row>
    <row r="11" spans="1:24" s="36" customFormat="1" ht="15.5">
      <c r="B11" s="365">
        <v>1</v>
      </c>
      <c r="C11" s="381" t="s">
        <v>95</v>
      </c>
      <c r="D11" s="365" t="s">
        <v>96</v>
      </c>
      <c r="E11" s="849">
        <f>F11</f>
        <v>250</v>
      </c>
      <c r="F11" s="461">
        <f>'F2.2'!F11</f>
        <v>250</v>
      </c>
      <c r="G11" s="461">
        <f>'F2.2'!G11</f>
        <v>250</v>
      </c>
      <c r="H11" s="461">
        <f>G11-F11</f>
        <v>0</v>
      </c>
      <c r="I11" s="461"/>
      <c r="J11" s="461">
        <f>'F2.2'!J11</f>
        <v>250</v>
      </c>
      <c r="K11" s="461">
        <f>'F2.2'!K11</f>
        <v>250</v>
      </c>
      <c r="L11" s="461">
        <f>K11-J11</f>
        <v>0</v>
      </c>
      <c r="M11" s="547"/>
      <c r="N11" s="461">
        <f>'F2.2'!$N$11</f>
        <v>250</v>
      </c>
      <c r="O11" s="461">
        <f>'F2.2'!O11</f>
        <v>250</v>
      </c>
      <c r="P11" s="461">
        <f>'F2.2'!P11</f>
        <v>250</v>
      </c>
      <c r="Q11" s="461">
        <f>'F2.2'!Q11</f>
        <v>250</v>
      </c>
      <c r="R11" s="547">
        <f>Q11-N11</f>
        <v>0</v>
      </c>
      <c r="S11" s="547"/>
      <c r="T11" s="547"/>
      <c r="U11" s="547"/>
      <c r="V11" s="547"/>
      <c r="W11" s="547"/>
      <c r="X11" s="37"/>
    </row>
    <row r="12" spans="1:24" s="36" customFormat="1" ht="31">
      <c r="B12" s="365">
        <v>2</v>
      </c>
      <c r="C12" s="381" t="s">
        <v>513</v>
      </c>
      <c r="D12" s="365"/>
      <c r="E12" s="849" t="str">
        <f>F12</f>
        <v>Coal Based</v>
      </c>
      <c r="F12" s="462" t="s">
        <v>799</v>
      </c>
      <c r="G12" s="462" t="s">
        <v>799</v>
      </c>
      <c r="H12" s="462" t="s">
        <v>799</v>
      </c>
      <c r="I12" s="462"/>
      <c r="J12" s="462" t="s">
        <v>799</v>
      </c>
      <c r="K12" s="462" t="s">
        <v>799</v>
      </c>
      <c r="L12" s="462" t="s">
        <v>799</v>
      </c>
      <c r="M12" s="462"/>
      <c r="N12" s="462" t="s">
        <v>799</v>
      </c>
      <c r="O12" s="462" t="s">
        <v>799</v>
      </c>
      <c r="P12" s="462" t="s">
        <v>799</v>
      </c>
      <c r="Q12" s="462" t="s">
        <v>799</v>
      </c>
      <c r="R12" s="462" t="s">
        <v>799</v>
      </c>
      <c r="S12" s="462" t="s">
        <v>799</v>
      </c>
      <c r="T12" s="462" t="s">
        <v>799</v>
      </c>
      <c r="U12" s="462" t="s">
        <v>799</v>
      </c>
      <c r="V12" s="462" t="s">
        <v>799</v>
      </c>
      <c r="W12" s="462" t="s">
        <v>799</v>
      </c>
      <c r="X12" s="392"/>
    </row>
    <row r="13" spans="1:24" s="36" customFormat="1" ht="15.5">
      <c r="B13" s="365"/>
      <c r="C13" s="381"/>
      <c r="D13" s="365"/>
      <c r="E13" s="365"/>
      <c r="F13" s="462"/>
      <c r="G13" s="462"/>
      <c r="H13" s="462"/>
      <c r="I13" s="462"/>
      <c r="J13" s="462"/>
      <c r="K13" s="461"/>
      <c r="L13" s="462"/>
      <c r="M13" s="462"/>
      <c r="N13" s="462"/>
      <c r="O13" s="461"/>
      <c r="P13" s="461"/>
      <c r="Q13" s="462"/>
      <c r="R13" s="462"/>
      <c r="S13" s="462"/>
      <c r="T13" s="462"/>
      <c r="U13" s="462"/>
      <c r="V13" s="462"/>
      <c r="W13" s="462"/>
      <c r="X13" s="392"/>
    </row>
    <row r="14" spans="1:24" s="36" customFormat="1" ht="15.5">
      <c r="B14" s="394">
        <v>2</v>
      </c>
      <c r="C14" s="400" t="s">
        <v>373</v>
      </c>
      <c r="D14" s="365"/>
      <c r="E14" s="365"/>
      <c r="F14" s="365"/>
      <c r="G14" s="365"/>
      <c r="H14" s="365"/>
      <c r="I14" s="365"/>
      <c r="J14" s="365"/>
      <c r="K14" s="461"/>
      <c r="L14" s="365"/>
      <c r="M14" s="365"/>
      <c r="N14" s="365"/>
      <c r="O14" s="461"/>
      <c r="P14" s="461"/>
      <c r="Q14" s="365"/>
      <c r="R14" s="365"/>
      <c r="S14" s="365"/>
      <c r="T14" s="365"/>
      <c r="U14" s="365"/>
      <c r="V14" s="365"/>
      <c r="W14" s="365"/>
      <c r="X14" s="392"/>
    </row>
    <row r="15" spans="1:24" s="480" customFormat="1" ht="15.5">
      <c r="A15" s="36"/>
      <c r="B15" s="365">
        <f>B14+0.1</f>
        <v>2.1</v>
      </c>
      <c r="C15" s="482" t="s">
        <v>97</v>
      </c>
      <c r="D15" s="483" t="s">
        <v>98</v>
      </c>
      <c r="E15" s="548">
        <v>0.85</v>
      </c>
      <c r="F15" s="546">
        <f>'F2.2'!F12</f>
        <v>0.85</v>
      </c>
      <c r="G15" s="488">
        <f>'F2.2'!G12</f>
        <v>0.85</v>
      </c>
      <c r="H15" s="488">
        <f t="shared" ref="H15:H16" si="0">G15-F15</f>
        <v>0</v>
      </c>
      <c r="I15" s="859">
        <v>0.85</v>
      </c>
      <c r="J15" s="488">
        <f>'F2.2'!J12</f>
        <v>0.85</v>
      </c>
      <c r="K15" s="488">
        <f>'F2.2'!K12</f>
        <v>0.85</v>
      </c>
      <c r="L15" s="488">
        <f t="shared" ref="L15:L16" si="1">K15-J15</f>
        <v>0</v>
      </c>
      <c r="M15" s="866">
        <v>0.85</v>
      </c>
      <c r="N15" s="488">
        <f>'F2.2'!$N$12</f>
        <v>0.85</v>
      </c>
      <c r="O15" s="488">
        <f>N15</f>
        <v>0.85</v>
      </c>
      <c r="P15" s="488">
        <f>N15</f>
        <v>0.85</v>
      </c>
      <c r="Q15" s="548">
        <f>AVERAGE(O15:P15)</f>
        <v>0.85</v>
      </c>
      <c r="R15" s="586">
        <f t="shared" ref="R15:R16" si="2">Q15-N15</f>
        <v>0</v>
      </c>
      <c r="S15" s="586">
        <f>'F2.2'!S12</f>
        <v>0.85</v>
      </c>
      <c r="T15" s="586">
        <f>'F2.2'!T12</f>
        <v>0.85</v>
      </c>
      <c r="U15" s="586">
        <f>'F2.2'!U12</f>
        <v>0.85</v>
      </c>
      <c r="V15" s="586">
        <f>'F2.2'!V12</f>
        <v>0.85</v>
      </c>
      <c r="W15" s="586">
        <f>'F2.2'!W12</f>
        <v>0.85</v>
      </c>
      <c r="X15" s="511"/>
    </row>
    <row r="16" spans="1:24" s="36" customFormat="1" ht="15.5">
      <c r="B16" s="365">
        <v>2.2000000000000002</v>
      </c>
      <c r="C16" s="381" t="s">
        <v>685</v>
      </c>
      <c r="D16" s="365" t="s">
        <v>98</v>
      </c>
      <c r="E16" s="398"/>
      <c r="F16" s="548">
        <f>'F2.2'!F13</f>
        <v>0.54910000000000003</v>
      </c>
      <c r="G16" s="398">
        <f>'F2.2'!G13</f>
        <v>0.54910000000000003</v>
      </c>
      <c r="H16" s="398">
        <f t="shared" si="0"/>
        <v>0</v>
      </c>
      <c r="I16" s="860"/>
      <c r="J16" s="398">
        <f>'F2.2'!J13</f>
        <v>0.74302000000000001</v>
      </c>
      <c r="K16" s="546">
        <f>'F2.2'!K13</f>
        <v>0.74302000000000001</v>
      </c>
      <c r="L16" s="398">
        <f t="shared" si="1"/>
        <v>0</v>
      </c>
      <c r="M16" s="867"/>
      <c r="N16" s="398">
        <f>'F2.2'!N13</f>
        <v>0.72324163421732934</v>
      </c>
      <c r="O16" s="546">
        <f>'F2.2'!O13</f>
        <v>0.8608546448087433</v>
      </c>
      <c r="P16" s="546">
        <f>'F2.2'!P13</f>
        <v>0.85038341470355694</v>
      </c>
      <c r="Q16" s="546">
        <f>'F2.2'!Q13</f>
        <v>0.72324163421732934</v>
      </c>
      <c r="R16" s="587">
        <f t="shared" si="2"/>
        <v>0</v>
      </c>
      <c r="S16" s="587">
        <f>'F2.2'!S13</f>
        <v>0.84996099699086758</v>
      </c>
      <c r="T16" s="587">
        <f>'F2.2'!T13</f>
        <v>0.84996099699086758</v>
      </c>
      <c r="U16" s="587">
        <f>'F2.2'!U13</f>
        <v>0.84999736227419698</v>
      </c>
      <c r="V16" s="587">
        <f>'F2.2'!V13</f>
        <v>0.84999736227419698</v>
      </c>
      <c r="W16" s="587">
        <f>'F2.2'!W13</f>
        <v>0.84999736227419698</v>
      </c>
      <c r="X16" s="643"/>
    </row>
    <row r="17" spans="1:24" s="36" customFormat="1" ht="15.5">
      <c r="B17" s="365" t="s">
        <v>115</v>
      </c>
      <c r="C17" s="382" t="s">
        <v>645</v>
      </c>
      <c r="D17" s="365"/>
      <c r="E17" s="365"/>
      <c r="F17" s="458"/>
      <c r="G17" s="398"/>
      <c r="H17" s="458"/>
      <c r="I17" s="861"/>
      <c r="J17" s="458"/>
      <c r="K17" s="546"/>
      <c r="L17" s="458"/>
      <c r="M17" s="861"/>
      <c r="N17" s="458"/>
      <c r="O17" s="546"/>
      <c r="P17" s="546"/>
      <c r="Q17" s="588"/>
      <c r="R17" s="588"/>
      <c r="S17" s="588"/>
      <c r="T17" s="588"/>
      <c r="U17" s="588"/>
      <c r="V17" s="588"/>
      <c r="W17" s="588"/>
      <c r="X17" s="397"/>
    </row>
    <row r="18" spans="1:24" s="36" customFormat="1" ht="15.5">
      <c r="B18" s="365"/>
      <c r="C18" s="383" t="s">
        <v>646</v>
      </c>
      <c r="D18" s="365" t="s">
        <v>98</v>
      </c>
      <c r="E18" s="365"/>
      <c r="F18" s="458"/>
      <c r="G18" s="398">
        <f>'F2.2'!G15</f>
        <v>0.52010999999999996</v>
      </c>
      <c r="H18" s="458">
        <f t="shared" ref="H18:H22" si="3">G18-F18</f>
        <v>0.52010999999999996</v>
      </c>
      <c r="I18" s="861"/>
      <c r="J18" s="458"/>
      <c r="K18" s="546">
        <f>'F2.2'!K15</f>
        <v>0.77103999999999995</v>
      </c>
      <c r="L18" s="458">
        <f t="shared" ref="L18:L22" si="4">K18-J18</f>
        <v>0.77103999999999995</v>
      </c>
      <c r="M18" s="861"/>
      <c r="N18" s="458"/>
      <c r="O18" s="546">
        <f>'F2.2'!O15</f>
        <v>0</v>
      </c>
      <c r="P18" s="546">
        <f>'F2.2'!P15</f>
        <v>0</v>
      </c>
      <c r="Q18" s="588">
        <f t="shared" ref="Q18:Q22" si="5">O18+P18</f>
        <v>0</v>
      </c>
      <c r="R18" s="588"/>
      <c r="S18" s="588">
        <f>'F2.2'!S15</f>
        <v>0</v>
      </c>
      <c r="T18" s="588">
        <f>'F2.2'!T15</f>
        <v>0</v>
      </c>
      <c r="U18" s="588">
        <f>'F2.2'!U15</f>
        <v>0</v>
      </c>
      <c r="V18" s="588">
        <f>'F2.2'!V15</f>
        <v>0</v>
      </c>
      <c r="W18" s="588">
        <f>'F2.2'!W15</f>
        <v>0</v>
      </c>
      <c r="X18" s="397"/>
    </row>
    <row r="19" spans="1:24" s="36" customFormat="1" ht="15.5">
      <c r="B19" s="365"/>
      <c r="C19" s="383" t="s">
        <v>647</v>
      </c>
      <c r="D19" s="365" t="s">
        <v>98</v>
      </c>
      <c r="E19" s="365"/>
      <c r="F19" s="458"/>
      <c r="G19" s="398">
        <f>'F2.2'!G16</f>
        <v>0.52734999999999999</v>
      </c>
      <c r="H19" s="458">
        <f t="shared" si="3"/>
        <v>0.52734999999999999</v>
      </c>
      <c r="I19" s="861"/>
      <c r="J19" s="458"/>
      <c r="K19" s="546">
        <f>'F2.2'!K16</f>
        <v>0.78324000000000005</v>
      </c>
      <c r="L19" s="458">
        <f t="shared" si="4"/>
        <v>0.78324000000000005</v>
      </c>
      <c r="M19" s="861"/>
      <c r="N19" s="458"/>
      <c r="O19" s="546">
        <f>'F2.2'!O16</f>
        <v>0</v>
      </c>
      <c r="P19" s="546">
        <f>'F2.2'!P16</f>
        <v>0</v>
      </c>
      <c r="Q19" s="588">
        <f t="shared" si="5"/>
        <v>0</v>
      </c>
      <c r="R19" s="588"/>
      <c r="S19" s="588">
        <f>'F2.2'!S16</f>
        <v>0</v>
      </c>
      <c r="T19" s="588">
        <f>'F2.2'!T16</f>
        <v>0</v>
      </c>
      <c r="U19" s="588">
        <f>'F2.2'!U16</f>
        <v>0</v>
      </c>
      <c r="V19" s="588">
        <f>'F2.2'!V16</f>
        <v>0</v>
      </c>
      <c r="W19" s="588">
        <f>'F2.2'!W16</f>
        <v>0</v>
      </c>
      <c r="X19" s="397"/>
    </row>
    <row r="20" spans="1:24" s="36" customFormat="1" ht="15.5">
      <c r="B20" s="365" t="s">
        <v>117</v>
      </c>
      <c r="C20" s="382" t="s">
        <v>648</v>
      </c>
      <c r="D20" s="365"/>
      <c r="E20" s="365"/>
      <c r="F20" s="458"/>
      <c r="G20" s="398"/>
      <c r="H20" s="458"/>
      <c r="I20" s="861"/>
      <c r="J20" s="458"/>
      <c r="K20" s="546"/>
      <c r="L20" s="458"/>
      <c r="M20" s="861"/>
      <c r="N20" s="458"/>
      <c r="O20" s="546"/>
      <c r="P20" s="546"/>
      <c r="Q20" s="588"/>
      <c r="R20" s="588"/>
      <c r="S20" s="588"/>
      <c r="T20" s="588"/>
      <c r="U20" s="588"/>
      <c r="V20" s="588"/>
      <c r="W20" s="588"/>
      <c r="X20" s="397"/>
    </row>
    <row r="21" spans="1:24" s="36" customFormat="1" ht="15.5">
      <c r="B21" s="365"/>
      <c r="C21" s="383" t="s">
        <v>646</v>
      </c>
      <c r="D21" s="365" t="s">
        <v>98</v>
      </c>
      <c r="E21" s="365"/>
      <c r="F21" s="458"/>
      <c r="G21" s="398">
        <f>'F2.2'!G18</f>
        <v>0.55755999999999994</v>
      </c>
      <c r="H21" s="458">
        <f t="shared" si="3"/>
        <v>0.55755999999999994</v>
      </c>
      <c r="I21" s="861"/>
      <c r="J21" s="458"/>
      <c r="K21" s="546">
        <f>'F2.2'!K18</f>
        <v>0.72750000000000004</v>
      </c>
      <c r="L21" s="458">
        <f t="shared" si="4"/>
        <v>0.72750000000000004</v>
      </c>
      <c r="M21" s="861"/>
      <c r="N21" s="458"/>
      <c r="O21" s="546">
        <f>'F2.2'!O18</f>
        <v>0</v>
      </c>
      <c r="P21" s="546">
        <f>'F2.2'!P18</f>
        <v>0</v>
      </c>
      <c r="Q21" s="588">
        <f t="shared" si="5"/>
        <v>0</v>
      </c>
      <c r="R21" s="588"/>
      <c r="S21" s="588">
        <f>'F2.2'!S18</f>
        <v>0</v>
      </c>
      <c r="T21" s="588">
        <f>'F2.2'!T18</f>
        <v>0</v>
      </c>
      <c r="U21" s="588">
        <f>'F2.2'!U18</f>
        <v>0</v>
      </c>
      <c r="V21" s="588">
        <f>'F2.2'!V18</f>
        <v>0</v>
      </c>
      <c r="W21" s="588">
        <f>'F2.2'!W18</f>
        <v>0</v>
      </c>
      <c r="X21" s="397"/>
    </row>
    <row r="22" spans="1:24" s="36" customFormat="1" ht="15.5">
      <c r="B22" s="365"/>
      <c r="C22" s="383" t="s">
        <v>647</v>
      </c>
      <c r="D22" s="365" t="s">
        <v>98</v>
      </c>
      <c r="E22" s="365"/>
      <c r="F22" s="458"/>
      <c r="G22" s="398">
        <f>'F2.2'!G19</f>
        <v>0.55656000000000005</v>
      </c>
      <c r="H22" s="458">
        <f t="shared" si="3"/>
        <v>0.55656000000000005</v>
      </c>
      <c r="I22" s="861"/>
      <c r="J22" s="458"/>
      <c r="K22" s="546">
        <f>'F2.2'!K19</f>
        <v>0.73072999999999999</v>
      </c>
      <c r="L22" s="458">
        <f t="shared" si="4"/>
        <v>0.73072999999999999</v>
      </c>
      <c r="M22" s="861"/>
      <c r="N22" s="458"/>
      <c r="O22" s="546">
        <f>'F2.2'!O19</f>
        <v>0</v>
      </c>
      <c r="P22" s="546">
        <f>'F2.2'!P19</f>
        <v>0</v>
      </c>
      <c r="Q22" s="588">
        <f t="shared" si="5"/>
        <v>0</v>
      </c>
      <c r="R22" s="588"/>
      <c r="S22" s="588">
        <f>'F2.2'!S19</f>
        <v>0</v>
      </c>
      <c r="T22" s="588">
        <f>'F2.2'!T19</f>
        <v>0</v>
      </c>
      <c r="U22" s="588">
        <f>'F2.2'!U19</f>
        <v>0</v>
      </c>
      <c r="V22" s="588">
        <f>'F2.2'!V19</f>
        <v>0</v>
      </c>
      <c r="W22" s="588">
        <f>'F2.2'!W19</f>
        <v>0</v>
      </c>
      <c r="X22" s="397"/>
    </row>
    <row r="23" spans="1:24" s="36" customFormat="1" ht="15.5">
      <c r="B23" s="365"/>
      <c r="C23" s="381"/>
      <c r="D23" s="365"/>
      <c r="E23" s="365"/>
      <c r="F23" s="548"/>
      <c r="G23" s="548"/>
      <c r="H23" s="548"/>
      <c r="I23" s="862"/>
      <c r="J23" s="548"/>
      <c r="K23" s="546"/>
      <c r="L23" s="548"/>
      <c r="M23" s="868"/>
      <c r="N23" s="548"/>
      <c r="O23" s="546"/>
      <c r="P23" s="546"/>
      <c r="Q23" s="588"/>
      <c r="R23" s="588"/>
      <c r="S23" s="588"/>
      <c r="T23" s="588"/>
      <c r="U23" s="588"/>
      <c r="V23" s="588"/>
      <c r="W23" s="588"/>
      <c r="X23" s="397"/>
    </row>
    <row r="24" spans="1:24" s="36" customFormat="1" ht="15.5">
      <c r="B24" s="394">
        <v>3</v>
      </c>
      <c r="C24" s="400" t="s">
        <v>374</v>
      </c>
      <c r="D24" s="365"/>
      <c r="E24" s="365"/>
      <c r="F24" s="548"/>
      <c r="G24" s="548"/>
      <c r="H24" s="548"/>
      <c r="I24" s="862"/>
      <c r="J24" s="548"/>
      <c r="K24" s="546"/>
      <c r="L24" s="548"/>
      <c r="M24" s="868"/>
      <c r="N24" s="548"/>
      <c r="O24" s="546"/>
      <c r="P24" s="546"/>
      <c r="Q24" s="588"/>
      <c r="R24" s="588"/>
      <c r="S24" s="588"/>
      <c r="T24" s="588"/>
      <c r="U24" s="588"/>
      <c r="V24" s="588"/>
      <c r="W24" s="588"/>
      <c r="X24" s="397"/>
    </row>
    <row r="25" spans="1:24" s="370" customFormat="1" ht="15.5">
      <c r="A25" s="36"/>
      <c r="B25" s="402">
        <f>B24+0.1</f>
        <v>3.1</v>
      </c>
      <c r="C25" s="401" t="s">
        <v>99</v>
      </c>
      <c r="D25" s="393" t="s">
        <v>98</v>
      </c>
      <c r="E25" s="398">
        <v>0.85</v>
      </c>
      <c r="F25" s="548">
        <f>'F2.2'!F20</f>
        <v>0.85</v>
      </c>
      <c r="G25" s="548">
        <f>'F2.2'!G20</f>
        <v>0.85</v>
      </c>
      <c r="H25" s="548">
        <f>G25-F25</f>
        <v>0</v>
      </c>
      <c r="I25" s="862">
        <v>0.85</v>
      </c>
      <c r="J25" s="548">
        <f>'F2.2'!J20</f>
        <v>0.85</v>
      </c>
      <c r="K25" s="546">
        <f>'F2.2'!K20</f>
        <v>0.85</v>
      </c>
      <c r="L25" s="548">
        <f>K25-J25</f>
        <v>0</v>
      </c>
      <c r="M25" s="868">
        <v>0.85</v>
      </c>
      <c r="N25" s="548">
        <f>'F2.2'!N20</f>
        <v>0.85</v>
      </c>
      <c r="O25" s="546">
        <f>'F2.2'!O20</f>
        <v>0</v>
      </c>
      <c r="P25" s="546">
        <f>'F2.2'!P20</f>
        <v>0</v>
      </c>
      <c r="Q25" s="546">
        <f>'F2.2'!Q20</f>
        <v>0</v>
      </c>
      <c r="R25" s="588">
        <f>Q25-N25</f>
        <v>-0.85</v>
      </c>
      <c r="S25" s="588">
        <f>'F2.2'!S20</f>
        <v>0.85</v>
      </c>
      <c r="T25" s="588">
        <f>'F2.2'!T20</f>
        <v>0.85</v>
      </c>
      <c r="U25" s="588">
        <f>'F2.2'!U20</f>
        <v>0.85</v>
      </c>
      <c r="V25" s="588">
        <f>'F2.2'!V20</f>
        <v>0.85</v>
      </c>
      <c r="W25" s="588">
        <f>'F2.2'!W20</f>
        <v>0.85</v>
      </c>
      <c r="X25" s="484"/>
    </row>
    <row r="26" spans="1:24" s="485" customFormat="1" ht="15.5">
      <c r="A26" s="36"/>
      <c r="B26" s="481">
        <v>3.2</v>
      </c>
      <c r="C26" s="482" t="s">
        <v>688</v>
      </c>
      <c r="D26" s="483" t="s">
        <v>98</v>
      </c>
      <c r="E26" s="548"/>
      <c r="F26" s="548">
        <f>G26</f>
        <v>0.49918000000000001</v>
      </c>
      <c r="G26" s="548">
        <f>'F2.2'!G21</f>
        <v>0.49918000000000001</v>
      </c>
      <c r="H26" s="548">
        <f>G26-F26</f>
        <v>0</v>
      </c>
      <c r="I26" s="862"/>
      <c r="J26" s="548">
        <f>K26</f>
        <v>0.56691000000000003</v>
      </c>
      <c r="K26" s="546">
        <f>'F2.2'!$K$21</f>
        <v>0.56691000000000003</v>
      </c>
      <c r="L26" s="548">
        <f>K26-J26</f>
        <v>0</v>
      </c>
      <c r="M26" s="868"/>
      <c r="N26" s="546">
        <f>'F2.2'!N21</f>
        <v>0.72324163421732934</v>
      </c>
      <c r="O26" s="546">
        <f>'F2.2'!O21</f>
        <v>0.57671710382513652</v>
      </c>
      <c r="P26" s="546">
        <f>'F2.2'!P21</f>
        <v>0.85038341470355694</v>
      </c>
      <c r="Q26" s="546">
        <f>'F2.2'!Q21</f>
        <v>0.72324163421732934</v>
      </c>
      <c r="R26" s="588">
        <f>Q26-N26</f>
        <v>0</v>
      </c>
      <c r="S26" s="588">
        <f>'F2.2'!S21</f>
        <v>0.84996099699086758</v>
      </c>
      <c r="T26" s="588">
        <f>'F2.2'!T21</f>
        <v>0.84996099699086758</v>
      </c>
      <c r="U26" s="588">
        <f>'F2.2'!U21</f>
        <v>0.84999736227419698</v>
      </c>
      <c r="V26" s="588">
        <f>'F2.2'!V21</f>
        <v>0.84999736227419698</v>
      </c>
      <c r="W26" s="588">
        <f>'F2.2'!W21</f>
        <v>0.84999736227419698</v>
      </c>
      <c r="X26" s="484"/>
    </row>
    <row r="27" spans="1:24" s="36" customFormat="1" ht="15.5">
      <c r="B27" s="365">
        <v>3.3</v>
      </c>
      <c r="C27" s="384" t="s">
        <v>681</v>
      </c>
      <c r="D27" s="365" t="s">
        <v>98</v>
      </c>
      <c r="E27" s="365"/>
      <c r="F27" s="458"/>
      <c r="G27" s="458"/>
      <c r="H27" s="458">
        <f>G27-F27</f>
        <v>0</v>
      </c>
      <c r="I27" s="861"/>
      <c r="J27" s="548"/>
      <c r="K27" s="366"/>
      <c r="L27" s="548">
        <f>K27-J27</f>
        <v>0</v>
      </c>
      <c r="M27" s="862"/>
      <c r="N27" s="548"/>
      <c r="O27" s="366"/>
      <c r="P27" s="366"/>
      <c r="Q27" s="458">
        <f>O27+P27</f>
        <v>0</v>
      </c>
      <c r="R27" s="458"/>
      <c r="S27" s="458"/>
      <c r="T27" s="458"/>
      <c r="U27" s="458"/>
      <c r="V27" s="458"/>
      <c r="W27" s="458"/>
      <c r="X27" s="397"/>
    </row>
    <row r="28" spans="1:24" s="36" customFormat="1" ht="15.5">
      <c r="B28" s="365"/>
      <c r="C28" s="381"/>
      <c r="D28" s="365"/>
      <c r="E28" s="365"/>
      <c r="F28" s="395"/>
      <c r="G28" s="395"/>
      <c r="H28" s="395"/>
      <c r="I28" s="395"/>
      <c r="J28" s="395"/>
      <c r="K28" s="585"/>
      <c r="L28" s="395"/>
      <c r="M28" s="396"/>
      <c r="N28" s="395"/>
      <c r="O28" s="585"/>
      <c r="P28" s="585"/>
      <c r="Q28" s="396"/>
      <c r="R28" s="396"/>
      <c r="S28" s="396"/>
      <c r="T28" s="396"/>
      <c r="U28" s="396"/>
      <c r="V28" s="396"/>
      <c r="W28" s="396"/>
      <c r="X28" s="397"/>
    </row>
    <row r="29" spans="1:24" s="36" customFormat="1" ht="15.5">
      <c r="B29" s="394">
        <v>4</v>
      </c>
      <c r="C29" s="400" t="s">
        <v>157</v>
      </c>
      <c r="D29" s="365"/>
      <c r="E29" s="365"/>
      <c r="F29" s="395"/>
      <c r="G29" s="395"/>
      <c r="H29" s="395"/>
      <c r="I29" s="395"/>
      <c r="J29" s="395"/>
      <c r="K29" s="585"/>
      <c r="L29" s="395"/>
      <c r="M29" s="396"/>
      <c r="N29" s="395"/>
      <c r="O29" s="585"/>
      <c r="P29" s="585"/>
      <c r="Q29" s="396"/>
      <c r="R29" s="396"/>
      <c r="S29" s="396"/>
      <c r="T29" s="396"/>
      <c r="U29" s="396"/>
      <c r="V29" s="396"/>
      <c r="W29" s="396"/>
      <c r="X29" s="397"/>
    </row>
    <row r="30" spans="1:24" s="36" customFormat="1" ht="15.5">
      <c r="B30" s="365">
        <f>B29+0.1</f>
        <v>4.0999999999999996</v>
      </c>
      <c r="C30" s="381" t="s">
        <v>689</v>
      </c>
      <c r="D30" s="365" t="s">
        <v>100</v>
      </c>
      <c r="E30" s="387">
        <v>1479.2287620939305</v>
      </c>
      <c r="F30" s="520">
        <f>G30</f>
        <v>1133.1310000000001</v>
      </c>
      <c r="G30" s="520">
        <f>'F2.2'!G23</f>
        <v>1133.1310000000001</v>
      </c>
      <c r="H30" s="520">
        <f>G30-F30</f>
        <v>0</v>
      </c>
      <c r="I30" s="863">
        <v>1866.6</v>
      </c>
      <c r="J30" s="520">
        <f>K30</f>
        <v>1294.99</v>
      </c>
      <c r="K30" s="521">
        <f>'F2.2'!$K$23</f>
        <v>1294.99</v>
      </c>
      <c r="L30" s="520">
        <f>K30-J30</f>
        <v>0</v>
      </c>
      <c r="M30" s="869">
        <v>1861.5</v>
      </c>
      <c r="N30" s="521">
        <f>'F2.2'!N23</f>
        <v>1584.0799893445055</v>
      </c>
      <c r="O30" s="521">
        <f>'F2.2'!O23</f>
        <v>650.35899999999992</v>
      </c>
      <c r="P30" s="521">
        <f>'F2.2'!P23</f>
        <v>933.72098934450548</v>
      </c>
      <c r="Q30" s="549">
        <f>O30+P30</f>
        <v>1584.0799893445055</v>
      </c>
      <c r="R30" s="426">
        <f>Q30-N30</f>
        <v>0</v>
      </c>
      <c r="S30" s="426">
        <f>'F2.2'!S23</f>
        <v>1861.41458341</v>
      </c>
      <c r="T30" s="426">
        <f>'F2.2'!T23</f>
        <v>1861.41458341</v>
      </c>
      <c r="U30" s="426">
        <f>'F2.2'!U23</f>
        <v>1861.4942233804913</v>
      </c>
      <c r="V30" s="426">
        <f>'F2.2'!V23</f>
        <v>1861.4942233804913</v>
      </c>
      <c r="W30" s="426">
        <f>'F2.2'!W23</f>
        <v>1861.4942233804913</v>
      </c>
      <c r="X30" s="397"/>
    </row>
    <row r="31" spans="1:24" s="36" customFormat="1" ht="15.5">
      <c r="B31" s="365">
        <v>4.2</v>
      </c>
      <c r="C31" s="381" t="s">
        <v>694</v>
      </c>
      <c r="D31" s="365" t="s">
        <v>100</v>
      </c>
      <c r="E31" s="554"/>
      <c r="F31" s="540">
        <f>'F2.2'!$G$24</f>
        <v>1641.9003749999999</v>
      </c>
      <c r="G31" s="540"/>
      <c r="H31" s="540"/>
      <c r="I31" s="665"/>
      <c r="J31" s="326">
        <f>'F2.2'!$K$24</f>
        <v>1866.6</v>
      </c>
      <c r="K31" s="326"/>
      <c r="L31" s="520"/>
      <c r="M31" s="869"/>
      <c r="N31" s="326">
        <f>'F2.2'!N24</f>
        <v>0</v>
      </c>
      <c r="O31" s="326">
        <f>'F2.2'!O24</f>
        <v>0</v>
      </c>
      <c r="P31" s="326">
        <f>'F2.2'!P24</f>
        <v>0</v>
      </c>
      <c r="Q31" s="540">
        <f>O31+P31</f>
        <v>0</v>
      </c>
      <c r="R31" s="540">
        <f>Q31-N31</f>
        <v>0</v>
      </c>
      <c r="S31" s="426">
        <f>'F2.2'!S24</f>
        <v>0</v>
      </c>
      <c r="T31" s="426">
        <f>'F2.2'!T24</f>
        <v>0</v>
      </c>
      <c r="U31" s="426">
        <f>'F2.2'!U24</f>
        <v>0</v>
      </c>
      <c r="V31" s="426">
        <f>'F2.2'!V24</f>
        <v>0</v>
      </c>
      <c r="W31" s="426">
        <f>'F2.2'!W24</f>
        <v>0</v>
      </c>
      <c r="X31" s="397"/>
    </row>
    <row r="32" spans="1:24" s="36" customFormat="1" ht="15.5">
      <c r="B32" s="365"/>
      <c r="C32" s="385"/>
      <c r="D32" s="365"/>
      <c r="E32" s="365"/>
      <c r="F32" s="584"/>
      <c r="G32" s="585"/>
      <c r="H32" s="584"/>
      <c r="I32" s="584"/>
      <c r="J32" s="584"/>
      <c r="K32" s="585"/>
      <c r="L32" s="584"/>
      <c r="M32" s="508"/>
      <c r="N32" s="508"/>
      <c r="O32" s="585"/>
      <c r="P32" s="585"/>
      <c r="Q32" s="508"/>
      <c r="R32" s="508"/>
      <c r="S32" s="508"/>
      <c r="T32" s="508"/>
      <c r="U32" s="508"/>
      <c r="V32" s="508"/>
      <c r="W32" s="508"/>
      <c r="X32" s="397"/>
    </row>
    <row r="33" spans="1:24" s="36" customFormat="1" ht="15.5">
      <c r="B33" s="394">
        <v>5</v>
      </c>
      <c r="C33" s="403" t="s">
        <v>358</v>
      </c>
      <c r="D33" s="365"/>
      <c r="E33" s="365"/>
      <c r="F33" s="584"/>
      <c r="G33" s="585"/>
      <c r="H33" s="584"/>
      <c r="I33" s="584"/>
      <c r="J33" s="584"/>
      <c r="K33" s="585"/>
      <c r="L33" s="584"/>
      <c r="M33" s="508"/>
      <c r="N33" s="508"/>
      <c r="O33" s="585"/>
      <c r="P33" s="585"/>
      <c r="Q33" s="508"/>
      <c r="R33" s="508"/>
      <c r="S33" s="508"/>
      <c r="T33" s="508"/>
      <c r="U33" s="508"/>
      <c r="V33" s="508"/>
      <c r="W33" s="508"/>
      <c r="X33" s="397"/>
    </row>
    <row r="34" spans="1:24" s="553" customFormat="1" ht="15.5">
      <c r="A34" s="424"/>
      <c r="B34" s="550">
        <f>B33+0.1</f>
        <v>5.0999999999999996</v>
      </c>
      <c r="C34" s="551" t="s">
        <v>988</v>
      </c>
      <c r="D34" s="548" t="s">
        <v>98</v>
      </c>
      <c r="E34" s="548">
        <v>8.5000000000000006E-2</v>
      </c>
      <c r="F34" s="546">
        <f>'F2.2'!$F$25</f>
        <v>9.1400000000000009E-2</v>
      </c>
      <c r="G34" s="546">
        <f>F34</f>
        <v>9.1400000000000009E-2</v>
      </c>
      <c r="H34" s="546"/>
      <c r="I34" s="864">
        <v>8.5000000000000006E-2</v>
      </c>
      <c r="J34" s="546">
        <f>'F2.2'!J25</f>
        <v>9.1399999999999995E-2</v>
      </c>
      <c r="K34" s="546">
        <f>J34</f>
        <v>9.1399999999999995E-2</v>
      </c>
      <c r="L34" s="546">
        <f t="shared" ref="L34:L40" si="6">K34-J34</f>
        <v>0</v>
      </c>
      <c r="M34" s="864">
        <v>8.5000000000000006E-2</v>
      </c>
      <c r="N34" s="546">
        <f>'F2.2'!N25</f>
        <v>8.5000000000000006E-2</v>
      </c>
      <c r="O34" s="546">
        <f>'F2.2'!O25</f>
        <v>0</v>
      </c>
      <c r="P34" s="546">
        <f>'F2.2'!P25</f>
        <v>0</v>
      </c>
      <c r="Q34" s="546">
        <f>'F2.2'!Q25</f>
        <v>0</v>
      </c>
      <c r="R34" s="546">
        <f>Q34-N34</f>
        <v>-8.5000000000000006E-2</v>
      </c>
      <c r="S34" s="546">
        <f>'F2.2'!S25</f>
        <v>9.1399999999999995E-2</v>
      </c>
      <c r="T34" s="546">
        <f>'F2.2'!T25</f>
        <v>9.1399999999999995E-2</v>
      </c>
      <c r="U34" s="546">
        <f>'F2.2'!U25</f>
        <v>9.1399999999999995E-2</v>
      </c>
      <c r="V34" s="546">
        <f>'F2.2'!V25</f>
        <v>9.1399999999999995E-2</v>
      </c>
      <c r="W34" s="546">
        <f>'F2.2'!W25</f>
        <v>9.1399999999999995E-2</v>
      </c>
      <c r="X34" s="552"/>
    </row>
    <row r="35" spans="1:24" s="36" customFormat="1" ht="15.5">
      <c r="B35" s="365">
        <v>5.2</v>
      </c>
      <c r="C35" s="385" t="s">
        <v>690</v>
      </c>
      <c r="D35" s="365" t="s">
        <v>98</v>
      </c>
      <c r="E35" s="365"/>
      <c r="F35" s="546"/>
      <c r="G35" s="546"/>
      <c r="H35" s="366"/>
      <c r="I35" s="865"/>
      <c r="J35" s="546">
        <f>'F2.2'!J26</f>
        <v>0</v>
      </c>
      <c r="K35" s="546">
        <f t="shared" ref="K35:K36" si="7">J35</f>
        <v>0</v>
      </c>
      <c r="L35" s="546">
        <f t="shared" si="6"/>
        <v>0</v>
      </c>
      <c r="M35" s="864"/>
      <c r="N35" s="546">
        <f>'F2.2'!N26</f>
        <v>0</v>
      </c>
      <c r="O35" s="366"/>
      <c r="P35" s="366"/>
      <c r="Q35" s="589"/>
      <c r="R35" s="546"/>
      <c r="S35" s="546">
        <f>'F2.2'!S26</f>
        <v>0</v>
      </c>
      <c r="T35" s="546">
        <f>'F2.2'!T26</f>
        <v>0</v>
      </c>
      <c r="U35" s="546">
        <f>'F2.2'!U26</f>
        <v>0</v>
      </c>
      <c r="V35" s="546">
        <f>'F2.2'!V26</f>
        <v>0</v>
      </c>
      <c r="W35" s="546">
        <f>'F2.2'!W26</f>
        <v>0</v>
      </c>
      <c r="X35" s="397"/>
    </row>
    <row r="36" spans="1:24" s="36" customFormat="1" ht="31">
      <c r="B36" s="365"/>
      <c r="C36" s="385" t="s">
        <v>979</v>
      </c>
      <c r="D36" s="365" t="s">
        <v>98</v>
      </c>
      <c r="E36" s="365"/>
      <c r="F36" s="546"/>
      <c r="G36" s="546"/>
      <c r="H36" s="366"/>
      <c r="I36" s="865"/>
      <c r="J36" s="546">
        <f>'F2.2'!J27</f>
        <v>0</v>
      </c>
      <c r="K36" s="546">
        <f t="shared" si="7"/>
        <v>0</v>
      </c>
      <c r="L36" s="546"/>
      <c r="M36" s="864"/>
      <c r="N36" s="546">
        <f>'F2.2'!N27</f>
        <v>0</v>
      </c>
      <c r="O36" s="366"/>
      <c r="P36" s="366"/>
      <c r="Q36" s="589"/>
      <c r="R36" s="546"/>
      <c r="S36" s="546"/>
      <c r="T36" s="546"/>
      <c r="U36" s="546"/>
      <c r="V36" s="546"/>
      <c r="W36" s="546"/>
      <c r="X36" s="397"/>
    </row>
    <row r="37" spans="1:24" s="36" customFormat="1" ht="15.5">
      <c r="B37" s="365"/>
      <c r="C37" s="385" t="s">
        <v>980</v>
      </c>
      <c r="D37" s="365" t="s">
        <v>98</v>
      </c>
      <c r="E37" s="815">
        <f>SUM(E34:E36)</f>
        <v>8.5000000000000006E-2</v>
      </c>
      <c r="F37" s="526">
        <f>SUM(F34:F36)</f>
        <v>9.1400000000000009E-2</v>
      </c>
      <c r="G37" s="526">
        <f>SUM(G34:G36)</f>
        <v>9.1400000000000009E-2</v>
      </c>
      <c r="H37" s="366"/>
      <c r="I37" s="463">
        <f>SUM(I34:I36)</f>
        <v>8.5000000000000006E-2</v>
      </c>
      <c r="J37" s="526">
        <f>SUM(J34:J36)</f>
        <v>9.1399999999999995E-2</v>
      </c>
      <c r="K37" s="526">
        <f>SUM(K34:K36)</f>
        <v>9.1399999999999995E-2</v>
      </c>
      <c r="L37" s="546"/>
      <c r="M37" s="463">
        <f>SUM(M34:M36)</f>
        <v>8.5000000000000006E-2</v>
      </c>
      <c r="N37" s="546"/>
      <c r="O37" s="366"/>
      <c r="P37" s="366"/>
      <c r="Q37" s="589"/>
      <c r="R37" s="546"/>
      <c r="S37" s="546"/>
      <c r="T37" s="546"/>
      <c r="U37" s="546"/>
      <c r="V37" s="546"/>
      <c r="W37" s="546"/>
      <c r="X37" s="397"/>
    </row>
    <row r="38" spans="1:24" s="36" customFormat="1" ht="31">
      <c r="B38" s="365">
        <v>5.3</v>
      </c>
      <c r="C38" s="385" t="s">
        <v>989</v>
      </c>
      <c r="D38" s="365" t="s">
        <v>98</v>
      </c>
      <c r="E38" s="815"/>
      <c r="F38" s="548">
        <f>F34</f>
        <v>9.1400000000000009E-2</v>
      </c>
      <c r="G38" s="548">
        <f>'F2.2'!G29</f>
        <v>0.13594809426271101</v>
      </c>
      <c r="H38" s="548">
        <f>G38-F38</f>
        <v>4.4548094262711002E-2</v>
      </c>
      <c r="I38" s="862"/>
      <c r="J38" s="548">
        <f>J34</f>
        <v>9.1399999999999995E-2</v>
      </c>
      <c r="K38" s="546">
        <f>'F2.2'!K29</f>
        <v>0.12140788731959321</v>
      </c>
      <c r="L38" s="548">
        <f>K38-J38</f>
        <v>3.000788731959321E-2</v>
      </c>
      <c r="M38" s="862">
        <f>M34</f>
        <v>8.5000000000000006E-2</v>
      </c>
      <c r="N38" s="548">
        <f>N34</f>
        <v>8.5000000000000006E-2</v>
      </c>
      <c r="O38" s="546">
        <f>'F2.2'!O29</f>
        <v>0.12301974755481206</v>
      </c>
      <c r="P38" s="546">
        <f>'F2.2'!P29</f>
        <v>9.1399999999999995E-2</v>
      </c>
      <c r="Q38" s="546">
        <f>'F2.2'!Q29</f>
        <v>0.10438178598197524</v>
      </c>
      <c r="R38" s="548">
        <f t="shared" ref="R38:R45" si="8">Q38-N38</f>
        <v>1.9381785981975236E-2</v>
      </c>
      <c r="S38" s="546">
        <f>'F2.2'!S29</f>
        <v>9.1399999999999995E-2</v>
      </c>
      <c r="T38" s="546">
        <f>'F2.2'!T29</f>
        <v>9.1399999999999995E-2</v>
      </c>
      <c r="U38" s="546">
        <f>'F2.2'!U29</f>
        <v>9.1399999999999995E-2</v>
      </c>
      <c r="V38" s="546">
        <f>'F2.2'!V29</f>
        <v>9.1399999999999995E-2</v>
      </c>
      <c r="W38" s="546">
        <f>'F2.2'!W29</f>
        <v>9.1399999999999995E-2</v>
      </c>
      <c r="X38" s="397"/>
    </row>
    <row r="39" spans="1:24" s="36" customFormat="1" ht="15.5">
      <c r="B39" s="365">
        <v>5.4</v>
      </c>
      <c r="C39" s="385" t="s">
        <v>990</v>
      </c>
      <c r="D39" s="365" t="s">
        <v>98</v>
      </c>
      <c r="E39" s="365"/>
      <c r="F39" s="548">
        <f t="shared" ref="F39:F40" si="9">F35</f>
        <v>0</v>
      </c>
      <c r="G39" s="548">
        <f>'F2.2'!G30</f>
        <v>0</v>
      </c>
      <c r="H39" s="548">
        <f t="shared" ref="H39:H41" si="10">G39-F39</f>
        <v>0</v>
      </c>
      <c r="I39" s="861"/>
      <c r="J39" s="548">
        <f t="shared" ref="J39:J40" si="11">J35</f>
        <v>0</v>
      </c>
      <c r="K39" s="366">
        <f>'F2.2'!K30</f>
        <v>0</v>
      </c>
      <c r="L39" s="548">
        <f t="shared" si="6"/>
        <v>0</v>
      </c>
      <c r="M39" s="862"/>
      <c r="N39" s="548"/>
      <c r="O39" s="366"/>
      <c r="P39" s="366"/>
      <c r="Q39" s="588"/>
      <c r="R39" s="548"/>
      <c r="S39" s="548">
        <f>'F2.2'!S30</f>
        <v>0</v>
      </c>
      <c r="T39" s="548">
        <f>'F2.2'!T30</f>
        <v>0</v>
      </c>
      <c r="U39" s="548">
        <f>'F2.2'!U30</f>
        <v>0</v>
      </c>
      <c r="V39" s="548">
        <f>'F2.2'!V30</f>
        <v>0</v>
      </c>
      <c r="W39" s="548">
        <f>'F2.2'!W30</f>
        <v>0</v>
      </c>
      <c r="X39" s="397"/>
    </row>
    <row r="40" spans="1:24" s="36" customFormat="1" ht="31">
      <c r="B40" s="365"/>
      <c r="C40" s="385" t="s">
        <v>991</v>
      </c>
      <c r="D40" s="365" t="s">
        <v>98</v>
      </c>
      <c r="E40" s="365"/>
      <c r="F40" s="548">
        <f t="shared" si="9"/>
        <v>0</v>
      </c>
      <c r="G40" s="548">
        <f>'F2.2'!G31</f>
        <v>0</v>
      </c>
      <c r="H40" s="548">
        <f t="shared" si="10"/>
        <v>0</v>
      </c>
      <c r="I40" s="861"/>
      <c r="J40" s="548">
        <f t="shared" si="11"/>
        <v>0</v>
      </c>
      <c r="K40" s="366">
        <f>'F2.2'!K31</f>
        <v>0</v>
      </c>
      <c r="L40" s="548">
        <f t="shared" si="6"/>
        <v>0</v>
      </c>
      <c r="M40" s="862"/>
      <c r="N40" s="548"/>
      <c r="O40" s="366"/>
      <c r="P40" s="366"/>
      <c r="Q40" s="588"/>
      <c r="R40" s="548"/>
      <c r="S40" s="548"/>
      <c r="T40" s="548"/>
      <c r="U40" s="548"/>
      <c r="V40" s="548"/>
      <c r="W40" s="548"/>
      <c r="X40" s="397"/>
    </row>
    <row r="41" spans="1:24" s="36" customFormat="1" ht="15.5">
      <c r="B41" s="365"/>
      <c r="C41" s="385" t="s">
        <v>992</v>
      </c>
      <c r="D41" s="365"/>
      <c r="E41" s="815">
        <f>SUM(E38:E40)</f>
        <v>0</v>
      </c>
      <c r="F41" s="458">
        <f>SUM(F38:F40)</f>
        <v>9.1400000000000009E-2</v>
      </c>
      <c r="G41" s="458">
        <f>SUM(G38:G40)</f>
        <v>0.13594809426271101</v>
      </c>
      <c r="H41" s="548">
        <f t="shared" si="10"/>
        <v>4.4548094262711002E-2</v>
      </c>
      <c r="I41" s="861"/>
      <c r="J41" s="458">
        <f>SUM(J38:J40)</f>
        <v>9.1399999999999995E-2</v>
      </c>
      <c r="K41" s="458">
        <f>SUM(K38:K40)</f>
        <v>0.12140788731959321</v>
      </c>
      <c r="L41" s="458">
        <f>SUM(L38:L40)</f>
        <v>3.000788731959321E-2</v>
      </c>
      <c r="M41" s="862"/>
      <c r="N41" s="548"/>
      <c r="O41" s="366"/>
      <c r="P41" s="366"/>
      <c r="Q41" s="588"/>
      <c r="R41" s="548"/>
      <c r="S41" s="548"/>
      <c r="T41" s="548"/>
      <c r="U41" s="548"/>
      <c r="V41" s="548"/>
      <c r="W41" s="548"/>
      <c r="X41" s="397"/>
    </row>
    <row r="42" spans="1:24" s="424" customFormat="1" ht="31">
      <c r="A42" s="36"/>
      <c r="B42" s="395">
        <v>5.5</v>
      </c>
      <c r="C42" s="423" t="s">
        <v>993</v>
      </c>
      <c r="D42" s="395" t="s">
        <v>100</v>
      </c>
      <c r="E42" s="520">
        <f>E$30*E37</f>
        <v>125.73444477798411</v>
      </c>
      <c r="F42" s="520">
        <f>F$30*F38</f>
        <v>103.56817340000002</v>
      </c>
      <c r="G42" s="520">
        <f>G$30*G38</f>
        <v>154.047</v>
      </c>
      <c r="H42" s="520">
        <f t="shared" ref="H42:H45" si="12">G42-F42</f>
        <v>50.478826599999977</v>
      </c>
      <c r="I42" s="520">
        <f>I$30*I37</f>
        <v>158.661</v>
      </c>
      <c r="J42" s="520">
        <f>J$30*J38</f>
        <v>118.36208599999999</v>
      </c>
      <c r="K42" s="520">
        <f>K$30*K38</f>
        <v>157.22200000000001</v>
      </c>
      <c r="L42" s="520">
        <f t="shared" ref="L42:L45" si="13">K42-J42</f>
        <v>38.859914000000018</v>
      </c>
      <c r="M42" s="520">
        <f>M$30*M37</f>
        <v>158.22750000000002</v>
      </c>
      <c r="N42" s="520">
        <f>N$30*N38</f>
        <v>134.64679909428298</v>
      </c>
      <c r="O42" s="520">
        <f>O$30*O38</f>
        <v>80.007000000000005</v>
      </c>
      <c r="P42" s="520">
        <f>P$30*P38</f>
        <v>85.342098426087801</v>
      </c>
      <c r="Q42" s="590">
        <f t="shared" ref="Q42:Q45" si="14">O42+P42</f>
        <v>165.34909842608781</v>
      </c>
      <c r="R42" s="520">
        <f t="shared" si="8"/>
        <v>30.702299331804824</v>
      </c>
      <c r="S42" s="520">
        <f t="shared" ref="S42:W42" si="15">S$30*S38</f>
        <v>170.13329292367399</v>
      </c>
      <c r="T42" s="520">
        <f t="shared" si="15"/>
        <v>170.13329292367399</v>
      </c>
      <c r="U42" s="520">
        <f t="shared" si="15"/>
        <v>170.1405720169769</v>
      </c>
      <c r="V42" s="520">
        <f t="shared" si="15"/>
        <v>170.1405720169769</v>
      </c>
      <c r="W42" s="520">
        <f t="shared" si="15"/>
        <v>170.1405720169769</v>
      </c>
      <c r="X42" s="397"/>
    </row>
    <row r="43" spans="1:24" s="424" customFormat="1" ht="31">
      <c r="A43" s="36"/>
      <c r="B43" s="395"/>
      <c r="C43" s="385" t="s">
        <v>994</v>
      </c>
      <c r="D43" s="395" t="s">
        <v>100</v>
      </c>
      <c r="E43" s="395"/>
      <c r="F43" s="520">
        <f t="shared" ref="F43:G44" si="16">F$30*F39</f>
        <v>0</v>
      </c>
      <c r="G43" s="520">
        <f t="shared" si="16"/>
        <v>0</v>
      </c>
      <c r="H43" s="520">
        <f t="shared" si="12"/>
        <v>0</v>
      </c>
      <c r="I43" s="863"/>
      <c r="J43" s="520">
        <f t="shared" ref="J43:K43" si="17">J$30*J39</f>
        <v>0</v>
      </c>
      <c r="K43" s="520">
        <f t="shared" si="17"/>
        <v>0</v>
      </c>
      <c r="L43" s="520">
        <f t="shared" si="13"/>
        <v>0</v>
      </c>
      <c r="M43" s="863"/>
      <c r="N43" s="520">
        <f t="shared" ref="N43:P43" si="18">N$30*N39</f>
        <v>0</v>
      </c>
      <c r="O43" s="520">
        <f t="shared" si="18"/>
        <v>0</v>
      </c>
      <c r="P43" s="520">
        <f t="shared" si="18"/>
        <v>0</v>
      </c>
      <c r="Q43" s="590">
        <f t="shared" si="14"/>
        <v>0</v>
      </c>
      <c r="R43" s="520">
        <f t="shared" si="8"/>
        <v>0</v>
      </c>
      <c r="S43" s="520">
        <f t="shared" ref="S43:W43" si="19">S$30*S39</f>
        <v>0</v>
      </c>
      <c r="T43" s="520">
        <f t="shared" si="19"/>
        <v>0</v>
      </c>
      <c r="U43" s="520">
        <f t="shared" si="19"/>
        <v>0</v>
      </c>
      <c r="V43" s="520">
        <f t="shared" si="19"/>
        <v>0</v>
      </c>
      <c r="W43" s="520">
        <f t="shared" si="19"/>
        <v>0</v>
      </c>
      <c r="X43" s="397"/>
    </row>
    <row r="44" spans="1:24" s="424" customFormat="1" ht="31">
      <c r="A44" s="36"/>
      <c r="B44" s="395"/>
      <c r="C44" s="385" t="s">
        <v>995</v>
      </c>
      <c r="D44" s="395" t="s">
        <v>100</v>
      </c>
      <c r="E44" s="395"/>
      <c r="F44" s="520">
        <f t="shared" si="16"/>
        <v>0</v>
      </c>
      <c r="G44" s="520">
        <f t="shared" si="16"/>
        <v>0</v>
      </c>
      <c r="H44" s="520">
        <f t="shared" si="12"/>
        <v>0</v>
      </c>
      <c r="I44" s="863"/>
      <c r="J44" s="520">
        <f t="shared" ref="J44:K44" si="20">J$30*J40</f>
        <v>0</v>
      </c>
      <c r="K44" s="520">
        <f t="shared" si="20"/>
        <v>0</v>
      </c>
      <c r="L44" s="520">
        <f t="shared" si="13"/>
        <v>0</v>
      </c>
      <c r="M44" s="863"/>
      <c r="N44" s="520">
        <f t="shared" ref="N44:P44" si="21">N$30*N40</f>
        <v>0</v>
      </c>
      <c r="O44" s="520">
        <f t="shared" si="21"/>
        <v>0</v>
      </c>
      <c r="P44" s="520">
        <f t="shared" si="21"/>
        <v>0</v>
      </c>
      <c r="Q44" s="590">
        <f t="shared" si="14"/>
        <v>0</v>
      </c>
      <c r="R44" s="520">
        <f t="shared" si="8"/>
        <v>0</v>
      </c>
      <c r="S44" s="520">
        <f t="shared" ref="S44:W44" si="22">S$30*S40</f>
        <v>0</v>
      </c>
      <c r="T44" s="520">
        <f t="shared" si="22"/>
        <v>0</v>
      </c>
      <c r="U44" s="520">
        <f t="shared" si="22"/>
        <v>0</v>
      </c>
      <c r="V44" s="520">
        <f t="shared" si="22"/>
        <v>0</v>
      </c>
      <c r="W44" s="520">
        <f t="shared" si="22"/>
        <v>0</v>
      </c>
      <c r="X44" s="397"/>
    </row>
    <row r="45" spans="1:24" s="36" customFormat="1" ht="15.5">
      <c r="B45" s="365">
        <v>5.6</v>
      </c>
      <c r="C45" s="385" t="s">
        <v>996</v>
      </c>
      <c r="D45" s="365" t="s">
        <v>100</v>
      </c>
      <c r="E45" s="365"/>
      <c r="F45" s="540">
        <f>SUM(F42:F44)</f>
        <v>103.56817340000002</v>
      </c>
      <c r="G45" s="540">
        <f>SUM(G42:G44)</f>
        <v>154.047</v>
      </c>
      <c r="H45" s="520">
        <f t="shared" si="12"/>
        <v>50.478826599999977</v>
      </c>
      <c r="I45" s="665"/>
      <c r="J45" s="540">
        <f>SUM(J42:J44)</f>
        <v>118.36208599999999</v>
      </c>
      <c r="K45" s="540">
        <f>SUM(K42:K44)</f>
        <v>157.22200000000001</v>
      </c>
      <c r="L45" s="520">
        <f t="shared" si="13"/>
        <v>38.859914000000018</v>
      </c>
      <c r="M45" s="863"/>
      <c r="N45" s="540">
        <f>SUM(N42:N44)</f>
        <v>134.64679909428298</v>
      </c>
      <c r="O45" s="540">
        <f>SUM(O42:O44)</f>
        <v>80.007000000000005</v>
      </c>
      <c r="P45" s="540">
        <f>SUM(P42:P44)</f>
        <v>85.342098426087801</v>
      </c>
      <c r="Q45" s="590">
        <f t="shared" si="14"/>
        <v>165.34909842608781</v>
      </c>
      <c r="R45" s="520">
        <f t="shared" si="8"/>
        <v>30.702299331804824</v>
      </c>
      <c r="S45" s="540">
        <f t="shared" ref="S45:W45" si="23">SUM(S42:S44)</f>
        <v>170.13329292367399</v>
      </c>
      <c r="T45" s="540">
        <f t="shared" si="23"/>
        <v>170.13329292367399</v>
      </c>
      <c r="U45" s="540">
        <f t="shared" si="23"/>
        <v>170.1405720169769</v>
      </c>
      <c r="V45" s="540">
        <f t="shared" si="23"/>
        <v>170.1405720169769</v>
      </c>
      <c r="W45" s="540">
        <f t="shared" si="23"/>
        <v>170.1405720169769</v>
      </c>
      <c r="X45" s="397"/>
    </row>
    <row r="46" spans="1:24" s="36" customFormat="1" ht="15.5">
      <c r="B46" s="365"/>
      <c r="C46" s="385"/>
      <c r="D46" s="365"/>
      <c r="E46" s="365"/>
      <c r="F46" s="520"/>
      <c r="G46" s="520"/>
      <c r="H46" s="520"/>
      <c r="I46" s="863"/>
      <c r="J46" s="520"/>
      <c r="K46" s="521"/>
      <c r="L46" s="520"/>
      <c r="M46" s="863"/>
      <c r="N46" s="520"/>
      <c r="O46" s="521"/>
      <c r="P46" s="521"/>
      <c r="Q46" s="520"/>
      <c r="R46" s="520"/>
      <c r="S46" s="520"/>
      <c r="T46" s="520"/>
      <c r="U46" s="520"/>
      <c r="V46" s="520"/>
      <c r="W46" s="520"/>
      <c r="X46" s="397"/>
    </row>
    <row r="47" spans="1:24" s="36" customFormat="1" ht="15.5">
      <c r="B47" s="394">
        <v>6</v>
      </c>
      <c r="C47" s="403" t="s">
        <v>101</v>
      </c>
      <c r="D47" s="365"/>
      <c r="E47" s="365"/>
      <c r="F47" s="520"/>
      <c r="G47" s="520"/>
      <c r="H47" s="520"/>
      <c r="I47" s="863"/>
      <c r="J47" s="520"/>
      <c r="K47" s="521"/>
      <c r="L47" s="520"/>
      <c r="M47" s="863"/>
      <c r="N47" s="520"/>
      <c r="O47" s="521"/>
      <c r="P47" s="521"/>
      <c r="Q47" s="520"/>
      <c r="R47" s="520"/>
      <c r="S47" s="520"/>
      <c r="T47" s="520"/>
      <c r="U47" s="520"/>
      <c r="V47" s="520"/>
      <c r="W47" s="520"/>
      <c r="X47" s="397"/>
    </row>
    <row r="48" spans="1:24" s="424" customFormat="1" ht="15.5">
      <c r="A48" s="36"/>
      <c r="B48" s="395">
        <v>6.1</v>
      </c>
      <c r="C48" s="384" t="s">
        <v>692</v>
      </c>
      <c r="D48" s="395" t="s">
        <v>100</v>
      </c>
      <c r="E48" s="554">
        <v>1353.4943173159465</v>
      </c>
      <c r="F48" s="520">
        <f>F30-F45</f>
        <v>1029.5628266000001</v>
      </c>
      <c r="G48" s="520">
        <f t="shared" ref="G48" si="24">G30-G45</f>
        <v>979.08400000000006</v>
      </c>
      <c r="H48" s="520">
        <f>G48-F48</f>
        <v>-50.478826600000048</v>
      </c>
      <c r="I48" s="863">
        <f>I30*(1-I37)</f>
        <v>1707.9390000000001</v>
      </c>
      <c r="J48" s="520">
        <f>J30-J45</f>
        <v>1176.6279139999999</v>
      </c>
      <c r="K48" s="520">
        <f t="shared" ref="K48" si="25">K30-K45</f>
        <v>1137.768</v>
      </c>
      <c r="L48" s="520">
        <f>K48-J48</f>
        <v>-38.85991399999989</v>
      </c>
      <c r="M48" s="863">
        <f>M30*(1-M37)</f>
        <v>1703.2725</v>
      </c>
      <c r="N48" s="520">
        <f>N30-N45</f>
        <v>1449.4331902502227</v>
      </c>
      <c r="O48" s="520">
        <f t="shared" ref="O48:P48" si="26">O30-O45</f>
        <v>570.35199999999986</v>
      </c>
      <c r="P48" s="520">
        <f t="shared" si="26"/>
        <v>848.37889091841771</v>
      </c>
      <c r="Q48" s="590">
        <f>O48+P48</f>
        <v>1418.7308909184176</v>
      </c>
      <c r="R48" s="520">
        <f>Q48-N48</f>
        <v>-30.702299331805079</v>
      </c>
      <c r="S48" s="520">
        <f t="shared" ref="S48:W48" si="27">S30-S45</f>
        <v>1691.281290486326</v>
      </c>
      <c r="T48" s="520">
        <f t="shared" si="27"/>
        <v>1691.281290486326</v>
      </c>
      <c r="U48" s="520">
        <f t="shared" si="27"/>
        <v>1691.3536513635145</v>
      </c>
      <c r="V48" s="520">
        <f t="shared" si="27"/>
        <v>1691.3536513635145</v>
      </c>
      <c r="W48" s="520">
        <f t="shared" si="27"/>
        <v>1691.3536513635145</v>
      </c>
      <c r="X48" s="397"/>
    </row>
    <row r="49" spans="2:24" s="36" customFormat="1" ht="15.5">
      <c r="B49" s="365">
        <v>6.2</v>
      </c>
      <c r="C49" s="381" t="s">
        <v>693</v>
      </c>
      <c r="D49" s="365" t="s">
        <v>100</v>
      </c>
      <c r="E49" s="387"/>
      <c r="F49" s="540"/>
      <c r="G49" s="540"/>
      <c r="H49" s="540">
        <f>G49-F49</f>
        <v>0</v>
      </c>
      <c r="I49" s="665"/>
      <c r="J49" s="520"/>
      <c r="K49" s="326"/>
      <c r="L49" s="520">
        <f>K49-J49</f>
        <v>0</v>
      </c>
      <c r="M49" s="863"/>
      <c r="N49" s="520"/>
      <c r="O49" s="326"/>
      <c r="P49" s="326"/>
      <c r="Q49" s="540">
        <f>O49+P49</f>
        <v>0</v>
      </c>
      <c r="R49" s="540">
        <f>Q49-N49</f>
        <v>0</v>
      </c>
      <c r="S49" s="540"/>
      <c r="T49" s="540"/>
      <c r="U49" s="540"/>
      <c r="V49" s="540"/>
      <c r="W49" s="540"/>
      <c r="X49" s="397"/>
    </row>
    <row r="50" spans="2:24" s="36" customFormat="1" ht="15.5">
      <c r="B50" s="365"/>
      <c r="C50" s="385"/>
      <c r="D50" s="365"/>
      <c r="E50" s="365"/>
      <c r="F50" s="521"/>
      <c r="G50" s="521"/>
      <c r="H50" s="521"/>
      <c r="I50" s="585"/>
      <c r="J50" s="521"/>
      <c r="K50" s="521"/>
      <c r="L50" s="521"/>
      <c r="M50" s="585"/>
      <c r="N50" s="521"/>
      <c r="O50" s="521"/>
      <c r="P50" s="521"/>
      <c r="Q50" s="521"/>
      <c r="R50" s="521"/>
      <c r="S50" s="521"/>
      <c r="T50" s="521"/>
      <c r="U50" s="521"/>
      <c r="V50" s="521"/>
      <c r="W50" s="521"/>
      <c r="X50" s="397"/>
    </row>
    <row r="51" spans="2:24" s="36" customFormat="1" ht="15.5">
      <c r="B51" s="394">
        <v>7</v>
      </c>
      <c r="C51" s="403" t="s">
        <v>447</v>
      </c>
      <c r="D51" s="365"/>
      <c r="E51" s="365"/>
      <c r="F51" s="521"/>
      <c r="G51" s="521"/>
      <c r="H51" s="521"/>
      <c r="I51" s="585"/>
      <c r="J51" s="521"/>
      <c r="K51" s="521"/>
      <c r="L51" s="521"/>
      <c r="M51" s="585"/>
      <c r="N51" s="521"/>
      <c r="O51" s="521"/>
      <c r="P51" s="521"/>
      <c r="Q51" s="521"/>
      <c r="R51" s="521"/>
      <c r="S51" s="521"/>
      <c r="T51" s="521"/>
      <c r="U51" s="521"/>
      <c r="V51" s="521"/>
      <c r="W51" s="521"/>
      <c r="X51" s="397"/>
    </row>
    <row r="52" spans="2:24" s="36" customFormat="1" ht="15.5">
      <c r="B52" s="365">
        <f>B51+0.1</f>
        <v>7.1</v>
      </c>
      <c r="C52" s="385" t="s">
        <v>102</v>
      </c>
      <c r="D52" s="365" t="s">
        <v>103</v>
      </c>
      <c r="E52" s="387">
        <v>2430</v>
      </c>
      <c r="F52" s="521">
        <f>'F2.2'!F39</f>
        <v>2430</v>
      </c>
      <c r="G52" s="766"/>
      <c r="H52" s="766"/>
      <c r="I52" s="585">
        <v>2430</v>
      </c>
      <c r="J52" s="521">
        <f>'F2.2'!J39</f>
        <v>2430</v>
      </c>
      <c r="K52" s="766"/>
      <c r="L52" s="766"/>
      <c r="M52" s="585">
        <v>2430</v>
      </c>
      <c r="N52" s="521">
        <f>'F2.2'!$N$39</f>
        <v>2430</v>
      </c>
      <c r="O52" s="772"/>
      <c r="P52" s="772"/>
      <c r="Q52" s="521">
        <f>'F2.2'!Q39</f>
        <v>0</v>
      </c>
      <c r="R52" s="521">
        <f>Q52-N52</f>
        <v>-2430</v>
      </c>
      <c r="S52" s="521">
        <f>'F2.2'!S39</f>
        <v>0</v>
      </c>
      <c r="T52" s="521">
        <f>'F2.2'!T39</f>
        <v>0</v>
      </c>
      <c r="U52" s="521">
        <f>'F2.2'!U39</f>
        <v>0</v>
      </c>
      <c r="V52" s="521">
        <f>'F2.2'!V39</f>
        <v>0</v>
      </c>
      <c r="W52" s="521">
        <f>'F2.2'!W39</f>
        <v>0</v>
      </c>
      <c r="X52" s="397"/>
    </row>
    <row r="53" spans="2:24" s="36" customFormat="1" ht="15.5">
      <c r="B53" s="365">
        <f>B52+0.1</f>
        <v>7.1999999999999993</v>
      </c>
      <c r="C53" s="381" t="s">
        <v>317</v>
      </c>
      <c r="D53" s="365" t="s">
        <v>103</v>
      </c>
      <c r="E53" s="387"/>
      <c r="F53" s="766"/>
      <c r="G53" s="521">
        <f>'F2.2'!G40</f>
        <v>2535.5271992891567</v>
      </c>
      <c r="H53" s="521">
        <f>G53-F52</f>
        <v>105.52719928915667</v>
      </c>
      <c r="I53" s="585"/>
      <c r="J53" s="766"/>
      <c r="K53" s="521">
        <f>'F2.2'!$K$40</f>
        <v>2441.4382928680684</v>
      </c>
      <c r="L53" s="771">
        <f>K53-J52</f>
        <v>11.438292868068402</v>
      </c>
      <c r="M53" s="585"/>
      <c r="N53" s="772"/>
      <c r="O53" s="521">
        <f>'F2.2'!O40</f>
        <v>2467.7897502074707</v>
      </c>
      <c r="P53" s="521">
        <f>'F2.2'!P40</f>
        <v>2430</v>
      </c>
      <c r="Q53" s="521">
        <f>'F2.2'!Q40</f>
        <v>2445.5149388417881</v>
      </c>
      <c r="R53" s="521">
        <f>Q53-N53</f>
        <v>2445.5149388417881</v>
      </c>
      <c r="S53" s="521">
        <f>'F2.2'!S40</f>
        <v>2415</v>
      </c>
      <c r="T53" s="521">
        <f>'F2.2'!T40</f>
        <v>2415</v>
      </c>
      <c r="U53" s="521">
        <f>'F2.2'!U40</f>
        <v>2415</v>
      </c>
      <c r="V53" s="521">
        <f>'F2.2'!V40</f>
        <v>2415</v>
      </c>
      <c r="W53" s="521">
        <f>'F2.2'!W40</f>
        <v>2415</v>
      </c>
      <c r="X53" s="397"/>
    </row>
    <row r="54" spans="2:24" s="36" customFormat="1" ht="15.5">
      <c r="B54" s="365"/>
      <c r="C54" s="381"/>
      <c r="D54" s="365"/>
      <c r="E54" s="365"/>
      <c r="F54" s="521"/>
      <c r="G54" s="521"/>
      <c r="H54" s="521"/>
      <c r="I54" s="585"/>
      <c r="J54" s="521"/>
      <c r="K54" s="521"/>
      <c r="L54" s="521"/>
      <c r="M54" s="585"/>
      <c r="N54" s="521"/>
      <c r="O54" s="521"/>
      <c r="P54" s="521"/>
      <c r="Q54" s="521"/>
      <c r="R54" s="521"/>
      <c r="S54" s="521"/>
      <c r="T54" s="521"/>
      <c r="U54" s="521"/>
      <c r="V54" s="521"/>
      <c r="W54" s="521"/>
      <c r="X54" s="397"/>
    </row>
    <row r="55" spans="2:24" s="36" customFormat="1" ht="15.5">
      <c r="B55" s="394">
        <v>8</v>
      </c>
      <c r="C55" s="400" t="s">
        <v>375</v>
      </c>
      <c r="D55" s="365"/>
      <c r="E55" s="365"/>
      <c r="F55" s="521"/>
      <c r="G55" s="521"/>
      <c r="H55" s="521"/>
      <c r="I55" s="585"/>
      <c r="J55" s="521"/>
      <c r="K55" s="521"/>
      <c r="L55" s="521"/>
      <c r="M55" s="585"/>
      <c r="N55" s="521"/>
      <c r="O55" s="521"/>
      <c r="P55" s="521"/>
      <c r="Q55" s="521"/>
      <c r="R55" s="521"/>
      <c r="S55" s="521"/>
      <c r="T55" s="521"/>
      <c r="U55" s="521"/>
      <c r="V55" s="521"/>
      <c r="W55" s="521"/>
      <c r="X55" s="397"/>
    </row>
    <row r="56" spans="2:24" s="36" customFormat="1" ht="15.5">
      <c r="B56" s="365">
        <f>B55+0.1</f>
        <v>8.1</v>
      </c>
      <c r="C56" s="381" t="s">
        <v>104</v>
      </c>
      <c r="D56" s="365" t="s">
        <v>105</v>
      </c>
      <c r="E56" s="387">
        <v>0.5</v>
      </c>
      <c r="F56" s="521">
        <f>'F2.2'!$F$41</f>
        <v>0.5</v>
      </c>
      <c r="G56" s="521"/>
      <c r="H56" s="521"/>
      <c r="I56" s="585">
        <v>0.5</v>
      </c>
      <c r="J56" s="521">
        <f>I56</f>
        <v>0.5</v>
      </c>
      <c r="K56" s="521">
        <f>'F2.2'!$K$41</f>
        <v>0</v>
      </c>
      <c r="L56" s="521">
        <f>K56-J56</f>
        <v>-0.5</v>
      </c>
      <c r="M56" s="585">
        <v>0.5</v>
      </c>
      <c r="N56" s="521">
        <f>'F2.2'!$N$41</f>
        <v>0.5</v>
      </c>
      <c r="O56" s="521">
        <f>'F2.2'!O41</f>
        <v>0</v>
      </c>
      <c r="P56" s="521">
        <f>'F2.2'!P41</f>
        <v>0</v>
      </c>
      <c r="Q56" s="521">
        <f>'F2.2'!Q41</f>
        <v>0</v>
      </c>
      <c r="R56" s="521">
        <f>Q56-N56</f>
        <v>-0.5</v>
      </c>
      <c r="S56" s="521">
        <f>'F2.2'!S41</f>
        <v>0</v>
      </c>
      <c r="T56" s="521">
        <f>'F2.2'!T41</f>
        <v>0</v>
      </c>
      <c r="U56" s="521">
        <f>'F2.2'!U41</f>
        <v>0</v>
      </c>
      <c r="V56" s="521">
        <f>'F2.2'!V41</f>
        <v>0</v>
      </c>
      <c r="W56" s="521">
        <f>'F2.2'!W41</f>
        <v>0</v>
      </c>
      <c r="X56" s="397"/>
    </row>
    <row r="57" spans="2:24" s="36" customFormat="1" ht="15.5">
      <c r="B57" s="365">
        <f>B56+0.1</f>
        <v>8.1999999999999993</v>
      </c>
      <c r="C57" s="381" t="s">
        <v>318</v>
      </c>
      <c r="D57" s="365" t="s">
        <v>105</v>
      </c>
      <c r="E57" s="387"/>
      <c r="F57" s="521"/>
      <c r="G57" s="521">
        <f>'F2.2'!$G$42</f>
        <v>5.1470000000000002</v>
      </c>
      <c r="H57" s="521">
        <f>G57-F56</f>
        <v>4.6470000000000002</v>
      </c>
      <c r="I57" s="521"/>
      <c r="J57" s="521">
        <f>J56</f>
        <v>0.5</v>
      </c>
      <c r="K57" s="521">
        <f>'F2.2'!$K$42</f>
        <v>1.2193839334666676</v>
      </c>
      <c r="L57" s="521">
        <f>K57-J57</f>
        <v>0.71938393346666762</v>
      </c>
      <c r="M57" s="521"/>
      <c r="N57" s="521">
        <f>N56</f>
        <v>0.5</v>
      </c>
      <c r="O57" s="521">
        <f>'F2.2'!O42</f>
        <v>2.3125073997592098</v>
      </c>
      <c r="P57" s="521">
        <f>'F2.2'!P42</f>
        <v>0.5</v>
      </c>
      <c r="Q57" s="521">
        <f>'F2.2'!Q42</f>
        <v>1.4062536998796049</v>
      </c>
      <c r="R57" s="521">
        <f>Q57-N57</f>
        <v>0.90625369987960491</v>
      </c>
      <c r="S57" s="521">
        <f>'F2.2'!S42</f>
        <v>0.5</v>
      </c>
      <c r="T57" s="521">
        <f>'F2.2'!T42</f>
        <v>0.5</v>
      </c>
      <c r="U57" s="521">
        <f>'F2.2'!U42</f>
        <v>0.5</v>
      </c>
      <c r="V57" s="521">
        <f>'F2.2'!V42</f>
        <v>0.5</v>
      </c>
      <c r="W57" s="521">
        <f>'F2.2'!W42</f>
        <v>0.5</v>
      </c>
      <c r="X57" s="397"/>
    </row>
    <row r="58" spans="2:24" s="36" customFormat="1" ht="15.5">
      <c r="B58" s="365"/>
      <c r="C58" s="381"/>
      <c r="D58" s="365"/>
      <c r="E58" s="365"/>
      <c r="F58" s="584"/>
      <c r="G58" s="584"/>
      <c r="H58" s="584"/>
      <c r="I58" s="584"/>
      <c r="J58" s="584"/>
      <c r="K58" s="584"/>
      <c r="L58" s="584"/>
      <c r="M58" s="508"/>
      <c r="N58" s="584"/>
      <c r="O58" s="584"/>
      <c r="P58" s="584"/>
      <c r="Q58" s="508"/>
      <c r="R58" s="508"/>
      <c r="S58" s="508"/>
      <c r="T58" s="508"/>
      <c r="U58" s="508"/>
      <c r="V58" s="508"/>
      <c r="W58" s="508"/>
      <c r="X58" s="397"/>
    </row>
    <row r="59" spans="2:24" s="36" customFormat="1" ht="15.5">
      <c r="B59" s="394">
        <v>9</v>
      </c>
      <c r="C59" s="400" t="s">
        <v>142</v>
      </c>
      <c r="D59" s="365"/>
      <c r="E59" s="365"/>
      <c r="F59" s="584"/>
      <c r="G59" s="584"/>
      <c r="H59" s="584"/>
      <c r="I59" s="584"/>
      <c r="J59" s="584"/>
      <c r="K59" s="584"/>
      <c r="L59" s="584"/>
      <c r="M59" s="508"/>
      <c r="N59" s="584"/>
      <c r="O59" s="584"/>
      <c r="P59" s="584"/>
      <c r="Q59" s="508"/>
      <c r="R59" s="508"/>
      <c r="S59" s="508"/>
      <c r="T59" s="508"/>
      <c r="U59" s="508"/>
      <c r="V59" s="508"/>
      <c r="W59" s="508"/>
      <c r="X59" s="397"/>
    </row>
    <row r="60" spans="2:24" s="36" customFormat="1" ht="15.5">
      <c r="B60" s="365">
        <f>B59+0.1</f>
        <v>9.1</v>
      </c>
      <c r="C60" s="381" t="s">
        <v>106</v>
      </c>
      <c r="D60" s="365" t="s">
        <v>98</v>
      </c>
      <c r="E60" s="398">
        <v>8.0000000000000002E-3</v>
      </c>
      <c r="F60" s="488">
        <f>'F2.2'!F43</f>
        <v>8.0000000000000002E-3</v>
      </c>
      <c r="G60" s="766"/>
      <c r="H60" s="773"/>
      <c r="I60" s="488">
        <v>8.0000000000000002E-3</v>
      </c>
      <c r="J60" s="488">
        <f>'F2.2'!J43</f>
        <v>8.0000000000000002E-3</v>
      </c>
      <c r="K60" s="766"/>
      <c r="L60" s="773"/>
      <c r="M60" s="488"/>
      <c r="N60" s="488">
        <f>'F2.2'!N43</f>
        <v>8.0000000000000002E-3</v>
      </c>
      <c r="O60" s="766"/>
      <c r="P60" s="773"/>
      <c r="Q60" s="773"/>
      <c r="R60" s="586"/>
      <c r="S60" s="586">
        <f>'F2.2'!S43</f>
        <v>0</v>
      </c>
      <c r="T60" s="586">
        <f>'F2.2'!T43</f>
        <v>0</v>
      </c>
      <c r="U60" s="586">
        <f>'F2.2'!U43</f>
        <v>0</v>
      </c>
      <c r="V60" s="586">
        <f>'F2.2'!V43</f>
        <v>0</v>
      </c>
      <c r="W60" s="586">
        <f>'F2.2'!W43</f>
        <v>0</v>
      </c>
      <c r="X60" s="644"/>
    </row>
    <row r="61" spans="2:24" s="36" customFormat="1" ht="15.5">
      <c r="B61" s="365">
        <f>B60+0.1</f>
        <v>9.1999999999999993</v>
      </c>
      <c r="C61" s="381" t="s">
        <v>319</v>
      </c>
      <c r="D61" s="365" t="s">
        <v>98</v>
      </c>
      <c r="E61" s="398"/>
      <c r="F61" s="773"/>
      <c r="G61" s="546">
        <f>'F2.2'!G44</f>
        <v>4.8999999999999998E-3</v>
      </c>
      <c r="H61" s="488">
        <f>G61-F60</f>
        <v>-3.1000000000000003E-3</v>
      </c>
      <c r="I61" s="488"/>
      <c r="J61" s="773"/>
      <c r="K61" s="546">
        <f>'F2.2'!$K$44</f>
        <v>1.1000000000000001E-3</v>
      </c>
      <c r="L61" s="488">
        <f>K61-J60</f>
        <v>-6.8999999999999999E-3</v>
      </c>
      <c r="M61" s="488"/>
      <c r="N61" s="773"/>
      <c r="O61" s="546">
        <f>'F2.2'!O44</f>
        <v>5.0535282221190027E-3</v>
      </c>
      <c r="P61" s="546">
        <f>'F2.2'!P44</f>
        <v>8.0000000000000002E-3</v>
      </c>
      <c r="Q61" s="546">
        <f>'F2.2'!Q44</f>
        <v>6.526764111059501E-3</v>
      </c>
      <c r="R61" s="586">
        <f>Q61-N60</f>
        <v>-1.4732358889404992E-3</v>
      </c>
      <c r="S61" s="586">
        <f>'F2.2'!S44</f>
        <v>8.0000000000000002E-3</v>
      </c>
      <c r="T61" s="586">
        <f>'F2.2'!T44</f>
        <v>8.0000000000000002E-3</v>
      </c>
      <c r="U61" s="586">
        <f>'F2.2'!U44</f>
        <v>8.0000000000000002E-3</v>
      </c>
      <c r="V61" s="586">
        <f>'F2.2'!V44</f>
        <v>8.0000000000000002E-3</v>
      </c>
      <c r="W61" s="586">
        <f>'F2.2'!W44</f>
        <v>8.0000000000000002E-3</v>
      </c>
      <c r="X61" s="644"/>
    </row>
    <row r="62" spans="2:24" s="36" customFormat="1">
      <c r="B62" s="174"/>
      <c r="C62" s="175"/>
      <c r="D62" s="176"/>
      <c r="E62" s="176"/>
      <c r="F62" s="176"/>
      <c r="G62" s="176"/>
      <c r="H62" s="176"/>
      <c r="I62" s="176"/>
      <c r="J62" s="176"/>
      <c r="K62" s="176"/>
      <c r="L62" s="176"/>
      <c r="M62" s="174"/>
      <c r="N62" s="174"/>
      <c r="O62" s="174"/>
      <c r="P62" s="174"/>
      <c r="Q62" s="174"/>
      <c r="R62" s="174"/>
      <c r="S62" s="174"/>
      <c r="T62" s="174"/>
      <c r="U62" s="174"/>
      <c r="V62" s="174"/>
      <c r="W62" s="174"/>
    </row>
    <row r="63" spans="2:24" s="1" customFormat="1" ht="16">
      <c r="D63" s="49"/>
      <c r="E63" s="49"/>
      <c r="F63" s="49"/>
      <c r="G63" s="49"/>
      <c r="H63" s="49"/>
      <c r="I63" s="49"/>
      <c r="J63" s="49"/>
      <c r="K63" s="49"/>
      <c r="L63" s="49"/>
      <c r="M63" s="45"/>
      <c r="N63" s="45"/>
      <c r="O63" s="45"/>
      <c r="P63" s="45"/>
      <c r="Q63" s="45"/>
      <c r="R63" s="45"/>
      <c r="S63" s="45"/>
      <c r="T63" s="45"/>
      <c r="U63" s="45"/>
      <c r="V63" s="45"/>
      <c r="W63" s="45"/>
    </row>
    <row r="64" spans="2:24" ht="16">
      <c r="B64" s="14"/>
      <c r="M64" s="45"/>
      <c r="N64" s="45"/>
      <c r="O64" s="45"/>
      <c r="P64" s="45"/>
      <c r="Q64" s="45"/>
      <c r="R64" s="45"/>
      <c r="S64" s="45"/>
      <c r="T64" s="45"/>
      <c r="U64" s="45"/>
      <c r="V64" s="45"/>
      <c r="W64" s="45"/>
    </row>
    <row r="65" spans="3:23" ht="16">
      <c r="C65" s="47"/>
      <c r="M65" s="45"/>
      <c r="N65" s="45"/>
      <c r="O65" s="45"/>
      <c r="P65" s="45"/>
      <c r="Q65" s="45"/>
      <c r="R65" s="45"/>
      <c r="S65" s="45"/>
      <c r="T65" s="45"/>
      <c r="U65" s="45"/>
      <c r="V65" s="45"/>
      <c r="W65" s="45"/>
    </row>
    <row r="66" spans="3:23">
      <c r="M66" s="51"/>
      <c r="N66" s="51"/>
      <c r="O66" s="51"/>
      <c r="P66" s="51"/>
      <c r="Q66" s="51"/>
      <c r="R66" s="51"/>
      <c r="S66" s="51"/>
      <c r="T66" s="51"/>
      <c r="U66" s="51"/>
      <c r="V66" s="51"/>
      <c r="W66" s="51"/>
    </row>
    <row r="67" spans="3:23">
      <c r="P67" s="52"/>
    </row>
  </sheetData>
  <mergeCells count="14">
    <mergeCell ref="S7:W7"/>
    <mergeCell ref="N2:X2"/>
    <mergeCell ref="N3:X3"/>
    <mergeCell ref="N4:X4"/>
    <mergeCell ref="B7:B9"/>
    <mergeCell ref="C7:C9"/>
    <mergeCell ref="D7:D9"/>
    <mergeCell ref="X7:X9"/>
    <mergeCell ref="B2:L2"/>
    <mergeCell ref="B3:L3"/>
    <mergeCell ref="E7:H7"/>
    <mergeCell ref="I7:L7"/>
    <mergeCell ref="M7:R7"/>
    <mergeCell ref="B4:L4"/>
  </mergeCells>
  <printOptions horizontalCentered="1" verticalCentered="1"/>
  <pageMargins left="3.937007874015748E-2" right="3.937007874015748E-2" top="0.15748031496062992" bottom="0.15748031496062992" header="0.31496062992125984" footer="0.31496062992125984"/>
  <pageSetup paperSize="9" scale="60" orientation="landscape" r:id="rId1"/>
  <headerFooter alignWithMargins="0"/>
  <colBreaks count="1" manualBreakCount="1">
    <brk id="12" max="5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AA199"/>
  <sheetViews>
    <sheetView showGridLines="0" view="pageBreakPreview" zoomScale="80" zoomScaleNormal="80" zoomScaleSheetLayoutView="80" workbookViewId="0">
      <pane xSplit="4" ySplit="8" topLeftCell="H185" activePane="bottomRight" state="frozen"/>
      <selection activeCell="I25" sqref="I25"/>
      <selection pane="topRight" activeCell="I25" sqref="I25"/>
      <selection pane="bottomLeft" activeCell="I25" sqref="I25"/>
      <selection pane="bottomRight" activeCell="I198" sqref="I198"/>
    </sheetView>
  </sheetViews>
  <sheetFormatPr defaultColWidth="9.36328125" defaultRowHeight="14"/>
  <cols>
    <col min="1" max="1" width="10.36328125" style="5" bestFit="1" customWidth="1"/>
    <col min="2" max="2" width="10.453125" style="35" bestFit="1" customWidth="1"/>
    <col min="3" max="3" width="27.54296875" style="5" customWidth="1"/>
    <col min="4" max="4" width="13.1796875" style="50" bestFit="1" customWidth="1"/>
    <col min="5" max="5" width="13.1796875" style="50" customWidth="1"/>
    <col min="6" max="6" width="15.1796875" style="50" customWidth="1"/>
    <col min="7" max="7" width="31.1796875" style="50" bestFit="1" customWidth="1"/>
    <col min="8" max="8" width="14.6328125" style="50" bestFit="1" customWidth="1"/>
    <col min="9" max="9" width="14.6328125" style="50" customWidth="1"/>
    <col min="10" max="10" width="14.36328125" style="50" bestFit="1" customWidth="1"/>
    <col min="11" max="11" width="13.6328125" style="50" bestFit="1" customWidth="1"/>
    <col min="12" max="12" width="13.08984375" style="50" bestFit="1" customWidth="1"/>
    <col min="13" max="13" width="16.453125" style="5" customWidth="1"/>
    <col min="14" max="14" width="15" style="6" bestFit="1" customWidth="1"/>
    <col min="15" max="15" width="12.54296875" style="5" customWidth="1"/>
    <col min="16" max="16" width="14.90625" style="5" bestFit="1" customWidth="1"/>
    <col min="17" max="17" width="15.6328125" style="5" customWidth="1"/>
    <col min="18" max="18" width="22.36328125" style="5" bestFit="1" customWidth="1"/>
    <col min="19" max="23" width="22.36328125" style="5" customWidth="1"/>
    <col min="24" max="24" width="11.453125" style="5" bestFit="1" customWidth="1"/>
    <col min="25" max="16384" width="9.36328125" style="5"/>
  </cols>
  <sheetData>
    <row r="2" spans="2:24">
      <c r="B2" s="1776" t="str">
        <f>Index!B2</f>
        <v xml:space="preserve">      Maharashtra State Power Generation Company Ltd.</v>
      </c>
      <c r="C2" s="1776"/>
      <c r="D2" s="1776"/>
      <c r="E2" s="1776"/>
      <c r="F2" s="1776"/>
      <c r="G2" s="1776"/>
      <c r="H2" s="1776"/>
      <c r="I2" s="1776"/>
      <c r="J2" s="1776"/>
      <c r="K2" s="1776"/>
      <c r="L2" s="1776"/>
      <c r="M2" s="635"/>
      <c r="N2" s="1802" t="str">
        <f>B2</f>
        <v xml:space="preserve">      Maharashtra State Power Generation Company Ltd.</v>
      </c>
      <c r="O2" s="1802"/>
      <c r="P2" s="1802"/>
      <c r="Q2" s="1802"/>
      <c r="R2" s="1802"/>
      <c r="S2" s="1802"/>
      <c r="T2" s="1802"/>
      <c r="U2" s="1802"/>
      <c r="V2" s="1802"/>
      <c r="W2" s="1802"/>
      <c r="X2" s="1802"/>
    </row>
    <row r="3" spans="2:24">
      <c r="B3" s="1776" t="str">
        <f>Index!B3</f>
        <v>MYT Petition Formats for Parli 8</v>
      </c>
      <c r="C3" s="1776"/>
      <c r="D3" s="1776"/>
      <c r="E3" s="1776"/>
      <c r="F3" s="1776"/>
      <c r="G3" s="1776"/>
      <c r="H3" s="1776"/>
      <c r="I3" s="1776"/>
      <c r="J3" s="1776"/>
      <c r="K3" s="1776"/>
      <c r="L3" s="1776"/>
      <c r="M3" s="635"/>
      <c r="N3" s="1802" t="str">
        <f>B3</f>
        <v>MYT Petition Formats for Parli 8</v>
      </c>
      <c r="O3" s="1802"/>
      <c r="P3" s="1802"/>
      <c r="Q3" s="1802"/>
      <c r="R3" s="1802"/>
      <c r="S3" s="1802"/>
      <c r="T3" s="1802"/>
      <c r="U3" s="1802"/>
      <c r="V3" s="1802"/>
      <c r="W3" s="1802"/>
      <c r="X3" s="1802"/>
    </row>
    <row r="4" spans="2:24">
      <c r="B4" s="1776" t="s">
        <v>382</v>
      </c>
      <c r="C4" s="1776"/>
      <c r="D4" s="1776"/>
      <c r="E4" s="1776"/>
      <c r="F4" s="1776"/>
      <c r="G4" s="1776"/>
      <c r="H4" s="1776"/>
      <c r="I4" s="1776"/>
      <c r="J4" s="1776"/>
      <c r="K4" s="1776"/>
      <c r="L4" s="1776"/>
      <c r="M4" s="635"/>
      <c r="N4" s="1802" t="str">
        <f>B4</f>
        <v>Form 2.2: Energy Charges for Thermal Generation</v>
      </c>
      <c r="O4" s="1802"/>
      <c r="P4" s="1802"/>
      <c r="Q4" s="1802"/>
      <c r="R4" s="1802"/>
      <c r="S4" s="1802"/>
      <c r="T4" s="1802"/>
      <c r="U4" s="1802"/>
      <c r="V4" s="1802"/>
      <c r="W4" s="1802"/>
      <c r="X4" s="1802"/>
    </row>
    <row r="5" spans="2:24" s="14" customFormat="1">
      <c r="B5" s="177"/>
      <c r="C5" s="8"/>
      <c r="D5" s="34"/>
      <c r="E5" s="34"/>
      <c r="F5" s="34"/>
      <c r="G5" s="34"/>
      <c r="H5" s="34"/>
      <c r="I5" s="34"/>
      <c r="J5" s="34"/>
      <c r="K5" s="34"/>
      <c r="L5" s="34"/>
      <c r="M5" s="16"/>
      <c r="N5" s="15"/>
      <c r="O5" s="16"/>
      <c r="P5" s="16"/>
      <c r="Q5" s="33"/>
      <c r="R5" s="33"/>
      <c r="S5" s="33"/>
      <c r="T5" s="33"/>
      <c r="U5" s="33"/>
      <c r="V5" s="33"/>
      <c r="W5" s="33"/>
    </row>
    <row r="6" spans="2:24" s="90" customFormat="1" ht="21" customHeight="1">
      <c r="B6" s="1770" t="s">
        <v>340</v>
      </c>
      <c r="C6" s="1803" t="s">
        <v>36</v>
      </c>
      <c r="D6" s="1803" t="s">
        <v>93</v>
      </c>
      <c r="E6" s="1772" t="s">
        <v>508</v>
      </c>
      <c r="F6" s="1773"/>
      <c r="G6" s="1773"/>
      <c r="H6" s="1774"/>
      <c r="I6" s="1772" t="s">
        <v>509</v>
      </c>
      <c r="J6" s="1773"/>
      <c r="K6" s="1773"/>
      <c r="L6" s="1774"/>
      <c r="M6" s="1772" t="s">
        <v>510</v>
      </c>
      <c r="N6" s="1773"/>
      <c r="O6" s="1773"/>
      <c r="P6" s="1773"/>
      <c r="Q6" s="1773"/>
      <c r="R6" s="1774"/>
      <c r="S6" s="1775" t="s">
        <v>957</v>
      </c>
      <c r="T6" s="1775"/>
      <c r="U6" s="1775"/>
      <c r="V6" s="1775"/>
      <c r="W6" s="1775"/>
      <c r="X6" s="1770" t="s">
        <v>26</v>
      </c>
    </row>
    <row r="7" spans="2:24" s="90" customFormat="1" ht="43.5" customHeight="1">
      <c r="B7" s="1803"/>
      <c r="C7" s="1803"/>
      <c r="D7" s="1803"/>
      <c r="E7" s="1300" t="s">
        <v>1545</v>
      </c>
      <c r="F7" s="1300" t="s">
        <v>914</v>
      </c>
      <c r="G7" s="1300" t="s">
        <v>78</v>
      </c>
      <c r="H7" s="1300" t="s">
        <v>451</v>
      </c>
      <c r="I7" s="1300" t="s">
        <v>1545</v>
      </c>
      <c r="J7" s="1300" t="s">
        <v>914</v>
      </c>
      <c r="K7" s="1300" t="s">
        <v>78</v>
      </c>
      <c r="L7" s="1300" t="s">
        <v>451</v>
      </c>
      <c r="M7" s="1300" t="s">
        <v>1545</v>
      </c>
      <c r="N7" s="1300" t="s">
        <v>914</v>
      </c>
      <c r="O7" s="1300" t="s">
        <v>444</v>
      </c>
      <c r="P7" s="1300" t="s">
        <v>448</v>
      </c>
      <c r="Q7" s="1300" t="s">
        <v>79</v>
      </c>
      <c r="R7" s="1300" t="s">
        <v>452</v>
      </c>
      <c r="S7" s="709" t="s">
        <v>958</v>
      </c>
      <c r="T7" s="709" t="s">
        <v>959</v>
      </c>
      <c r="U7" s="709" t="s">
        <v>960</v>
      </c>
      <c r="V7" s="709" t="s">
        <v>961</v>
      </c>
      <c r="W7" s="709" t="s">
        <v>962</v>
      </c>
      <c r="X7" s="1770"/>
    </row>
    <row r="8" spans="2:24" s="90" customFormat="1" ht="24" customHeight="1">
      <c r="B8" s="1803"/>
      <c r="C8" s="1803"/>
      <c r="D8" s="1803"/>
      <c r="E8" s="1300" t="s">
        <v>80</v>
      </c>
      <c r="F8" s="1300" t="s">
        <v>81</v>
      </c>
      <c r="G8" s="1300" t="s">
        <v>1546</v>
      </c>
      <c r="H8" s="1300" t="s">
        <v>1547</v>
      </c>
      <c r="I8" s="1300" t="s">
        <v>1508</v>
      </c>
      <c r="J8" s="1300" t="s">
        <v>511</v>
      </c>
      <c r="K8" s="1300" t="s">
        <v>410</v>
      </c>
      <c r="L8" s="1300" t="s">
        <v>1548</v>
      </c>
      <c r="M8" s="1300" t="s">
        <v>591</v>
      </c>
      <c r="N8" s="1300" t="s">
        <v>655</v>
      </c>
      <c r="O8" s="1300" t="s">
        <v>592</v>
      </c>
      <c r="P8" s="1300" t="s">
        <v>593</v>
      </c>
      <c r="Q8" s="1300" t="s">
        <v>678</v>
      </c>
      <c r="R8" s="1300" t="s">
        <v>679</v>
      </c>
      <c r="S8" s="709" t="s">
        <v>21</v>
      </c>
      <c r="T8" s="709" t="s">
        <v>21</v>
      </c>
      <c r="U8" s="709" t="s">
        <v>21</v>
      </c>
      <c r="V8" s="709" t="s">
        <v>21</v>
      </c>
      <c r="W8" s="709" t="s">
        <v>21</v>
      </c>
      <c r="X8" s="1771"/>
    </row>
    <row r="9" spans="2:24" s="36" customFormat="1">
      <c r="B9" s="178"/>
      <c r="C9" s="142"/>
      <c r="D9" s="142"/>
      <c r="E9" s="142"/>
      <c r="F9" s="142"/>
      <c r="G9" s="142"/>
      <c r="H9" s="142"/>
      <c r="I9" s="142"/>
      <c r="J9" s="142"/>
      <c r="K9" s="142"/>
      <c r="L9" s="142"/>
      <c r="M9" s="39"/>
      <c r="N9" s="39"/>
      <c r="O9" s="39"/>
      <c r="P9" s="39"/>
      <c r="Q9" s="39"/>
      <c r="R9" s="39"/>
      <c r="S9" s="39"/>
      <c r="T9" s="39"/>
      <c r="U9" s="39"/>
      <c r="V9" s="39"/>
      <c r="W9" s="39"/>
      <c r="X9" s="37"/>
    </row>
    <row r="10" spans="2:24" s="36" customFormat="1" ht="15.5">
      <c r="B10" s="377">
        <v>1</v>
      </c>
      <c r="C10" s="378" t="s">
        <v>94</v>
      </c>
      <c r="D10" s="379"/>
      <c r="E10" s="379"/>
      <c r="F10" s="144"/>
      <c r="G10" s="144"/>
      <c r="H10" s="144"/>
      <c r="I10" s="144"/>
      <c r="J10" s="144"/>
      <c r="K10" s="144"/>
      <c r="L10" s="144"/>
      <c r="M10" s="37"/>
      <c r="N10" s="73"/>
      <c r="O10" s="37"/>
      <c r="P10" s="37"/>
      <c r="Q10" s="37"/>
      <c r="R10" s="37"/>
      <c r="S10" s="37"/>
      <c r="T10" s="37"/>
      <c r="U10" s="37"/>
      <c r="V10" s="37"/>
      <c r="W10" s="37"/>
      <c r="X10" s="37"/>
    </row>
    <row r="11" spans="2:24" s="36" customFormat="1" ht="15.5">
      <c r="B11" s="380">
        <f>B10+0.1</f>
        <v>1.1000000000000001</v>
      </c>
      <c r="C11" s="381" t="s">
        <v>95</v>
      </c>
      <c r="D11" s="365" t="s">
        <v>96</v>
      </c>
      <c r="E11" s="591">
        <f>F11</f>
        <v>250</v>
      </c>
      <c r="F11" s="521">
        <f>G11</f>
        <v>250</v>
      </c>
      <c r="G11" s="521">
        <v>250</v>
      </c>
      <c r="H11" s="520">
        <f>G11-F11</f>
        <v>0</v>
      </c>
      <c r="I11" s="591">
        <v>210</v>
      </c>
      <c r="J11" s="521">
        <f>K11</f>
        <v>250</v>
      </c>
      <c r="K11" s="521">
        <v>250</v>
      </c>
      <c r="L11" s="520">
        <f>K11-J11</f>
        <v>0</v>
      </c>
      <c r="M11" s="540">
        <v>250</v>
      </c>
      <c r="N11" s="540">
        <v>250</v>
      </c>
      <c r="O11" s="540">
        <v>250</v>
      </c>
      <c r="P11" s="540">
        <v>250</v>
      </c>
      <c r="Q11" s="540">
        <v>250</v>
      </c>
      <c r="R11" s="745">
        <f t="shared" ref="R11:R41" si="0">Q11-N11</f>
        <v>0</v>
      </c>
      <c r="S11" s="585">
        <v>250</v>
      </c>
      <c r="T11" s="585">
        <v>250</v>
      </c>
      <c r="U11" s="585">
        <v>250</v>
      </c>
      <c r="V11" s="585">
        <v>250</v>
      </c>
      <c r="W11" s="585">
        <v>250</v>
      </c>
      <c r="X11" s="392"/>
    </row>
    <row r="12" spans="2:24" s="424" customFormat="1" ht="31">
      <c r="B12" s="486">
        <f>B11+0.1</f>
        <v>1.2000000000000002</v>
      </c>
      <c r="C12" s="384" t="s">
        <v>97</v>
      </c>
      <c r="D12" s="395" t="s">
        <v>98</v>
      </c>
      <c r="E12" s="652">
        <v>0.85</v>
      </c>
      <c r="F12" s="556">
        <f>E12</f>
        <v>0.85</v>
      </c>
      <c r="G12" s="556">
        <f>F12</f>
        <v>0.85</v>
      </c>
      <c r="H12" s="556">
        <f t="shared" ref="H12:H38" si="1">G12-F12</f>
        <v>0</v>
      </c>
      <c r="I12" s="463">
        <f>'F2.1'!I15</f>
        <v>0.85</v>
      </c>
      <c r="J12" s="556">
        <f>I12</f>
        <v>0.85</v>
      </c>
      <c r="K12" s="556">
        <f>J12</f>
        <v>0.85</v>
      </c>
      <c r="L12" s="556">
        <f t="shared" ref="L12:L38" si="2">K12-J12</f>
        <v>0</v>
      </c>
      <c r="M12" s="463">
        <f>'F2.1'!M15</f>
        <v>0.85</v>
      </c>
      <c r="N12" s="556">
        <f>M12</f>
        <v>0.85</v>
      </c>
      <c r="O12" s="557">
        <f>N12</f>
        <v>0.85</v>
      </c>
      <c r="P12" s="557">
        <f>O12</f>
        <v>0.85</v>
      </c>
      <c r="Q12" s="555">
        <f>AVERAGE(O12:P12)</f>
        <v>0.85</v>
      </c>
      <c r="R12" s="558">
        <f t="shared" si="0"/>
        <v>0</v>
      </c>
      <c r="S12" s="1141">
        <v>0.85</v>
      </c>
      <c r="T12" s="1141">
        <v>0.85</v>
      </c>
      <c r="U12" s="1141">
        <v>0.85</v>
      </c>
      <c r="V12" s="1141">
        <v>0.85</v>
      </c>
      <c r="W12" s="1141">
        <v>0.85</v>
      </c>
      <c r="X12" s="552"/>
    </row>
    <row r="13" spans="2:24" s="424" customFormat="1" ht="31">
      <c r="B13" s="486">
        <v>1.3</v>
      </c>
      <c r="C13" s="384" t="s">
        <v>685</v>
      </c>
      <c r="D13" s="395" t="s">
        <v>98</v>
      </c>
      <c r="E13" s="649"/>
      <c r="F13" s="557">
        <f>G13</f>
        <v>0.54910000000000003</v>
      </c>
      <c r="G13" s="557">
        <v>0.54910000000000003</v>
      </c>
      <c r="H13" s="557">
        <f t="shared" si="1"/>
        <v>0</v>
      </c>
      <c r="I13" s="649"/>
      <c r="J13" s="557">
        <f>K13</f>
        <v>0.74302000000000001</v>
      </c>
      <c r="K13" s="557">
        <v>0.74302000000000001</v>
      </c>
      <c r="L13" s="557">
        <f t="shared" si="2"/>
        <v>0</v>
      </c>
      <c r="M13" s="649"/>
      <c r="N13" s="557">
        <f>Q13</f>
        <v>0.72324163421732934</v>
      </c>
      <c r="O13" s="557">
        <v>0.8608546448087433</v>
      </c>
      <c r="P13" s="557">
        <v>0.85038341470355694</v>
      </c>
      <c r="Q13" s="555">
        <f>Q23/(Q11*8.761)</f>
        <v>0.72324163421732934</v>
      </c>
      <c r="R13" s="558">
        <f>'F2.1'!R16</f>
        <v>0</v>
      </c>
      <c r="S13" s="1142">
        <v>0.84996099699086758</v>
      </c>
      <c r="T13" s="1142">
        <v>0.84996099699086758</v>
      </c>
      <c r="U13" s="1142">
        <v>0.84999736227419698</v>
      </c>
      <c r="V13" s="1142">
        <v>0.84999736227419698</v>
      </c>
      <c r="W13" s="1142">
        <v>0.84999736227419698</v>
      </c>
      <c r="X13" s="552"/>
    </row>
    <row r="14" spans="2:24" s="36" customFormat="1" ht="15.5">
      <c r="B14" s="380" t="s">
        <v>686</v>
      </c>
      <c r="C14" s="382" t="s">
        <v>645</v>
      </c>
      <c r="D14" s="365"/>
      <c r="E14" s="649"/>
      <c r="F14" s="555"/>
      <c r="G14" s="555"/>
      <c r="H14" s="557"/>
      <c r="I14" s="649"/>
      <c r="J14" s="555"/>
      <c r="K14" s="555"/>
      <c r="L14" s="555"/>
      <c r="M14" s="649"/>
      <c r="N14" s="555"/>
      <c r="O14" s="555"/>
      <c r="P14" s="555"/>
      <c r="Q14" s="555"/>
      <c r="R14" s="558"/>
      <c r="S14" s="649"/>
      <c r="T14" s="649"/>
      <c r="U14" s="649"/>
      <c r="V14" s="649"/>
      <c r="W14" s="649"/>
      <c r="X14" s="392"/>
    </row>
    <row r="15" spans="2:24" s="36" customFormat="1" ht="15.5">
      <c r="B15" s="380"/>
      <c r="C15" s="383" t="s">
        <v>646</v>
      </c>
      <c r="D15" s="365" t="s">
        <v>98</v>
      </c>
      <c r="E15" s="649"/>
      <c r="F15" s="555">
        <f>G15</f>
        <v>0.52010999999999996</v>
      </c>
      <c r="G15" s="555">
        <v>0.52010999999999996</v>
      </c>
      <c r="H15" s="557">
        <f t="shared" si="1"/>
        <v>0</v>
      </c>
      <c r="I15" s="649"/>
      <c r="J15" s="555">
        <f>K15</f>
        <v>0.77103999999999995</v>
      </c>
      <c r="K15" s="555">
        <v>0.77103999999999995</v>
      </c>
      <c r="L15" s="555">
        <f t="shared" si="2"/>
        <v>0</v>
      </c>
      <c r="M15" s="649"/>
      <c r="N15" s="555"/>
      <c r="O15" s="555"/>
      <c r="P15" s="555"/>
      <c r="Q15" s="555">
        <f>O15+P15</f>
        <v>0</v>
      </c>
      <c r="R15" s="558"/>
      <c r="S15" s="649"/>
      <c r="T15" s="649"/>
      <c r="U15" s="649"/>
      <c r="V15" s="649"/>
      <c r="W15" s="649"/>
      <c r="X15" s="392"/>
    </row>
    <row r="16" spans="2:24" s="36" customFormat="1" ht="15.5">
      <c r="B16" s="380"/>
      <c r="C16" s="383" t="s">
        <v>647</v>
      </c>
      <c r="D16" s="365" t="s">
        <v>98</v>
      </c>
      <c r="E16" s="649"/>
      <c r="F16" s="555">
        <f t="shared" ref="F16:F19" si="3">G16</f>
        <v>0.52734999999999999</v>
      </c>
      <c r="G16" s="555">
        <v>0.52734999999999999</v>
      </c>
      <c r="H16" s="557">
        <f t="shared" si="1"/>
        <v>0</v>
      </c>
      <c r="I16" s="649"/>
      <c r="J16" s="555">
        <f t="shared" ref="J16" si="4">K16</f>
        <v>0.78324000000000005</v>
      </c>
      <c r="K16" s="555">
        <v>0.78324000000000005</v>
      </c>
      <c r="L16" s="555">
        <f t="shared" si="2"/>
        <v>0</v>
      </c>
      <c r="M16" s="649"/>
      <c r="N16" s="555"/>
      <c r="O16" s="555"/>
      <c r="P16" s="555"/>
      <c r="Q16" s="555">
        <f t="shared" ref="Q16:Q31" si="5">O16+P16</f>
        <v>0</v>
      </c>
      <c r="R16" s="558"/>
      <c r="S16" s="649"/>
      <c r="T16" s="649"/>
      <c r="U16" s="649"/>
      <c r="V16" s="649"/>
      <c r="W16" s="649"/>
      <c r="X16" s="392"/>
    </row>
    <row r="17" spans="2:24" s="36" customFormat="1" ht="15.5">
      <c r="B17" s="380" t="s">
        <v>687</v>
      </c>
      <c r="C17" s="382" t="s">
        <v>648</v>
      </c>
      <c r="D17" s="365"/>
      <c r="E17" s="649"/>
      <c r="F17" s="555"/>
      <c r="G17" s="555"/>
      <c r="H17" s="557"/>
      <c r="I17" s="649"/>
      <c r="J17" s="555"/>
      <c r="K17" s="555"/>
      <c r="L17" s="555"/>
      <c r="M17" s="649"/>
      <c r="N17" s="555"/>
      <c r="O17" s="555"/>
      <c r="P17" s="555"/>
      <c r="Q17" s="555"/>
      <c r="R17" s="558"/>
      <c r="S17" s="649"/>
      <c r="T17" s="649"/>
      <c r="U17" s="649"/>
      <c r="V17" s="649"/>
      <c r="W17" s="649"/>
      <c r="X17" s="392"/>
    </row>
    <row r="18" spans="2:24" s="36" customFormat="1" ht="15.5">
      <c r="B18" s="380"/>
      <c r="C18" s="383" t="s">
        <v>646</v>
      </c>
      <c r="D18" s="365" t="s">
        <v>98</v>
      </c>
      <c r="E18" s="649"/>
      <c r="F18" s="555">
        <f t="shared" si="3"/>
        <v>0.55755999999999994</v>
      </c>
      <c r="G18" s="555">
        <v>0.55755999999999994</v>
      </c>
      <c r="H18" s="557">
        <f t="shared" si="1"/>
        <v>0</v>
      </c>
      <c r="I18" s="649"/>
      <c r="J18" s="555">
        <f t="shared" ref="J18:J19" si="6">K18</f>
        <v>0.72750000000000004</v>
      </c>
      <c r="K18" s="555">
        <v>0.72750000000000004</v>
      </c>
      <c r="L18" s="555">
        <f t="shared" si="2"/>
        <v>0</v>
      </c>
      <c r="M18" s="649"/>
      <c r="N18" s="555"/>
      <c r="O18" s="555"/>
      <c r="P18" s="555"/>
      <c r="Q18" s="555">
        <f t="shared" si="5"/>
        <v>0</v>
      </c>
      <c r="R18" s="558"/>
      <c r="S18" s="649"/>
      <c r="T18" s="649"/>
      <c r="U18" s="649"/>
      <c r="V18" s="649"/>
      <c r="W18" s="649"/>
      <c r="X18" s="392"/>
    </row>
    <row r="19" spans="2:24" s="36" customFormat="1" ht="15.5">
      <c r="B19" s="380"/>
      <c r="C19" s="383" t="s">
        <v>647</v>
      </c>
      <c r="D19" s="365" t="s">
        <v>98</v>
      </c>
      <c r="E19" s="649"/>
      <c r="F19" s="555">
        <f t="shared" si="3"/>
        <v>0.55656000000000005</v>
      </c>
      <c r="G19" s="555">
        <v>0.55656000000000005</v>
      </c>
      <c r="H19" s="557">
        <f t="shared" si="1"/>
        <v>0</v>
      </c>
      <c r="I19" s="649"/>
      <c r="J19" s="555">
        <f t="shared" si="6"/>
        <v>0.73072999999999999</v>
      </c>
      <c r="K19" s="555">
        <v>0.73072999999999999</v>
      </c>
      <c r="L19" s="555">
        <f t="shared" si="2"/>
        <v>0</v>
      </c>
      <c r="M19" s="649"/>
      <c r="N19" s="555"/>
      <c r="O19" s="555"/>
      <c r="P19" s="555"/>
      <c r="Q19" s="555">
        <f t="shared" si="5"/>
        <v>0</v>
      </c>
      <c r="R19" s="558"/>
      <c r="S19" s="649"/>
      <c r="T19" s="649"/>
      <c r="U19" s="649"/>
      <c r="V19" s="649"/>
      <c r="W19" s="649"/>
      <c r="X19" s="392"/>
    </row>
    <row r="20" spans="2:24" s="424" customFormat="1" ht="15.5">
      <c r="B20" s="486">
        <v>1.4</v>
      </c>
      <c r="C20" s="384" t="s">
        <v>99</v>
      </c>
      <c r="D20" s="395" t="s">
        <v>98</v>
      </c>
      <c r="E20" s="816">
        <v>0.85</v>
      </c>
      <c r="F20" s="555">
        <f>E20</f>
        <v>0.85</v>
      </c>
      <c r="G20" s="646">
        <v>0.85</v>
      </c>
      <c r="H20" s="646">
        <f>G20-F20</f>
        <v>0</v>
      </c>
      <c r="I20" s="650">
        <f>'F2.1'!$I$25</f>
        <v>0.85</v>
      </c>
      <c r="J20" s="555">
        <f>K20</f>
        <v>0.85</v>
      </c>
      <c r="K20" s="646">
        <v>0.85</v>
      </c>
      <c r="L20" s="646">
        <f>K20-J20</f>
        <v>0</v>
      </c>
      <c r="M20" s="661">
        <f>'F2.1'!M25</f>
        <v>0.85</v>
      </c>
      <c r="N20" s="646">
        <f>M20</f>
        <v>0.85</v>
      </c>
      <c r="O20" s="645"/>
      <c r="P20" s="645"/>
      <c r="Q20" s="647"/>
      <c r="R20" s="647">
        <f t="shared" si="0"/>
        <v>-0.85</v>
      </c>
      <c r="S20" s="1143">
        <v>0.85</v>
      </c>
      <c r="T20" s="1143">
        <v>0.85</v>
      </c>
      <c r="U20" s="1143">
        <v>0.85</v>
      </c>
      <c r="V20" s="1143">
        <v>0.85</v>
      </c>
      <c r="W20" s="1143">
        <v>0.85</v>
      </c>
      <c r="X20" s="648"/>
    </row>
    <row r="21" spans="2:24" s="424" customFormat="1" ht="31">
      <c r="B21" s="486">
        <v>1.5</v>
      </c>
      <c r="C21" s="384" t="s">
        <v>688</v>
      </c>
      <c r="D21" s="395" t="s">
        <v>98</v>
      </c>
      <c r="E21" s="835"/>
      <c r="F21" s="646">
        <f>G21</f>
        <v>0.49918000000000001</v>
      </c>
      <c r="G21" s="646">
        <v>0.49918000000000001</v>
      </c>
      <c r="H21" s="646">
        <f t="shared" si="1"/>
        <v>0</v>
      </c>
      <c r="I21" s="661"/>
      <c r="J21" s="646">
        <f>K21</f>
        <v>0.56691000000000003</v>
      </c>
      <c r="K21" s="646">
        <v>0.56691000000000003</v>
      </c>
      <c r="L21" s="646">
        <f t="shared" si="2"/>
        <v>0</v>
      </c>
      <c r="M21" s="661"/>
      <c r="N21" s="646">
        <f>Q21</f>
        <v>0.72324163421732934</v>
      </c>
      <c r="O21" s="557">
        <v>0.57671710382513652</v>
      </c>
      <c r="P21" s="1445">
        <v>0.85038341470355694</v>
      </c>
      <c r="Q21" s="642">
        <f>Q13</f>
        <v>0.72324163421732934</v>
      </c>
      <c r="R21" s="647">
        <f t="shared" si="0"/>
        <v>0</v>
      </c>
      <c r="S21" s="1143">
        <v>0.84996099699086758</v>
      </c>
      <c r="T21" s="1143">
        <v>0.84996099699086758</v>
      </c>
      <c r="U21" s="1143">
        <v>0.84999736227419698</v>
      </c>
      <c r="V21" s="1143">
        <v>0.84999736227419698</v>
      </c>
      <c r="W21" s="1143">
        <v>0.84999736227419698</v>
      </c>
      <c r="X21" s="648"/>
    </row>
    <row r="22" spans="2:24" s="36" customFormat="1" ht="15.5">
      <c r="B22" s="380">
        <v>1.6</v>
      </c>
      <c r="C22" s="384" t="s">
        <v>681</v>
      </c>
      <c r="D22" s="365" t="s">
        <v>98</v>
      </c>
      <c r="E22" s="649"/>
      <c r="F22" s="555"/>
      <c r="G22" s="555"/>
      <c r="H22" s="557">
        <f t="shared" si="1"/>
        <v>0</v>
      </c>
      <c r="I22" s="649"/>
      <c r="J22" s="557"/>
      <c r="K22" s="557"/>
      <c r="L22" s="557">
        <f t="shared" si="2"/>
        <v>0</v>
      </c>
      <c r="M22" s="649"/>
      <c r="N22" s="557"/>
      <c r="O22" s="557"/>
      <c r="P22" s="557"/>
      <c r="Q22" s="558"/>
      <c r="R22" s="557">
        <f t="shared" si="0"/>
        <v>0</v>
      </c>
      <c r="S22" s="1142"/>
      <c r="T22" s="1142"/>
      <c r="U22" s="1142"/>
      <c r="V22" s="1142"/>
      <c r="W22" s="1142"/>
      <c r="X22" s="392"/>
    </row>
    <row r="23" spans="2:24" s="36" customFormat="1" ht="31">
      <c r="B23" s="380">
        <v>1.7</v>
      </c>
      <c r="C23" s="385" t="s">
        <v>689</v>
      </c>
      <c r="D23" s="365" t="s">
        <v>100</v>
      </c>
      <c r="E23" s="651"/>
      <c r="F23" s="560">
        <f>G23</f>
        <v>1133.1310000000001</v>
      </c>
      <c r="G23" s="560">
        <v>1133.1310000000001</v>
      </c>
      <c r="H23" s="560">
        <f t="shared" si="1"/>
        <v>0</v>
      </c>
      <c r="I23" s="651"/>
      <c r="J23" s="560">
        <f>'F2.1'!$J$30</f>
        <v>1294.99</v>
      </c>
      <c r="K23" s="560">
        <v>1294.99</v>
      </c>
      <c r="L23" s="560">
        <f t="shared" si="2"/>
        <v>0</v>
      </c>
      <c r="M23" s="651"/>
      <c r="N23" s="560">
        <f>Q23</f>
        <v>1584.0799893445055</v>
      </c>
      <c r="O23" s="1144">
        <v>650.35899999999992</v>
      </c>
      <c r="P23" s="1144">
        <v>933.72098934450548</v>
      </c>
      <c r="Q23" s="565">
        <f>O23+P23</f>
        <v>1584.0799893445055</v>
      </c>
      <c r="R23" s="560">
        <f t="shared" si="0"/>
        <v>0</v>
      </c>
      <c r="S23" s="1144">
        <f>S113/S40</f>
        <v>1861.41458341</v>
      </c>
      <c r="T23" s="1144">
        <f>T113/T40</f>
        <v>1861.41458341</v>
      </c>
      <c r="U23" s="1144">
        <f t="shared" ref="U23:W23" si="7">U113/U40</f>
        <v>1861.4942233804913</v>
      </c>
      <c r="V23" s="1144">
        <f t="shared" si="7"/>
        <v>1861.4942233804913</v>
      </c>
      <c r="W23" s="1144">
        <f t="shared" si="7"/>
        <v>1861.4942233804913</v>
      </c>
      <c r="X23" s="397"/>
    </row>
    <row r="24" spans="2:24" s="36" customFormat="1" ht="15.5">
      <c r="B24" s="380">
        <v>1.8</v>
      </c>
      <c r="C24" s="381" t="s">
        <v>694</v>
      </c>
      <c r="D24" s="365" t="s">
        <v>100</v>
      </c>
      <c r="E24" s="651"/>
      <c r="F24" s="565">
        <f>G24</f>
        <v>1641.9003749999999</v>
      </c>
      <c r="G24" s="565">
        <v>1641.9003749999999</v>
      </c>
      <c r="H24" s="565">
        <f>G24-F24</f>
        <v>0</v>
      </c>
      <c r="I24" s="651"/>
      <c r="J24" s="565">
        <f>K24</f>
        <v>1866.6</v>
      </c>
      <c r="K24" s="565">
        <v>1866.6</v>
      </c>
      <c r="L24" s="560">
        <f>K24-J24</f>
        <v>0</v>
      </c>
      <c r="M24" s="651"/>
      <c r="N24" s="560">
        <f>N38/(1-N29)</f>
        <v>0</v>
      </c>
      <c r="O24" s="560">
        <f>O38/(1-O29)</f>
        <v>0</v>
      </c>
      <c r="P24" s="560">
        <f>P38/(1-P29)</f>
        <v>0</v>
      </c>
      <c r="Q24" s="565">
        <f t="shared" si="5"/>
        <v>0</v>
      </c>
      <c r="R24" s="560">
        <f t="shared" si="0"/>
        <v>0</v>
      </c>
      <c r="S24" s="834"/>
      <c r="T24" s="834"/>
      <c r="U24" s="834"/>
      <c r="V24" s="834"/>
      <c r="W24" s="834"/>
      <c r="X24" s="392"/>
    </row>
    <row r="25" spans="2:24" s="36" customFormat="1" ht="31">
      <c r="B25" s="386">
        <v>1.9</v>
      </c>
      <c r="C25" s="385" t="s">
        <v>978</v>
      </c>
      <c r="D25" s="365" t="s">
        <v>98</v>
      </c>
      <c r="E25" s="652">
        <v>9.1400000000000009E-2</v>
      </c>
      <c r="F25" s="562">
        <f>E25</f>
        <v>9.1400000000000009E-2</v>
      </c>
      <c r="G25" s="764"/>
      <c r="H25" s="764"/>
      <c r="I25" s="652">
        <f>'F2.1'!I34</f>
        <v>8.5000000000000006E-2</v>
      </c>
      <c r="J25" s="562">
        <v>9.1399999999999995E-2</v>
      </c>
      <c r="K25" s="764"/>
      <c r="L25" s="764"/>
      <c r="M25" s="652">
        <f>'F2.1'!M34</f>
        <v>8.5000000000000006E-2</v>
      </c>
      <c r="N25" s="562">
        <f>M25</f>
        <v>8.5000000000000006E-2</v>
      </c>
      <c r="O25" s="764"/>
      <c r="P25" s="764"/>
      <c r="Q25" s="764"/>
      <c r="R25" s="764"/>
      <c r="S25" s="1145">
        <v>9.1399999999999995E-2</v>
      </c>
      <c r="T25" s="1145">
        <v>9.1399999999999995E-2</v>
      </c>
      <c r="U25" s="1145">
        <v>9.1399999999999995E-2</v>
      </c>
      <c r="V25" s="1145">
        <v>9.1399999999999995E-2</v>
      </c>
      <c r="W25" s="1145">
        <v>9.1399999999999995E-2</v>
      </c>
      <c r="X25" s="392"/>
    </row>
    <row r="26" spans="2:24" s="36" customFormat="1" ht="31">
      <c r="B26" s="387">
        <v>1.1000000000000001</v>
      </c>
      <c r="C26" s="385" t="s">
        <v>690</v>
      </c>
      <c r="D26" s="365" t="s">
        <v>98</v>
      </c>
      <c r="E26" s="653"/>
      <c r="F26" s="562"/>
      <c r="G26" s="763"/>
      <c r="H26" s="763"/>
      <c r="I26" s="653"/>
      <c r="J26" s="562"/>
      <c r="K26" s="763"/>
      <c r="L26" s="763"/>
      <c r="M26" s="653"/>
      <c r="N26" s="562"/>
      <c r="O26" s="763"/>
      <c r="P26" s="763"/>
      <c r="Q26" s="763"/>
      <c r="R26" s="763"/>
      <c r="S26" s="1145">
        <v>0</v>
      </c>
      <c r="T26" s="1145">
        <v>0</v>
      </c>
      <c r="U26" s="1145">
        <v>0</v>
      </c>
      <c r="V26" s="1145">
        <v>0</v>
      </c>
      <c r="W26" s="1145">
        <v>0</v>
      </c>
      <c r="X26" s="392"/>
    </row>
    <row r="27" spans="2:24" s="36" customFormat="1" ht="46.5">
      <c r="B27" s="387">
        <f>B26+0.01</f>
        <v>1.1100000000000001</v>
      </c>
      <c r="C27" s="385" t="s">
        <v>979</v>
      </c>
      <c r="D27" s="365" t="s">
        <v>98</v>
      </c>
      <c r="E27" s="653"/>
      <c r="F27" s="562"/>
      <c r="G27" s="763"/>
      <c r="H27" s="763"/>
      <c r="I27" s="653"/>
      <c r="J27" s="562"/>
      <c r="K27" s="763"/>
      <c r="L27" s="763"/>
      <c r="M27" s="653"/>
      <c r="N27" s="562"/>
      <c r="O27" s="763"/>
      <c r="P27" s="763"/>
      <c r="Q27" s="763"/>
      <c r="R27" s="763"/>
      <c r="S27" s="1145">
        <v>2E-3</v>
      </c>
      <c r="T27" s="1145">
        <v>2E-3</v>
      </c>
      <c r="U27" s="1145">
        <v>2E-3</v>
      </c>
      <c r="V27" s="1145">
        <v>2E-3</v>
      </c>
      <c r="W27" s="1145">
        <v>2E-3</v>
      </c>
      <c r="X27" s="392"/>
    </row>
    <row r="28" spans="2:24" s="36" customFormat="1" ht="31">
      <c r="B28" s="387">
        <f>B27+0.01</f>
        <v>1.1200000000000001</v>
      </c>
      <c r="C28" s="385" t="s">
        <v>983</v>
      </c>
      <c r="D28" s="365" t="s">
        <v>98</v>
      </c>
      <c r="E28" s="561">
        <f>SUM(E25:E27)</f>
        <v>9.1400000000000009E-2</v>
      </c>
      <c r="F28" s="561">
        <f>SUM(F25:F27)</f>
        <v>9.1400000000000009E-2</v>
      </c>
      <c r="G28" s="763"/>
      <c r="H28" s="763"/>
      <c r="I28" s="561">
        <f>SUM(I25:I27)</f>
        <v>8.5000000000000006E-2</v>
      </c>
      <c r="J28" s="561">
        <f>SUM(J25:J27)</f>
        <v>9.1399999999999995E-2</v>
      </c>
      <c r="K28" s="763"/>
      <c r="L28" s="763"/>
      <c r="M28" s="561">
        <f>SUM(M25:M27)</f>
        <v>8.5000000000000006E-2</v>
      </c>
      <c r="N28" s="561">
        <f>SUM(N25:N27)</f>
        <v>8.5000000000000006E-2</v>
      </c>
      <c r="O28" s="763"/>
      <c r="P28" s="763"/>
      <c r="Q28" s="763"/>
      <c r="R28" s="763"/>
      <c r="S28" s="1145">
        <f t="shared" ref="S28:W28" si="8">SUM(S25:S27)</f>
        <v>9.3399999999999997E-2</v>
      </c>
      <c r="T28" s="1145">
        <f t="shared" si="8"/>
        <v>9.3399999999999997E-2</v>
      </c>
      <c r="U28" s="1145">
        <f t="shared" si="8"/>
        <v>9.3399999999999997E-2</v>
      </c>
      <c r="V28" s="1145">
        <f t="shared" si="8"/>
        <v>9.3399999999999997E-2</v>
      </c>
      <c r="W28" s="1145">
        <f t="shared" si="8"/>
        <v>9.3399999999999997E-2</v>
      </c>
      <c r="X28" s="392"/>
    </row>
    <row r="29" spans="2:24" s="424" customFormat="1" ht="46.5">
      <c r="B29" s="395">
        <v>1.1100000000000001</v>
      </c>
      <c r="C29" s="423" t="s">
        <v>984</v>
      </c>
      <c r="D29" s="395" t="s">
        <v>98</v>
      </c>
      <c r="E29" s="763"/>
      <c r="F29" s="763"/>
      <c r="G29" s="561">
        <v>0.13594809426271101</v>
      </c>
      <c r="H29" s="561">
        <f t="shared" si="1"/>
        <v>0.13594809426271101</v>
      </c>
      <c r="I29" s="763"/>
      <c r="J29" s="763"/>
      <c r="K29" s="561">
        <v>0.12140788731959321</v>
      </c>
      <c r="L29" s="561">
        <f t="shared" si="2"/>
        <v>0.12140788731959321</v>
      </c>
      <c r="M29" s="763"/>
      <c r="N29" s="763"/>
      <c r="O29" s="561">
        <v>0.12301974755481206</v>
      </c>
      <c r="P29" s="561">
        <v>9.1399999999999995E-2</v>
      </c>
      <c r="Q29" s="563">
        <f>Q36/Q23</f>
        <v>0.10438178598197524</v>
      </c>
      <c r="R29" s="561">
        <f t="shared" si="0"/>
        <v>0.10438178598197524</v>
      </c>
      <c r="S29" s="1145">
        <v>9.1399999999999995E-2</v>
      </c>
      <c r="T29" s="1145">
        <v>9.1399999999999995E-2</v>
      </c>
      <c r="U29" s="1145">
        <v>9.1399999999999995E-2</v>
      </c>
      <c r="V29" s="1145">
        <v>9.1399999999999995E-2</v>
      </c>
      <c r="W29" s="1145">
        <v>9.1399999999999995E-2</v>
      </c>
      <c r="X29" s="397"/>
    </row>
    <row r="30" spans="2:24" s="36" customFormat="1" ht="46.5">
      <c r="B30" s="365">
        <v>1.1200000000000001</v>
      </c>
      <c r="C30" s="385" t="s">
        <v>691</v>
      </c>
      <c r="D30" s="365" t="s">
        <v>98</v>
      </c>
      <c r="E30" s="763"/>
      <c r="F30" s="763"/>
      <c r="G30" s="561"/>
      <c r="H30" s="561">
        <f t="shared" si="1"/>
        <v>0</v>
      </c>
      <c r="I30" s="763"/>
      <c r="J30" s="763"/>
      <c r="K30" s="561"/>
      <c r="L30" s="561">
        <f t="shared" si="2"/>
        <v>0</v>
      </c>
      <c r="M30" s="763"/>
      <c r="N30" s="763"/>
      <c r="O30" s="561"/>
      <c r="P30" s="561"/>
      <c r="Q30" s="561">
        <f t="shared" si="5"/>
        <v>0</v>
      </c>
      <c r="R30" s="561">
        <f t="shared" si="0"/>
        <v>0</v>
      </c>
      <c r="S30" s="1145">
        <v>0</v>
      </c>
      <c r="T30" s="1145">
        <v>0</v>
      </c>
      <c r="U30" s="1145">
        <v>0</v>
      </c>
      <c r="V30" s="1145">
        <v>0</v>
      </c>
      <c r="W30" s="1145">
        <v>0</v>
      </c>
      <c r="X30" s="392"/>
    </row>
    <row r="31" spans="2:24" s="36" customFormat="1" ht="46.5">
      <c r="B31" s="365"/>
      <c r="C31" s="385" t="s">
        <v>981</v>
      </c>
      <c r="D31" s="365" t="s">
        <v>98</v>
      </c>
      <c r="E31" s="763"/>
      <c r="F31" s="763"/>
      <c r="G31" s="561"/>
      <c r="H31" s="561">
        <f t="shared" si="1"/>
        <v>0</v>
      </c>
      <c r="I31" s="763"/>
      <c r="J31" s="763"/>
      <c r="K31" s="561"/>
      <c r="L31" s="561">
        <f t="shared" si="2"/>
        <v>0</v>
      </c>
      <c r="M31" s="763"/>
      <c r="N31" s="763"/>
      <c r="O31" s="561"/>
      <c r="P31" s="561"/>
      <c r="Q31" s="561">
        <f t="shared" si="5"/>
        <v>0</v>
      </c>
      <c r="R31" s="561">
        <f t="shared" si="0"/>
        <v>0</v>
      </c>
      <c r="S31" s="1145">
        <v>2E-3</v>
      </c>
      <c r="T31" s="1145">
        <v>2E-3</v>
      </c>
      <c r="U31" s="1145">
        <v>2E-3</v>
      </c>
      <c r="V31" s="1145">
        <v>2E-3</v>
      </c>
      <c r="W31" s="1145">
        <v>2E-3</v>
      </c>
      <c r="X31" s="392"/>
    </row>
    <row r="32" spans="2:24" s="36" customFormat="1" ht="31">
      <c r="B32" s="365"/>
      <c r="C32" s="385" t="s">
        <v>982</v>
      </c>
      <c r="D32" s="365" t="s">
        <v>98</v>
      </c>
      <c r="E32" s="763"/>
      <c r="F32" s="763"/>
      <c r="G32" s="561">
        <f>SUM(G29:G31)</f>
        <v>0.13594809426271101</v>
      </c>
      <c r="H32" s="561">
        <f>SUM(H29:H31)</f>
        <v>0.13594809426271101</v>
      </c>
      <c r="I32" s="763"/>
      <c r="J32" s="763"/>
      <c r="K32" s="561">
        <f>SUM(K29:K31)</f>
        <v>0.12140788731959321</v>
      </c>
      <c r="L32" s="561">
        <f>SUM(L29:L31)</f>
        <v>0.12140788731959321</v>
      </c>
      <c r="M32" s="763"/>
      <c r="N32" s="763"/>
      <c r="O32" s="561">
        <f>SUM(O29:O31)</f>
        <v>0.12301974755481206</v>
      </c>
      <c r="P32" s="561">
        <f>SUM(P29:P31)</f>
        <v>9.1399999999999995E-2</v>
      </c>
      <c r="Q32" s="561">
        <f>SUM(Q29:Q31)</f>
        <v>0.10438178598197524</v>
      </c>
      <c r="R32" s="561">
        <f>SUM(R29:R31)</f>
        <v>0.10438178598197524</v>
      </c>
      <c r="S32" s="561">
        <f>SUM(S29:S31)</f>
        <v>9.3399999999999997E-2</v>
      </c>
      <c r="T32" s="561">
        <f t="shared" ref="T32:W32" si="9">SUM(T29:T31)</f>
        <v>9.3399999999999997E-2</v>
      </c>
      <c r="U32" s="561">
        <f t="shared" si="9"/>
        <v>9.3399999999999997E-2</v>
      </c>
      <c r="V32" s="561">
        <f t="shared" si="9"/>
        <v>9.3399999999999997E-2</v>
      </c>
      <c r="W32" s="561">
        <f t="shared" si="9"/>
        <v>9.3399999999999997E-2</v>
      </c>
      <c r="X32" s="392"/>
    </row>
    <row r="33" spans="2:24" ht="46.5">
      <c r="B33" s="38"/>
      <c r="C33" s="423" t="s">
        <v>984</v>
      </c>
      <c r="D33" s="365" t="s">
        <v>100</v>
      </c>
      <c r="E33" s="560">
        <f>E$23*E25</f>
        <v>0</v>
      </c>
      <c r="F33" s="560">
        <f>F$23*F25</f>
        <v>103.56817340000002</v>
      </c>
      <c r="G33" s="560">
        <f>G$23*G29</f>
        <v>154.047</v>
      </c>
      <c r="H33" s="560">
        <f t="shared" ref="H33" si="10">G33-F33</f>
        <v>50.478826599999977</v>
      </c>
      <c r="I33" s="560">
        <f t="shared" ref="I33:J35" si="11">I$23*I25</f>
        <v>0</v>
      </c>
      <c r="J33" s="560">
        <f t="shared" si="11"/>
        <v>118.36208599999999</v>
      </c>
      <c r="K33" s="560">
        <f>K$23*K29</f>
        <v>157.22200000000001</v>
      </c>
      <c r="L33" s="560">
        <f t="shared" ref="L33:L35" si="12">K33-J33</f>
        <v>38.859914000000018</v>
      </c>
      <c r="M33" s="560">
        <f t="shared" ref="M33" si="13">M$23*M25</f>
        <v>0</v>
      </c>
      <c r="N33" s="560">
        <f>N$23*N25</f>
        <v>134.64679909428298</v>
      </c>
      <c r="O33" s="560">
        <f t="shared" ref="O33:P35" si="14">O$23*O29</f>
        <v>80.007000000000005</v>
      </c>
      <c r="P33" s="560">
        <f t="shared" si="14"/>
        <v>85.342098426087801</v>
      </c>
      <c r="Q33" s="560">
        <f>SUM(O33:P33)</f>
        <v>165.34909842608781</v>
      </c>
      <c r="R33" s="560">
        <f>Q33-N33</f>
        <v>30.702299331804824</v>
      </c>
      <c r="S33" s="560">
        <f>S$23*S29</f>
        <v>170.13329292367399</v>
      </c>
      <c r="T33" s="560">
        <f t="shared" ref="T33:W33" si="15">T$23*T29</f>
        <v>170.13329292367399</v>
      </c>
      <c r="U33" s="560">
        <f t="shared" si="15"/>
        <v>170.1405720169769</v>
      </c>
      <c r="V33" s="560">
        <f t="shared" si="15"/>
        <v>170.1405720169769</v>
      </c>
      <c r="W33" s="560">
        <f t="shared" si="15"/>
        <v>170.1405720169769</v>
      </c>
      <c r="X33" s="9"/>
    </row>
    <row r="34" spans="2:24" s="36" customFormat="1" ht="46.5">
      <c r="B34" s="387">
        <v>1.1399999999999999</v>
      </c>
      <c r="C34" s="385" t="s">
        <v>986</v>
      </c>
      <c r="D34" s="365" t="s">
        <v>100</v>
      </c>
      <c r="E34" s="560">
        <f t="shared" ref="E34:F35" si="16">E$23*E26</f>
        <v>0</v>
      </c>
      <c r="F34" s="560">
        <f t="shared" si="16"/>
        <v>0</v>
      </c>
      <c r="G34" s="560">
        <f>G$23*G30</f>
        <v>0</v>
      </c>
      <c r="H34" s="560">
        <f t="shared" si="1"/>
        <v>0</v>
      </c>
      <c r="I34" s="560">
        <f t="shared" si="11"/>
        <v>0</v>
      </c>
      <c r="J34" s="560">
        <f t="shared" si="11"/>
        <v>0</v>
      </c>
      <c r="K34" s="560">
        <f>K$23*K30</f>
        <v>0</v>
      </c>
      <c r="L34" s="560">
        <f t="shared" si="12"/>
        <v>0</v>
      </c>
      <c r="M34" s="560">
        <f t="shared" ref="M34" si="17">M$23*M26</f>
        <v>0</v>
      </c>
      <c r="N34" s="560">
        <f>N$23*N26</f>
        <v>0</v>
      </c>
      <c r="O34" s="560">
        <f t="shared" si="14"/>
        <v>0</v>
      </c>
      <c r="P34" s="560">
        <f t="shared" si="14"/>
        <v>0</v>
      </c>
      <c r="Q34" s="560">
        <f t="shared" ref="Q34:Q37" si="18">SUM(O34:P34)</f>
        <v>0</v>
      </c>
      <c r="R34" s="560">
        <f t="shared" si="0"/>
        <v>0</v>
      </c>
      <c r="S34" s="560">
        <f>S$23*S30</f>
        <v>0</v>
      </c>
      <c r="T34" s="560">
        <f t="shared" ref="T34:W34" si="19">T$23*T30</f>
        <v>0</v>
      </c>
      <c r="U34" s="560">
        <f t="shared" si="19"/>
        <v>0</v>
      </c>
      <c r="V34" s="560">
        <f t="shared" si="19"/>
        <v>0</v>
      </c>
      <c r="W34" s="560">
        <f t="shared" si="19"/>
        <v>0</v>
      </c>
      <c r="X34" s="392"/>
    </row>
    <row r="35" spans="2:24" s="36" customFormat="1" ht="46.5">
      <c r="B35" s="387"/>
      <c r="C35" s="385" t="s">
        <v>981</v>
      </c>
      <c r="D35" s="365" t="s">
        <v>100</v>
      </c>
      <c r="E35" s="560">
        <f t="shared" si="16"/>
        <v>0</v>
      </c>
      <c r="F35" s="560">
        <f t="shared" si="16"/>
        <v>0</v>
      </c>
      <c r="G35" s="560">
        <f>G$23*G31</f>
        <v>0</v>
      </c>
      <c r="H35" s="560">
        <f t="shared" si="1"/>
        <v>0</v>
      </c>
      <c r="I35" s="560">
        <f t="shared" si="11"/>
        <v>0</v>
      </c>
      <c r="J35" s="560">
        <f t="shared" si="11"/>
        <v>0</v>
      </c>
      <c r="K35" s="560">
        <f>K$23*K31</f>
        <v>0</v>
      </c>
      <c r="L35" s="560">
        <f t="shared" si="12"/>
        <v>0</v>
      </c>
      <c r="M35" s="560">
        <f t="shared" ref="M35" si="20">M$23*M27</f>
        <v>0</v>
      </c>
      <c r="N35" s="560">
        <f>N$23*N27</f>
        <v>0</v>
      </c>
      <c r="O35" s="560">
        <f t="shared" si="14"/>
        <v>0</v>
      </c>
      <c r="P35" s="560">
        <f t="shared" si="14"/>
        <v>0</v>
      </c>
      <c r="Q35" s="560">
        <f t="shared" si="18"/>
        <v>0</v>
      </c>
      <c r="R35" s="560">
        <f t="shared" si="0"/>
        <v>0</v>
      </c>
      <c r="S35" s="560">
        <f>S$23*S31</f>
        <v>3.72282916682</v>
      </c>
      <c r="T35" s="560">
        <f t="shared" ref="T35:W35" si="21">T$23*T31</f>
        <v>3.72282916682</v>
      </c>
      <c r="U35" s="560">
        <f t="shared" si="21"/>
        <v>3.7229884467609828</v>
      </c>
      <c r="V35" s="560">
        <f t="shared" si="21"/>
        <v>3.7229884467609828</v>
      </c>
      <c r="W35" s="560">
        <f t="shared" si="21"/>
        <v>3.7229884467609828</v>
      </c>
      <c r="X35" s="392"/>
    </row>
    <row r="36" spans="2:24" s="36" customFormat="1" ht="46.5">
      <c r="B36" s="388">
        <v>1.1299999999999999</v>
      </c>
      <c r="C36" s="385" t="s">
        <v>985</v>
      </c>
      <c r="D36" s="365" t="s">
        <v>100</v>
      </c>
      <c r="E36" s="560">
        <f>SUM(E33:E35)</f>
        <v>0</v>
      </c>
      <c r="F36" s="560">
        <f t="shared" ref="F36:H36" si="22">SUM(F33:F35)</f>
        <v>103.56817340000002</v>
      </c>
      <c r="G36" s="560">
        <f t="shared" si="22"/>
        <v>154.047</v>
      </c>
      <c r="H36" s="560">
        <f t="shared" si="22"/>
        <v>50.478826599999977</v>
      </c>
      <c r="I36" s="560">
        <f>SUM(I33:I35)</f>
        <v>0</v>
      </c>
      <c r="J36" s="560">
        <f t="shared" ref="J36" si="23">SUM(J33:J35)</f>
        <v>118.36208599999999</v>
      </c>
      <c r="K36" s="560">
        <f t="shared" ref="K36" si="24">SUM(K33:K35)</f>
        <v>157.22200000000001</v>
      </c>
      <c r="L36" s="560">
        <f t="shared" ref="L36" si="25">SUM(L33:L35)</f>
        <v>38.859914000000018</v>
      </c>
      <c r="M36" s="560">
        <f>SUM(M33:M35)</f>
        <v>0</v>
      </c>
      <c r="N36" s="560">
        <f t="shared" ref="N36:P36" si="26">SUM(N33:N35)</f>
        <v>134.64679909428298</v>
      </c>
      <c r="O36" s="560">
        <f t="shared" si="26"/>
        <v>80.007000000000005</v>
      </c>
      <c r="P36" s="560">
        <f t="shared" si="26"/>
        <v>85.342098426087801</v>
      </c>
      <c r="Q36" s="560">
        <f t="shared" si="18"/>
        <v>165.34909842608781</v>
      </c>
      <c r="R36" s="560">
        <f t="shared" ref="R36" si="27">SUM(R33:R35)</f>
        <v>30.702299331804824</v>
      </c>
      <c r="S36" s="560">
        <f t="shared" ref="S36" si="28">SUM(S33:S35)</f>
        <v>173.85612209049398</v>
      </c>
      <c r="T36" s="560">
        <f t="shared" ref="T36" si="29">SUM(T33:T35)</f>
        <v>173.85612209049398</v>
      </c>
      <c r="U36" s="560">
        <f t="shared" ref="U36" si="30">SUM(U33:U35)</f>
        <v>173.86356046373788</v>
      </c>
      <c r="V36" s="560">
        <f t="shared" ref="V36" si="31">SUM(V33:V35)</f>
        <v>173.86356046373788</v>
      </c>
      <c r="W36" s="560">
        <f t="shared" ref="W36" si="32">SUM(W33:W35)</f>
        <v>173.86356046373788</v>
      </c>
      <c r="X36" s="392"/>
    </row>
    <row r="37" spans="2:24" s="36" customFormat="1" ht="31">
      <c r="B37" s="380">
        <v>1.1499999999999999</v>
      </c>
      <c r="C37" s="385" t="s">
        <v>987</v>
      </c>
      <c r="D37" s="365" t="s">
        <v>100</v>
      </c>
      <c r="E37" s="560">
        <f>E23-E36</f>
        <v>0</v>
      </c>
      <c r="F37" s="560">
        <f t="shared" ref="F37:S37" si="33">F23-F36</f>
        <v>1029.5628266000001</v>
      </c>
      <c r="G37" s="560">
        <f t="shared" si="33"/>
        <v>979.08400000000006</v>
      </c>
      <c r="H37" s="560">
        <f t="shared" si="33"/>
        <v>-50.478826599999977</v>
      </c>
      <c r="I37" s="560">
        <f t="shared" si="33"/>
        <v>0</v>
      </c>
      <c r="J37" s="560">
        <f t="shared" si="33"/>
        <v>1176.6279139999999</v>
      </c>
      <c r="K37" s="560">
        <f t="shared" si="33"/>
        <v>1137.768</v>
      </c>
      <c r="L37" s="560">
        <f t="shared" si="33"/>
        <v>-38.859914000000018</v>
      </c>
      <c r="M37" s="560">
        <f t="shared" ref="M37" si="34">M23-M36</f>
        <v>0</v>
      </c>
      <c r="N37" s="560">
        <f t="shared" si="33"/>
        <v>1449.4331902502227</v>
      </c>
      <c r="O37" s="560">
        <f t="shared" si="33"/>
        <v>570.35199999999986</v>
      </c>
      <c r="P37" s="560">
        <f t="shared" si="33"/>
        <v>848.37889091841771</v>
      </c>
      <c r="Q37" s="560">
        <f t="shared" si="18"/>
        <v>1418.7308909184176</v>
      </c>
      <c r="R37" s="560">
        <f t="shared" si="33"/>
        <v>-30.702299331804824</v>
      </c>
      <c r="S37" s="560">
        <f t="shared" si="33"/>
        <v>1687.558461319506</v>
      </c>
      <c r="T37" s="560">
        <f t="shared" ref="T37" si="35">T23-T36</f>
        <v>1687.558461319506</v>
      </c>
      <c r="U37" s="560">
        <f t="shared" ref="U37" si="36">U23-U36</f>
        <v>1687.6306629167534</v>
      </c>
      <c r="V37" s="560">
        <f t="shared" ref="V37" si="37">V23-V36</f>
        <v>1687.6306629167534</v>
      </c>
      <c r="W37" s="560">
        <f t="shared" ref="W37" si="38">W23-W36</f>
        <v>1687.6306629167534</v>
      </c>
      <c r="X37" s="392"/>
    </row>
    <row r="38" spans="2:24" s="36" customFormat="1" ht="15.5">
      <c r="B38" s="380">
        <v>1.1599999999999999</v>
      </c>
      <c r="C38" s="381" t="s">
        <v>693</v>
      </c>
      <c r="D38" s="365" t="s">
        <v>100</v>
      </c>
      <c r="E38" s="651"/>
      <c r="F38" s="565">
        <f>G38</f>
        <v>0</v>
      </c>
      <c r="G38" s="565">
        <v>0</v>
      </c>
      <c r="H38" s="560">
        <f t="shared" si="1"/>
        <v>0</v>
      </c>
      <c r="I38" s="651"/>
      <c r="J38" s="565">
        <f>K38</f>
        <v>0</v>
      </c>
      <c r="K38" s="565">
        <v>0</v>
      </c>
      <c r="L38" s="560">
        <f t="shared" si="2"/>
        <v>0</v>
      </c>
      <c r="M38" s="651"/>
      <c r="N38" s="560">
        <f>Q38</f>
        <v>0</v>
      </c>
      <c r="O38" s="564"/>
      <c r="P38" s="564"/>
      <c r="Q38" s="560">
        <f>O38+P38</f>
        <v>0</v>
      </c>
      <c r="R38" s="560">
        <f t="shared" si="0"/>
        <v>0</v>
      </c>
      <c r="S38" s="560"/>
      <c r="T38" s="560"/>
      <c r="U38" s="560"/>
      <c r="V38" s="560"/>
      <c r="W38" s="560"/>
      <c r="X38" s="392"/>
    </row>
    <row r="39" spans="2:24" s="36" customFormat="1" ht="31">
      <c r="B39" s="380">
        <v>1.17</v>
      </c>
      <c r="C39" s="385" t="s">
        <v>102</v>
      </c>
      <c r="D39" s="365" t="s">
        <v>103</v>
      </c>
      <c r="E39" s="654">
        <v>2430</v>
      </c>
      <c r="F39" s="559">
        <f>E39</f>
        <v>2430</v>
      </c>
      <c r="G39" s="765"/>
      <c r="H39" s="765"/>
      <c r="I39" s="654">
        <f>'F2.1'!I52</f>
        <v>2430</v>
      </c>
      <c r="J39" s="559">
        <f>I39</f>
        <v>2430</v>
      </c>
      <c r="K39" s="765"/>
      <c r="L39" s="765"/>
      <c r="M39" s="654">
        <f>'F2.1'!M52</f>
        <v>2430</v>
      </c>
      <c r="N39" s="559">
        <f>M39</f>
        <v>2430</v>
      </c>
      <c r="O39" s="765"/>
      <c r="P39" s="765"/>
      <c r="Q39" s="768"/>
      <c r="R39" s="768"/>
      <c r="S39" s="834">
        <v>0</v>
      </c>
      <c r="T39" s="834">
        <v>0</v>
      </c>
      <c r="U39" s="834">
        <v>0</v>
      </c>
      <c r="V39" s="834">
        <v>0</v>
      </c>
      <c r="W39" s="834">
        <v>0</v>
      </c>
      <c r="X39" s="392"/>
    </row>
    <row r="40" spans="2:24" s="424" customFormat="1" ht="31">
      <c r="B40" s="395">
        <v>1.18</v>
      </c>
      <c r="C40" s="384" t="s">
        <v>695</v>
      </c>
      <c r="D40" s="395" t="s">
        <v>103</v>
      </c>
      <c r="E40" s="767"/>
      <c r="F40" s="765"/>
      <c r="G40" s="559">
        <f>G113/G23</f>
        <v>2535.5271992891567</v>
      </c>
      <c r="H40" s="559">
        <f>G40-F39</f>
        <v>105.52719928915667</v>
      </c>
      <c r="I40" s="767"/>
      <c r="J40" s="765"/>
      <c r="K40" s="559">
        <f>K113/K23</f>
        <v>2441.4382928680684</v>
      </c>
      <c r="L40" s="559">
        <f>K40-J39</f>
        <v>11.438292868068402</v>
      </c>
      <c r="M40" s="767"/>
      <c r="N40" s="765"/>
      <c r="O40" s="559">
        <f>O113/O23</f>
        <v>2467.7897502074707</v>
      </c>
      <c r="P40" s="559">
        <f>P113/P23</f>
        <v>2430</v>
      </c>
      <c r="Q40" s="560">
        <f>Q113/Q23</f>
        <v>2445.5149388417881</v>
      </c>
      <c r="R40" s="560">
        <f>Q40-N39</f>
        <v>15.51493884178808</v>
      </c>
      <c r="S40" s="1263">
        <v>2415</v>
      </c>
      <c r="T40" s="1263">
        <v>2415</v>
      </c>
      <c r="U40" s="1263">
        <v>2415</v>
      </c>
      <c r="V40" s="1263">
        <v>2415</v>
      </c>
      <c r="W40" s="1263">
        <v>2415</v>
      </c>
      <c r="X40" s="397"/>
    </row>
    <row r="41" spans="2:24" s="424" customFormat="1" ht="31">
      <c r="B41" s="486">
        <v>1.19</v>
      </c>
      <c r="C41" s="384" t="s">
        <v>104</v>
      </c>
      <c r="D41" s="395" t="s">
        <v>105</v>
      </c>
      <c r="E41" s="836">
        <v>0.5</v>
      </c>
      <c r="F41" s="560">
        <f>E41</f>
        <v>0.5</v>
      </c>
      <c r="G41" s="765"/>
      <c r="H41" s="768"/>
      <c r="I41" s="651">
        <f>'F2.1'!I56</f>
        <v>0.5</v>
      </c>
      <c r="J41" s="560">
        <f>I41</f>
        <v>0.5</v>
      </c>
      <c r="K41" s="765"/>
      <c r="L41" s="768"/>
      <c r="M41" s="651">
        <f>'F2.1'!M56</f>
        <v>0.5</v>
      </c>
      <c r="N41" s="560">
        <f>M41</f>
        <v>0.5</v>
      </c>
      <c r="O41" s="765"/>
      <c r="P41" s="765"/>
      <c r="Q41" s="765"/>
      <c r="R41" s="560">
        <f t="shared" si="0"/>
        <v>-0.5</v>
      </c>
      <c r="S41" s="834">
        <v>0</v>
      </c>
      <c r="T41" s="834">
        <v>0</v>
      </c>
      <c r="U41" s="834">
        <v>0</v>
      </c>
      <c r="V41" s="834">
        <v>0</v>
      </c>
      <c r="W41" s="834">
        <v>0</v>
      </c>
      <c r="X41" s="397"/>
    </row>
    <row r="42" spans="2:24" s="424" customFormat="1" ht="46.5">
      <c r="B42" s="554">
        <v>1.2</v>
      </c>
      <c r="C42" s="384" t="s">
        <v>696</v>
      </c>
      <c r="D42" s="395" t="s">
        <v>105</v>
      </c>
      <c r="E42" s="765"/>
      <c r="F42" s="765"/>
      <c r="G42" s="559">
        <v>5.1470000000000002</v>
      </c>
      <c r="H42" s="560">
        <f>G42-F41</f>
        <v>4.6470000000000002</v>
      </c>
      <c r="I42" s="756"/>
      <c r="J42" s="765"/>
      <c r="K42" s="559">
        <v>1.2193839334666676</v>
      </c>
      <c r="L42" s="560">
        <f>K42-J41</f>
        <v>0.71938393346666762</v>
      </c>
      <c r="M42" s="641"/>
      <c r="N42" s="765"/>
      <c r="O42" s="1144">
        <v>2.3125073997592098</v>
      </c>
      <c r="P42" s="1144">
        <v>0.5</v>
      </c>
      <c r="Q42" s="834">
        <f>AVERAGE(O42:P42)</f>
        <v>1.4062536998796049</v>
      </c>
      <c r="R42" s="747">
        <f>Q42-N41</f>
        <v>0.90625369987960491</v>
      </c>
      <c r="S42" s="1144">
        <v>0.5</v>
      </c>
      <c r="T42" s="1144">
        <v>0.5</v>
      </c>
      <c r="U42" s="1144">
        <v>0.5</v>
      </c>
      <c r="V42" s="1144">
        <v>0.5</v>
      </c>
      <c r="W42" s="1144">
        <v>0.5</v>
      </c>
      <c r="X42" s="397"/>
    </row>
    <row r="43" spans="2:24" s="424" customFormat="1" ht="15.5">
      <c r="B43" s="486">
        <v>1.21</v>
      </c>
      <c r="C43" s="384" t="s">
        <v>106</v>
      </c>
      <c r="D43" s="395" t="s">
        <v>98</v>
      </c>
      <c r="E43" s="652">
        <v>8.0000000000000002E-3</v>
      </c>
      <c r="F43" s="562">
        <f>E43</f>
        <v>8.0000000000000002E-3</v>
      </c>
      <c r="G43" s="764"/>
      <c r="H43" s="763"/>
      <c r="I43" s="652">
        <f>'F2.1'!I60</f>
        <v>8.0000000000000002E-3</v>
      </c>
      <c r="J43" s="562">
        <f>I43</f>
        <v>8.0000000000000002E-3</v>
      </c>
      <c r="K43" s="764"/>
      <c r="L43" s="763"/>
      <c r="M43" s="652">
        <v>8.0000000000000002E-3</v>
      </c>
      <c r="N43" s="562">
        <f>M43</f>
        <v>8.0000000000000002E-3</v>
      </c>
      <c r="O43" s="1275"/>
      <c r="P43" s="1275"/>
      <c r="Q43" s="1275"/>
      <c r="R43" s="764"/>
      <c r="S43" s="1146"/>
      <c r="T43" s="1146"/>
      <c r="U43" s="1146"/>
      <c r="V43" s="1146"/>
      <c r="W43" s="1146"/>
      <c r="X43" s="397"/>
    </row>
    <row r="44" spans="2:24" s="424" customFormat="1" ht="31">
      <c r="B44" s="486">
        <v>1.22</v>
      </c>
      <c r="C44" s="384" t="s">
        <v>697</v>
      </c>
      <c r="D44" s="395" t="s">
        <v>98</v>
      </c>
      <c r="E44" s="764"/>
      <c r="F44" s="764"/>
      <c r="G44" s="562">
        <v>4.8999999999999998E-3</v>
      </c>
      <c r="H44" s="561">
        <f>G44-F43</f>
        <v>-3.1000000000000003E-3</v>
      </c>
      <c r="I44" s="764"/>
      <c r="J44" s="764"/>
      <c r="K44" s="562">
        <v>1.1000000000000001E-3</v>
      </c>
      <c r="L44" s="561">
        <f>K44-J43</f>
        <v>-6.8999999999999999E-3</v>
      </c>
      <c r="M44" s="652"/>
      <c r="N44" s="764"/>
      <c r="O44" s="1276">
        <v>5.0535282221190027E-3</v>
      </c>
      <c r="P44" s="1276">
        <v>8.0000000000000002E-3</v>
      </c>
      <c r="Q44" s="1277">
        <f>AVERAGE(O44:P44)</f>
        <v>6.526764111059501E-3</v>
      </c>
      <c r="R44" s="561">
        <f>Q44-N43</f>
        <v>-1.4732358889404992E-3</v>
      </c>
      <c r="S44" s="1147">
        <v>8.0000000000000002E-3</v>
      </c>
      <c r="T44" s="1147">
        <v>8.0000000000000002E-3</v>
      </c>
      <c r="U44" s="1147">
        <v>8.0000000000000002E-3</v>
      </c>
      <c r="V44" s="1147">
        <v>8.0000000000000002E-3</v>
      </c>
      <c r="W44" s="1147">
        <v>8.0000000000000002E-3</v>
      </c>
      <c r="X44" s="397"/>
    </row>
    <row r="45" spans="2:24" s="424" customFormat="1" ht="15.5">
      <c r="B45" s="469"/>
      <c r="C45" s="468"/>
      <c r="D45" s="470"/>
      <c r="E45" s="655"/>
      <c r="F45" s="523"/>
      <c r="G45" s="523"/>
      <c r="H45" s="523"/>
      <c r="I45" s="655"/>
      <c r="J45" s="523"/>
      <c r="K45" s="523"/>
      <c r="L45" s="523"/>
      <c r="M45" s="655"/>
      <c r="N45" s="521"/>
      <c r="O45" s="521"/>
      <c r="P45" s="521"/>
      <c r="Q45" s="521"/>
      <c r="R45" s="521"/>
      <c r="S45" s="585"/>
      <c r="T45" s="585"/>
      <c r="U45" s="585"/>
      <c r="V45" s="585"/>
      <c r="W45" s="585"/>
      <c r="X45" s="397"/>
    </row>
    <row r="46" spans="2:24" s="424" customFormat="1" ht="15.5">
      <c r="B46" s="469">
        <v>2</v>
      </c>
      <c r="C46" s="499" t="s">
        <v>107</v>
      </c>
      <c r="D46" s="470"/>
      <c r="E46" s="655"/>
      <c r="F46" s="523"/>
      <c r="G46" s="523"/>
      <c r="H46" s="523"/>
      <c r="I46" s="655"/>
      <c r="J46" s="523"/>
      <c r="K46" s="523"/>
      <c r="L46" s="523"/>
      <c r="M46" s="655"/>
      <c r="N46" s="521"/>
      <c r="O46" s="521"/>
      <c r="P46" s="521"/>
      <c r="Q46" s="521"/>
      <c r="R46" s="521"/>
      <c r="S46" s="585"/>
      <c r="T46" s="585"/>
      <c r="U46" s="585"/>
      <c r="V46" s="585"/>
      <c r="W46" s="585"/>
      <c r="X46" s="397"/>
    </row>
    <row r="47" spans="2:24" s="424" customFormat="1" ht="15.5">
      <c r="B47" s="469">
        <v>2.1</v>
      </c>
      <c r="C47" s="468" t="s">
        <v>580</v>
      </c>
      <c r="D47" s="470"/>
      <c r="E47" s="655"/>
      <c r="F47" s="523"/>
      <c r="G47" s="523"/>
      <c r="H47" s="523"/>
      <c r="I47" s="655"/>
      <c r="J47" s="523"/>
      <c r="K47" s="523"/>
      <c r="L47" s="523"/>
      <c r="M47" s="655"/>
      <c r="N47" s="521"/>
      <c r="O47" s="521"/>
      <c r="P47" s="521"/>
      <c r="Q47" s="521"/>
      <c r="R47" s="521"/>
      <c r="S47" s="585"/>
      <c r="T47" s="585"/>
      <c r="U47" s="585"/>
      <c r="V47" s="585"/>
      <c r="W47" s="585"/>
      <c r="X47" s="397"/>
    </row>
    <row r="48" spans="2:24" s="424" customFormat="1" ht="15.5">
      <c r="B48" s="1152" t="s">
        <v>108</v>
      </c>
      <c r="C48" s="1153" t="s">
        <v>745</v>
      </c>
      <c r="D48" s="1154" t="s">
        <v>109</v>
      </c>
      <c r="E48" s="662">
        <v>4131.8141991227503</v>
      </c>
      <c r="F48" s="566">
        <f>G48</f>
        <v>3947</v>
      </c>
      <c r="G48" s="566">
        <v>3947</v>
      </c>
      <c r="H48" s="566">
        <f>G48-F48</f>
        <v>0</v>
      </c>
      <c r="I48" s="662"/>
      <c r="J48" s="566">
        <f>K48</f>
        <v>3930</v>
      </c>
      <c r="K48" s="566">
        <v>3930</v>
      </c>
      <c r="L48" s="559">
        <f>K48-J48</f>
        <v>0</v>
      </c>
      <c r="M48" s="662"/>
      <c r="N48" s="566">
        <f t="shared" ref="N48:N56" si="39">Q48</f>
        <v>3942.9548597307826</v>
      </c>
      <c r="O48" s="1148">
        <v>3961.57805401111</v>
      </c>
      <c r="P48" s="1148">
        <v>3930</v>
      </c>
      <c r="Q48" s="1144">
        <f>SUMPRODUCT(O48:P48,O94:P94)/SUM(O94:P94)</f>
        <v>3942.9548597307826</v>
      </c>
      <c r="R48" s="559">
        <f>Q48-N48</f>
        <v>0</v>
      </c>
      <c r="S48" s="1148">
        <v>3958.1179839098054</v>
      </c>
      <c r="T48" s="1148">
        <v>3958.1179839098054</v>
      </c>
      <c r="U48" s="1148">
        <v>3958.1179839098045</v>
      </c>
      <c r="V48" s="1148">
        <v>3958.1179839098045</v>
      </c>
      <c r="W48" s="1148">
        <v>3958.1179839098045</v>
      </c>
      <c r="X48" s="397"/>
    </row>
    <row r="49" spans="2:24" s="424" customFormat="1" ht="15.5">
      <c r="B49" s="1152" t="s">
        <v>110</v>
      </c>
      <c r="C49" s="1153" t="s">
        <v>746</v>
      </c>
      <c r="D49" s="1154" t="s">
        <v>109</v>
      </c>
      <c r="E49" s="662">
        <v>0</v>
      </c>
      <c r="F49" s="566">
        <f t="shared" ref="F49:F56" si="40">G49</f>
        <v>0</v>
      </c>
      <c r="G49" s="566">
        <v>0</v>
      </c>
      <c r="H49" s="566">
        <f t="shared" ref="H49:H56" si="41">G49-F49</f>
        <v>0</v>
      </c>
      <c r="I49" s="662"/>
      <c r="J49" s="566">
        <f t="shared" ref="J49:J56" si="42">K49</f>
        <v>0</v>
      </c>
      <c r="K49" s="566">
        <v>0</v>
      </c>
      <c r="L49" s="559">
        <f t="shared" ref="L49:L56" si="43">K49-J49</f>
        <v>0</v>
      </c>
      <c r="M49" s="662"/>
      <c r="N49" s="566">
        <f t="shared" si="39"/>
        <v>0</v>
      </c>
      <c r="O49" s="1148">
        <v>0</v>
      </c>
      <c r="P49" s="1148">
        <v>0</v>
      </c>
      <c r="Q49" s="1144">
        <f>IFERROR(SUMPRODUCT(O49:P49,O95:P95)/SUM(O95:P95),0)</f>
        <v>0</v>
      </c>
      <c r="R49" s="559">
        <f>Q49-N49</f>
        <v>0</v>
      </c>
      <c r="S49" s="1148">
        <v>0</v>
      </c>
      <c r="T49" s="1148">
        <v>0</v>
      </c>
      <c r="U49" s="1148">
        <v>0</v>
      </c>
      <c r="V49" s="1148">
        <v>0</v>
      </c>
      <c r="W49" s="1148">
        <v>0</v>
      </c>
      <c r="X49" s="397"/>
    </row>
    <row r="50" spans="2:24" s="424" customFormat="1" ht="15.5">
      <c r="B50" s="1152" t="s">
        <v>112</v>
      </c>
      <c r="C50" s="1153" t="s">
        <v>853</v>
      </c>
      <c r="D50" s="1154" t="s">
        <v>109</v>
      </c>
      <c r="E50" s="662">
        <v>0</v>
      </c>
      <c r="F50" s="566">
        <f t="shared" si="40"/>
        <v>0</v>
      </c>
      <c r="G50" s="566">
        <v>0</v>
      </c>
      <c r="H50" s="566">
        <f t="shared" si="41"/>
        <v>0</v>
      </c>
      <c r="I50" s="662"/>
      <c r="J50" s="566">
        <f t="shared" si="42"/>
        <v>0</v>
      </c>
      <c r="K50" s="566">
        <v>0</v>
      </c>
      <c r="L50" s="559">
        <f t="shared" si="43"/>
        <v>0</v>
      </c>
      <c r="M50" s="662"/>
      <c r="N50" s="566">
        <f t="shared" si="39"/>
        <v>0</v>
      </c>
      <c r="O50" s="1148">
        <v>0</v>
      </c>
      <c r="P50" s="1148">
        <v>0</v>
      </c>
      <c r="Q50" s="1144">
        <f>IFERROR(SUMPRODUCT(O50:P50,O96:P96)/SUM(O96:P96),0)</f>
        <v>0</v>
      </c>
      <c r="R50" s="559">
        <f t="shared" ref="R50:R56" si="44">Q50-N50</f>
        <v>0</v>
      </c>
      <c r="S50" s="1148">
        <v>0</v>
      </c>
      <c r="T50" s="1148">
        <v>0</v>
      </c>
      <c r="U50" s="1148">
        <v>0</v>
      </c>
      <c r="V50" s="1148">
        <v>0</v>
      </c>
      <c r="W50" s="1148">
        <v>0</v>
      </c>
      <c r="X50" s="397"/>
    </row>
    <row r="51" spans="2:24" s="424" customFormat="1" ht="15.5">
      <c r="B51" s="1152" t="s">
        <v>744</v>
      </c>
      <c r="C51" s="1153" t="s">
        <v>1473</v>
      </c>
      <c r="D51" s="1154" t="s">
        <v>109</v>
      </c>
      <c r="E51" s="662"/>
      <c r="F51" s="566"/>
      <c r="G51" s="566"/>
      <c r="H51" s="566"/>
      <c r="I51" s="662"/>
      <c r="J51" s="566"/>
      <c r="K51" s="566"/>
      <c r="L51" s="559"/>
      <c r="M51" s="662"/>
      <c r="N51" s="566"/>
      <c r="O51" s="1148"/>
      <c r="P51" s="1148"/>
      <c r="Q51" s="1144"/>
      <c r="R51" s="559"/>
      <c r="S51" s="1148">
        <v>3350</v>
      </c>
      <c r="T51" s="1148">
        <v>3350</v>
      </c>
      <c r="U51" s="1148">
        <v>3350</v>
      </c>
      <c r="V51" s="1148">
        <v>3350</v>
      </c>
      <c r="W51" s="1148">
        <v>3350</v>
      </c>
      <c r="X51" s="397"/>
    </row>
    <row r="52" spans="2:24" s="424" customFormat="1" ht="15.5">
      <c r="B52" s="1152" t="s">
        <v>856</v>
      </c>
      <c r="C52" s="1153" t="s">
        <v>1474</v>
      </c>
      <c r="D52" s="1154" t="s">
        <v>109</v>
      </c>
      <c r="E52" s="662"/>
      <c r="F52" s="566"/>
      <c r="G52" s="566"/>
      <c r="H52" s="566"/>
      <c r="I52" s="662"/>
      <c r="J52" s="566"/>
      <c r="K52" s="566"/>
      <c r="L52" s="559"/>
      <c r="M52" s="662"/>
      <c r="N52" s="566"/>
      <c r="O52" s="1148"/>
      <c r="P52" s="1148"/>
      <c r="Q52" s="1144"/>
      <c r="R52" s="559"/>
      <c r="S52" s="1148">
        <v>0</v>
      </c>
      <c r="T52" s="1148">
        <v>0</v>
      </c>
      <c r="U52" s="1148">
        <v>0</v>
      </c>
      <c r="V52" s="1148">
        <v>0</v>
      </c>
      <c r="W52" s="1148">
        <v>0</v>
      </c>
      <c r="X52" s="397"/>
    </row>
    <row r="53" spans="2:24" s="424" customFormat="1" ht="15.5">
      <c r="B53" s="1152" t="s">
        <v>857</v>
      </c>
      <c r="C53" s="1153" t="s">
        <v>747</v>
      </c>
      <c r="D53" s="1154" t="s">
        <v>109</v>
      </c>
      <c r="E53" s="656">
        <v>53718.725868122507</v>
      </c>
      <c r="F53" s="566">
        <f>G53</f>
        <v>10094</v>
      </c>
      <c r="G53" s="566">
        <v>10094</v>
      </c>
      <c r="H53" s="566">
        <f t="shared" si="41"/>
        <v>0</v>
      </c>
      <c r="I53" s="656"/>
      <c r="J53" s="566">
        <f t="shared" si="42"/>
        <v>10286</v>
      </c>
      <c r="K53" s="566">
        <v>10286</v>
      </c>
      <c r="L53" s="559">
        <f t="shared" si="43"/>
        <v>0</v>
      </c>
      <c r="M53" s="656"/>
      <c r="N53" s="566">
        <f t="shared" si="39"/>
        <v>10292.728551576382</v>
      </c>
      <c r="O53" s="1148">
        <v>10296</v>
      </c>
      <c r="P53" s="1148">
        <v>10286</v>
      </c>
      <c r="Q53" s="1144">
        <f>SUMPRODUCT(O53:P53,O99:P99)/SUM(O99:P99)</f>
        <v>10292.728551576382</v>
      </c>
      <c r="R53" s="559">
        <f t="shared" si="44"/>
        <v>0</v>
      </c>
      <c r="S53" s="1148">
        <v>10286</v>
      </c>
      <c r="T53" s="1148">
        <v>10286</v>
      </c>
      <c r="U53" s="1148">
        <v>10286</v>
      </c>
      <c r="V53" s="1148">
        <v>10286</v>
      </c>
      <c r="W53" s="1148">
        <v>10286</v>
      </c>
      <c r="X53" s="397"/>
    </row>
    <row r="54" spans="2:24" s="424" customFormat="1" ht="15.5">
      <c r="B54" s="1152" t="s">
        <v>858</v>
      </c>
      <c r="C54" s="1153" t="s">
        <v>748</v>
      </c>
      <c r="D54" s="1154" t="s">
        <v>109</v>
      </c>
      <c r="E54" s="656">
        <v>54090.829489010546</v>
      </c>
      <c r="F54" s="566">
        <f>G54</f>
        <v>10687</v>
      </c>
      <c r="G54" s="566">
        <v>10687</v>
      </c>
      <c r="H54" s="566">
        <f t="shared" si="41"/>
        <v>0</v>
      </c>
      <c r="I54" s="656"/>
      <c r="J54" s="566">
        <f t="shared" si="42"/>
        <v>10686</v>
      </c>
      <c r="K54" s="566">
        <v>10686</v>
      </c>
      <c r="L54" s="559">
        <f t="shared" si="43"/>
        <v>0</v>
      </c>
      <c r="M54" s="656"/>
      <c r="N54" s="566">
        <f t="shared" si="39"/>
        <v>10462.845634024054</v>
      </c>
      <c r="O54" s="1148">
        <v>10421</v>
      </c>
      <c r="P54" s="1148">
        <v>10686</v>
      </c>
      <c r="Q54" s="1144">
        <f>SUMPRODUCT(O54:P54,O100:P100)/SUM(O100:P100)</f>
        <v>10462.845634024054</v>
      </c>
      <c r="R54" s="559">
        <f t="shared" si="44"/>
        <v>0</v>
      </c>
      <c r="S54" s="1148">
        <v>10686</v>
      </c>
      <c r="T54" s="1148">
        <v>10686</v>
      </c>
      <c r="U54" s="1148">
        <v>10686</v>
      </c>
      <c r="V54" s="1148">
        <v>10686</v>
      </c>
      <c r="W54" s="1148">
        <v>10686</v>
      </c>
      <c r="X54" s="397"/>
    </row>
    <row r="55" spans="2:24" s="424" customFormat="1" ht="15.5">
      <c r="B55" s="1152" t="s">
        <v>1104</v>
      </c>
      <c r="C55" s="1153" t="s">
        <v>854</v>
      </c>
      <c r="D55" s="1154" t="s">
        <v>109</v>
      </c>
      <c r="E55" s="656"/>
      <c r="F55" s="566">
        <f t="shared" si="40"/>
        <v>0</v>
      </c>
      <c r="G55" s="566">
        <v>0</v>
      </c>
      <c r="H55" s="566">
        <f t="shared" si="41"/>
        <v>0</v>
      </c>
      <c r="I55" s="656"/>
      <c r="J55" s="566">
        <f t="shared" si="42"/>
        <v>0</v>
      </c>
      <c r="K55" s="566">
        <v>0</v>
      </c>
      <c r="L55" s="559">
        <f t="shared" si="43"/>
        <v>0</v>
      </c>
      <c r="M55" s="656"/>
      <c r="N55" s="566">
        <f t="shared" si="39"/>
        <v>0</v>
      </c>
      <c r="O55" s="1148">
        <v>0</v>
      </c>
      <c r="P55" s="1148">
        <v>0</v>
      </c>
      <c r="Q55" s="1144">
        <f t="shared" ref="Q55:Q56" si="45">O55+P55</f>
        <v>0</v>
      </c>
      <c r="R55" s="559">
        <f t="shared" si="44"/>
        <v>0</v>
      </c>
      <c r="S55" s="1148">
        <v>0</v>
      </c>
      <c r="T55" s="1148">
        <v>0</v>
      </c>
      <c r="U55" s="1148">
        <v>0</v>
      </c>
      <c r="V55" s="1148">
        <v>0</v>
      </c>
      <c r="W55" s="1148">
        <v>0</v>
      </c>
      <c r="X55" s="397"/>
    </row>
    <row r="56" spans="2:24" s="424" customFormat="1" ht="15.5">
      <c r="B56" s="1152" t="s">
        <v>1475</v>
      </c>
      <c r="C56" s="1153" t="s">
        <v>855</v>
      </c>
      <c r="D56" s="1154" t="s">
        <v>109</v>
      </c>
      <c r="E56" s="656"/>
      <c r="F56" s="566">
        <f t="shared" si="40"/>
        <v>0</v>
      </c>
      <c r="G56" s="566">
        <v>0</v>
      </c>
      <c r="H56" s="566">
        <f t="shared" si="41"/>
        <v>0</v>
      </c>
      <c r="I56" s="656"/>
      <c r="J56" s="566">
        <f t="shared" si="42"/>
        <v>0</v>
      </c>
      <c r="K56" s="566">
        <v>0</v>
      </c>
      <c r="L56" s="559">
        <f t="shared" si="43"/>
        <v>0</v>
      </c>
      <c r="M56" s="656"/>
      <c r="N56" s="566">
        <f t="shared" si="39"/>
        <v>0</v>
      </c>
      <c r="O56" s="1148">
        <v>0</v>
      </c>
      <c r="P56" s="1148">
        <v>0</v>
      </c>
      <c r="Q56" s="1144">
        <f t="shared" si="45"/>
        <v>0</v>
      </c>
      <c r="R56" s="559">
        <f t="shared" si="44"/>
        <v>0</v>
      </c>
      <c r="S56" s="1148">
        <v>0</v>
      </c>
      <c r="T56" s="1148">
        <v>0</v>
      </c>
      <c r="U56" s="1148">
        <v>0</v>
      </c>
      <c r="V56" s="1148">
        <v>0</v>
      </c>
      <c r="W56" s="1148">
        <v>0</v>
      </c>
      <c r="X56" s="397"/>
    </row>
    <row r="57" spans="2:24" s="424" customFormat="1" ht="30">
      <c r="B57" s="469">
        <v>2.2000000000000002</v>
      </c>
      <c r="C57" s="468" t="s">
        <v>333</v>
      </c>
      <c r="D57" s="470"/>
      <c r="E57" s="656"/>
      <c r="F57" s="566"/>
      <c r="G57" s="566"/>
      <c r="H57" s="566"/>
      <c r="I57" s="656"/>
      <c r="J57" s="566"/>
      <c r="K57" s="566"/>
      <c r="L57" s="566"/>
      <c r="M57" s="656"/>
      <c r="N57" s="566"/>
      <c r="O57" s="1148"/>
      <c r="P57" s="1148"/>
      <c r="Q57" s="1144"/>
      <c r="R57" s="559"/>
      <c r="S57" s="559"/>
      <c r="T57" s="559"/>
      <c r="U57" s="559"/>
      <c r="V57" s="559"/>
      <c r="W57" s="559"/>
      <c r="X57" s="397"/>
    </row>
    <row r="58" spans="2:24" s="424" customFormat="1" ht="15.5">
      <c r="B58" s="1152" t="s">
        <v>115</v>
      </c>
      <c r="C58" s="1153" t="s">
        <v>745</v>
      </c>
      <c r="D58" s="1154" t="s">
        <v>109</v>
      </c>
      <c r="E58" s="663">
        <v>3531.8141991227503</v>
      </c>
      <c r="F58" s="758">
        <v>3347</v>
      </c>
      <c r="G58" s="566">
        <v>3282</v>
      </c>
      <c r="H58" s="566">
        <f>G58-F58</f>
        <v>-65</v>
      </c>
      <c r="I58" s="663"/>
      <c r="J58" s="758">
        <f>IF(J48=0,0,MAX(K58,J48-650))</f>
        <v>3280</v>
      </c>
      <c r="K58" s="566">
        <v>3252</v>
      </c>
      <c r="L58" s="559">
        <f>K58-J58</f>
        <v>-28</v>
      </c>
      <c r="M58" s="663"/>
      <c r="N58" s="758">
        <f>IF(N48=0,0,MAX(Q58,N48-650))</f>
        <v>3293.9649440907924</v>
      </c>
      <c r="O58" s="1148">
        <v>3314.0401801274111</v>
      </c>
      <c r="P58" s="1148">
        <v>3280</v>
      </c>
      <c r="Q58" s="1144">
        <f>SUMPRODUCT(O58:P58,O94:P94)/SUM(O94:P94)</f>
        <v>3293.9649440907924</v>
      </c>
      <c r="R58" s="559">
        <f>Q58-N58</f>
        <v>0</v>
      </c>
      <c r="S58" s="758">
        <f>IF(S48=0,0,S48-750)</f>
        <v>3208.1179839098054</v>
      </c>
      <c r="T58" s="758">
        <f>IF(T48=0,0,T48-750)</f>
        <v>3208.1179839098054</v>
      </c>
      <c r="U58" s="758">
        <f>IF(U48=0,0,U48-750)</f>
        <v>3208.1179839098045</v>
      </c>
      <c r="V58" s="758">
        <f>IF(V48=0,0,V48-750)</f>
        <v>3208.1179839098045</v>
      </c>
      <c r="W58" s="758">
        <f>IF(W48=0,0,W48-750)</f>
        <v>3208.1179839098045</v>
      </c>
      <c r="X58" s="397"/>
    </row>
    <row r="59" spans="2:24" s="424" customFormat="1" ht="15.5">
      <c r="B59" s="1152" t="s">
        <v>117</v>
      </c>
      <c r="C59" s="1153" t="s">
        <v>746</v>
      </c>
      <c r="D59" s="1154" t="s">
        <v>109</v>
      </c>
      <c r="E59" s="663">
        <v>0</v>
      </c>
      <c r="F59" s="567">
        <f t="shared" ref="F59:F66" si="46">G59</f>
        <v>0</v>
      </c>
      <c r="G59" s="566">
        <v>0</v>
      </c>
      <c r="H59" s="566">
        <f>G59-F59</f>
        <v>0</v>
      </c>
      <c r="I59" s="663"/>
      <c r="J59" s="567">
        <f t="shared" ref="J59:J66" si="47">K59</f>
        <v>0</v>
      </c>
      <c r="K59" s="566">
        <v>0</v>
      </c>
      <c r="L59" s="559">
        <f>K59-J59</f>
        <v>0</v>
      </c>
      <c r="M59" s="663"/>
      <c r="N59" s="567">
        <f>Q59</f>
        <v>0</v>
      </c>
      <c r="O59" s="1148">
        <v>0</v>
      </c>
      <c r="P59" s="1148">
        <v>0</v>
      </c>
      <c r="Q59" s="1144">
        <f>IFERROR(SUMPRODUCT(O59:P59,O95:P95)/SUM(O95:P95),0)</f>
        <v>0</v>
      </c>
      <c r="R59" s="559">
        <f>Q59-N59</f>
        <v>0</v>
      </c>
      <c r="S59" s="567">
        <f>S49</f>
        <v>0</v>
      </c>
      <c r="T59" s="567">
        <f t="shared" ref="T59:W59" si="48">T49</f>
        <v>0</v>
      </c>
      <c r="U59" s="567">
        <f t="shared" si="48"/>
        <v>0</v>
      </c>
      <c r="V59" s="567">
        <f t="shared" si="48"/>
        <v>0</v>
      </c>
      <c r="W59" s="567">
        <f t="shared" si="48"/>
        <v>0</v>
      </c>
      <c r="X59" s="397"/>
    </row>
    <row r="60" spans="2:24" s="424" customFormat="1" ht="15.5">
      <c r="B60" s="1152" t="s">
        <v>118</v>
      </c>
      <c r="C60" s="1153" t="s">
        <v>853</v>
      </c>
      <c r="D60" s="1154" t="s">
        <v>109</v>
      </c>
      <c r="E60" s="663">
        <v>0</v>
      </c>
      <c r="F60" s="758">
        <f>IF(F50=0,0,MAX(G60,F50-300))</f>
        <v>0</v>
      </c>
      <c r="G60" s="566">
        <v>0</v>
      </c>
      <c r="H60" s="566">
        <f t="shared" ref="H60:H68" si="49">G60-F60</f>
        <v>0</v>
      </c>
      <c r="I60" s="663"/>
      <c r="J60" s="758">
        <f>IF(J50=0,0,MAX(K60,J50-300))</f>
        <v>0</v>
      </c>
      <c r="K60" s="566">
        <v>0</v>
      </c>
      <c r="L60" s="559">
        <f t="shared" ref="L60:L68" si="50">K60-J60</f>
        <v>0</v>
      </c>
      <c r="M60" s="663"/>
      <c r="N60" s="758">
        <f>IF(N50=0,0,MAX(Q60,N50-300))</f>
        <v>0</v>
      </c>
      <c r="O60" s="1148">
        <v>0</v>
      </c>
      <c r="P60" s="1148">
        <v>0</v>
      </c>
      <c r="Q60" s="1144">
        <f>IFERROR(SUMPRODUCT(O60:P60,O96:P96)/SUM(O96:P96),0)</f>
        <v>0</v>
      </c>
      <c r="R60" s="559">
        <f t="shared" ref="R60:R68" si="51">Q60-N60</f>
        <v>0</v>
      </c>
      <c r="S60" s="758">
        <f>IF(S50=0,0,S50-300)</f>
        <v>0</v>
      </c>
      <c r="T60" s="758">
        <f t="shared" ref="T60:W60" si="52">IF(T50=0,0,T50-300)</f>
        <v>0</v>
      </c>
      <c r="U60" s="758">
        <f t="shared" si="52"/>
        <v>0</v>
      </c>
      <c r="V60" s="758">
        <f t="shared" si="52"/>
        <v>0</v>
      </c>
      <c r="W60" s="758">
        <f t="shared" si="52"/>
        <v>0</v>
      </c>
      <c r="X60" s="397"/>
    </row>
    <row r="61" spans="2:24" s="424" customFormat="1" ht="15.5">
      <c r="B61" s="1152" t="s">
        <v>749</v>
      </c>
      <c r="C61" s="1153" t="s">
        <v>1473</v>
      </c>
      <c r="D61" s="1154" t="s">
        <v>109</v>
      </c>
      <c r="E61" s="663"/>
      <c r="F61" s="758"/>
      <c r="G61" s="566"/>
      <c r="H61" s="566"/>
      <c r="I61" s="663"/>
      <c r="J61" s="758"/>
      <c r="K61" s="566"/>
      <c r="L61" s="559"/>
      <c r="M61" s="663"/>
      <c r="N61" s="758"/>
      <c r="O61" s="1148"/>
      <c r="P61" s="1148"/>
      <c r="Q61" s="1144"/>
      <c r="R61" s="559"/>
      <c r="S61" s="758">
        <f t="shared" ref="S61:S66" si="53">S51</f>
        <v>3350</v>
      </c>
      <c r="T61" s="758">
        <f t="shared" ref="T61:W62" si="54">T51</f>
        <v>3350</v>
      </c>
      <c r="U61" s="758">
        <f t="shared" si="54"/>
        <v>3350</v>
      </c>
      <c r="V61" s="758">
        <f t="shared" si="54"/>
        <v>3350</v>
      </c>
      <c r="W61" s="758">
        <f t="shared" si="54"/>
        <v>3350</v>
      </c>
      <c r="X61" s="397"/>
    </row>
    <row r="62" spans="2:24" s="424" customFormat="1" ht="15.5">
      <c r="B62" s="1152" t="s">
        <v>859</v>
      </c>
      <c r="C62" s="1153" t="s">
        <v>1474</v>
      </c>
      <c r="D62" s="1154" t="s">
        <v>109</v>
      </c>
      <c r="E62" s="663"/>
      <c r="F62" s="758"/>
      <c r="G62" s="566"/>
      <c r="H62" s="566"/>
      <c r="I62" s="663"/>
      <c r="J62" s="758"/>
      <c r="K62" s="566"/>
      <c r="L62" s="559"/>
      <c r="M62" s="663"/>
      <c r="N62" s="758"/>
      <c r="O62" s="1148"/>
      <c r="P62" s="1148"/>
      <c r="Q62" s="1144"/>
      <c r="R62" s="559"/>
      <c r="S62" s="758">
        <f t="shared" si="53"/>
        <v>0</v>
      </c>
      <c r="T62" s="758">
        <f t="shared" si="54"/>
        <v>0</v>
      </c>
      <c r="U62" s="758">
        <f t="shared" si="54"/>
        <v>0</v>
      </c>
      <c r="V62" s="758">
        <f t="shared" si="54"/>
        <v>0</v>
      </c>
      <c r="W62" s="758">
        <f t="shared" si="54"/>
        <v>0</v>
      </c>
      <c r="X62" s="397"/>
    </row>
    <row r="63" spans="2:24" s="424" customFormat="1" ht="15.5">
      <c r="B63" s="1152" t="s">
        <v>860</v>
      </c>
      <c r="C63" s="1153" t="s">
        <v>747</v>
      </c>
      <c r="D63" s="1154" t="s">
        <v>109</v>
      </c>
      <c r="E63" s="657">
        <f>E53</f>
        <v>53718.725868122507</v>
      </c>
      <c r="F63" s="567">
        <f t="shared" si="46"/>
        <v>10094</v>
      </c>
      <c r="G63" s="566">
        <v>10094</v>
      </c>
      <c r="H63" s="566">
        <f t="shared" si="49"/>
        <v>0</v>
      </c>
      <c r="I63" s="657"/>
      <c r="J63" s="567">
        <f t="shared" si="47"/>
        <v>10286</v>
      </c>
      <c r="K63" s="566">
        <v>10286</v>
      </c>
      <c r="L63" s="559">
        <f t="shared" si="50"/>
        <v>0</v>
      </c>
      <c r="M63" s="657"/>
      <c r="N63" s="567">
        <f>Q63</f>
        <v>10292.728551576382</v>
      </c>
      <c r="O63" s="1148">
        <v>10296</v>
      </c>
      <c r="P63" s="1148">
        <v>10286</v>
      </c>
      <c r="Q63" s="1144">
        <f>SUMPRODUCT(O63:P63,O99:P99)/SUM(O99:P99)</f>
        <v>10292.728551576382</v>
      </c>
      <c r="R63" s="559">
        <f t="shared" si="51"/>
        <v>0</v>
      </c>
      <c r="S63" s="567">
        <f t="shared" si="53"/>
        <v>10286</v>
      </c>
      <c r="T63" s="567">
        <f t="shared" ref="T63:W63" si="55">T53</f>
        <v>10286</v>
      </c>
      <c r="U63" s="567">
        <f t="shared" si="55"/>
        <v>10286</v>
      </c>
      <c r="V63" s="567">
        <f t="shared" si="55"/>
        <v>10286</v>
      </c>
      <c r="W63" s="567">
        <f t="shared" si="55"/>
        <v>10286</v>
      </c>
      <c r="X63" s="397"/>
    </row>
    <row r="64" spans="2:24" s="424" customFormat="1" ht="15.5">
      <c r="B64" s="1152" t="s">
        <v>861</v>
      </c>
      <c r="C64" s="1153" t="s">
        <v>748</v>
      </c>
      <c r="D64" s="1154" t="s">
        <v>109</v>
      </c>
      <c r="E64" s="657">
        <f>E54</f>
        <v>54090.829489010546</v>
      </c>
      <c r="F64" s="567">
        <f t="shared" si="46"/>
        <v>10687</v>
      </c>
      <c r="G64" s="566">
        <v>10687</v>
      </c>
      <c r="H64" s="566">
        <f t="shared" si="49"/>
        <v>0</v>
      </c>
      <c r="I64" s="657"/>
      <c r="J64" s="567">
        <f t="shared" si="47"/>
        <v>10686</v>
      </c>
      <c r="K64" s="566">
        <v>10686</v>
      </c>
      <c r="L64" s="559">
        <f t="shared" si="50"/>
        <v>0</v>
      </c>
      <c r="M64" s="657"/>
      <c r="N64" s="567">
        <f t="shared" ref="N64:N66" si="56">Q64</f>
        <v>10462.845634024054</v>
      </c>
      <c r="O64" s="1148">
        <v>10421</v>
      </c>
      <c r="P64" s="1148">
        <v>10686</v>
      </c>
      <c r="Q64" s="1144">
        <f>SUMPRODUCT(O64:P64,O100:P100)/SUM(O100:P100)</f>
        <v>10462.845634024054</v>
      </c>
      <c r="R64" s="559">
        <f t="shared" si="51"/>
        <v>0</v>
      </c>
      <c r="S64" s="567">
        <f t="shared" si="53"/>
        <v>10686</v>
      </c>
      <c r="T64" s="567">
        <f t="shared" ref="T64:W66" si="57">T54</f>
        <v>10686</v>
      </c>
      <c r="U64" s="567">
        <f t="shared" si="57"/>
        <v>10686</v>
      </c>
      <c r="V64" s="567">
        <f t="shared" si="57"/>
        <v>10686</v>
      </c>
      <c r="W64" s="567">
        <f t="shared" si="57"/>
        <v>10686</v>
      </c>
      <c r="X64" s="397"/>
    </row>
    <row r="65" spans="2:24" s="424" customFormat="1" ht="15.5">
      <c r="B65" s="1152" t="s">
        <v>1114</v>
      </c>
      <c r="C65" s="1153" t="s">
        <v>854</v>
      </c>
      <c r="D65" s="1154" t="s">
        <v>109</v>
      </c>
      <c r="E65" s="657"/>
      <c r="F65" s="567">
        <f t="shared" si="46"/>
        <v>0</v>
      </c>
      <c r="G65" s="566">
        <v>0</v>
      </c>
      <c r="H65" s="566">
        <f t="shared" si="49"/>
        <v>0</v>
      </c>
      <c r="I65" s="657"/>
      <c r="J65" s="567">
        <f t="shared" si="47"/>
        <v>0</v>
      </c>
      <c r="K65" s="566">
        <v>0</v>
      </c>
      <c r="L65" s="559">
        <f t="shared" si="50"/>
        <v>0</v>
      </c>
      <c r="M65" s="657"/>
      <c r="N65" s="567">
        <f t="shared" si="56"/>
        <v>0</v>
      </c>
      <c r="O65" s="1148">
        <v>0</v>
      </c>
      <c r="P65" s="1148">
        <v>0</v>
      </c>
      <c r="Q65" s="1144">
        <f>IFERROR(SUMPRODUCT(O65:P65,O101:P101)/SUM(O101:P101),0)</f>
        <v>0</v>
      </c>
      <c r="R65" s="559">
        <f t="shared" si="51"/>
        <v>0</v>
      </c>
      <c r="S65" s="567">
        <f t="shared" si="53"/>
        <v>0</v>
      </c>
      <c r="T65" s="567">
        <f t="shared" si="57"/>
        <v>0</v>
      </c>
      <c r="U65" s="567">
        <f t="shared" si="57"/>
        <v>0</v>
      </c>
      <c r="V65" s="567">
        <f t="shared" si="57"/>
        <v>0</v>
      </c>
      <c r="W65" s="567">
        <f t="shared" si="57"/>
        <v>0</v>
      </c>
      <c r="X65" s="397"/>
    </row>
    <row r="66" spans="2:24" s="424" customFormat="1" ht="15.5">
      <c r="B66" s="1152" t="s">
        <v>1116</v>
      </c>
      <c r="C66" s="1153" t="s">
        <v>855</v>
      </c>
      <c r="D66" s="1154" t="s">
        <v>109</v>
      </c>
      <c r="E66" s="657"/>
      <c r="F66" s="567">
        <f t="shared" si="46"/>
        <v>0</v>
      </c>
      <c r="G66" s="566">
        <v>0</v>
      </c>
      <c r="H66" s="566">
        <f t="shared" si="49"/>
        <v>0</v>
      </c>
      <c r="I66" s="657"/>
      <c r="J66" s="567">
        <f t="shared" si="47"/>
        <v>0</v>
      </c>
      <c r="K66" s="566">
        <v>0</v>
      </c>
      <c r="L66" s="559">
        <f t="shared" si="50"/>
        <v>0</v>
      </c>
      <c r="M66" s="657"/>
      <c r="N66" s="567">
        <f t="shared" si="56"/>
        <v>0</v>
      </c>
      <c r="O66" s="1148">
        <v>0</v>
      </c>
      <c r="P66" s="1148">
        <v>0</v>
      </c>
      <c r="Q66" s="1144">
        <f>IFERROR(SUMPRODUCT(O66:P66,O102:P102)/SUM(O102:P102),0)</f>
        <v>0</v>
      </c>
      <c r="R66" s="559">
        <f t="shared" si="51"/>
        <v>0</v>
      </c>
      <c r="S66" s="567">
        <f t="shared" si="53"/>
        <v>0</v>
      </c>
      <c r="T66" s="567">
        <f t="shared" si="57"/>
        <v>0</v>
      </c>
      <c r="U66" s="567">
        <f t="shared" si="57"/>
        <v>0</v>
      </c>
      <c r="V66" s="567">
        <f t="shared" si="57"/>
        <v>0</v>
      </c>
      <c r="W66" s="567">
        <f t="shared" si="57"/>
        <v>0</v>
      </c>
      <c r="X66" s="397"/>
    </row>
    <row r="67" spans="2:24" s="424" customFormat="1" ht="15.5">
      <c r="B67" s="486"/>
      <c r="C67" s="384"/>
      <c r="D67" s="395"/>
      <c r="E67" s="657"/>
      <c r="F67" s="567"/>
      <c r="G67" s="566"/>
      <c r="H67" s="566"/>
      <c r="I67" s="657"/>
      <c r="J67" s="567"/>
      <c r="K67" s="566"/>
      <c r="L67" s="559"/>
      <c r="M67" s="657"/>
      <c r="N67" s="567"/>
      <c r="O67" s="566"/>
      <c r="P67" s="566"/>
      <c r="Q67" s="559"/>
      <c r="R67" s="559"/>
      <c r="S67" s="559"/>
      <c r="T67" s="559"/>
      <c r="U67" s="559"/>
      <c r="V67" s="559"/>
      <c r="W67" s="559"/>
      <c r="X67" s="397"/>
    </row>
    <row r="68" spans="2:24" s="424" customFormat="1" ht="30">
      <c r="B68" s="469">
        <v>2.2999999999999998</v>
      </c>
      <c r="C68" s="468" t="s">
        <v>1544</v>
      </c>
      <c r="D68" s="395" t="s">
        <v>109</v>
      </c>
      <c r="E68" s="657"/>
      <c r="F68" s="837">
        <f>MAX(SUMPRODUCT(F58:F60,G94:G96)/SUM(G94:G96)-MIN(120,SUMPRODUCT(G58:G60,G94:G96)/SUM(G94:G96)-G68),G68)</f>
        <v>3292.91</v>
      </c>
      <c r="G68" s="566">
        <v>3227.91</v>
      </c>
      <c r="H68" s="566">
        <f t="shared" si="49"/>
        <v>-65</v>
      </c>
      <c r="I68" s="657"/>
      <c r="J68" s="837">
        <f>IF((K58-K68)&lt;=0,J58,J58-120)</f>
        <v>3280</v>
      </c>
      <c r="K68" s="566">
        <v>3361</v>
      </c>
      <c r="L68" s="559">
        <f t="shared" si="50"/>
        <v>81</v>
      </c>
      <c r="M68" s="657"/>
      <c r="N68" s="838">
        <f>MAX(SUMPRODUCT(N58*Q94+N60*Q96)/SUM(Q94,Q96)-MIN(120,SUMPRODUCT(Q58*Q94+Q60*Q96)/SUM(Q94,Q96)-Q68),Q68)</f>
        <v>3173.9649440907924</v>
      </c>
      <c r="O68" s="1148">
        <v>3191.7984874931585</v>
      </c>
      <c r="P68" s="1148">
        <v>3160</v>
      </c>
      <c r="Q68" s="837">
        <f>(Q58*Q94+Q60*Q96)/(Q94+Q96)-120</f>
        <v>3173.9649440907924</v>
      </c>
      <c r="R68" s="559">
        <f t="shared" si="51"/>
        <v>0</v>
      </c>
      <c r="S68" s="1144">
        <f>SUMPRODUCT(S58:S62,S94:S98)/SUM(S94:S98)-85</f>
        <v>3123.1179839098054</v>
      </c>
      <c r="T68" s="1144">
        <f t="shared" ref="T68:W68" si="58">SUMPRODUCT(T58:T62,T94:T98)/SUM(T94:T98)-85</f>
        <v>3123.1179839098054</v>
      </c>
      <c r="U68" s="1144">
        <f t="shared" si="58"/>
        <v>3133.0254270318615</v>
      </c>
      <c r="V68" s="1144">
        <f t="shared" si="58"/>
        <v>3133.0254270318615</v>
      </c>
      <c r="W68" s="1144">
        <f t="shared" si="58"/>
        <v>3133.0254270318615</v>
      </c>
      <c r="X68" s="397"/>
    </row>
    <row r="69" spans="2:24" s="424" customFormat="1" ht="30">
      <c r="B69" s="469"/>
      <c r="C69" s="468" t="s">
        <v>1457</v>
      </c>
      <c r="D69" s="395"/>
      <c r="E69" s="657"/>
      <c r="F69" s="567"/>
      <c r="G69" s="566"/>
      <c r="H69" s="566"/>
      <c r="I69" s="657"/>
      <c r="J69" s="1148">
        <f>IF(J59=0,0,MAX(J59-120,K69))</f>
        <v>0</v>
      </c>
      <c r="K69" s="566">
        <v>0</v>
      </c>
      <c r="L69" s="566"/>
      <c r="M69" s="657"/>
      <c r="N69" s="1293">
        <f>IF(Q69=0,0,MAX(N59-120,Q69))</f>
        <v>0</v>
      </c>
      <c r="O69" s="1148">
        <v>0</v>
      </c>
      <c r="P69" s="1148">
        <v>0</v>
      </c>
      <c r="Q69" s="1263">
        <f>IFERROR(SUMPRODUCT(O69:P69,O95:P95)/SUM(O95:P95),0)</f>
        <v>0</v>
      </c>
      <c r="R69" s="559"/>
      <c r="S69" s="559"/>
      <c r="T69" s="559"/>
      <c r="U69" s="559"/>
      <c r="V69" s="559"/>
      <c r="W69" s="559"/>
      <c r="X69" s="397"/>
    </row>
    <row r="70" spans="2:24" s="424" customFormat="1" ht="15.5">
      <c r="B70" s="469">
        <v>2.4</v>
      </c>
      <c r="C70" s="499" t="s">
        <v>449</v>
      </c>
      <c r="D70" s="395" t="s">
        <v>109</v>
      </c>
      <c r="E70" s="657"/>
      <c r="F70" s="838">
        <f>SUMPRODUCT(F58:F60,F94:F96)/SUM(F94:F96)-F68</f>
        <v>54.090000000000146</v>
      </c>
      <c r="G70" s="759">
        <f>SUMPRODUCT(G58:G60,G94:G96)/SUM(G94:G96)-G68</f>
        <v>54.090000000000146</v>
      </c>
      <c r="H70" s="566">
        <f t="shared" ref="H70" si="59">G70-F70</f>
        <v>0</v>
      </c>
      <c r="I70" s="657"/>
      <c r="J70" s="759">
        <f>SUMPRODUCT(J58:J60,J94:J96)/SUM(J94:J96)-J68</f>
        <v>0</v>
      </c>
      <c r="K70" s="759">
        <f>SUMPRODUCT(K58:K60,K94:K96)/SUM(K94:K96)-K68</f>
        <v>-109</v>
      </c>
      <c r="L70" s="559">
        <f t="shared" ref="L70" si="60">K70-J70</f>
        <v>-109</v>
      </c>
      <c r="M70" s="657"/>
      <c r="N70" s="759">
        <f>SUMPRODUCT(N58:N60,N94:N96)/SUM(N94:N96)-N68</f>
        <v>120</v>
      </c>
      <c r="O70" s="567">
        <f>SUMPRODUCT(O58:O60,O94:O96)/SUM(O94:O96)-O68</f>
        <v>122.24169263425256</v>
      </c>
      <c r="P70" s="567">
        <f>SUMPRODUCT(P58:P60,P94:P96)/SUM(P94:P96)-P68</f>
        <v>120</v>
      </c>
      <c r="Q70" s="759">
        <f>SUMPRODUCT(Q58:Q60,Q94:Q96)/SUM(Q94:Q96)-Q68</f>
        <v>120</v>
      </c>
      <c r="R70" s="559">
        <f t="shared" ref="R70" si="61">Q70-N70</f>
        <v>0</v>
      </c>
      <c r="S70" s="759">
        <f t="shared" ref="S70:W70" si="62">SUMPRODUCT(S58:S60,S94:S96)/SUM(S94:S96)-S68</f>
        <v>85</v>
      </c>
      <c r="T70" s="759">
        <f t="shared" si="62"/>
        <v>85</v>
      </c>
      <c r="U70" s="759">
        <f t="shared" si="62"/>
        <v>75.092556877943025</v>
      </c>
      <c r="V70" s="759">
        <f t="shared" si="62"/>
        <v>75.092556877943025</v>
      </c>
      <c r="W70" s="759">
        <f t="shared" si="62"/>
        <v>75.092556877943025</v>
      </c>
      <c r="X70" s="397"/>
    </row>
    <row r="71" spans="2:24" s="424" customFormat="1" ht="15.5">
      <c r="B71" s="486"/>
      <c r="C71" s="384"/>
      <c r="D71" s="395"/>
      <c r="E71" s="651"/>
      <c r="F71" s="560"/>
      <c r="G71" s="560"/>
      <c r="H71" s="559"/>
      <c r="I71" s="651"/>
      <c r="J71" s="560"/>
      <c r="K71" s="560"/>
      <c r="L71" s="559"/>
      <c r="M71" s="651"/>
      <c r="N71" s="560"/>
      <c r="O71" s="560"/>
      <c r="P71" s="560"/>
      <c r="Q71" s="560"/>
      <c r="R71" s="559"/>
      <c r="S71" s="560"/>
      <c r="T71" s="560"/>
      <c r="U71" s="560"/>
      <c r="V71" s="560"/>
      <c r="W71" s="560"/>
      <c r="X71" s="397"/>
    </row>
    <row r="72" spans="2:24" s="424" customFormat="1" ht="15.5">
      <c r="B72" s="469">
        <v>2.5</v>
      </c>
      <c r="C72" s="468" t="s">
        <v>114</v>
      </c>
      <c r="D72" s="470"/>
      <c r="E72" s="657"/>
      <c r="F72" s="567"/>
      <c r="G72" s="566"/>
      <c r="H72" s="566"/>
      <c r="I72" s="657"/>
      <c r="J72" s="566"/>
      <c r="K72" s="566"/>
      <c r="L72" s="566"/>
      <c r="M72" s="657"/>
      <c r="N72" s="559"/>
      <c r="O72" s="559"/>
      <c r="P72" s="559"/>
      <c r="Q72" s="559"/>
      <c r="R72" s="559"/>
      <c r="S72" s="559"/>
      <c r="T72" s="559"/>
      <c r="U72" s="559"/>
      <c r="V72" s="559"/>
      <c r="W72" s="559"/>
      <c r="X72" s="397"/>
    </row>
    <row r="73" spans="2:24" s="424" customFormat="1" ht="15.5">
      <c r="B73" s="1152" t="s">
        <v>412</v>
      </c>
      <c r="C73" s="1153" t="s">
        <v>745</v>
      </c>
      <c r="D73" s="1154" t="s">
        <v>116</v>
      </c>
      <c r="E73" s="651">
        <v>5526.2891092119025</v>
      </c>
      <c r="F73" s="560">
        <f>'F2.3'!$E$26</f>
        <v>5868.5244420885028</v>
      </c>
      <c r="G73" s="560">
        <f>'F2.3'!$F$26</f>
        <v>5850.352804721655</v>
      </c>
      <c r="H73" s="559">
        <f t="shared" ref="H73:H81" si="63">G73-F73</f>
        <v>-18.17163736684779</v>
      </c>
      <c r="I73" s="651"/>
      <c r="J73" s="560">
        <f>'F2.3'!$H$26</f>
        <v>6612.0565332312099</v>
      </c>
      <c r="K73" s="560">
        <f>'F2.3'!$I$26</f>
        <v>6566.6427776932787</v>
      </c>
      <c r="L73" s="559">
        <f t="shared" ref="L73:L81" si="64">K73-J73</f>
        <v>-45.413755537931138</v>
      </c>
      <c r="M73" s="651"/>
      <c r="N73" s="560">
        <f>'F2.3'!$K$26</f>
        <v>6404.2866835373779</v>
      </c>
      <c r="O73" s="560">
        <f>'F2.3'!$L$26</f>
        <v>6170.892486541481</v>
      </c>
      <c r="P73" s="560">
        <f>'F2.3'!$M$26</f>
        <v>6566.6427776932787</v>
      </c>
      <c r="Q73" s="559">
        <f>SUMPRODUCT(O73:P73,O94:P94)/SUM(O94:P94)</f>
        <v>6404.2866835373779</v>
      </c>
      <c r="R73" s="559">
        <f t="shared" ref="R73:R81" si="65">Q73-N73</f>
        <v>0</v>
      </c>
      <c r="S73" s="559">
        <f>'F2.3'!P26</f>
        <v>6709.5079051249859</v>
      </c>
      <c r="T73" s="559">
        <f>'F2.3'!Q26</f>
        <v>7044.9833003812355</v>
      </c>
      <c r="U73" s="559">
        <f>'F2.3'!R26</f>
        <v>7397.2324654002987</v>
      </c>
      <c r="V73" s="559">
        <f>'F2.3'!S26</f>
        <v>7767.0940886703138</v>
      </c>
      <c r="W73" s="559">
        <f>'F2.3'!T26</f>
        <v>8155.4487931038284</v>
      </c>
      <c r="X73" s="522"/>
    </row>
    <row r="74" spans="2:24" s="424" customFormat="1" ht="15.5">
      <c r="B74" s="1152" t="s">
        <v>415</v>
      </c>
      <c r="C74" s="1153" t="s">
        <v>746</v>
      </c>
      <c r="D74" s="1154" t="s">
        <v>116</v>
      </c>
      <c r="E74" s="651">
        <v>0</v>
      </c>
      <c r="F74" s="560">
        <f>'F2.3'!$E$40</f>
        <v>0</v>
      </c>
      <c r="G74" s="560">
        <f>'F2.3'!$F$40</f>
        <v>0</v>
      </c>
      <c r="H74" s="559">
        <f>G74-F74</f>
        <v>0</v>
      </c>
      <c r="I74" s="651"/>
      <c r="J74" s="560">
        <f>'F2.3'!$H$40</f>
        <v>0</v>
      </c>
      <c r="K74" s="560">
        <f>'F2.3'!$I$40</f>
        <v>0</v>
      </c>
      <c r="L74" s="559">
        <f t="shared" si="64"/>
        <v>0</v>
      </c>
      <c r="M74" s="651"/>
      <c r="N74" s="560">
        <f>'F2.3'!$K$40</f>
        <v>0</v>
      </c>
      <c r="O74" s="560">
        <f>'F2.3'!$L$40</f>
        <v>0</v>
      </c>
      <c r="P74" s="560">
        <f>'F2.3'!$M$40</f>
        <v>0</v>
      </c>
      <c r="Q74" s="559">
        <f>IFERROR(SUMPRODUCT(O74:P74,O95:P95)/SUM(O95:P95),0)</f>
        <v>0</v>
      </c>
      <c r="R74" s="559">
        <f t="shared" si="65"/>
        <v>0</v>
      </c>
      <c r="S74" s="559">
        <f>'F2.3'!P40</f>
        <v>0</v>
      </c>
      <c r="T74" s="559">
        <f>'F2.3'!Q40</f>
        <v>0</v>
      </c>
      <c r="U74" s="559">
        <f>'F2.3'!R40</f>
        <v>0</v>
      </c>
      <c r="V74" s="559">
        <f>'F2.3'!S40</f>
        <v>0</v>
      </c>
      <c r="W74" s="559">
        <f>'F2.3'!T40</f>
        <v>0</v>
      </c>
      <c r="X74" s="522"/>
    </row>
    <row r="75" spans="2:24" s="424" customFormat="1" ht="15.5">
      <c r="B75" s="1152" t="s">
        <v>416</v>
      </c>
      <c r="C75" s="1153" t="s">
        <v>853</v>
      </c>
      <c r="D75" s="1154" t="s">
        <v>116</v>
      </c>
      <c r="E75" s="651">
        <v>0</v>
      </c>
      <c r="F75" s="560">
        <f>'F2.3'!$E$54</f>
        <v>0</v>
      </c>
      <c r="G75" s="560">
        <f>'F2.3'!$F$54</f>
        <v>0</v>
      </c>
      <c r="H75" s="559">
        <f t="shared" si="63"/>
        <v>0</v>
      </c>
      <c r="I75" s="651"/>
      <c r="J75" s="560">
        <f>'F2.3'!$H$54</f>
        <v>0</v>
      </c>
      <c r="K75" s="560">
        <f>'F2.3'!$I$54</f>
        <v>0</v>
      </c>
      <c r="L75" s="559">
        <f t="shared" si="64"/>
        <v>0</v>
      </c>
      <c r="M75" s="651"/>
      <c r="N75" s="560">
        <f>'F2.3'!$K$54</f>
        <v>0</v>
      </c>
      <c r="O75" s="560">
        <f>'F2.3'!$L$54</f>
        <v>0</v>
      </c>
      <c r="P75" s="560">
        <f>'F2.3'!$M$54</f>
        <v>0</v>
      </c>
      <c r="Q75" s="559">
        <f>IFERROR(SUMPRODUCT(O75:P75,O96:P96)/SUM(O96:P96),0)</f>
        <v>0</v>
      </c>
      <c r="R75" s="559">
        <f t="shared" si="65"/>
        <v>0</v>
      </c>
      <c r="S75" s="559">
        <f>'F2.3'!P54</f>
        <v>0</v>
      </c>
      <c r="T75" s="559">
        <f>'F2.3'!Q54</f>
        <v>0</v>
      </c>
      <c r="U75" s="559">
        <f>'F2.3'!R54</f>
        <v>0</v>
      </c>
      <c r="V75" s="559">
        <f>'F2.3'!S54</f>
        <v>0</v>
      </c>
      <c r="W75" s="559">
        <f>'F2.3'!T54</f>
        <v>0</v>
      </c>
      <c r="X75" s="522"/>
    </row>
    <row r="76" spans="2:24" s="424" customFormat="1" ht="15.5">
      <c r="B76" s="1152" t="s">
        <v>750</v>
      </c>
      <c r="C76" s="1153" t="s">
        <v>1473</v>
      </c>
      <c r="D76" s="1154" t="s">
        <v>116</v>
      </c>
      <c r="E76" s="651"/>
      <c r="F76" s="560"/>
      <c r="G76" s="560"/>
      <c r="H76" s="559"/>
      <c r="I76" s="651"/>
      <c r="J76" s="560"/>
      <c r="K76" s="560"/>
      <c r="L76" s="559"/>
      <c r="M76" s="651"/>
      <c r="N76" s="560"/>
      <c r="O76" s="560"/>
      <c r="P76" s="560"/>
      <c r="Q76" s="559"/>
      <c r="R76" s="559"/>
      <c r="S76" s="1144">
        <f>'F2.3'!P68</f>
        <v>5128.9895609703908</v>
      </c>
      <c r="T76" s="1144">
        <f>'F2.3'!Q68</f>
        <v>5243.4395609703915</v>
      </c>
      <c r="U76" s="1144">
        <f>'F2.3'!R68</f>
        <v>5363.6120609703912</v>
      </c>
      <c r="V76" s="1144">
        <f>'F2.3'!S68</f>
        <v>5489.7931859703913</v>
      </c>
      <c r="W76" s="1144">
        <f>'F2.3'!T68</f>
        <v>5622.2833672203915</v>
      </c>
      <c r="X76" s="522"/>
    </row>
    <row r="77" spans="2:24" s="424" customFormat="1" ht="15.5">
      <c r="B77" s="1152" t="s">
        <v>862</v>
      </c>
      <c r="C77" s="1153" t="s">
        <v>1474</v>
      </c>
      <c r="D77" s="1154" t="s">
        <v>116</v>
      </c>
      <c r="E77" s="651"/>
      <c r="F77" s="560"/>
      <c r="G77" s="560"/>
      <c r="H77" s="559"/>
      <c r="I77" s="651"/>
      <c r="J77" s="560"/>
      <c r="K77" s="560"/>
      <c r="L77" s="559"/>
      <c r="M77" s="651"/>
      <c r="N77" s="560"/>
      <c r="O77" s="560"/>
      <c r="P77" s="560"/>
      <c r="Q77" s="559"/>
      <c r="R77" s="559"/>
      <c r="S77" s="1144">
        <f>'F2.3'!P82</f>
        <v>0</v>
      </c>
      <c r="T77" s="1144">
        <f>'F2.3'!Q82</f>
        <v>0</v>
      </c>
      <c r="U77" s="1144">
        <f>'F2.3'!R82</f>
        <v>0</v>
      </c>
      <c r="V77" s="1144">
        <f>'F2.3'!S82</f>
        <v>0</v>
      </c>
      <c r="W77" s="1144">
        <f>'F2.3'!T82</f>
        <v>0</v>
      </c>
      <c r="X77" s="522"/>
    </row>
    <row r="78" spans="2:24" s="424" customFormat="1" ht="15.5">
      <c r="B78" s="1152" t="s">
        <v>863</v>
      </c>
      <c r="C78" s="1153" t="s">
        <v>747</v>
      </c>
      <c r="D78" s="1154" t="s">
        <v>116</v>
      </c>
      <c r="E78" s="664">
        <v>53718.725868122507</v>
      </c>
      <c r="F78" s="560">
        <f>'F2.3'!$E$112</f>
        <v>55638.402558490874</v>
      </c>
      <c r="G78" s="560">
        <f>'F2.3'!$F$112</f>
        <v>55638.402558490874</v>
      </c>
      <c r="H78" s="559">
        <f t="shared" si="63"/>
        <v>0</v>
      </c>
      <c r="I78" s="664"/>
      <c r="J78" s="560">
        <f>'F2.3'!$H$112</f>
        <v>68708.611790135285</v>
      </c>
      <c r="K78" s="560">
        <f>'F2.3'!$I$112</f>
        <v>68708.611790135285</v>
      </c>
      <c r="L78" s="559">
        <f t="shared" si="64"/>
        <v>0</v>
      </c>
      <c r="M78" s="664"/>
      <c r="N78" s="560">
        <f>'F2.3'!$K$112</f>
        <v>58764.5115568982</v>
      </c>
      <c r="O78" s="560">
        <f>'F2.3'!$L$112</f>
        <v>53929.65064173322</v>
      </c>
      <c r="P78" s="560">
        <f>'F2.3'!$M$112</f>
        <v>68708.611790135285</v>
      </c>
      <c r="Q78" s="559">
        <f>SUMPRODUCT(O78:P78,O99:P99)/SUM(O99:P99)</f>
        <v>58764.5115568982</v>
      </c>
      <c r="R78" s="559">
        <f t="shared" si="65"/>
        <v>0</v>
      </c>
      <c r="S78" s="559">
        <f>'F2.3'!P112</f>
        <v>71960.787917596899</v>
      </c>
      <c r="T78" s="559">
        <f>'F2.3'!Q112</f>
        <v>75558.827313476751</v>
      </c>
      <c r="U78" s="559">
        <f>'F2.3'!R112</f>
        <v>79336.768679150598</v>
      </c>
      <c r="V78" s="559">
        <f>'F2.3'!S112</f>
        <v>83303.607113108126</v>
      </c>
      <c r="W78" s="559">
        <f>'F2.3'!T112</f>
        <v>87468.787468763534</v>
      </c>
      <c r="X78" s="522"/>
    </row>
    <row r="79" spans="2:24" s="424" customFormat="1" ht="15.5">
      <c r="B79" s="1152" t="s">
        <v>864</v>
      </c>
      <c r="C79" s="1153" t="s">
        <v>748</v>
      </c>
      <c r="D79" s="1154" t="s">
        <v>116</v>
      </c>
      <c r="E79" s="664">
        <v>54090.829489010546</v>
      </c>
      <c r="F79" s="560">
        <f>'F2.3'!$E$97</f>
        <v>61509.881060860076</v>
      </c>
      <c r="G79" s="560">
        <f>'F2.3'!$F$97</f>
        <v>61509.881060860076</v>
      </c>
      <c r="H79" s="566">
        <f t="shared" si="63"/>
        <v>0</v>
      </c>
      <c r="I79" s="664"/>
      <c r="J79" s="560">
        <f>'F2.3'!$H$97</f>
        <v>74655.142239817127</v>
      </c>
      <c r="K79" s="560">
        <f>'F2.3'!$I$97</f>
        <v>74655.142239817127</v>
      </c>
      <c r="L79" s="559">
        <f t="shared" si="64"/>
        <v>0</v>
      </c>
      <c r="M79" s="664"/>
      <c r="N79" s="560">
        <f>'F2.3'!$K$97</f>
        <v>70979.689636145209</v>
      </c>
      <c r="O79" s="560">
        <f>'F2.3'!$L$97</f>
        <v>70290.473255128527</v>
      </c>
      <c r="P79" s="560">
        <f>'F2.3'!$M$97</f>
        <v>74655.142239817127</v>
      </c>
      <c r="Q79" s="559">
        <f>SUMPRODUCT(O79:P79,O100:P100)/SUM(O100:P100)</f>
        <v>70979.689636145209</v>
      </c>
      <c r="R79" s="559">
        <f t="shared" si="65"/>
        <v>0</v>
      </c>
      <c r="S79" s="559">
        <f>'F2.3'!P97</f>
        <v>78387.899345104073</v>
      </c>
      <c r="T79" s="559">
        <f>'F2.3'!Q97</f>
        <v>82307.294312359285</v>
      </c>
      <c r="U79" s="559">
        <f>'F2.3'!R97</f>
        <v>86422.65902797725</v>
      </c>
      <c r="V79" s="559">
        <f>'F2.3'!S97</f>
        <v>90743.79197937611</v>
      </c>
      <c r="W79" s="559">
        <f>'F2.3'!T97</f>
        <v>95280.981578344916</v>
      </c>
      <c r="X79" s="522"/>
    </row>
    <row r="80" spans="2:24" s="424" customFormat="1" ht="15.5">
      <c r="B80" s="1152" t="s">
        <v>1476</v>
      </c>
      <c r="C80" s="1153" t="s">
        <v>854</v>
      </c>
      <c r="D80" s="1154" t="s">
        <v>116</v>
      </c>
      <c r="E80" s="651"/>
      <c r="F80" s="560">
        <f>'F2.3'!$E$125</f>
        <v>0</v>
      </c>
      <c r="G80" s="560">
        <f>'F2.3'!$F$125</f>
        <v>0</v>
      </c>
      <c r="H80" s="566">
        <f t="shared" si="63"/>
        <v>0</v>
      </c>
      <c r="I80" s="651"/>
      <c r="J80" s="560">
        <f>'F2.3'!$H$125</f>
        <v>0</v>
      </c>
      <c r="K80" s="560">
        <f>'F2.3'!$I$125</f>
        <v>0</v>
      </c>
      <c r="L80" s="559">
        <f t="shared" si="64"/>
        <v>0</v>
      </c>
      <c r="M80" s="651"/>
      <c r="N80" s="560">
        <f>'F2.3'!$K$125</f>
        <v>0</v>
      </c>
      <c r="O80" s="560">
        <f>'F2.3'!$L$125</f>
        <v>0</v>
      </c>
      <c r="P80" s="560">
        <f>'F2.3'!$M$125</f>
        <v>0</v>
      </c>
      <c r="Q80" s="559">
        <f>IFERROR(SUMPRODUCT(O80:P80,O101:P101)/SUM(O101:P101),0)</f>
        <v>0</v>
      </c>
      <c r="R80" s="559">
        <f t="shared" si="65"/>
        <v>0</v>
      </c>
      <c r="S80" s="559">
        <f>'F2.3'!P125</f>
        <v>0</v>
      </c>
      <c r="T80" s="559">
        <f>'F2.3'!Q125</f>
        <v>0</v>
      </c>
      <c r="U80" s="559">
        <f>'F2.3'!R125</f>
        <v>0</v>
      </c>
      <c r="V80" s="559">
        <f>'F2.3'!S125</f>
        <v>0</v>
      </c>
      <c r="W80" s="559">
        <f>'F2.3'!T125</f>
        <v>0</v>
      </c>
      <c r="X80" s="522"/>
    </row>
    <row r="81" spans="2:24" s="424" customFormat="1" ht="15.5">
      <c r="B81" s="1152" t="s">
        <v>1477</v>
      </c>
      <c r="C81" s="1153" t="s">
        <v>855</v>
      </c>
      <c r="D81" s="1154" t="s">
        <v>116</v>
      </c>
      <c r="E81" s="651"/>
      <c r="F81" s="560">
        <f>'F2.3'!$E$138</f>
        <v>61509.881060860076</v>
      </c>
      <c r="G81" s="560">
        <f>'F2.3'!$F$138</f>
        <v>61509.881060860076</v>
      </c>
      <c r="H81" s="566">
        <f t="shared" si="63"/>
        <v>0</v>
      </c>
      <c r="I81" s="651"/>
      <c r="J81" s="560">
        <f>'F2.3'!$H$138</f>
        <v>0</v>
      </c>
      <c r="K81" s="560">
        <f>'F2.3'!$I$138</f>
        <v>0</v>
      </c>
      <c r="L81" s="559">
        <f t="shared" si="64"/>
        <v>0</v>
      </c>
      <c r="M81" s="651"/>
      <c r="N81" s="560">
        <f>'F2.3'!$K$138</f>
        <v>0</v>
      </c>
      <c r="O81" s="560">
        <f>'F2.3'!$L$138</f>
        <v>0</v>
      </c>
      <c r="P81" s="560">
        <f>'F2.3'!$M$138</f>
        <v>0</v>
      </c>
      <c r="Q81" s="559">
        <f>IFERROR(SUMPRODUCT(O81:P81,O102:P102)/SUM(O102:P102),0)</f>
        <v>0</v>
      </c>
      <c r="R81" s="559">
        <f t="shared" si="65"/>
        <v>0</v>
      </c>
      <c r="S81" s="559">
        <f>'F2.3'!P138</f>
        <v>0</v>
      </c>
      <c r="T81" s="559">
        <f>'F2.3'!Q138</f>
        <v>0</v>
      </c>
      <c r="U81" s="559">
        <f>'F2.3'!R138</f>
        <v>0</v>
      </c>
      <c r="V81" s="559">
        <f>'F2.3'!S138</f>
        <v>0</v>
      </c>
      <c r="W81" s="559">
        <f>'F2.3'!T138</f>
        <v>0</v>
      </c>
      <c r="X81" s="522"/>
    </row>
    <row r="82" spans="2:24" s="424" customFormat="1" ht="15.5">
      <c r="B82" s="469">
        <v>3</v>
      </c>
      <c r="C82" s="499" t="s">
        <v>119</v>
      </c>
      <c r="D82" s="470"/>
      <c r="E82" s="656"/>
      <c r="F82" s="566"/>
      <c r="G82" s="566"/>
      <c r="H82" s="566"/>
      <c r="I82" s="656"/>
      <c r="J82" s="566"/>
      <c r="K82" s="566"/>
      <c r="L82" s="566"/>
      <c r="M82" s="656"/>
      <c r="N82" s="559"/>
      <c r="O82" s="559"/>
      <c r="P82" s="559"/>
      <c r="Q82" s="559"/>
      <c r="R82" s="559"/>
      <c r="S82" s="559"/>
      <c r="T82" s="559"/>
      <c r="U82" s="559"/>
      <c r="V82" s="559"/>
      <c r="W82" s="559"/>
      <c r="X82" s="522"/>
    </row>
    <row r="83" spans="2:24" s="424" customFormat="1" ht="15.5">
      <c r="B83" s="469">
        <v>3.1</v>
      </c>
      <c r="C83" s="468" t="s">
        <v>120</v>
      </c>
      <c r="D83" s="470"/>
      <c r="E83" s="656"/>
      <c r="F83" s="566"/>
      <c r="G83" s="566"/>
      <c r="H83" s="566"/>
      <c r="I83" s="656"/>
      <c r="J83" s="566"/>
      <c r="K83" s="566"/>
      <c r="L83" s="566"/>
      <c r="M83" s="656"/>
      <c r="N83" s="559"/>
      <c r="O83" s="559"/>
      <c r="P83" s="559"/>
      <c r="Q83" s="559"/>
      <c r="R83" s="559"/>
      <c r="S83" s="559"/>
      <c r="T83" s="559"/>
      <c r="U83" s="559"/>
      <c r="V83" s="559"/>
      <c r="W83" s="559"/>
      <c r="X83" s="522"/>
    </row>
    <row r="84" spans="2:24" s="424" customFormat="1" ht="15.5">
      <c r="B84" s="1152" t="s">
        <v>121</v>
      </c>
      <c r="C84" s="1153" t="s">
        <v>745</v>
      </c>
      <c r="D84" s="1154" t="s">
        <v>893</v>
      </c>
      <c r="E84" s="665"/>
      <c r="F84" s="834">
        <f t="shared" ref="F84:G86" si="66">F94/F$23/1000</f>
        <v>0.73652427013367061</v>
      </c>
      <c r="G84" s="834">
        <f t="shared" si="66"/>
        <v>0.77053844612847044</v>
      </c>
      <c r="H84" s="560">
        <f>G84-F84</f>
        <v>3.4014175994799833E-2</v>
      </c>
      <c r="I84" s="665"/>
      <c r="J84" s="560">
        <f t="shared" ref="J84:K86" si="67">J94/J$23/1000</f>
        <v>0.73941686279502949</v>
      </c>
      <c r="K84" s="560">
        <f t="shared" si="67"/>
        <v>0.72298278365083901</v>
      </c>
      <c r="L84" s="560">
        <f>K84-J84</f>
        <v>-1.6434079144190483E-2</v>
      </c>
      <c r="M84" s="665"/>
      <c r="N84" s="560">
        <f t="shared" ref="N84:Q86" si="68">N94/N$23/1000</f>
        <v>0.76414816425778442</v>
      </c>
      <c r="O84" s="560">
        <f t="shared" si="68"/>
        <v>0.76651207410061228</v>
      </c>
      <c r="P84" s="560">
        <f t="shared" si="68"/>
        <v>0.76749665657948829</v>
      </c>
      <c r="Q84" s="560">
        <f t="shared" si="68"/>
        <v>0.767092426944188</v>
      </c>
      <c r="R84" s="560">
        <f t="shared" ref="R84:R92" si="69">Q84-N84</f>
        <v>2.9442626864035759E-3</v>
      </c>
      <c r="S84" s="560">
        <f t="shared" ref="S84:W84" si="70">S94/S$23/1000</f>
        <v>0.77176520094103962</v>
      </c>
      <c r="T84" s="560">
        <f t="shared" si="70"/>
        <v>0.77176520094103962</v>
      </c>
      <c r="U84" s="560">
        <f t="shared" si="70"/>
        <v>0.71559448494067268</v>
      </c>
      <c r="V84" s="560">
        <f t="shared" si="70"/>
        <v>0.71559448494067268</v>
      </c>
      <c r="W84" s="560">
        <f t="shared" si="70"/>
        <v>0.71559448494067268</v>
      </c>
      <c r="X84" s="522"/>
    </row>
    <row r="85" spans="2:24" s="424" customFormat="1" ht="15.5">
      <c r="B85" s="1152" t="s">
        <v>122</v>
      </c>
      <c r="C85" s="1153" t="s">
        <v>746</v>
      </c>
      <c r="D85" s="1154" t="s">
        <v>893</v>
      </c>
      <c r="E85" s="665"/>
      <c r="F85" s="834">
        <f t="shared" si="66"/>
        <v>0</v>
      </c>
      <c r="G85" s="834">
        <f t="shared" si="66"/>
        <v>0</v>
      </c>
      <c r="H85" s="560">
        <f t="shared" ref="H85:H92" si="71">G85-F85</f>
        <v>0</v>
      </c>
      <c r="I85" s="665"/>
      <c r="J85" s="560">
        <f t="shared" si="67"/>
        <v>0</v>
      </c>
      <c r="K85" s="560">
        <f t="shared" si="67"/>
        <v>0</v>
      </c>
      <c r="L85" s="560">
        <f t="shared" ref="L85:L92" si="72">K85-J85</f>
        <v>0</v>
      </c>
      <c r="M85" s="665"/>
      <c r="N85" s="560">
        <f t="shared" si="68"/>
        <v>0</v>
      </c>
      <c r="O85" s="560">
        <f t="shared" si="68"/>
        <v>0</v>
      </c>
      <c r="P85" s="560">
        <f t="shared" si="68"/>
        <v>0</v>
      </c>
      <c r="Q85" s="560">
        <f t="shared" si="68"/>
        <v>0</v>
      </c>
      <c r="R85" s="560">
        <f t="shared" si="69"/>
        <v>0</v>
      </c>
      <c r="S85" s="560">
        <f t="shared" ref="S85:W85" si="73">S95/S$23/1000</f>
        <v>0</v>
      </c>
      <c r="T85" s="560">
        <f t="shared" si="73"/>
        <v>0</v>
      </c>
      <c r="U85" s="560">
        <f t="shared" si="73"/>
        <v>0</v>
      </c>
      <c r="V85" s="560">
        <f t="shared" si="73"/>
        <v>0</v>
      </c>
      <c r="W85" s="560">
        <f t="shared" si="73"/>
        <v>0</v>
      </c>
      <c r="X85" s="522"/>
    </row>
    <row r="86" spans="2:24" s="424" customFormat="1" ht="15.5">
      <c r="B86" s="1152" t="s">
        <v>123</v>
      </c>
      <c r="C86" s="1153" t="s">
        <v>853</v>
      </c>
      <c r="D86" s="1154" t="s">
        <v>893</v>
      </c>
      <c r="E86" s="665"/>
      <c r="F86" s="834">
        <f t="shared" si="66"/>
        <v>0</v>
      </c>
      <c r="G86" s="834">
        <f t="shared" si="66"/>
        <v>0</v>
      </c>
      <c r="H86" s="560">
        <f t="shared" si="71"/>
        <v>0</v>
      </c>
      <c r="I86" s="665"/>
      <c r="J86" s="560">
        <f t="shared" si="67"/>
        <v>0</v>
      </c>
      <c r="K86" s="560">
        <f t="shared" si="67"/>
        <v>0</v>
      </c>
      <c r="L86" s="560">
        <f t="shared" si="72"/>
        <v>0</v>
      </c>
      <c r="M86" s="665"/>
      <c r="N86" s="560">
        <f t="shared" si="68"/>
        <v>0</v>
      </c>
      <c r="O86" s="560">
        <f t="shared" si="68"/>
        <v>0</v>
      </c>
      <c r="P86" s="560">
        <f t="shared" si="68"/>
        <v>0</v>
      </c>
      <c r="Q86" s="560">
        <f t="shared" si="68"/>
        <v>0</v>
      </c>
      <c r="R86" s="560">
        <f t="shared" si="69"/>
        <v>0</v>
      </c>
      <c r="S86" s="560">
        <f t="shared" ref="S86:W86" si="74">S96/S$23/1000</f>
        <v>0</v>
      </c>
      <c r="T86" s="560">
        <f t="shared" si="74"/>
        <v>0</v>
      </c>
      <c r="U86" s="560">
        <f t="shared" si="74"/>
        <v>0</v>
      </c>
      <c r="V86" s="560">
        <f t="shared" si="74"/>
        <v>0</v>
      </c>
      <c r="W86" s="560">
        <f t="shared" si="74"/>
        <v>0</v>
      </c>
      <c r="X86" s="522"/>
    </row>
    <row r="87" spans="2:24" s="424" customFormat="1" ht="15.5">
      <c r="B87" s="1152" t="s">
        <v>751</v>
      </c>
      <c r="C87" s="1153" t="s">
        <v>1473</v>
      </c>
      <c r="D87" s="1154" t="s">
        <v>893</v>
      </c>
      <c r="E87" s="665"/>
      <c r="F87" s="834"/>
      <c r="G87" s="834"/>
      <c r="H87" s="560"/>
      <c r="I87" s="665"/>
      <c r="J87" s="560"/>
      <c r="K87" s="560"/>
      <c r="L87" s="560"/>
      <c r="M87" s="665"/>
      <c r="N87" s="560"/>
      <c r="O87" s="560"/>
      <c r="P87" s="560"/>
      <c r="Q87" s="560"/>
      <c r="R87" s="560"/>
      <c r="S87" s="560">
        <f t="shared" ref="S87:W87" si="75">S97/S$23/1000</f>
        <v>0</v>
      </c>
      <c r="T87" s="560">
        <f t="shared" si="75"/>
        <v>0</v>
      </c>
      <c r="U87" s="560">
        <f t="shared" si="75"/>
        <v>5.3720284889414827E-2</v>
      </c>
      <c r="V87" s="560">
        <f t="shared" si="75"/>
        <v>5.3720284889414827E-2</v>
      </c>
      <c r="W87" s="560">
        <f t="shared" si="75"/>
        <v>5.3720284889414827E-2</v>
      </c>
      <c r="X87" s="522"/>
    </row>
    <row r="88" spans="2:24" s="424" customFormat="1" ht="15.5">
      <c r="B88" s="1152" t="s">
        <v>865</v>
      </c>
      <c r="C88" s="1153" t="s">
        <v>1474</v>
      </c>
      <c r="D88" s="1154" t="s">
        <v>893</v>
      </c>
      <c r="E88" s="665"/>
      <c r="F88" s="834"/>
      <c r="G88" s="834"/>
      <c r="H88" s="560"/>
      <c r="I88" s="665"/>
      <c r="J88" s="560"/>
      <c r="K88" s="560"/>
      <c r="L88" s="560"/>
      <c r="M88" s="665"/>
      <c r="N88" s="560"/>
      <c r="O88" s="560"/>
      <c r="P88" s="560"/>
      <c r="Q88" s="560"/>
      <c r="R88" s="560"/>
      <c r="S88" s="560">
        <f t="shared" ref="S88:W88" si="76">S98/S$23/1000</f>
        <v>0</v>
      </c>
      <c r="T88" s="560">
        <f t="shared" si="76"/>
        <v>0</v>
      </c>
      <c r="U88" s="560">
        <f t="shared" si="76"/>
        <v>0</v>
      </c>
      <c r="V88" s="560">
        <f t="shared" si="76"/>
        <v>0</v>
      </c>
      <c r="W88" s="560">
        <f t="shared" si="76"/>
        <v>0</v>
      </c>
      <c r="X88" s="522"/>
    </row>
    <row r="89" spans="2:24" s="424" customFormat="1" ht="15.5">
      <c r="B89" s="1152" t="s">
        <v>866</v>
      </c>
      <c r="C89" s="1153" t="s">
        <v>747</v>
      </c>
      <c r="D89" s="1154" t="s">
        <v>893</v>
      </c>
      <c r="E89" s="651"/>
      <c r="F89" s="834">
        <f>F$41*G89/(G89+G90+G91+G92)</f>
        <v>0.44369946115329689</v>
      </c>
      <c r="G89" s="834">
        <f>G99/G$23</f>
        <v>4.5674780762330212</v>
      </c>
      <c r="H89" s="560">
        <f t="shared" si="71"/>
        <v>4.1237786150797247</v>
      </c>
      <c r="I89" s="651"/>
      <c r="J89" s="769">
        <f>J$41*K89/(K$89+K$90+K$91+K$92)</f>
        <v>0.32202091077772643</v>
      </c>
      <c r="K89" s="560">
        <f>K99/K$23</f>
        <v>0.78533424968532572</v>
      </c>
      <c r="L89" s="560">
        <f t="shared" si="72"/>
        <v>0.46331333890759929</v>
      </c>
      <c r="M89" s="651"/>
      <c r="N89" s="769">
        <f>N$41*Q89/(Q$89+Q$90+Q$91+Q$92)</f>
        <v>0.23309587285887418</v>
      </c>
      <c r="O89" s="560">
        <f t="shared" ref="O89:P92" si="77">O99/O$23/1000</f>
        <v>9.5045966919808916E-4</v>
      </c>
      <c r="P89" s="560">
        <f t="shared" si="77"/>
        <v>3.2187572032608996E-4</v>
      </c>
      <c r="Q89" s="560">
        <f>Q99/Q23</f>
        <v>0.57994679701054996</v>
      </c>
      <c r="R89" s="560">
        <f t="shared" si="69"/>
        <v>0.34685092415167579</v>
      </c>
      <c r="S89" s="560">
        <f>S99/S$23</f>
        <v>0.32021230606134315</v>
      </c>
      <c r="T89" s="560">
        <f t="shared" ref="T89:W89" si="78">T99/T$23</f>
        <v>0.32021230606134321</v>
      </c>
      <c r="U89" s="560">
        <f t="shared" si="78"/>
        <v>0.3223335026702705</v>
      </c>
      <c r="V89" s="560">
        <f t="shared" si="78"/>
        <v>0.3223335026702705</v>
      </c>
      <c r="W89" s="560">
        <f t="shared" si="78"/>
        <v>0.3223335026702705</v>
      </c>
      <c r="X89" s="522"/>
    </row>
    <row r="90" spans="2:24" s="424" customFormat="1" ht="15.5">
      <c r="B90" s="1152" t="s">
        <v>867</v>
      </c>
      <c r="C90" s="1153" t="s">
        <v>748</v>
      </c>
      <c r="D90" s="1154" t="s">
        <v>893</v>
      </c>
      <c r="E90" s="651"/>
      <c r="F90" s="834">
        <f>F$41*G90/(G89+G90+G91+G92)</f>
        <v>5.6300538846703115E-2</v>
      </c>
      <c r="G90" s="834">
        <f>G100/G$23</f>
        <v>0.57956229244456292</v>
      </c>
      <c r="H90" s="560">
        <f t="shared" si="71"/>
        <v>0.52326175359785976</v>
      </c>
      <c r="I90" s="651"/>
      <c r="J90" s="769">
        <f>J$41*K90/(K$89+K$90+K$91+K$92)</f>
        <v>0.1779790892222736</v>
      </c>
      <c r="K90" s="560">
        <f>K100/K$23</f>
        <v>0.43404968378134196</v>
      </c>
      <c r="L90" s="560">
        <f t="shared" si="72"/>
        <v>0.25607059455906833</v>
      </c>
      <c r="M90" s="651"/>
      <c r="N90" s="769">
        <f t="shared" ref="N90:N92" si="79">N$41*Q90/(Q$89+Q$90+Q$91+Q$92)</f>
        <v>0.26690412714112577</v>
      </c>
      <c r="O90" s="560">
        <f t="shared" si="77"/>
        <v>1.3620477305611208E-3</v>
      </c>
      <c r="P90" s="560">
        <f t="shared" si="77"/>
        <v>1.778988433019586E-4</v>
      </c>
      <c r="Q90" s="560">
        <f>Q100/Q23</f>
        <v>0.6640623523098963</v>
      </c>
      <c r="R90" s="560">
        <f t="shared" si="69"/>
        <v>0.39715822516877053</v>
      </c>
      <c r="S90" s="560">
        <f t="shared" ref="S90:W92" si="80">S100/S$23</f>
        <v>0.17697948388792561</v>
      </c>
      <c r="T90" s="560">
        <f t="shared" si="80"/>
        <v>0.17697948388792564</v>
      </c>
      <c r="U90" s="560">
        <f t="shared" si="80"/>
        <v>0.1781518569478194</v>
      </c>
      <c r="V90" s="560">
        <f t="shared" si="80"/>
        <v>0.1781518569478194</v>
      </c>
      <c r="W90" s="560">
        <f t="shared" si="80"/>
        <v>0.1781518569478194</v>
      </c>
      <c r="X90" s="522"/>
    </row>
    <row r="91" spans="2:24" s="424" customFormat="1" ht="15.5">
      <c r="B91" s="1152" t="s">
        <v>1478</v>
      </c>
      <c r="C91" s="1153" t="s">
        <v>854</v>
      </c>
      <c r="D91" s="1154" t="s">
        <v>893</v>
      </c>
      <c r="E91" s="651"/>
      <c r="F91" s="834">
        <f>F$41*G91/(G91+G92+G93+G94)</f>
        <v>0</v>
      </c>
      <c r="G91" s="834">
        <f>G101/G$23</f>
        <v>0</v>
      </c>
      <c r="H91" s="560">
        <f t="shared" si="71"/>
        <v>0</v>
      </c>
      <c r="I91" s="651"/>
      <c r="J91" s="769">
        <f>J$41*K91/(K$89+K$90+K$91+K$92)</f>
        <v>0</v>
      </c>
      <c r="K91" s="560">
        <f>K101/K$23</f>
        <v>0</v>
      </c>
      <c r="L91" s="560">
        <f t="shared" si="72"/>
        <v>0</v>
      </c>
      <c r="M91" s="651"/>
      <c r="N91" s="769">
        <f t="shared" si="79"/>
        <v>0</v>
      </c>
      <c r="O91" s="560">
        <f t="shared" si="77"/>
        <v>0</v>
      </c>
      <c r="P91" s="560">
        <f t="shared" si="77"/>
        <v>0</v>
      </c>
      <c r="Q91" s="560">
        <f t="shared" ref="Q91:Q92" si="81">O91+P91</f>
        <v>0</v>
      </c>
      <c r="R91" s="560">
        <f t="shared" si="69"/>
        <v>0</v>
      </c>
      <c r="S91" s="560">
        <f t="shared" si="80"/>
        <v>0</v>
      </c>
      <c r="T91" s="560">
        <f t="shared" si="80"/>
        <v>0</v>
      </c>
      <c r="U91" s="560">
        <f t="shared" si="80"/>
        <v>0</v>
      </c>
      <c r="V91" s="560">
        <f t="shared" si="80"/>
        <v>0</v>
      </c>
      <c r="W91" s="560">
        <f t="shared" si="80"/>
        <v>0</v>
      </c>
      <c r="X91" s="522"/>
    </row>
    <row r="92" spans="2:24" s="424" customFormat="1" ht="15.5">
      <c r="B92" s="1152" t="s">
        <v>1479</v>
      </c>
      <c r="C92" s="1153" t="s">
        <v>855</v>
      </c>
      <c r="D92" s="1154" t="s">
        <v>893</v>
      </c>
      <c r="E92" s="651"/>
      <c r="F92" s="834">
        <f>F$41*G92/(G92+G93+G94+G95)</f>
        <v>0</v>
      </c>
      <c r="G92" s="834">
        <f>G102/G$23</f>
        <v>0</v>
      </c>
      <c r="H92" s="560">
        <f t="shared" si="71"/>
        <v>0</v>
      </c>
      <c r="I92" s="651"/>
      <c r="J92" s="769">
        <f>J$41*K92/(K$89+K$90+K$91+K$92)</f>
        <v>0</v>
      </c>
      <c r="K92" s="560">
        <f>K102/K$23</f>
        <v>0</v>
      </c>
      <c r="L92" s="560">
        <f t="shared" si="72"/>
        <v>0</v>
      </c>
      <c r="M92" s="651"/>
      <c r="N92" s="769">
        <f t="shared" si="79"/>
        <v>0</v>
      </c>
      <c r="O92" s="560">
        <f t="shared" si="77"/>
        <v>0</v>
      </c>
      <c r="P92" s="560">
        <f t="shared" si="77"/>
        <v>0</v>
      </c>
      <c r="Q92" s="560">
        <f t="shared" si="81"/>
        <v>0</v>
      </c>
      <c r="R92" s="560">
        <f t="shared" si="69"/>
        <v>0</v>
      </c>
      <c r="S92" s="560">
        <f t="shared" si="80"/>
        <v>0</v>
      </c>
      <c r="T92" s="560">
        <f t="shared" si="80"/>
        <v>0</v>
      </c>
      <c r="U92" s="560">
        <f t="shared" si="80"/>
        <v>0</v>
      </c>
      <c r="V92" s="560">
        <f t="shared" si="80"/>
        <v>0</v>
      </c>
      <c r="W92" s="560">
        <f t="shared" si="80"/>
        <v>0</v>
      </c>
      <c r="X92" s="522"/>
    </row>
    <row r="93" spans="2:24" s="424" customFormat="1" ht="15.5">
      <c r="B93" s="469">
        <v>3.2</v>
      </c>
      <c r="C93" s="468" t="s">
        <v>124</v>
      </c>
      <c r="D93" s="470"/>
      <c r="E93" s="657"/>
      <c r="F93" s="567"/>
      <c r="G93" s="567"/>
      <c r="H93" s="567"/>
      <c r="I93" s="657"/>
      <c r="J93" s="567"/>
      <c r="K93" s="567"/>
      <c r="L93" s="567"/>
      <c r="M93" s="657"/>
      <c r="N93" s="560"/>
      <c r="O93" s="560"/>
      <c r="P93" s="560"/>
      <c r="Q93" s="560"/>
      <c r="R93" s="560"/>
      <c r="S93" s="560"/>
      <c r="T93" s="560"/>
      <c r="U93" s="560"/>
      <c r="V93" s="560"/>
      <c r="W93" s="560"/>
      <c r="X93" s="522"/>
    </row>
    <row r="94" spans="2:24" s="424" customFormat="1" ht="15.5">
      <c r="B94" s="1152" t="s">
        <v>125</v>
      </c>
      <c r="C94" s="1153" t="s">
        <v>745</v>
      </c>
      <c r="D94" s="1154" t="s">
        <v>894</v>
      </c>
      <c r="E94" s="651"/>
      <c r="F94" s="834">
        <f>IFERROR(F104/F$68*1000,0)</f>
        <v>834578.48274083633</v>
      </c>
      <c r="G94" s="834">
        <v>873121</v>
      </c>
      <c r="H94" s="560">
        <f t="shared" ref="H94:H112" si="82">G94-F94</f>
        <v>38542.517259163666</v>
      </c>
      <c r="I94" s="651"/>
      <c r="J94" s="560">
        <f>IFERROR(J104/J$68*1000,0)</f>
        <v>957537.44315093523</v>
      </c>
      <c r="K94" s="834">
        <v>936255.47499999998</v>
      </c>
      <c r="L94" s="560">
        <f t="shared" ref="L94:L102" si="83">K94-J94</f>
        <v>-21281.968150935252</v>
      </c>
      <c r="M94" s="651"/>
      <c r="N94" s="560">
        <f>IFERROR(N104/N$68*1000,0)</f>
        <v>1210471.8158950945</v>
      </c>
      <c r="O94" s="834">
        <v>498508.02600000001</v>
      </c>
      <c r="P94" s="834">
        <v>716627.73750000005</v>
      </c>
      <c r="Q94" s="834">
        <f>O94+P94</f>
        <v>1215135.7635000001</v>
      </c>
      <c r="R94" s="560">
        <f>Q94-N94</f>
        <v>4663.9476049055811</v>
      </c>
      <c r="S94" s="834">
        <v>1436575.0000000002</v>
      </c>
      <c r="T94" s="834">
        <v>1436575.0000000002</v>
      </c>
      <c r="U94" s="834">
        <v>1332075.0000000002</v>
      </c>
      <c r="V94" s="834">
        <v>1332075.0000000002</v>
      </c>
      <c r="W94" s="834">
        <v>1332075.0000000002</v>
      </c>
      <c r="X94" s="522"/>
    </row>
    <row r="95" spans="2:24" s="424" customFormat="1" ht="15.5">
      <c r="B95" s="1152" t="s">
        <v>126</v>
      </c>
      <c r="C95" s="1153" t="s">
        <v>746</v>
      </c>
      <c r="D95" s="1154" t="s">
        <v>894</v>
      </c>
      <c r="E95" s="651"/>
      <c r="F95" s="834">
        <f>IFERROR(F105/F$68*1000,0)</f>
        <v>0</v>
      </c>
      <c r="G95" s="834">
        <v>0</v>
      </c>
      <c r="H95" s="560">
        <f t="shared" si="82"/>
        <v>0</v>
      </c>
      <c r="I95" s="651"/>
      <c r="J95" s="560">
        <f>IFERROR(J105/J$69*1000,0)</f>
        <v>0</v>
      </c>
      <c r="K95" s="834">
        <v>0</v>
      </c>
      <c r="L95" s="560">
        <f t="shared" si="83"/>
        <v>0</v>
      </c>
      <c r="M95" s="651"/>
      <c r="N95" s="560">
        <f>IFERROR(N105/N$68*1000,0)</f>
        <v>0</v>
      </c>
      <c r="O95" s="834">
        <v>0</v>
      </c>
      <c r="P95" s="834">
        <v>0</v>
      </c>
      <c r="Q95" s="834">
        <f>O95+P95</f>
        <v>0</v>
      </c>
      <c r="R95" s="560">
        <f t="shared" ref="R95:R102" si="84">Q95-N95</f>
        <v>0</v>
      </c>
      <c r="S95" s="834">
        <v>0</v>
      </c>
      <c r="T95" s="834">
        <v>0</v>
      </c>
      <c r="U95" s="834">
        <v>0</v>
      </c>
      <c r="V95" s="834">
        <v>0</v>
      </c>
      <c r="W95" s="834">
        <v>0</v>
      </c>
      <c r="X95" s="522"/>
    </row>
    <row r="96" spans="2:24" s="424" customFormat="1" ht="15.5">
      <c r="B96" s="1152" t="s">
        <v>127</v>
      </c>
      <c r="C96" s="1153" t="s">
        <v>853</v>
      </c>
      <c r="D96" s="1154" t="s">
        <v>894</v>
      </c>
      <c r="E96" s="651"/>
      <c r="F96" s="834">
        <f>IFERROR(F106/F$68*1000,0)</f>
        <v>0</v>
      </c>
      <c r="G96" s="834">
        <v>0</v>
      </c>
      <c r="H96" s="560">
        <f t="shared" si="82"/>
        <v>0</v>
      </c>
      <c r="I96" s="651"/>
      <c r="J96" s="560">
        <f>IFERROR(J106/J$68*1000,0)</f>
        <v>0</v>
      </c>
      <c r="K96" s="834">
        <v>0</v>
      </c>
      <c r="L96" s="560">
        <f t="shared" si="83"/>
        <v>0</v>
      </c>
      <c r="M96" s="651"/>
      <c r="N96" s="560">
        <f>IFERROR(N106/N$68*1000,0)</f>
        <v>0</v>
      </c>
      <c r="O96" s="834">
        <v>0</v>
      </c>
      <c r="P96" s="834">
        <v>0</v>
      </c>
      <c r="Q96" s="834">
        <f t="shared" ref="Q96:Q102" si="85">O96+P96</f>
        <v>0</v>
      </c>
      <c r="R96" s="560">
        <f t="shared" si="84"/>
        <v>0</v>
      </c>
      <c r="S96" s="834">
        <v>0</v>
      </c>
      <c r="T96" s="834">
        <v>0</v>
      </c>
      <c r="U96" s="834">
        <v>0</v>
      </c>
      <c r="V96" s="834">
        <v>0</v>
      </c>
      <c r="W96" s="834">
        <v>0</v>
      </c>
      <c r="X96" s="522"/>
    </row>
    <row r="97" spans="2:27" s="424" customFormat="1" ht="15.5">
      <c r="B97" s="1152" t="s">
        <v>752</v>
      </c>
      <c r="C97" s="1153" t="s">
        <v>1473</v>
      </c>
      <c r="D97" s="1154" t="s">
        <v>894</v>
      </c>
      <c r="E97" s="651"/>
      <c r="F97" s="834"/>
      <c r="G97" s="834"/>
      <c r="H97" s="560"/>
      <c r="I97" s="651"/>
      <c r="J97" s="560"/>
      <c r="K97" s="834"/>
      <c r="L97" s="560"/>
      <c r="M97" s="651"/>
      <c r="N97" s="560"/>
      <c r="O97" s="834"/>
      <c r="P97" s="834"/>
      <c r="Q97" s="834"/>
      <c r="R97" s="560"/>
      <c r="S97" s="834">
        <v>0</v>
      </c>
      <c r="T97" s="834">
        <v>0</v>
      </c>
      <c r="U97" s="834">
        <v>100000</v>
      </c>
      <c r="V97" s="834">
        <v>100000</v>
      </c>
      <c r="W97" s="834">
        <v>100000</v>
      </c>
      <c r="X97" s="522"/>
    </row>
    <row r="98" spans="2:27" s="424" customFormat="1" ht="15.5">
      <c r="B98" s="1152" t="s">
        <v>868</v>
      </c>
      <c r="C98" s="1153" t="s">
        <v>1474</v>
      </c>
      <c r="D98" s="1154" t="s">
        <v>894</v>
      </c>
      <c r="E98" s="651"/>
      <c r="F98" s="834"/>
      <c r="G98" s="834"/>
      <c r="H98" s="560"/>
      <c r="I98" s="651"/>
      <c r="J98" s="560"/>
      <c r="K98" s="834"/>
      <c r="L98" s="560"/>
      <c r="M98" s="651"/>
      <c r="N98" s="560"/>
      <c r="O98" s="834"/>
      <c r="P98" s="834"/>
      <c r="Q98" s="834"/>
      <c r="R98" s="560"/>
      <c r="S98" s="834">
        <v>0</v>
      </c>
      <c r="T98" s="834">
        <v>0</v>
      </c>
      <c r="U98" s="834">
        <v>0</v>
      </c>
      <c r="V98" s="834">
        <v>0</v>
      </c>
      <c r="W98" s="834">
        <v>0</v>
      </c>
      <c r="X98" s="522"/>
    </row>
    <row r="99" spans="2:27" s="424" customFormat="1" ht="15.5">
      <c r="B99" s="1152" t="s">
        <v>869</v>
      </c>
      <c r="C99" s="1153" t="s">
        <v>747</v>
      </c>
      <c r="D99" s="1154" t="s">
        <v>894</v>
      </c>
      <c r="E99" s="651"/>
      <c r="F99" s="839">
        <f>F89*F$23</f>
        <v>502.76961411609648</v>
      </c>
      <c r="G99" s="834">
        <v>5175.5510000000004</v>
      </c>
      <c r="H99" s="560">
        <f t="shared" si="82"/>
        <v>4672.7813858839036</v>
      </c>
      <c r="I99" s="651"/>
      <c r="J99" s="769">
        <f>J89*J$23</f>
        <v>417.01385924804794</v>
      </c>
      <c r="K99" s="834">
        <v>1017</v>
      </c>
      <c r="L99" s="560">
        <f t="shared" si="83"/>
        <v>599.98614075195201</v>
      </c>
      <c r="M99" s="651"/>
      <c r="N99" s="769">
        <f>N89*N$23</f>
        <v>369.24250779453359</v>
      </c>
      <c r="O99" s="834">
        <v>618.14</v>
      </c>
      <c r="P99" s="834">
        <v>300.54211602885209</v>
      </c>
      <c r="Q99" s="834">
        <f>O99+P99</f>
        <v>918.68211602885208</v>
      </c>
      <c r="R99" s="560">
        <f t="shared" si="84"/>
        <v>549.43960823431848</v>
      </c>
      <c r="S99" s="834">
        <v>596.04785628993045</v>
      </c>
      <c r="T99" s="834">
        <v>596.04785628993056</v>
      </c>
      <c r="U99" s="834">
        <v>600.0219532227087</v>
      </c>
      <c r="V99" s="834">
        <v>600.0219532227087</v>
      </c>
      <c r="W99" s="834">
        <v>600.0219532227087</v>
      </c>
      <c r="X99" s="522"/>
    </row>
    <row r="100" spans="2:27" s="424" customFormat="1" ht="15.5">
      <c r="B100" s="1152" t="s">
        <v>870</v>
      </c>
      <c r="C100" s="1153" t="s">
        <v>748</v>
      </c>
      <c r="D100" s="1154" t="s">
        <v>894</v>
      </c>
      <c r="E100" s="651"/>
      <c r="F100" s="834">
        <f>F90*F$23</f>
        <v>63.795885883903551</v>
      </c>
      <c r="G100" s="834">
        <v>656.72</v>
      </c>
      <c r="H100" s="560">
        <f t="shared" si="82"/>
        <v>592.92411411609646</v>
      </c>
      <c r="I100" s="651"/>
      <c r="J100" s="560">
        <f>J90*J$23</f>
        <v>230.4811407519521</v>
      </c>
      <c r="K100" s="834">
        <v>562.09</v>
      </c>
      <c r="L100" s="560">
        <f t="shared" si="83"/>
        <v>331.60885924804791</v>
      </c>
      <c r="M100" s="651"/>
      <c r="N100" s="560">
        <f>N90*N$23</f>
        <v>422.79748687771905</v>
      </c>
      <c r="O100" s="834">
        <v>885.81999999999994</v>
      </c>
      <c r="P100" s="834">
        <v>166.10788397114794</v>
      </c>
      <c r="Q100" s="834">
        <f t="shared" si="85"/>
        <v>1051.9278839711478</v>
      </c>
      <c r="R100" s="560">
        <f t="shared" si="84"/>
        <v>629.13039709342877</v>
      </c>
      <c r="S100" s="834">
        <v>329.43219227335987</v>
      </c>
      <c r="T100" s="834">
        <v>329.43219227335993</v>
      </c>
      <c r="U100" s="834">
        <v>331.62865259287349</v>
      </c>
      <c r="V100" s="834">
        <v>331.62865259287349</v>
      </c>
      <c r="W100" s="834">
        <v>331.62865259287349</v>
      </c>
      <c r="X100" s="522"/>
    </row>
    <row r="101" spans="2:27" s="424" customFormat="1" ht="15.5">
      <c r="B101" s="1152" t="s">
        <v>1480</v>
      </c>
      <c r="C101" s="1153" t="s">
        <v>854</v>
      </c>
      <c r="D101" s="1154" t="s">
        <v>894</v>
      </c>
      <c r="E101" s="651"/>
      <c r="F101" s="834">
        <f>F91*F$23</f>
        <v>0</v>
      </c>
      <c r="G101" s="834">
        <v>0</v>
      </c>
      <c r="H101" s="560">
        <f t="shared" si="82"/>
        <v>0</v>
      </c>
      <c r="I101" s="651"/>
      <c r="J101" s="560">
        <f>J91*J$23</f>
        <v>0</v>
      </c>
      <c r="K101" s="834">
        <v>0</v>
      </c>
      <c r="L101" s="560">
        <f t="shared" si="83"/>
        <v>0</v>
      </c>
      <c r="M101" s="651"/>
      <c r="N101" s="560">
        <f>N91*N$23</f>
        <v>0</v>
      </c>
      <c r="O101" s="834">
        <v>0</v>
      </c>
      <c r="P101" s="834">
        <v>0</v>
      </c>
      <c r="Q101" s="834">
        <f t="shared" si="85"/>
        <v>0</v>
      </c>
      <c r="R101" s="560">
        <f t="shared" si="84"/>
        <v>0</v>
      </c>
      <c r="S101" s="834">
        <v>0</v>
      </c>
      <c r="T101" s="834">
        <v>0</v>
      </c>
      <c r="U101" s="834">
        <v>0</v>
      </c>
      <c r="V101" s="834">
        <v>0</v>
      </c>
      <c r="W101" s="834">
        <v>0</v>
      </c>
      <c r="X101" s="522"/>
    </row>
    <row r="102" spans="2:27" s="424" customFormat="1" ht="15.5">
      <c r="B102" s="1152" t="s">
        <v>1481</v>
      </c>
      <c r="C102" s="1153" t="s">
        <v>855</v>
      </c>
      <c r="D102" s="1154" t="s">
        <v>894</v>
      </c>
      <c r="E102" s="651"/>
      <c r="F102" s="834">
        <f>F92*F$23</f>
        <v>0</v>
      </c>
      <c r="G102" s="834">
        <v>0</v>
      </c>
      <c r="H102" s="560">
        <f t="shared" si="82"/>
        <v>0</v>
      </c>
      <c r="I102" s="651"/>
      <c r="J102" s="560">
        <f>J92*J$23</f>
        <v>0</v>
      </c>
      <c r="K102" s="834">
        <v>0</v>
      </c>
      <c r="L102" s="560">
        <f t="shared" si="83"/>
        <v>0</v>
      </c>
      <c r="M102" s="651"/>
      <c r="N102" s="560">
        <f>N92*N$23</f>
        <v>0</v>
      </c>
      <c r="O102" s="834">
        <v>0</v>
      </c>
      <c r="P102" s="834">
        <v>0</v>
      </c>
      <c r="Q102" s="834">
        <f t="shared" si="85"/>
        <v>0</v>
      </c>
      <c r="R102" s="560">
        <f t="shared" si="84"/>
        <v>0</v>
      </c>
      <c r="S102" s="834">
        <v>0</v>
      </c>
      <c r="T102" s="834">
        <v>0</v>
      </c>
      <c r="U102" s="834">
        <v>0</v>
      </c>
      <c r="V102" s="834">
        <v>0</v>
      </c>
      <c r="W102" s="834">
        <v>0</v>
      </c>
      <c r="X102" s="522"/>
    </row>
    <row r="103" spans="2:27" s="424" customFormat="1" ht="30">
      <c r="B103" s="469">
        <v>3.3</v>
      </c>
      <c r="C103" s="468" t="s">
        <v>128</v>
      </c>
      <c r="D103" s="470"/>
      <c r="E103" s="657"/>
      <c r="F103" s="567"/>
      <c r="G103" s="567"/>
      <c r="H103" s="567"/>
      <c r="I103" s="657"/>
      <c r="J103" s="567"/>
      <c r="K103" s="567"/>
      <c r="L103" s="567"/>
      <c r="M103" s="657"/>
      <c r="N103" s="560"/>
      <c r="O103" s="560"/>
      <c r="P103" s="560"/>
      <c r="Q103" s="560"/>
      <c r="R103" s="560"/>
      <c r="S103" s="560"/>
      <c r="T103" s="560"/>
      <c r="U103" s="560"/>
      <c r="V103" s="560"/>
      <c r="W103" s="560"/>
      <c r="X103" s="522"/>
    </row>
    <row r="104" spans="2:27" s="424" customFormat="1" ht="15.5">
      <c r="B104" s="1152" t="s">
        <v>129</v>
      </c>
      <c r="C104" s="1153" t="s">
        <v>745</v>
      </c>
      <c r="D104" s="1154" t="s">
        <v>130</v>
      </c>
      <c r="E104" s="651"/>
      <c r="F104" s="747">
        <f>(F$113-SUM(F$109:F$112))*G104/SUM(G$104:G$106)</f>
        <v>2748191.8316021273</v>
      </c>
      <c r="G104" s="560">
        <f>G94*G$68/1000</f>
        <v>2818356.0071099997</v>
      </c>
      <c r="H104" s="560">
        <f t="shared" si="82"/>
        <v>70164.175507872365</v>
      </c>
      <c r="I104" s="651"/>
      <c r="J104" s="747">
        <f>(J$113-SUM(J$109:J$112))*K104/SUM(K$104:K$106)</f>
        <v>3140722.8135350677</v>
      </c>
      <c r="K104" s="560">
        <f>K94*K$68/1000</f>
        <v>3146754.6514749997</v>
      </c>
      <c r="L104" s="560">
        <f t="shared" ref="L104:L112" si="86">K104-J104</f>
        <v>6031.8379399320111</v>
      </c>
      <c r="M104" s="651"/>
      <c r="N104" s="747">
        <f>(N$113-SUM(N$109:N$112))*Q104/SUM(Q$104:Q$106)</f>
        <v>3841995.1094609536</v>
      </c>
      <c r="O104" s="560">
        <f t="shared" ref="O104:P106" si="87">O94*O$68/1000</f>
        <v>1591137.1633900001</v>
      </c>
      <c r="P104" s="560">
        <f t="shared" si="87"/>
        <v>2264543.6505</v>
      </c>
      <c r="Q104" s="560">
        <f>O104+P104</f>
        <v>3855680.8138899999</v>
      </c>
      <c r="R104" s="560">
        <f>Q104-N104</f>
        <v>13685.704429046251</v>
      </c>
      <c r="S104" s="560">
        <f t="shared" ref="S104:W106" si="88">S94*S$68/1000</f>
        <v>4486593.2177352291</v>
      </c>
      <c r="T104" s="560">
        <f t="shared" si="88"/>
        <v>4486593.2177352291</v>
      </c>
      <c r="U104" s="560">
        <f t="shared" si="88"/>
        <v>4173424.8457134678</v>
      </c>
      <c r="V104" s="560">
        <f t="shared" si="88"/>
        <v>4173424.8457134678</v>
      </c>
      <c r="W104" s="560">
        <f t="shared" si="88"/>
        <v>4173424.8457134678</v>
      </c>
      <c r="X104" s="529"/>
      <c r="Y104" s="530"/>
      <c r="Z104" s="530"/>
      <c r="AA104" s="530"/>
    </row>
    <row r="105" spans="2:27" s="424" customFormat="1" ht="15.5">
      <c r="B105" s="1152" t="s">
        <v>131</v>
      </c>
      <c r="C105" s="1153" t="s">
        <v>746</v>
      </c>
      <c r="D105" s="1154" t="s">
        <v>130</v>
      </c>
      <c r="E105" s="651"/>
      <c r="F105" s="747">
        <f>(F$113-SUM(F$109:F$112))*G105/SUM(G$104:G$106)</f>
        <v>0</v>
      </c>
      <c r="G105" s="560">
        <f>G95*G$68/1000</f>
        <v>0</v>
      </c>
      <c r="H105" s="560">
        <f t="shared" si="82"/>
        <v>0</v>
      </c>
      <c r="I105" s="651"/>
      <c r="J105" s="747">
        <f>(J$113-SUM(J$109:J$112))*K105/SUM(K$104:K$106)</f>
        <v>0</v>
      </c>
      <c r="K105" s="560">
        <f>K95*K$69/1000</f>
        <v>0</v>
      </c>
      <c r="L105" s="560">
        <f t="shared" si="86"/>
        <v>0</v>
      </c>
      <c r="M105" s="651"/>
      <c r="N105" s="747">
        <f>(N$113-SUM(N$109:N$112))*Q105/SUM(Q$104:Q$106)</f>
        <v>0</v>
      </c>
      <c r="O105" s="560">
        <f t="shared" si="87"/>
        <v>0</v>
      </c>
      <c r="P105" s="560">
        <f t="shared" si="87"/>
        <v>0</v>
      </c>
      <c r="Q105" s="560">
        <f>O105+P105</f>
        <v>0</v>
      </c>
      <c r="R105" s="560">
        <f>Q105-N105</f>
        <v>0</v>
      </c>
      <c r="S105" s="560">
        <f t="shared" si="88"/>
        <v>0</v>
      </c>
      <c r="T105" s="560">
        <f t="shared" si="88"/>
        <v>0</v>
      </c>
      <c r="U105" s="560">
        <f t="shared" si="88"/>
        <v>0</v>
      </c>
      <c r="V105" s="560">
        <f t="shared" si="88"/>
        <v>0</v>
      </c>
      <c r="W105" s="560">
        <f t="shared" si="88"/>
        <v>0</v>
      </c>
      <c r="X105" s="529"/>
      <c r="Y105" s="530"/>
      <c r="Z105" s="530"/>
      <c r="AA105" s="530"/>
    </row>
    <row r="106" spans="2:27" s="424" customFormat="1" ht="15.5">
      <c r="B106" s="1152" t="s">
        <v>132</v>
      </c>
      <c r="C106" s="1153" t="s">
        <v>853</v>
      </c>
      <c r="D106" s="1154" t="s">
        <v>130</v>
      </c>
      <c r="E106" s="651"/>
      <c r="F106" s="747">
        <f>(F$113-SUM(F$109:F$112))*G106/SUM(G$104:G$106)</f>
        <v>0</v>
      </c>
      <c r="G106" s="560">
        <f>G96*G$68/1000</f>
        <v>0</v>
      </c>
      <c r="H106" s="560">
        <f t="shared" si="82"/>
        <v>0</v>
      </c>
      <c r="I106" s="651"/>
      <c r="J106" s="747">
        <f>(J$113-SUM(J$109:J$112))*K106/SUM(K$104:K$106)</f>
        <v>0</v>
      </c>
      <c r="K106" s="560">
        <f>K96*K$68/1000</f>
        <v>0</v>
      </c>
      <c r="L106" s="560">
        <f t="shared" si="86"/>
        <v>0</v>
      </c>
      <c r="M106" s="651"/>
      <c r="N106" s="747">
        <f>(N$113-SUM(N$109:N$112))*Q106/SUM(Q$104:Q$106)</f>
        <v>0</v>
      </c>
      <c r="O106" s="560">
        <f t="shared" si="87"/>
        <v>0</v>
      </c>
      <c r="P106" s="560">
        <f t="shared" si="87"/>
        <v>0</v>
      </c>
      <c r="Q106" s="560">
        <f t="shared" ref="Q106:Q112" si="89">O106+P106</f>
        <v>0</v>
      </c>
      <c r="R106" s="560">
        <f>Q106-N106</f>
        <v>0</v>
      </c>
      <c r="S106" s="560">
        <f t="shared" si="88"/>
        <v>0</v>
      </c>
      <c r="T106" s="560">
        <f t="shared" si="88"/>
        <v>0</v>
      </c>
      <c r="U106" s="560">
        <f t="shared" si="88"/>
        <v>0</v>
      </c>
      <c r="V106" s="560">
        <f t="shared" si="88"/>
        <v>0</v>
      </c>
      <c r="W106" s="560">
        <f t="shared" si="88"/>
        <v>0</v>
      </c>
      <c r="X106" s="529"/>
      <c r="Y106" s="530"/>
      <c r="Z106" s="530"/>
      <c r="AA106" s="530"/>
    </row>
    <row r="107" spans="2:27" s="424" customFormat="1" ht="15.5">
      <c r="B107" s="1152" t="s">
        <v>753</v>
      </c>
      <c r="C107" s="1153" t="s">
        <v>1473</v>
      </c>
      <c r="D107" s="1154" t="s">
        <v>130</v>
      </c>
      <c r="E107" s="651"/>
      <c r="F107" s="747"/>
      <c r="G107" s="560"/>
      <c r="H107" s="560"/>
      <c r="I107" s="651"/>
      <c r="J107" s="747"/>
      <c r="K107" s="560"/>
      <c r="L107" s="560"/>
      <c r="M107" s="651"/>
      <c r="N107" s="747"/>
      <c r="O107" s="560"/>
      <c r="P107" s="560"/>
      <c r="Q107" s="560"/>
      <c r="R107" s="560"/>
      <c r="S107" s="560">
        <f t="shared" ref="S107:W107" si="90">S97*S$68/1000</f>
        <v>0</v>
      </c>
      <c r="T107" s="560">
        <f t="shared" si="90"/>
        <v>0</v>
      </c>
      <c r="U107" s="560">
        <f t="shared" si="90"/>
        <v>313302.54270318616</v>
      </c>
      <c r="V107" s="560">
        <f t="shared" si="90"/>
        <v>313302.54270318616</v>
      </c>
      <c r="W107" s="560">
        <f t="shared" si="90"/>
        <v>313302.54270318616</v>
      </c>
      <c r="X107" s="529"/>
      <c r="Y107" s="530"/>
      <c r="Z107" s="530"/>
      <c r="AA107" s="530"/>
    </row>
    <row r="108" spans="2:27" s="424" customFormat="1" ht="15.5">
      <c r="B108" s="1152" t="s">
        <v>871</v>
      </c>
      <c r="C108" s="1153" t="s">
        <v>1474</v>
      </c>
      <c r="D108" s="1154" t="s">
        <v>130</v>
      </c>
      <c r="E108" s="651"/>
      <c r="F108" s="747"/>
      <c r="G108" s="560"/>
      <c r="H108" s="560"/>
      <c r="I108" s="651"/>
      <c r="J108" s="747"/>
      <c r="K108" s="560"/>
      <c r="L108" s="560"/>
      <c r="M108" s="651"/>
      <c r="N108" s="747"/>
      <c r="O108" s="560"/>
      <c r="P108" s="560"/>
      <c r="Q108" s="560"/>
      <c r="R108" s="560"/>
      <c r="S108" s="560">
        <f t="shared" ref="S108:W108" si="91">S98*S$68/1000</f>
        <v>0</v>
      </c>
      <c r="T108" s="560">
        <f t="shared" si="91"/>
        <v>0</v>
      </c>
      <c r="U108" s="560">
        <f t="shared" si="91"/>
        <v>0</v>
      </c>
      <c r="V108" s="560">
        <f t="shared" si="91"/>
        <v>0</v>
      </c>
      <c r="W108" s="560">
        <f t="shared" si="91"/>
        <v>0</v>
      </c>
      <c r="X108" s="529"/>
      <c r="Y108" s="530"/>
      <c r="Z108" s="530"/>
      <c r="AA108" s="530"/>
    </row>
    <row r="109" spans="2:27" s="424" customFormat="1" ht="15.5">
      <c r="B109" s="1152" t="s">
        <v>872</v>
      </c>
      <c r="C109" s="1153" t="s">
        <v>747</v>
      </c>
      <c r="D109" s="1154" t="s">
        <v>130</v>
      </c>
      <c r="E109" s="651"/>
      <c r="F109" s="770">
        <f>F99*F63/1000*0.933</f>
        <v>4734.9344004003897</v>
      </c>
      <c r="G109" s="560">
        <f>G99*G63/1000*0.933</f>
        <v>48741.797003802007</v>
      </c>
      <c r="H109" s="560">
        <f t="shared" si="82"/>
        <v>44006.86260340162</v>
      </c>
      <c r="I109" s="651"/>
      <c r="J109" s="770">
        <f>J99*J63/1000*0.933</f>
        <v>4002.0144509583174</v>
      </c>
      <c r="K109" s="560">
        <f>K99*K63/1000*0.933</f>
        <v>9759.984246</v>
      </c>
      <c r="L109" s="560">
        <f t="shared" si="86"/>
        <v>5757.969795041683</v>
      </c>
      <c r="M109" s="651"/>
      <c r="N109" s="770">
        <f>N99*N63/1000*0.933</f>
        <v>3545.8785379694855</v>
      </c>
      <c r="O109" s="560">
        <f>O99*O63/1000*0.933</f>
        <v>5937.9566875199998</v>
      </c>
      <c r="P109" s="560">
        <f>P99*P63/1000*0.933</f>
        <v>2884.2539997060971</v>
      </c>
      <c r="Q109" s="560">
        <f t="shared" si="89"/>
        <v>8822.2106872260974</v>
      </c>
      <c r="R109" s="560">
        <f>Q109-N109</f>
        <v>5276.332149256612</v>
      </c>
      <c r="S109" s="560">
        <f>S99*S63/1000*0.933</f>
        <v>5720.1747170617436</v>
      </c>
      <c r="T109" s="560">
        <f>T99*T63/1000*0.933</f>
        <v>5720.1747170617455</v>
      </c>
      <c r="U109" s="560">
        <f>U99*U63/1000*0.933</f>
        <v>5758.3134815219137</v>
      </c>
      <c r="V109" s="560">
        <f>V99*V63/1000*0.933</f>
        <v>5758.3134815219137</v>
      </c>
      <c r="W109" s="560">
        <f>W99*W63/1000*0.933</f>
        <v>5758.3134815219137</v>
      </c>
      <c r="X109" s="529"/>
      <c r="Y109" s="530"/>
      <c r="Z109" s="530"/>
      <c r="AA109" s="530"/>
    </row>
    <row r="110" spans="2:27" s="424" customFormat="1" ht="15.5">
      <c r="B110" s="1152" t="s">
        <v>873</v>
      </c>
      <c r="C110" s="1153" t="s">
        <v>748</v>
      </c>
      <c r="D110" s="1154" t="s">
        <v>130</v>
      </c>
      <c r="E110" s="651"/>
      <c r="F110" s="560">
        <f>F100*F64/1000*0.853</f>
        <v>581.56399747240948</v>
      </c>
      <c r="G110" s="560">
        <f>G100*G64/1000*0.853</f>
        <v>5986.66674392</v>
      </c>
      <c r="H110" s="560">
        <f t="shared" si="82"/>
        <v>5405.1027464475901</v>
      </c>
      <c r="I110" s="651"/>
      <c r="J110" s="560">
        <f>J100*J64/1000*0.853</f>
        <v>2100.8720139742823</v>
      </c>
      <c r="K110" s="560">
        <f>K100*K64/1000*0.853</f>
        <v>5123.5391602199998</v>
      </c>
      <c r="L110" s="560">
        <f t="shared" si="86"/>
        <v>3022.6671462457175</v>
      </c>
      <c r="M110" s="651"/>
      <c r="N110" s="560">
        <f>N100*N64/1000*0.853</f>
        <v>3773.3861082256171</v>
      </c>
      <c r="O110" s="560">
        <f>O100*O64/1000*0.853</f>
        <v>7874.1540776599986</v>
      </c>
      <c r="P110" s="560">
        <f>P100*P64/1000*0.853</f>
        <v>1514.0996074426807</v>
      </c>
      <c r="Q110" s="560">
        <f t="shared" si="89"/>
        <v>9388.2536851026798</v>
      </c>
      <c r="R110" s="560">
        <f>Q110-N110</f>
        <v>5614.8675768770627</v>
      </c>
      <c r="S110" s="560">
        <f>S100*S64/1000*0.853</f>
        <v>3002.8264828580545</v>
      </c>
      <c r="T110" s="560">
        <f>T100*T64/1000*0.853</f>
        <v>3002.826482858055</v>
      </c>
      <c r="U110" s="560">
        <f>U100*U64/1000*0.853</f>
        <v>3022.8475657111517</v>
      </c>
      <c r="V110" s="560">
        <f>V100*V64/1000*0.853</f>
        <v>3022.8475657111517</v>
      </c>
      <c r="W110" s="560">
        <f>W100*W64/1000*0.853</f>
        <v>3022.8475657111517</v>
      </c>
      <c r="X110" s="529"/>
      <c r="Y110" s="530"/>
      <c r="Z110" s="530"/>
      <c r="AA110" s="530"/>
    </row>
    <row r="111" spans="2:27" s="424" customFormat="1" ht="15.5">
      <c r="B111" s="1152" t="s">
        <v>1482</v>
      </c>
      <c r="C111" s="1153" t="s">
        <v>854</v>
      </c>
      <c r="D111" s="1154" t="s">
        <v>130</v>
      </c>
      <c r="E111" s="651"/>
      <c r="F111" s="560">
        <f>F101*F65/1000</f>
        <v>0</v>
      </c>
      <c r="G111" s="560">
        <f>G101*G65/1000</f>
        <v>0</v>
      </c>
      <c r="H111" s="560">
        <f t="shared" si="82"/>
        <v>0</v>
      </c>
      <c r="I111" s="651"/>
      <c r="J111" s="560">
        <f>J101*J65/1000</f>
        <v>0</v>
      </c>
      <c r="K111" s="560">
        <f>K101*K65/1000</f>
        <v>0</v>
      </c>
      <c r="L111" s="560">
        <f t="shared" si="86"/>
        <v>0</v>
      </c>
      <c r="M111" s="651"/>
      <c r="N111" s="560">
        <f t="shared" ref="N111:P112" si="92">N101*N65/1000</f>
        <v>0</v>
      </c>
      <c r="O111" s="560">
        <f t="shared" si="92"/>
        <v>0</v>
      </c>
      <c r="P111" s="560">
        <f t="shared" si="92"/>
        <v>0</v>
      </c>
      <c r="Q111" s="560">
        <f t="shared" si="89"/>
        <v>0</v>
      </c>
      <c r="R111" s="560">
        <f t="shared" ref="R111:R112" si="93">Q111-N111</f>
        <v>0</v>
      </c>
      <c r="S111" s="560">
        <f t="shared" ref="S111:W112" si="94">S101*S65/1000</f>
        <v>0</v>
      </c>
      <c r="T111" s="560">
        <f t="shared" si="94"/>
        <v>0</v>
      </c>
      <c r="U111" s="560">
        <f t="shared" si="94"/>
        <v>0</v>
      </c>
      <c r="V111" s="560">
        <f t="shared" si="94"/>
        <v>0</v>
      </c>
      <c r="W111" s="560">
        <f t="shared" si="94"/>
        <v>0</v>
      </c>
      <c r="X111" s="529"/>
      <c r="Y111" s="530"/>
      <c r="Z111" s="530"/>
      <c r="AA111" s="530"/>
    </row>
    <row r="112" spans="2:27" s="424" customFormat="1" ht="15.5">
      <c r="B112" s="1152" t="s">
        <v>1483</v>
      </c>
      <c r="C112" s="1153" t="s">
        <v>855</v>
      </c>
      <c r="D112" s="1154" t="s">
        <v>130</v>
      </c>
      <c r="E112" s="651"/>
      <c r="F112" s="560">
        <f>F102*F66/1000</f>
        <v>0</v>
      </c>
      <c r="G112" s="560">
        <f>G102*G66/1000</f>
        <v>0</v>
      </c>
      <c r="H112" s="560">
        <f t="shared" si="82"/>
        <v>0</v>
      </c>
      <c r="I112" s="651"/>
      <c r="J112" s="560">
        <f>J102*J66/1000</f>
        <v>0</v>
      </c>
      <c r="K112" s="560">
        <f>K102*K66/1000</f>
        <v>0</v>
      </c>
      <c r="L112" s="560">
        <f t="shared" si="86"/>
        <v>0</v>
      </c>
      <c r="M112" s="651"/>
      <c r="N112" s="560">
        <f t="shared" si="92"/>
        <v>0</v>
      </c>
      <c r="O112" s="560">
        <f t="shared" si="92"/>
        <v>0</v>
      </c>
      <c r="P112" s="560">
        <f t="shared" si="92"/>
        <v>0</v>
      </c>
      <c r="Q112" s="560">
        <f t="shared" si="89"/>
        <v>0</v>
      </c>
      <c r="R112" s="560">
        <f t="shared" si="93"/>
        <v>0</v>
      </c>
      <c r="S112" s="560">
        <f t="shared" si="94"/>
        <v>0</v>
      </c>
      <c r="T112" s="560">
        <f t="shared" si="94"/>
        <v>0</v>
      </c>
      <c r="U112" s="560">
        <f t="shared" si="94"/>
        <v>0</v>
      </c>
      <c r="V112" s="560">
        <f t="shared" si="94"/>
        <v>0</v>
      </c>
      <c r="W112" s="560">
        <f t="shared" si="94"/>
        <v>0</v>
      </c>
      <c r="X112" s="529"/>
      <c r="Y112" s="530"/>
      <c r="Z112" s="530"/>
      <c r="AA112" s="530"/>
    </row>
    <row r="113" spans="2:24" s="487" customFormat="1" ht="15.5">
      <c r="B113" s="469"/>
      <c r="C113" s="468" t="s">
        <v>376</v>
      </c>
      <c r="D113" s="396" t="s">
        <v>130</v>
      </c>
      <c r="E113" s="658"/>
      <c r="F113" s="520">
        <f>F23*F39</f>
        <v>2753508.33</v>
      </c>
      <c r="G113" s="520">
        <f>SUM(G104:G112)</f>
        <v>2873084.4708577218</v>
      </c>
      <c r="H113" s="520">
        <f>SUM(H104:H112)</f>
        <v>119576.14085772158</v>
      </c>
      <c r="I113" s="658"/>
      <c r="J113" s="520">
        <f>J23*J39</f>
        <v>3146825.7</v>
      </c>
      <c r="K113" s="520">
        <f>SUM(K104:K112)</f>
        <v>3161638.1748812199</v>
      </c>
      <c r="L113" s="520">
        <f>SUM(L104:L112)</f>
        <v>14812.474881219412</v>
      </c>
      <c r="M113" s="658"/>
      <c r="N113" s="520">
        <f>N23*N39</f>
        <v>3849314.3741071485</v>
      </c>
      <c r="O113" s="520">
        <f>SUM(O104:O112)</f>
        <v>1604949.2741551802</v>
      </c>
      <c r="P113" s="520">
        <f>SUM(P104:P112)</f>
        <v>2268942.0041071484</v>
      </c>
      <c r="Q113" s="520">
        <f t="shared" ref="Q113:R113" si="95">SUM(Q104:Q112)</f>
        <v>3873891.2782623288</v>
      </c>
      <c r="R113" s="520">
        <f t="shared" si="95"/>
        <v>24576.904155179924</v>
      </c>
      <c r="S113" s="520">
        <f>SUM(S104:S112)</f>
        <v>4495316.2189351497</v>
      </c>
      <c r="T113" s="520">
        <f>SUM(T104:T112)</f>
        <v>4495316.2189351497</v>
      </c>
      <c r="U113" s="520">
        <f>SUM(U104:U112)</f>
        <v>4495508.5494638868</v>
      </c>
      <c r="V113" s="520">
        <f>SUM(V104:V112)</f>
        <v>4495508.5494638868</v>
      </c>
      <c r="W113" s="520">
        <f>SUM(W104:W112)</f>
        <v>4495508.5494638868</v>
      </c>
      <c r="X113" s="525"/>
    </row>
    <row r="114" spans="2:24" s="424" customFormat="1" ht="15.5">
      <c r="B114" s="469"/>
      <c r="C114" s="468"/>
      <c r="D114" s="470"/>
      <c r="E114" s="659"/>
      <c r="F114" s="524"/>
      <c r="G114" s="524"/>
      <c r="H114" s="524"/>
      <c r="I114" s="659"/>
      <c r="J114" s="524"/>
      <c r="K114" s="524"/>
      <c r="L114" s="524"/>
      <c r="M114" s="659"/>
      <c r="N114" s="520"/>
      <c r="O114" s="520"/>
      <c r="P114" s="520"/>
      <c r="Q114" s="520"/>
      <c r="R114" s="520"/>
      <c r="S114" s="520"/>
      <c r="T114" s="520"/>
      <c r="U114" s="520"/>
      <c r="V114" s="520"/>
      <c r="W114" s="520"/>
      <c r="X114" s="522"/>
    </row>
    <row r="115" spans="2:24" s="424" customFormat="1" ht="15.5">
      <c r="B115" s="469">
        <v>4</v>
      </c>
      <c r="C115" s="468" t="s">
        <v>133</v>
      </c>
      <c r="D115" s="470"/>
      <c r="E115" s="659"/>
      <c r="F115" s="524"/>
      <c r="G115" s="524"/>
      <c r="H115" s="524"/>
      <c r="I115" s="659"/>
      <c r="J115" s="524"/>
      <c r="K115" s="524"/>
      <c r="L115" s="524"/>
      <c r="M115" s="659"/>
      <c r="N115" s="520"/>
      <c r="O115" s="520"/>
      <c r="P115" s="520"/>
      <c r="Q115" s="520"/>
      <c r="R115" s="520"/>
      <c r="S115" s="520"/>
      <c r="T115" s="520"/>
      <c r="U115" s="520"/>
      <c r="V115" s="520"/>
      <c r="W115" s="520"/>
      <c r="X115" s="522"/>
    </row>
    <row r="116" spans="2:24" s="424" customFormat="1" ht="15.5">
      <c r="B116" s="1152" t="s">
        <v>874</v>
      </c>
      <c r="C116" s="1153" t="s">
        <v>745</v>
      </c>
      <c r="D116" s="1154" t="s">
        <v>134</v>
      </c>
      <c r="E116" s="658"/>
      <c r="F116" s="520">
        <f t="shared" ref="F116:G118" si="96">F94*F73/10^7</f>
        <v>489.77442248057355</v>
      </c>
      <c r="G116" s="520">
        <f t="shared" si="96"/>
        <v>510.80658912113762</v>
      </c>
      <c r="H116" s="520">
        <f>G116-F116</f>
        <v>21.032166640564071</v>
      </c>
      <c r="I116" s="658"/>
      <c r="J116" s="520">
        <f t="shared" ref="J116" si="97">J94*J73/10^7</f>
        <v>633.12917067996489</v>
      </c>
      <c r="K116" s="520">
        <f>K94*K73/10^7</f>
        <v>614.80552529845397</v>
      </c>
      <c r="L116" s="520">
        <f>K116-J116</f>
        <v>-18.323645381510914</v>
      </c>
      <c r="M116" s="658"/>
      <c r="N116" s="520">
        <f t="shared" ref="N116" si="98">N94*N73/10^7</f>
        <v>775.22085313342632</v>
      </c>
      <c r="O116" s="520">
        <f>O94*O73/10^7</f>
        <v>307.62394321240254</v>
      </c>
      <c r="P116" s="520">
        <f>P94*P73/10^7</f>
        <v>470.583835674905</v>
      </c>
      <c r="Q116" s="520">
        <f>O116+P116</f>
        <v>778.20777888730754</v>
      </c>
      <c r="R116" s="520">
        <f t="shared" ref="R116:R124" si="99">Q116-N116</f>
        <v>2.9869257538812235</v>
      </c>
      <c r="S116" s="520">
        <f>S94*S73/10^7</f>
        <v>963.87113188049273</v>
      </c>
      <c r="T116" s="520">
        <f>T94*T73/10^7</f>
        <v>1012.0646884745174</v>
      </c>
      <c r="U116" s="520">
        <f t="shared" ref="U116:W116" si="100">U94*U73/10^7</f>
        <v>985.36684363481049</v>
      </c>
      <c r="V116" s="520">
        <f t="shared" si="100"/>
        <v>1034.635185816551</v>
      </c>
      <c r="W116" s="520">
        <f t="shared" si="100"/>
        <v>1086.3669451073783</v>
      </c>
      <c r="X116" s="522"/>
    </row>
    <row r="117" spans="2:24" s="424" customFormat="1" ht="15.5">
      <c r="B117" s="1152" t="s">
        <v>875</v>
      </c>
      <c r="C117" s="1153" t="s">
        <v>746</v>
      </c>
      <c r="D117" s="1154" t="s">
        <v>134</v>
      </c>
      <c r="E117" s="658"/>
      <c r="F117" s="520">
        <f t="shared" si="96"/>
        <v>0</v>
      </c>
      <c r="G117" s="520">
        <f t="shared" si="96"/>
        <v>0</v>
      </c>
      <c r="H117" s="520">
        <f>G117-F117</f>
        <v>0</v>
      </c>
      <c r="I117" s="658"/>
      <c r="J117" s="520">
        <f t="shared" ref="J117:K117" si="101">J95*J74/10^7</f>
        <v>0</v>
      </c>
      <c r="K117" s="520">
        <f t="shared" si="101"/>
        <v>0</v>
      </c>
      <c r="L117" s="520">
        <f>K117-J117</f>
        <v>0</v>
      </c>
      <c r="M117" s="658"/>
      <c r="N117" s="520">
        <f t="shared" ref="N117:O117" si="102">N95*N74/10^7</f>
        <v>0</v>
      </c>
      <c r="O117" s="520">
        <f t="shared" si="102"/>
        <v>0</v>
      </c>
      <c r="P117" s="520">
        <f t="shared" ref="P117" si="103">P95*P74/10^7</f>
        <v>0</v>
      </c>
      <c r="Q117" s="520">
        <f t="shared" ref="Q117:Q124" si="104">O117+P117</f>
        <v>0</v>
      </c>
      <c r="R117" s="520">
        <f t="shared" si="99"/>
        <v>0</v>
      </c>
      <c r="S117" s="520">
        <f t="shared" ref="S117:W117" si="105">S95*S74/10^7</f>
        <v>0</v>
      </c>
      <c r="T117" s="520">
        <f t="shared" si="105"/>
        <v>0</v>
      </c>
      <c r="U117" s="520">
        <f t="shared" si="105"/>
        <v>0</v>
      </c>
      <c r="V117" s="520">
        <f t="shared" si="105"/>
        <v>0</v>
      </c>
      <c r="W117" s="520">
        <f t="shared" si="105"/>
        <v>0</v>
      </c>
      <c r="X117" s="522"/>
    </row>
    <row r="118" spans="2:24" s="424" customFormat="1" ht="15.5">
      <c r="B118" s="1152" t="s">
        <v>876</v>
      </c>
      <c r="C118" s="1153" t="s">
        <v>853</v>
      </c>
      <c r="D118" s="1154" t="s">
        <v>134</v>
      </c>
      <c r="E118" s="658"/>
      <c r="F118" s="520">
        <f t="shared" si="96"/>
        <v>0</v>
      </c>
      <c r="G118" s="520">
        <f t="shared" si="96"/>
        <v>0</v>
      </c>
      <c r="H118" s="520">
        <f>G118-F118</f>
        <v>0</v>
      </c>
      <c r="I118" s="658"/>
      <c r="J118" s="520">
        <f t="shared" ref="J118:K118" si="106">J96*J75/10^7</f>
        <v>0</v>
      </c>
      <c r="K118" s="520">
        <f t="shared" si="106"/>
        <v>0</v>
      </c>
      <c r="L118" s="520">
        <f>K118-J118</f>
        <v>0</v>
      </c>
      <c r="M118" s="658"/>
      <c r="N118" s="520">
        <f t="shared" ref="N118:O118" si="107">N96*N75/10^7</f>
        <v>0</v>
      </c>
      <c r="O118" s="520">
        <f t="shared" si="107"/>
        <v>0</v>
      </c>
      <c r="P118" s="520">
        <f t="shared" ref="P118" si="108">P96*P75/10^7</f>
        <v>0</v>
      </c>
      <c r="Q118" s="520">
        <f t="shared" si="104"/>
        <v>0</v>
      </c>
      <c r="R118" s="520">
        <f t="shared" si="99"/>
        <v>0</v>
      </c>
      <c r="S118" s="520">
        <f t="shared" ref="S118:W118" si="109">S96*S75/10^7</f>
        <v>0</v>
      </c>
      <c r="T118" s="520">
        <f t="shared" si="109"/>
        <v>0</v>
      </c>
      <c r="U118" s="520">
        <f t="shared" si="109"/>
        <v>0</v>
      </c>
      <c r="V118" s="520">
        <f t="shared" si="109"/>
        <v>0</v>
      </c>
      <c r="W118" s="520">
        <f t="shared" si="109"/>
        <v>0</v>
      </c>
      <c r="X118" s="522"/>
    </row>
    <row r="119" spans="2:24" s="424" customFormat="1" ht="15.5">
      <c r="B119" s="1152" t="s">
        <v>877</v>
      </c>
      <c r="C119" s="1153" t="s">
        <v>1473</v>
      </c>
      <c r="D119" s="1154" t="s">
        <v>134</v>
      </c>
      <c r="E119" s="658"/>
      <c r="F119" s="520"/>
      <c r="G119" s="520"/>
      <c r="H119" s="520"/>
      <c r="I119" s="658"/>
      <c r="J119" s="520"/>
      <c r="K119" s="520"/>
      <c r="L119" s="520"/>
      <c r="M119" s="658"/>
      <c r="N119" s="520"/>
      <c r="O119" s="520"/>
      <c r="P119" s="520"/>
      <c r="Q119" s="520"/>
      <c r="R119" s="520"/>
      <c r="S119" s="520">
        <f t="shared" ref="S119:W119" si="110">S97*S76/10^7</f>
        <v>0</v>
      </c>
      <c r="T119" s="520">
        <f t="shared" si="110"/>
        <v>0</v>
      </c>
      <c r="U119" s="520">
        <f t="shared" si="110"/>
        <v>53.636120609703909</v>
      </c>
      <c r="V119" s="520">
        <f t="shared" si="110"/>
        <v>54.89793185970391</v>
      </c>
      <c r="W119" s="520">
        <f t="shared" si="110"/>
        <v>56.222833672203912</v>
      </c>
      <c r="X119" s="522"/>
    </row>
    <row r="120" spans="2:24" s="424" customFormat="1" ht="15.5">
      <c r="B120" s="1152" t="s">
        <v>878</v>
      </c>
      <c r="C120" s="1153" t="s">
        <v>1474</v>
      </c>
      <c r="D120" s="1154" t="s">
        <v>134</v>
      </c>
      <c r="E120" s="658"/>
      <c r="F120" s="520"/>
      <c r="G120" s="520"/>
      <c r="H120" s="520"/>
      <c r="I120" s="658"/>
      <c r="J120" s="520"/>
      <c r="K120" s="520"/>
      <c r="L120" s="520"/>
      <c r="M120" s="658"/>
      <c r="N120" s="520"/>
      <c r="O120" s="520"/>
      <c r="P120" s="520"/>
      <c r="Q120" s="520"/>
      <c r="R120" s="520"/>
      <c r="S120" s="520">
        <f t="shared" ref="S120:W120" si="111">S98*S77/10^7</f>
        <v>0</v>
      </c>
      <c r="T120" s="520">
        <f t="shared" si="111"/>
        <v>0</v>
      </c>
      <c r="U120" s="520">
        <f t="shared" si="111"/>
        <v>0</v>
      </c>
      <c r="V120" s="520">
        <f t="shared" si="111"/>
        <v>0</v>
      </c>
      <c r="W120" s="520">
        <f t="shared" si="111"/>
        <v>0</v>
      </c>
      <c r="X120" s="522"/>
    </row>
    <row r="121" spans="2:24" s="424" customFormat="1" ht="15.5">
      <c r="B121" s="1152" t="s">
        <v>879</v>
      </c>
      <c r="C121" s="1153" t="s">
        <v>747</v>
      </c>
      <c r="D121" s="1154" t="s">
        <v>134</v>
      </c>
      <c r="E121" s="658"/>
      <c r="F121" s="520">
        <f t="shared" ref="F121:G124" si="112">F99*F78/10^7</f>
        <v>2.7973298184368489</v>
      </c>
      <c r="G121" s="520">
        <f t="shared" si="112"/>
        <v>28.795939000000001</v>
      </c>
      <c r="H121" s="520">
        <f>G121-F121</f>
        <v>25.99860918156315</v>
      </c>
      <c r="I121" s="658"/>
      <c r="J121" s="520">
        <f t="shared" ref="J121:K121" si="113">J99*J78/10^7</f>
        <v>2.8652443366180242</v>
      </c>
      <c r="K121" s="520">
        <f t="shared" si="113"/>
        <v>6.9876658190567582</v>
      </c>
      <c r="L121" s="520">
        <f>K121-J121</f>
        <v>4.1224214824387335</v>
      </c>
      <c r="M121" s="658"/>
      <c r="N121" s="520">
        <f t="shared" ref="N121:O121" si="114">N99*N78/10^7</f>
        <v>2.1698355616589944</v>
      </c>
      <c r="O121" s="520">
        <f t="shared" si="114"/>
        <v>3.3336074247680973</v>
      </c>
      <c r="P121" s="520">
        <f t="shared" ref="P121" si="115">P99*P78/10^7</f>
        <v>2.0649831576812194</v>
      </c>
      <c r="Q121" s="520">
        <f t="shared" si="104"/>
        <v>5.3985905824493168</v>
      </c>
      <c r="R121" s="520">
        <f t="shared" si="99"/>
        <v>3.2287550207903224</v>
      </c>
      <c r="S121" s="520">
        <f t="shared" ref="S121:W121" si="116">S99*S78/10^7</f>
        <v>4.2892073375217956</v>
      </c>
      <c r="T121" s="520">
        <f t="shared" si="116"/>
        <v>4.5036677043978868</v>
      </c>
      <c r="U121" s="520">
        <f t="shared" si="116"/>
        <v>4.7603802905242159</v>
      </c>
      <c r="V121" s="520">
        <f t="shared" si="116"/>
        <v>4.9983993050504267</v>
      </c>
      <c r="W121" s="520">
        <f t="shared" si="116"/>
        <v>5.2483192703029484</v>
      </c>
      <c r="X121" s="522"/>
    </row>
    <row r="122" spans="2:24" s="424" customFormat="1" ht="15.5">
      <c r="B122" s="1152" t="s">
        <v>880</v>
      </c>
      <c r="C122" s="1153" t="s">
        <v>748</v>
      </c>
      <c r="D122" s="1154" t="s">
        <v>134</v>
      </c>
      <c r="E122" s="658"/>
      <c r="F122" s="520">
        <f t="shared" si="112"/>
        <v>0.39240773528911099</v>
      </c>
      <c r="G122" s="520">
        <f t="shared" si="112"/>
        <v>4.039476909028803</v>
      </c>
      <c r="H122" s="520">
        <f>G122-F122</f>
        <v>3.6470691737396921</v>
      </c>
      <c r="I122" s="658"/>
      <c r="J122" s="520">
        <f>J100*J79/10^7</f>
        <v>1.7206602346432294</v>
      </c>
      <c r="K122" s="520">
        <f t="shared" ref="K122" si="117">K100*K79/10^7</f>
        <v>4.196290890157881</v>
      </c>
      <c r="L122" s="520">
        <f>K122-J122</f>
        <v>2.4756306555146517</v>
      </c>
      <c r="M122" s="658"/>
      <c r="N122" s="520">
        <f t="shared" ref="N122:O122" si="118">N100*N79/10^7</f>
        <v>3.0010034397522678</v>
      </c>
      <c r="O122" s="520">
        <f t="shared" si="118"/>
        <v>6.2264707018857948</v>
      </c>
      <c r="P122" s="520">
        <f t="shared" ref="P122" si="119">P100*P79/10^7</f>
        <v>1.2400807705021089</v>
      </c>
      <c r="Q122" s="520">
        <f t="shared" si="104"/>
        <v>7.4665514723879038</v>
      </c>
      <c r="R122" s="520">
        <f t="shared" si="99"/>
        <v>4.4655480326356365</v>
      </c>
      <c r="S122" s="520">
        <f t="shared" ref="S122:W122" si="120">S100*S79/10^7</f>
        <v>2.5823497528961106</v>
      </c>
      <c r="T122" s="520">
        <f t="shared" si="120"/>
        <v>2.7114672405409168</v>
      </c>
      <c r="U122" s="520">
        <f t="shared" si="120"/>
        <v>2.8660229966941433</v>
      </c>
      <c r="V122" s="520">
        <f t="shared" si="120"/>
        <v>3.0093241465288503</v>
      </c>
      <c r="W122" s="520">
        <f t="shared" si="120"/>
        <v>3.1597903538552923</v>
      </c>
      <c r="X122" s="522"/>
    </row>
    <row r="123" spans="2:24" s="424" customFormat="1" ht="15.5">
      <c r="B123" s="1152" t="s">
        <v>1484</v>
      </c>
      <c r="C123" s="1153" t="s">
        <v>854</v>
      </c>
      <c r="D123" s="1154" t="s">
        <v>134</v>
      </c>
      <c r="E123" s="658"/>
      <c r="F123" s="520">
        <f t="shared" si="112"/>
        <v>0</v>
      </c>
      <c r="G123" s="520">
        <f t="shared" si="112"/>
        <v>0</v>
      </c>
      <c r="H123" s="520">
        <f t="shared" ref="H123:H124" si="121">G123-F123</f>
        <v>0</v>
      </c>
      <c r="I123" s="658"/>
      <c r="J123" s="520">
        <f t="shared" ref="J123:K123" si="122">J101*J80/10^7</f>
        <v>0</v>
      </c>
      <c r="K123" s="520">
        <f t="shared" si="122"/>
        <v>0</v>
      </c>
      <c r="L123" s="520">
        <f t="shared" ref="L123:L124" si="123">K123-J123</f>
        <v>0</v>
      </c>
      <c r="M123" s="658"/>
      <c r="N123" s="520">
        <f t="shared" ref="N123:O123" si="124">N101*N80/10^7</f>
        <v>0</v>
      </c>
      <c r="O123" s="520">
        <f t="shared" si="124"/>
        <v>0</v>
      </c>
      <c r="P123" s="520">
        <f t="shared" ref="P123" si="125">P101*P80/10^7</f>
        <v>0</v>
      </c>
      <c r="Q123" s="520">
        <f t="shared" si="104"/>
        <v>0</v>
      </c>
      <c r="R123" s="520">
        <f t="shared" si="99"/>
        <v>0</v>
      </c>
      <c r="S123" s="520">
        <f t="shared" ref="S123:W123" si="126">S101*S80/10^7</f>
        <v>0</v>
      </c>
      <c r="T123" s="520">
        <f t="shared" si="126"/>
        <v>0</v>
      </c>
      <c r="U123" s="520">
        <f t="shared" si="126"/>
        <v>0</v>
      </c>
      <c r="V123" s="520">
        <f t="shared" si="126"/>
        <v>0</v>
      </c>
      <c r="W123" s="520">
        <f t="shared" si="126"/>
        <v>0</v>
      </c>
      <c r="X123" s="522"/>
    </row>
    <row r="124" spans="2:24" s="424" customFormat="1" ht="15.5">
      <c r="B124" s="1152" t="s">
        <v>1485</v>
      </c>
      <c r="C124" s="1153" t="s">
        <v>855</v>
      </c>
      <c r="D124" s="1154" t="s">
        <v>134</v>
      </c>
      <c r="E124" s="658"/>
      <c r="F124" s="520">
        <f t="shared" si="112"/>
        <v>0</v>
      </c>
      <c r="G124" s="520">
        <f t="shared" si="112"/>
        <v>0</v>
      </c>
      <c r="H124" s="520">
        <f t="shared" si="121"/>
        <v>0</v>
      </c>
      <c r="I124" s="658"/>
      <c r="J124" s="520">
        <f t="shared" ref="J124:K124" si="127">J102*J81/10^7</f>
        <v>0</v>
      </c>
      <c r="K124" s="520">
        <f t="shared" si="127"/>
        <v>0</v>
      </c>
      <c r="L124" s="520">
        <f t="shared" si="123"/>
        <v>0</v>
      </c>
      <c r="M124" s="658"/>
      <c r="N124" s="520">
        <f t="shared" ref="N124:O124" si="128">N102*N81/10^7</f>
        <v>0</v>
      </c>
      <c r="O124" s="520">
        <f t="shared" si="128"/>
        <v>0</v>
      </c>
      <c r="P124" s="520">
        <f t="shared" ref="P124" si="129">P102*P81/10^7</f>
        <v>0</v>
      </c>
      <c r="Q124" s="520">
        <f t="shared" si="104"/>
        <v>0</v>
      </c>
      <c r="R124" s="520">
        <f t="shared" si="99"/>
        <v>0</v>
      </c>
      <c r="S124" s="520">
        <f t="shared" ref="S124:W124" si="130">S102*S81/10^7</f>
        <v>0</v>
      </c>
      <c r="T124" s="520">
        <f t="shared" si="130"/>
        <v>0</v>
      </c>
      <c r="U124" s="520">
        <f t="shared" si="130"/>
        <v>0</v>
      </c>
      <c r="V124" s="520">
        <f t="shared" si="130"/>
        <v>0</v>
      </c>
      <c r="W124" s="520">
        <f t="shared" si="130"/>
        <v>0</v>
      </c>
      <c r="X124" s="522"/>
    </row>
    <row r="125" spans="2:24" s="487" customFormat="1" ht="15.5">
      <c r="B125" s="469"/>
      <c r="C125" s="468" t="s">
        <v>133</v>
      </c>
      <c r="D125" s="396" t="s">
        <v>134</v>
      </c>
      <c r="E125" s="658"/>
      <c r="F125" s="520">
        <f t="shared" ref="F125:L125" si="131">SUM(F116:F124)</f>
        <v>492.96416003429948</v>
      </c>
      <c r="G125" s="520">
        <f>SUM(G116:G124)</f>
        <v>543.6420050301665</v>
      </c>
      <c r="H125" s="520">
        <f t="shared" si="131"/>
        <v>50.67784499586692</v>
      </c>
      <c r="I125" s="658"/>
      <c r="J125" s="520">
        <f t="shared" ref="J125:K125" si="132">SUM(J116:J124)</f>
        <v>637.71507525122615</v>
      </c>
      <c r="K125" s="520">
        <f t="shared" si="132"/>
        <v>625.9894820076687</v>
      </c>
      <c r="L125" s="520">
        <f t="shared" si="131"/>
        <v>-11.72559324355753</v>
      </c>
      <c r="M125" s="658"/>
      <c r="N125" s="520">
        <f t="shared" ref="N125:O125" si="133">SUM(N116:N124)</f>
        <v>780.39169213483751</v>
      </c>
      <c r="O125" s="520">
        <f t="shared" si="133"/>
        <v>317.18402133905641</v>
      </c>
      <c r="P125" s="520">
        <f t="shared" ref="P125" si="134">SUM(P116:P124)</f>
        <v>473.88889960308836</v>
      </c>
      <c r="Q125" s="520">
        <f>SUM(Q116:Q124)</f>
        <v>791.07292094214472</v>
      </c>
      <c r="R125" s="520">
        <f>SUM(R116:R124)</f>
        <v>10.681228807307182</v>
      </c>
      <c r="S125" s="520">
        <f t="shared" ref="S125:W125" si="135">SUM(S116:S124)</f>
        <v>970.74268897091065</v>
      </c>
      <c r="T125" s="520">
        <f t="shared" si="135"/>
        <v>1019.2798234194563</v>
      </c>
      <c r="U125" s="520">
        <f t="shared" si="135"/>
        <v>1046.6293675317329</v>
      </c>
      <c r="V125" s="520">
        <f t="shared" si="135"/>
        <v>1097.5408411278343</v>
      </c>
      <c r="W125" s="520">
        <f t="shared" si="135"/>
        <v>1150.9978884037405</v>
      </c>
      <c r="X125" s="525"/>
    </row>
    <row r="126" spans="2:24" s="424" customFormat="1" ht="15.5">
      <c r="B126" s="469"/>
      <c r="C126" s="468"/>
      <c r="D126" s="470"/>
      <c r="E126" s="655"/>
      <c r="F126" s="523"/>
      <c r="G126" s="523"/>
      <c r="H126" s="523"/>
      <c r="I126" s="655"/>
      <c r="J126" s="523"/>
      <c r="K126" s="523"/>
      <c r="L126" s="523"/>
      <c r="M126" s="655"/>
      <c r="N126" s="521"/>
      <c r="O126" s="521"/>
      <c r="P126" s="521"/>
      <c r="Q126" s="521"/>
      <c r="R126" s="521"/>
      <c r="S126" s="521"/>
      <c r="T126" s="521"/>
      <c r="U126" s="521"/>
      <c r="V126" s="521"/>
      <c r="W126" s="521"/>
      <c r="X126" s="522"/>
    </row>
    <row r="127" spans="2:24" s="424" customFormat="1" ht="15.5">
      <c r="B127" s="469">
        <v>5</v>
      </c>
      <c r="C127" s="468" t="s">
        <v>698</v>
      </c>
      <c r="D127" s="470"/>
      <c r="E127" s="655"/>
      <c r="F127" s="523"/>
      <c r="G127" s="523"/>
      <c r="H127" s="523"/>
      <c r="I127" s="655"/>
      <c r="J127" s="523"/>
      <c r="K127" s="523"/>
      <c r="L127" s="523"/>
      <c r="M127" s="655"/>
      <c r="N127" s="521"/>
      <c r="O127" s="521"/>
      <c r="P127" s="521"/>
      <c r="Q127" s="521"/>
      <c r="R127" s="521"/>
      <c r="S127" s="521"/>
      <c r="T127" s="521"/>
      <c r="U127" s="521"/>
      <c r="V127" s="521"/>
      <c r="W127" s="521"/>
      <c r="X127" s="522"/>
    </row>
    <row r="128" spans="2:24" s="424" customFormat="1" ht="15.5">
      <c r="B128" s="486">
        <v>5.0999999999999996</v>
      </c>
      <c r="C128" s="384" t="s">
        <v>745</v>
      </c>
      <c r="D128" s="395" t="s">
        <v>134</v>
      </c>
      <c r="E128" s="658"/>
      <c r="F128" s="520">
        <f>G128</f>
        <v>0</v>
      </c>
      <c r="G128" s="520"/>
      <c r="H128" s="520">
        <f>G128-F128</f>
        <v>0</v>
      </c>
      <c r="I128" s="658"/>
      <c r="J128" s="520">
        <f>K128</f>
        <v>0</v>
      </c>
      <c r="K128" s="520"/>
      <c r="L128" s="520">
        <f>K128-J128</f>
        <v>0</v>
      </c>
      <c r="M128" s="658"/>
      <c r="N128" s="520">
        <f>Q128</f>
        <v>0</v>
      </c>
      <c r="O128" s="520"/>
      <c r="P128" s="520"/>
      <c r="Q128" s="520">
        <f>SUM(O128:P128)</f>
        <v>0</v>
      </c>
      <c r="R128" s="520">
        <f t="shared" ref="R128:R131" si="136">Q128-N128</f>
        <v>0</v>
      </c>
      <c r="S128" s="520"/>
      <c r="T128" s="520"/>
      <c r="U128" s="520"/>
      <c r="V128" s="520"/>
      <c r="W128" s="520"/>
      <c r="X128" s="522"/>
    </row>
    <row r="129" spans="2:24" s="424" customFormat="1" ht="15.5">
      <c r="B129" s="486">
        <v>5.2</v>
      </c>
      <c r="C129" s="384" t="s">
        <v>111</v>
      </c>
      <c r="D129" s="395" t="s">
        <v>134</v>
      </c>
      <c r="E129" s="658"/>
      <c r="F129" s="520">
        <f t="shared" ref="F129:F130" si="137">G129</f>
        <v>0</v>
      </c>
      <c r="G129" s="520"/>
      <c r="H129" s="520">
        <f>G129-F129</f>
        <v>0</v>
      </c>
      <c r="I129" s="658"/>
      <c r="J129" s="520">
        <f t="shared" ref="J129:J130" si="138">K129</f>
        <v>0</v>
      </c>
      <c r="K129" s="520"/>
      <c r="L129" s="520">
        <f>K129-J129</f>
        <v>0</v>
      </c>
      <c r="M129" s="658"/>
      <c r="N129" s="520">
        <f t="shared" ref="N129:N130" si="139">Q129</f>
        <v>0</v>
      </c>
      <c r="O129" s="520"/>
      <c r="P129" s="520"/>
      <c r="Q129" s="520">
        <f t="shared" ref="Q129:Q130" si="140">SUM(O129:P129)</f>
        <v>0</v>
      </c>
      <c r="R129" s="520">
        <f t="shared" si="136"/>
        <v>0</v>
      </c>
      <c r="S129" s="520"/>
      <c r="T129" s="520"/>
      <c r="U129" s="520"/>
      <c r="V129" s="520"/>
      <c r="W129" s="520"/>
      <c r="X129" s="522"/>
    </row>
    <row r="130" spans="2:24" s="424" customFormat="1" ht="15.5">
      <c r="B130" s="486">
        <v>5.3</v>
      </c>
      <c r="C130" s="384" t="s">
        <v>113</v>
      </c>
      <c r="D130" s="395" t="s">
        <v>134</v>
      </c>
      <c r="E130" s="658"/>
      <c r="F130" s="520">
        <f t="shared" si="137"/>
        <v>0</v>
      </c>
      <c r="G130" s="520"/>
      <c r="H130" s="520">
        <f>G130-F130</f>
        <v>0</v>
      </c>
      <c r="I130" s="658"/>
      <c r="J130" s="520">
        <f t="shared" si="138"/>
        <v>0</v>
      </c>
      <c r="K130" s="520"/>
      <c r="L130" s="520">
        <f>K130-J130</f>
        <v>0</v>
      </c>
      <c r="M130" s="658"/>
      <c r="N130" s="520">
        <f t="shared" si="139"/>
        <v>0</v>
      </c>
      <c r="O130" s="520"/>
      <c r="P130" s="520"/>
      <c r="Q130" s="520">
        <f t="shared" si="140"/>
        <v>0</v>
      </c>
      <c r="R130" s="520">
        <f t="shared" si="136"/>
        <v>0</v>
      </c>
      <c r="S130" s="520"/>
      <c r="T130" s="520"/>
      <c r="U130" s="520"/>
      <c r="V130" s="520"/>
      <c r="W130" s="520"/>
      <c r="X130" s="522"/>
    </row>
    <row r="131" spans="2:24" s="424" customFormat="1" ht="15.5">
      <c r="B131" s="469"/>
      <c r="C131" s="468" t="s">
        <v>699</v>
      </c>
      <c r="D131" s="395" t="s">
        <v>134</v>
      </c>
      <c r="E131" s="504"/>
      <c r="F131" s="326">
        <f t="shared" ref="F131:Q131" si="141">SUM(F128:F130)</f>
        <v>0</v>
      </c>
      <c r="G131" s="326">
        <f t="shared" si="141"/>
        <v>0</v>
      </c>
      <c r="H131" s="326">
        <f t="shared" si="141"/>
        <v>0</v>
      </c>
      <c r="I131" s="504"/>
      <c r="J131" s="523">
        <f t="shared" si="141"/>
        <v>0</v>
      </c>
      <c r="K131" s="523">
        <f t="shared" si="141"/>
        <v>0</v>
      </c>
      <c r="L131" s="521">
        <f t="shared" si="141"/>
        <v>0</v>
      </c>
      <c r="M131" s="504"/>
      <c r="N131" s="523">
        <f t="shared" si="141"/>
        <v>0</v>
      </c>
      <c r="O131" s="523">
        <f t="shared" si="141"/>
        <v>0</v>
      </c>
      <c r="P131" s="523">
        <f t="shared" si="141"/>
        <v>0</v>
      </c>
      <c r="Q131" s="523">
        <f t="shared" si="141"/>
        <v>0</v>
      </c>
      <c r="R131" s="520">
        <f t="shared" si="136"/>
        <v>0</v>
      </c>
      <c r="S131" s="326">
        <f t="shared" ref="S131:W131" si="142">SUM(S128:S130)</f>
        <v>0</v>
      </c>
      <c r="T131" s="326">
        <f t="shared" si="142"/>
        <v>0</v>
      </c>
      <c r="U131" s="326">
        <f t="shared" si="142"/>
        <v>0</v>
      </c>
      <c r="V131" s="326">
        <f t="shared" si="142"/>
        <v>0</v>
      </c>
      <c r="W131" s="326">
        <f t="shared" si="142"/>
        <v>0</v>
      </c>
      <c r="X131" s="522"/>
    </row>
    <row r="132" spans="2:24" s="424" customFormat="1" ht="15.5">
      <c r="B132" s="469"/>
      <c r="C132" s="468"/>
      <c r="D132" s="470"/>
      <c r="E132" s="655"/>
      <c r="F132" s="523"/>
      <c r="G132" s="523"/>
      <c r="H132" s="523"/>
      <c r="I132" s="655"/>
      <c r="J132" s="523"/>
      <c r="K132" s="523"/>
      <c r="L132" s="523"/>
      <c r="M132" s="655"/>
      <c r="N132" s="521"/>
      <c r="O132" s="521"/>
      <c r="P132" s="521"/>
      <c r="Q132" s="521"/>
      <c r="R132" s="521"/>
      <c r="S132" s="523"/>
      <c r="T132" s="523"/>
      <c r="U132" s="523"/>
      <c r="V132" s="523"/>
      <c r="W132" s="523"/>
      <c r="X132" s="522"/>
    </row>
    <row r="133" spans="2:24" s="424" customFormat="1" ht="30">
      <c r="B133" s="469">
        <v>6</v>
      </c>
      <c r="C133" s="468" t="s">
        <v>700</v>
      </c>
      <c r="D133" s="470"/>
      <c r="E133" s="655"/>
      <c r="F133" s="523"/>
      <c r="G133" s="523"/>
      <c r="H133" s="523"/>
      <c r="I133" s="655"/>
      <c r="J133" s="523"/>
      <c r="K133" s="523"/>
      <c r="L133" s="523"/>
      <c r="M133" s="655"/>
      <c r="N133" s="521"/>
      <c r="O133" s="521"/>
      <c r="P133" s="521"/>
      <c r="Q133" s="521"/>
      <c r="R133" s="521"/>
      <c r="S133" s="523"/>
      <c r="T133" s="523"/>
      <c r="U133" s="523"/>
      <c r="V133" s="523"/>
      <c r="W133" s="523"/>
      <c r="X133" s="522"/>
    </row>
    <row r="134" spans="2:24" s="424" customFormat="1" ht="15.5">
      <c r="B134" s="486">
        <v>6.1</v>
      </c>
      <c r="C134" s="384" t="s">
        <v>745</v>
      </c>
      <c r="D134" s="395" t="s">
        <v>134</v>
      </c>
      <c r="E134" s="658"/>
      <c r="F134" s="520">
        <f t="shared" ref="F134:F136" si="143">G134</f>
        <v>0</v>
      </c>
      <c r="G134" s="520"/>
      <c r="H134" s="520"/>
      <c r="I134" s="658"/>
      <c r="J134" s="520">
        <f t="shared" ref="J134:J136" si="144">K134</f>
        <v>0</v>
      </c>
      <c r="K134" s="520"/>
      <c r="L134" s="520">
        <f>K134-J134</f>
        <v>0</v>
      </c>
      <c r="M134" s="658"/>
      <c r="N134" s="520">
        <f t="shared" ref="N134:N136" si="145">Q134</f>
        <v>0</v>
      </c>
      <c r="O134" s="520"/>
      <c r="P134" s="520"/>
      <c r="Q134" s="520">
        <f>SUM(O134:P134)</f>
        <v>0</v>
      </c>
      <c r="R134" s="520">
        <f t="shared" ref="R134:R137" si="146">Q134-N134</f>
        <v>0</v>
      </c>
      <c r="S134" s="520"/>
      <c r="T134" s="520"/>
      <c r="U134" s="520"/>
      <c r="V134" s="520"/>
      <c r="W134" s="520"/>
      <c r="X134" s="522"/>
    </row>
    <row r="135" spans="2:24" s="424" customFormat="1" ht="15.5">
      <c r="B135" s="486">
        <v>6.2</v>
      </c>
      <c r="C135" s="384" t="s">
        <v>111</v>
      </c>
      <c r="D135" s="395" t="s">
        <v>134</v>
      </c>
      <c r="E135" s="658"/>
      <c r="F135" s="520">
        <f t="shared" si="143"/>
        <v>0</v>
      </c>
      <c r="G135" s="520"/>
      <c r="H135" s="520"/>
      <c r="I135" s="658"/>
      <c r="J135" s="520">
        <f t="shared" si="144"/>
        <v>0</v>
      </c>
      <c r="K135" s="520"/>
      <c r="L135" s="520">
        <f>K135-J135</f>
        <v>0</v>
      </c>
      <c r="M135" s="658"/>
      <c r="N135" s="520">
        <f t="shared" si="145"/>
        <v>0</v>
      </c>
      <c r="O135" s="520"/>
      <c r="P135" s="520"/>
      <c r="Q135" s="520">
        <f t="shared" ref="Q135:Q136" si="147">SUM(O135:P135)</f>
        <v>0</v>
      </c>
      <c r="R135" s="520">
        <f t="shared" si="146"/>
        <v>0</v>
      </c>
      <c r="S135" s="520"/>
      <c r="T135" s="520"/>
      <c r="U135" s="520"/>
      <c r="V135" s="520"/>
      <c r="W135" s="520"/>
      <c r="X135" s="522"/>
    </row>
    <row r="136" spans="2:24" s="424" customFormat="1" ht="15.5">
      <c r="B136" s="486">
        <v>6.3</v>
      </c>
      <c r="C136" s="384" t="s">
        <v>113</v>
      </c>
      <c r="D136" s="395" t="s">
        <v>134</v>
      </c>
      <c r="E136" s="658"/>
      <c r="F136" s="520">
        <f t="shared" si="143"/>
        <v>0</v>
      </c>
      <c r="G136" s="520"/>
      <c r="H136" s="520"/>
      <c r="I136" s="658"/>
      <c r="J136" s="520">
        <f t="shared" si="144"/>
        <v>0</v>
      </c>
      <c r="K136" s="520"/>
      <c r="L136" s="520">
        <f>K136-J136</f>
        <v>0</v>
      </c>
      <c r="M136" s="658"/>
      <c r="N136" s="520">
        <f t="shared" si="145"/>
        <v>0</v>
      </c>
      <c r="O136" s="520"/>
      <c r="P136" s="520"/>
      <c r="Q136" s="520">
        <f t="shared" si="147"/>
        <v>0</v>
      </c>
      <c r="R136" s="520">
        <f t="shared" si="146"/>
        <v>0</v>
      </c>
      <c r="S136" s="520"/>
      <c r="T136" s="520"/>
      <c r="U136" s="520"/>
      <c r="V136" s="520"/>
      <c r="W136" s="520"/>
      <c r="X136" s="522"/>
    </row>
    <row r="137" spans="2:24" s="424" customFormat="1" ht="15.5">
      <c r="B137" s="469"/>
      <c r="C137" s="468" t="s">
        <v>701</v>
      </c>
      <c r="D137" s="396" t="s">
        <v>134</v>
      </c>
      <c r="E137" s="504"/>
      <c r="F137" s="326">
        <f t="shared" ref="F137:Q137" si="148">SUM(F134:F136)</f>
        <v>0</v>
      </c>
      <c r="G137" s="326">
        <f t="shared" si="148"/>
        <v>0</v>
      </c>
      <c r="H137" s="326">
        <f t="shared" si="148"/>
        <v>0</v>
      </c>
      <c r="I137" s="504"/>
      <c r="J137" s="523">
        <f t="shared" si="148"/>
        <v>0</v>
      </c>
      <c r="K137" s="523">
        <f t="shared" si="148"/>
        <v>0</v>
      </c>
      <c r="L137" s="521">
        <f t="shared" si="148"/>
        <v>0</v>
      </c>
      <c r="M137" s="504"/>
      <c r="N137" s="523">
        <f t="shared" si="148"/>
        <v>0</v>
      </c>
      <c r="O137" s="523">
        <f t="shared" si="148"/>
        <v>0</v>
      </c>
      <c r="P137" s="523">
        <f t="shared" si="148"/>
        <v>0</v>
      </c>
      <c r="Q137" s="523">
        <f t="shared" si="148"/>
        <v>0</v>
      </c>
      <c r="R137" s="520">
        <f t="shared" si="146"/>
        <v>0</v>
      </c>
      <c r="S137" s="326">
        <f t="shared" ref="S137:W137" si="149">SUM(S134:S136)</f>
        <v>0</v>
      </c>
      <c r="T137" s="326">
        <f t="shared" si="149"/>
        <v>0</v>
      </c>
      <c r="U137" s="326">
        <f t="shared" si="149"/>
        <v>0</v>
      </c>
      <c r="V137" s="326">
        <f t="shared" si="149"/>
        <v>0</v>
      </c>
      <c r="W137" s="326">
        <f t="shared" si="149"/>
        <v>0</v>
      </c>
      <c r="X137" s="522"/>
    </row>
    <row r="138" spans="2:24" s="424" customFormat="1" ht="15.5">
      <c r="B138" s="469"/>
      <c r="C138" s="468"/>
      <c r="D138" s="395"/>
      <c r="E138" s="655"/>
      <c r="F138" s="523"/>
      <c r="G138" s="523"/>
      <c r="H138" s="523"/>
      <c r="I138" s="655"/>
      <c r="J138" s="523"/>
      <c r="K138" s="523"/>
      <c r="L138" s="523"/>
      <c r="M138" s="655"/>
      <c r="N138" s="521"/>
      <c r="O138" s="521"/>
      <c r="P138" s="521"/>
      <c r="Q138" s="521"/>
      <c r="R138" s="521"/>
      <c r="S138" s="523"/>
      <c r="T138" s="523"/>
      <c r="U138" s="523"/>
      <c r="V138" s="523"/>
      <c r="W138" s="523"/>
      <c r="X138" s="522"/>
    </row>
    <row r="139" spans="2:24" s="424" customFormat="1" ht="30">
      <c r="B139" s="469">
        <v>7</v>
      </c>
      <c r="C139" s="468" t="s">
        <v>135</v>
      </c>
      <c r="D139" s="470"/>
      <c r="E139" s="655"/>
      <c r="F139" s="523"/>
      <c r="G139" s="523"/>
      <c r="H139" s="523"/>
      <c r="I139" s="655"/>
      <c r="J139" s="523"/>
      <c r="K139" s="523"/>
      <c r="L139" s="523"/>
      <c r="M139" s="655"/>
      <c r="N139" s="521"/>
      <c r="O139" s="521"/>
      <c r="P139" s="521"/>
      <c r="Q139" s="521"/>
      <c r="R139" s="521"/>
      <c r="S139" s="523"/>
      <c r="T139" s="523"/>
      <c r="U139" s="523"/>
      <c r="V139" s="523"/>
      <c r="W139" s="523"/>
      <c r="X139" s="522"/>
    </row>
    <row r="140" spans="2:24" s="424" customFormat="1" ht="15.5">
      <c r="B140" s="486" t="s">
        <v>766</v>
      </c>
      <c r="C140" s="384" t="s">
        <v>850</v>
      </c>
      <c r="D140" s="395" t="s">
        <v>134</v>
      </c>
      <c r="E140" s="658"/>
      <c r="F140" s="520">
        <f t="shared" ref="F140:F152" si="150">G140</f>
        <v>0</v>
      </c>
      <c r="G140" s="520">
        <v>0</v>
      </c>
      <c r="H140" s="520">
        <f>G140-F140</f>
        <v>0</v>
      </c>
      <c r="I140" s="658"/>
      <c r="J140" s="520">
        <f t="shared" ref="J140:J152" si="151">K140</f>
        <v>0</v>
      </c>
      <c r="K140" s="520">
        <v>0</v>
      </c>
      <c r="L140" s="520">
        <f>K140-J140</f>
        <v>0</v>
      </c>
      <c r="M140" s="658"/>
      <c r="N140" s="520">
        <f t="shared" ref="N140:N152" si="152">Q140</f>
        <v>0</v>
      </c>
      <c r="O140" s="520"/>
      <c r="P140" s="520"/>
      <c r="Q140" s="520">
        <f t="shared" ref="Q140" si="153">SUM(O140:P140)</f>
        <v>0</v>
      </c>
      <c r="R140" s="520">
        <f t="shared" ref="R140" si="154">Q140-N140</f>
        <v>0</v>
      </c>
      <c r="S140" s="863">
        <v>0</v>
      </c>
      <c r="T140" s="863">
        <v>0</v>
      </c>
      <c r="U140" s="863">
        <v>0</v>
      </c>
      <c r="V140" s="863">
        <v>0</v>
      </c>
      <c r="W140" s="863">
        <v>0</v>
      </c>
      <c r="X140" s="522"/>
    </row>
    <row r="141" spans="2:24" s="424" customFormat="1" ht="31">
      <c r="B141" s="486" t="s">
        <v>767</v>
      </c>
      <c r="C141" s="384" t="s">
        <v>851</v>
      </c>
      <c r="D141" s="395" t="s">
        <v>134</v>
      </c>
      <c r="E141" s="658"/>
      <c r="F141" s="520">
        <f t="shared" si="150"/>
        <v>0</v>
      </c>
      <c r="G141" s="520">
        <v>0</v>
      </c>
      <c r="H141" s="520">
        <f t="shared" ref="H141:H152" si="155">G141-F141</f>
        <v>0</v>
      </c>
      <c r="I141" s="658"/>
      <c r="J141" s="520">
        <f t="shared" si="151"/>
        <v>0</v>
      </c>
      <c r="K141" s="520">
        <v>0</v>
      </c>
      <c r="L141" s="520">
        <f t="shared" ref="L141:L152" si="156">K141-J141</f>
        <v>0</v>
      </c>
      <c r="M141" s="658"/>
      <c r="N141" s="520">
        <f t="shared" si="152"/>
        <v>0</v>
      </c>
      <c r="O141" s="520"/>
      <c r="P141" s="520"/>
      <c r="Q141" s="520">
        <f t="shared" ref="Q141:Q152" si="157">SUM(O141:P141)</f>
        <v>0</v>
      </c>
      <c r="R141" s="520">
        <f t="shared" ref="R141:R152" si="158">Q141-N141</f>
        <v>0</v>
      </c>
      <c r="S141" s="863"/>
      <c r="T141" s="863"/>
      <c r="U141" s="863"/>
      <c r="V141" s="863"/>
      <c r="W141" s="863"/>
      <c r="X141" s="522"/>
    </row>
    <row r="142" spans="2:24" s="424" customFormat="1" ht="15.5">
      <c r="B142" s="486" t="s">
        <v>768</v>
      </c>
      <c r="C142" s="384" t="s">
        <v>755</v>
      </c>
      <c r="D142" s="395" t="s">
        <v>134</v>
      </c>
      <c r="E142" s="658"/>
      <c r="F142" s="520">
        <f t="shared" si="150"/>
        <v>0</v>
      </c>
      <c r="G142" s="520">
        <v>0</v>
      </c>
      <c r="H142" s="520">
        <f t="shared" si="155"/>
        <v>0</v>
      </c>
      <c r="I142" s="658"/>
      <c r="J142" s="520">
        <f t="shared" si="151"/>
        <v>0</v>
      </c>
      <c r="K142" s="520">
        <v>0</v>
      </c>
      <c r="L142" s="520">
        <f t="shared" si="156"/>
        <v>0</v>
      </c>
      <c r="M142" s="658"/>
      <c r="N142" s="520">
        <f t="shared" si="152"/>
        <v>0</v>
      </c>
      <c r="O142" s="520"/>
      <c r="P142" s="520"/>
      <c r="Q142" s="520">
        <f t="shared" si="157"/>
        <v>0</v>
      </c>
      <c r="R142" s="520">
        <f t="shared" si="158"/>
        <v>0</v>
      </c>
      <c r="S142" s="863">
        <v>0</v>
      </c>
      <c r="T142" s="863">
        <v>0</v>
      </c>
      <c r="U142" s="863">
        <v>0</v>
      </c>
      <c r="V142" s="863">
        <v>0</v>
      </c>
      <c r="W142" s="863">
        <v>0</v>
      </c>
      <c r="X142" s="522"/>
    </row>
    <row r="143" spans="2:24" s="424" customFormat="1" ht="15.5">
      <c r="B143" s="486" t="s">
        <v>831</v>
      </c>
      <c r="C143" s="384" t="s">
        <v>756</v>
      </c>
      <c r="D143" s="395" t="s">
        <v>134</v>
      </c>
      <c r="E143" s="658"/>
      <c r="F143" s="520">
        <f t="shared" si="150"/>
        <v>0</v>
      </c>
      <c r="G143" s="520">
        <v>0</v>
      </c>
      <c r="H143" s="520">
        <f t="shared" si="155"/>
        <v>0</v>
      </c>
      <c r="I143" s="658"/>
      <c r="J143" s="520">
        <f t="shared" si="151"/>
        <v>0</v>
      </c>
      <c r="K143" s="520">
        <v>0</v>
      </c>
      <c r="L143" s="520">
        <f t="shared" si="156"/>
        <v>0</v>
      </c>
      <c r="M143" s="658"/>
      <c r="N143" s="520">
        <f t="shared" si="152"/>
        <v>0</v>
      </c>
      <c r="O143" s="520"/>
      <c r="P143" s="520"/>
      <c r="Q143" s="520">
        <f t="shared" si="157"/>
        <v>0</v>
      </c>
      <c r="R143" s="520">
        <f t="shared" si="158"/>
        <v>0</v>
      </c>
      <c r="S143" s="863">
        <v>0</v>
      </c>
      <c r="T143" s="863">
        <v>0</v>
      </c>
      <c r="U143" s="863">
        <v>0</v>
      </c>
      <c r="V143" s="863">
        <v>0</v>
      </c>
      <c r="W143" s="863">
        <v>0</v>
      </c>
      <c r="X143" s="522"/>
    </row>
    <row r="144" spans="2:24" s="424" customFormat="1" ht="15.5">
      <c r="B144" s="486" t="s">
        <v>832</v>
      </c>
      <c r="C144" s="384" t="s">
        <v>757</v>
      </c>
      <c r="D144" s="395" t="s">
        <v>134</v>
      </c>
      <c r="E144" s="658"/>
      <c r="F144" s="520">
        <f t="shared" si="150"/>
        <v>0</v>
      </c>
      <c r="G144" s="520">
        <v>0</v>
      </c>
      <c r="H144" s="520">
        <f t="shared" si="155"/>
        <v>0</v>
      </c>
      <c r="I144" s="658"/>
      <c r="J144" s="520">
        <f t="shared" si="151"/>
        <v>0</v>
      </c>
      <c r="K144" s="520">
        <v>0</v>
      </c>
      <c r="L144" s="520">
        <f t="shared" si="156"/>
        <v>0</v>
      </c>
      <c r="M144" s="658"/>
      <c r="N144" s="520">
        <f t="shared" si="152"/>
        <v>0</v>
      </c>
      <c r="O144" s="520"/>
      <c r="P144" s="520"/>
      <c r="Q144" s="520">
        <f t="shared" si="157"/>
        <v>0</v>
      </c>
      <c r="R144" s="520">
        <f t="shared" si="158"/>
        <v>0</v>
      </c>
      <c r="S144" s="863">
        <v>0</v>
      </c>
      <c r="T144" s="863">
        <v>0</v>
      </c>
      <c r="U144" s="863">
        <v>0</v>
      </c>
      <c r="V144" s="863">
        <v>0</v>
      </c>
      <c r="W144" s="863">
        <v>0</v>
      </c>
      <c r="X144" s="522"/>
    </row>
    <row r="145" spans="2:24" s="424" customFormat="1" ht="15.5">
      <c r="B145" s="486" t="s">
        <v>833</v>
      </c>
      <c r="C145" s="384" t="s">
        <v>758</v>
      </c>
      <c r="D145" s="395" t="s">
        <v>134</v>
      </c>
      <c r="E145" s="658"/>
      <c r="F145" s="520">
        <f t="shared" si="150"/>
        <v>0</v>
      </c>
      <c r="G145" s="520">
        <v>0</v>
      </c>
      <c r="H145" s="520">
        <f t="shared" si="155"/>
        <v>0</v>
      </c>
      <c r="I145" s="658"/>
      <c r="J145" s="520">
        <f t="shared" si="151"/>
        <v>0</v>
      </c>
      <c r="K145" s="520">
        <v>0</v>
      </c>
      <c r="L145" s="520">
        <f t="shared" si="156"/>
        <v>0</v>
      </c>
      <c r="M145" s="658"/>
      <c r="N145" s="520">
        <f t="shared" si="152"/>
        <v>0</v>
      </c>
      <c r="O145" s="520"/>
      <c r="P145" s="520"/>
      <c r="Q145" s="520">
        <f t="shared" si="157"/>
        <v>0</v>
      </c>
      <c r="R145" s="520">
        <f t="shared" si="158"/>
        <v>0</v>
      </c>
      <c r="S145" s="863">
        <v>0</v>
      </c>
      <c r="T145" s="863">
        <v>0</v>
      </c>
      <c r="U145" s="863">
        <v>0</v>
      </c>
      <c r="V145" s="863">
        <v>0</v>
      </c>
      <c r="W145" s="863">
        <v>0</v>
      </c>
      <c r="X145" s="522"/>
    </row>
    <row r="146" spans="2:24" s="424" customFormat="1" ht="15.5">
      <c r="B146" s="486" t="s">
        <v>834</v>
      </c>
      <c r="C146" s="384" t="s">
        <v>759</v>
      </c>
      <c r="D146" s="395" t="s">
        <v>134</v>
      </c>
      <c r="E146" s="658"/>
      <c r="F146" s="520">
        <f t="shared" si="150"/>
        <v>0</v>
      </c>
      <c r="G146" s="520">
        <v>0</v>
      </c>
      <c r="H146" s="520">
        <f t="shared" si="155"/>
        <v>0</v>
      </c>
      <c r="I146" s="658"/>
      <c r="J146" s="520">
        <f t="shared" si="151"/>
        <v>0</v>
      </c>
      <c r="K146" s="520">
        <v>0</v>
      </c>
      <c r="L146" s="520">
        <f t="shared" si="156"/>
        <v>0</v>
      </c>
      <c r="M146" s="658"/>
      <c r="N146" s="520">
        <f t="shared" si="152"/>
        <v>0</v>
      </c>
      <c r="O146" s="520"/>
      <c r="P146" s="520"/>
      <c r="Q146" s="520">
        <f t="shared" si="157"/>
        <v>0</v>
      </c>
      <c r="R146" s="520">
        <f t="shared" si="158"/>
        <v>0</v>
      </c>
      <c r="S146" s="863">
        <v>0</v>
      </c>
      <c r="T146" s="863">
        <v>0</v>
      </c>
      <c r="U146" s="863">
        <v>0</v>
      </c>
      <c r="V146" s="863">
        <v>0</v>
      </c>
      <c r="W146" s="863">
        <v>0</v>
      </c>
      <c r="X146" s="522"/>
    </row>
    <row r="147" spans="2:24" s="424" customFormat="1" ht="15.5">
      <c r="B147" s="486" t="s">
        <v>835</v>
      </c>
      <c r="C147" s="384" t="s">
        <v>760</v>
      </c>
      <c r="D147" s="395" t="s">
        <v>134</v>
      </c>
      <c r="E147" s="658"/>
      <c r="F147" s="520">
        <f t="shared" si="150"/>
        <v>0</v>
      </c>
      <c r="G147" s="520">
        <v>0</v>
      </c>
      <c r="H147" s="520">
        <f t="shared" si="155"/>
        <v>0</v>
      </c>
      <c r="I147" s="658"/>
      <c r="J147" s="520">
        <f t="shared" si="151"/>
        <v>0</v>
      </c>
      <c r="K147" s="520">
        <v>0</v>
      </c>
      <c r="L147" s="520">
        <f t="shared" si="156"/>
        <v>0</v>
      </c>
      <c r="M147" s="658"/>
      <c r="N147" s="520">
        <f t="shared" si="152"/>
        <v>0</v>
      </c>
      <c r="O147" s="520"/>
      <c r="P147" s="520"/>
      <c r="Q147" s="520">
        <f t="shared" si="157"/>
        <v>0</v>
      </c>
      <c r="R147" s="520">
        <f t="shared" si="158"/>
        <v>0</v>
      </c>
      <c r="S147" s="863">
        <v>0</v>
      </c>
      <c r="T147" s="863">
        <v>0</v>
      </c>
      <c r="U147" s="863">
        <v>0</v>
      </c>
      <c r="V147" s="863">
        <v>0</v>
      </c>
      <c r="W147" s="863">
        <v>0</v>
      </c>
      <c r="X147" s="522"/>
    </row>
    <row r="148" spans="2:24" s="424" customFormat="1" ht="31">
      <c r="B148" s="486" t="s">
        <v>836</v>
      </c>
      <c r="C148" s="384" t="s">
        <v>761</v>
      </c>
      <c r="D148" s="395" t="s">
        <v>134</v>
      </c>
      <c r="E148" s="658"/>
      <c r="F148" s="520">
        <f t="shared" si="150"/>
        <v>0</v>
      </c>
      <c r="G148" s="520">
        <v>0</v>
      </c>
      <c r="H148" s="520">
        <f t="shared" si="155"/>
        <v>0</v>
      </c>
      <c r="I148" s="658"/>
      <c r="J148" s="520">
        <f t="shared" si="151"/>
        <v>0</v>
      </c>
      <c r="K148" s="520">
        <v>0</v>
      </c>
      <c r="L148" s="520">
        <f t="shared" si="156"/>
        <v>0</v>
      </c>
      <c r="M148" s="658"/>
      <c r="N148" s="520">
        <f t="shared" si="152"/>
        <v>0</v>
      </c>
      <c r="O148" s="520"/>
      <c r="P148" s="520"/>
      <c r="Q148" s="520">
        <f t="shared" si="157"/>
        <v>0</v>
      </c>
      <c r="R148" s="520">
        <f t="shared" si="158"/>
        <v>0</v>
      </c>
      <c r="S148" s="863">
        <v>0</v>
      </c>
      <c r="T148" s="863">
        <v>0</v>
      </c>
      <c r="U148" s="863">
        <v>0</v>
      </c>
      <c r="V148" s="863">
        <v>0</v>
      </c>
      <c r="W148" s="863">
        <v>0</v>
      </c>
      <c r="X148" s="522"/>
    </row>
    <row r="149" spans="2:24" s="424" customFormat="1" ht="31">
      <c r="B149" s="486" t="s">
        <v>837</v>
      </c>
      <c r="C149" s="384" t="s">
        <v>762</v>
      </c>
      <c r="D149" s="395" t="s">
        <v>134</v>
      </c>
      <c r="E149" s="658"/>
      <c r="F149" s="520">
        <f t="shared" si="150"/>
        <v>0</v>
      </c>
      <c r="G149" s="520">
        <v>0</v>
      </c>
      <c r="H149" s="520">
        <f t="shared" si="155"/>
        <v>0</v>
      </c>
      <c r="I149" s="658"/>
      <c r="J149" s="520">
        <f t="shared" si="151"/>
        <v>0</v>
      </c>
      <c r="K149" s="520">
        <v>0</v>
      </c>
      <c r="L149" s="520">
        <f t="shared" si="156"/>
        <v>0</v>
      </c>
      <c r="M149" s="658"/>
      <c r="N149" s="520">
        <f t="shared" si="152"/>
        <v>0</v>
      </c>
      <c r="O149" s="520"/>
      <c r="P149" s="520"/>
      <c r="Q149" s="520">
        <f t="shared" si="157"/>
        <v>0</v>
      </c>
      <c r="R149" s="520">
        <f t="shared" si="158"/>
        <v>0</v>
      </c>
      <c r="S149" s="863">
        <v>0</v>
      </c>
      <c r="T149" s="863">
        <v>0</v>
      </c>
      <c r="U149" s="863">
        <v>0</v>
      </c>
      <c r="V149" s="863">
        <v>0</v>
      </c>
      <c r="W149" s="863">
        <v>0</v>
      </c>
      <c r="X149" s="522"/>
    </row>
    <row r="150" spans="2:24" s="424" customFormat="1" ht="15.5">
      <c r="B150" s="486" t="s">
        <v>838</v>
      </c>
      <c r="C150" s="384" t="s">
        <v>763</v>
      </c>
      <c r="D150" s="395" t="s">
        <v>134</v>
      </c>
      <c r="E150" s="658"/>
      <c r="F150" s="520">
        <f t="shared" si="150"/>
        <v>0</v>
      </c>
      <c r="G150" s="520">
        <v>0</v>
      </c>
      <c r="H150" s="520">
        <f t="shared" si="155"/>
        <v>0</v>
      </c>
      <c r="I150" s="658"/>
      <c r="J150" s="520">
        <f t="shared" si="151"/>
        <v>0</v>
      </c>
      <c r="K150" s="520">
        <v>0</v>
      </c>
      <c r="L150" s="520">
        <f t="shared" si="156"/>
        <v>0</v>
      </c>
      <c r="M150" s="658"/>
      <c r="N150" s="520">
        <f t="shared" si="152"/>
        <v>0</v>
      </c>
      <c r="O150" s="520"/>
      <c r="P150" s="520"/>
      <c r="Q150" s="520">
        <f t="shared" si="157"/>
        <v>0</v>
      </c>
      <c r="R150" s="520">
        <f t="shared" si="158"/>
        <v>0</v>
      </c>
      <c r="S150" s="863">
        <v>0</v>
      </c>
      <c r="T150" s="863">
        <v>0</v>
      </c>
      <c r="U150" s="863">
        <v>0</v>
      </c>
      <c r="V150" s="863">
        <v>0</v>
      </c>
      <c r="W150" s="863">
        <v>0</v>
      </c>
      <c r="X150" s="522"/>
    </row>
    <row r="151" spans="2:24" s="424" customFormat="1" ht="15.5">
      <c r="B151" s="486" t="s">
        <v>839</v>
      </c>
      <c r="C151" s="384" t="s">
        <v>764</v>
      </c>
      <c r="D151" s="395" t="s">
        <v>134</v>
      </c>
      <c r="E151" s="658"/>
      <c r="F151" s="520">
        <f t="shared" si="150"/>
        <v>0</v>
      </c>
      <c r="G151" s="520">
        <v>0</v>
      </c>
      <c r="H151" s="520">
        <f t="shared" si="155"/>
        <v>0</v>
      </c>
      <c r="I151" s="658"/>
      <c r="J151" s="520">
        <f t="shared" si="151"/>
        <v>0</v>
      </c>
      <c r="K151" s="520">
        <v>0</v>
      </c>
      <c r="L151" s="520">
        <f t="shared" si="156"/>
        <v>0</v>
      </c>
      <c r="M151" s="658"/>
      <c r="N151" s="520">
        <f t="shared" si="152"/>
        <v>0</v>
      </c>
      <c r="O151" s="520"/>
      <c r="P151" s="520"/>
      <c r="Q151" s="520">
        <f t="shared" si="157"/>
        <v>0</v>
      </c>
      <c r="R151" s="520">
        <f t="shared" si="158"/>
        <v>0</v>
      </c>
      <c r="S151" s="863">
        <v>0</v>
      </c>
      <c r="T151" s="863">
        <v>0</v>
      </c>
      <c r="U151" s="863">
        <v>0</v>
      </c>
      <c r="V151" s="863">
        <v>0</v>
      </c>
      <c r="W151" s="863">
        <v>0</v>
      </c>
      <c r="X151" s="522"/>
    </row>
    <row r="152" spans="2:24" s="424" customFormat="1" ht="15.5">
      <c r="B152" s="486" t="s">
        <v>840</v>
      </c>
      <c r="C152" s="384" t="s">
        <v>765</v>
      </c>
      <c r="D152" s="395" t="s">
        <v>134</v>
      </c>
      <c r="E152" s="658"/>
      <c r="F152" s="520">
        <f t="shared" si="150"/>
        <v>0</v>
      </c>
      <c r="G152" s="520">
        <v>0</v>
      </c>
      <c r="H152" s="520">
        <f t="shared" si="155"/>
        <v>0</v>
      </c>
      <c r="I152" s="658"/>
      <c r="J152" s="520">
        <f t="shared" si="151"/>
        <v>0</v>
      </c>
      <c r="K152" s="520">
        <v>0</v>
      </c>
      <c r="L152" s="520">
        <f t="shared" si="156"/>
        <v>0</v>
      </c>
      <c r="M152" s="658"/>
      <c r="N152" s="520">
        <f t="shared" si="152"/>
        <v>0</v>
      </c>
      <c r="O152" s="520"/>
      <c r="P152" s="520"/>
      <c r="Q152" s="520">
        <f t="shared" si="157"/>
        <v>0</v>
      </c>
      <c r="R152" s="520">
        <f t="shared" si="158"/>
        <v>0</v>
      </c>
      <c r="S152" s="863">
        <v>0</v>
      </c>
      <c r="T152" s="863">
        <v>0</v>
      </c>
      <c r="U152" s="863">
        <v>0</v>
      </c>
      <c r="V152" s="863">
        <v>0</v>
      </c>
      <c r="W152" s="863">
        <v>0</v>
      </c>
      <c r="X152" s="522"/>
    </row>
    <row r="153" spans="2:24" s="487" customFormat="1" ht="30">
      <c r="B153" s="469"/>
      <c r="C153" s="468" t="s">
        <v>136</v>
      </c>
      <c r="D153" s="396" t="s">
        <v>134</v>
      </c>
      <c r="E153" s="658"/>
      <c r="F153" s="520">
        <f>SUM(F140:F152)</f>
        <v>0</v>
      </c>
      <c r="G153" s="520">
        <f t="shared" ref="G153:R153" si="159">SUM(G140:G152)</f>
        <v>0</v>
      </c>
      <c r="H153" s="520">
        <f t="shared" si="159"/>
        <v>0</v>
      </c>
      <c r="I153" s="658"/>
      <c r="J153" s="520">
        <f t="shared" si="159"/>
        <v>0</v>
      </c>
      <c r="K153" s="520">
        <f t="shared" si="159"/>
        <v>0</v>
      </c>
      <c r="L153" s="520">
        <f t="shared" si="159"/>
        <v>0</v>
      </c>
      <c r="M153" s="658"/>
      <c r="N153" s="520">
        <f t="shared" si="159"/>
        <v>0</v>
      </c>
      <c r="O153" s="520">
        <f t="shared" si="159"/>
        <v>0</v>
      </c>
      <c r="P153" s="520">
        <f t="shared" si="159"/>
        <v>0</v>
      </c>
      <c r="Q153" s="520">
        <f t="shared" si="159"/>
        <v>0</v>
      </c>
      <c r="R153" s="520">
        <f t="shared" si="159"/>
        <v>0</v>
      </c>
      <c r="S153" s="520">
        <f t="shared" ref="S153:W153" si="160">SUM(S140:S152)</f>
        <v>0</v>
      </c>
      <c r="T153" s="520">
        <f t="shared" si="160"/>
        <v>0</v>
      </c>
      <c r="U153" s="520">
        <f t="shared" si="160"/>
        <v>0</v>
      </c>
      <c r="V153" s="520">
        <f t="shared" si="160"/>
        <v>0</v>
      </c>
      <c r="W153" s="520">
        <f t="shared" si="160"/>
        <v>0</v>
      </c>
      <c r="X153" s="525"/>
    </row>
    <row r="154" spans="2:24" s="424" customFormat="1" ht="15.5">
      <c r="B154" s="469"/>
      <c r="C154" s="468"/>
      <c r="D154" s="470"/>
      <c r="E154" s="659"/>
      <c r="F154" s="524"/>
      <c r="G154" s="524"/>
      <c r="H154" s="524"/>
      <c r="I154" s="659"/>
      <c r="J154" s="524"/>
      <c r="K154" s="524"/>
      <c r="L154" s="524"/>
      <c r="M154" s="659"/>
      <c r="N154" s="524"/>
      <c r="O154" s="524"/>
      <c r="P154" s="524"/>
      <c r="Q154" s="520"/>
      <c r="R154" s="520"/>
      <c r="S154" s="524"/>
      <c r="T154" s="524"/>
      <c r="U154" s="524"/>
      <c r="V154" s="524"/>
      <c r="W154" s="524"/>
      <c r="X154" s="522"/>
    </row>
    <row r="155" spans="2:24" s="427" customFormat="1" ht="15.5">
      <c r="B155" s="471">
        <v>8</v>
      </c>
      <c r="C155" s="472" t="s">
        <v>702</v>
      </c>
      <c r="D155" s="395" t="s">
        <v>134</v>
      </c>
      <c r="E155" s="660">
        <v>585.07062678073476</v>
      </c>
      <c r="F155" s="831">
        <f>F125+F131+F137+F153</f>
        <v>492.96416003429948</v>
      </c>
      <c r="G155" s="426">
        <f>G125+G131+G137+G4153</f>
        <v>543.6420050301665</v>
      </c>
      <c r="H155" s="426">
        <f t="shared" ref="H155:Q155" si="161">H125+H131+H137+H153</f>
        <v>50.67784499586692</v>
      </c>
      <c r="I155" s="660">
        <v>856.74485267652744</v>
      </c>
      <c r="J155" s="426">
        <f t="shared" si="161"/>
        <v>637.71507525122615</v>
      </c>
      <c r="K155" s="426">
        <f t="shared" si="161"/>
        <v>625.9894820076687</v>
      </c>
      <c r="L155" s="426">
        <f t="shared" si="161"/>
        <v>-11.72559324355753</v>
      </c>
      <c r="M155" s="660">
        <v>860.47281611280198</v>
      </c>
      <c r="N155" s="426">
        <f t="shared" si="161"/>
        <v>780.39169213483751</v>
      </c>
      <c r="O155" s="426">
        <f t="shared" si="161"/>
        <v>317.18402133905641</v>
      </c>
      <c r="P155" s="426">
        <f t="shared" si="161"/>
        <v>473.88889960308836</v>
      </c>
      <c r="Q155" s="426">
        <f t="shared" si="161"/>
        <v>791.07292094214472</v>
      </c>
      <c r="R155" s="736">
        <f>R125+R131+R137+R153</f>
        <v>10.681228807307182</v>
      </c>
      <c r="S155" s="426">
        <f>S125+S131+S137+S153</f>
        <v>970.74268897091065</v>
      </c>
      <c r="T155" s="426">
        <f t="shared" ref="T155:W155" si="162">T125+T131+T137+T153</f>
        <v>1019.2798234194563</v>
      </c>
      <c r="U155" s="426">
        <f t="shared" si="162"/>
        <v>1046.6293675317329</v>
      </c>
      <c r="V155" s="426">
        <f t="shared" si="162"/>
        <v>1097.5408411278343</v>
      </c>
      <c r="W155" s="426">
        <f t="shared" si="162"/>
        <v>1150.9978884037405</v>
      </c>
      <c r="X155" s="409"/>
    </row>
    <row r="156" spans="2:24" s="6" customFormat="1" ht="15.5">
      <c r="B156" s="389"/>
      <c r="C156" s="390"/>
      <c r="D156" s="391"/>
      <c r="E156" s="510"/>
      <c r="F156" s="510"/>
      <c r="G156" s="510"/>
      <c r="H156" s="510"/>
      <c r="I156" s="510"/>
      <c r="J156" s="510"/>
      <c r="K156" s="510"/>
      <c r="L156" s="510"/>
      <c r="M156" s="510"/>
      <c r="N156" s="509"/>
      <c r="O156" s="509"/>
      <c r="P156" s="509"/>
      <c r="Q156" s="509"/>
      <c r="R156" s="509"/>
      <c r="S156" s="510"/>
      <c r="T156" s="510"/>
      <c r="U156" s="510"/>
      <c r="V156" s="510"/>
      <c r="W156" s="510"/>
      <c r="X156" s="399"/>
    </row>
    <row r="157" spans="2:24" s="6" customFormat="1" ht="15.5">
      <c r="B157" s="389">
        <v>9</v>
      </c>
      <c r="C157" s="390" t="s">
        <v>703</v>
      </c>
      <c r="D157" s="391" t="s">
        <v>137</v>
      </c>
      <c r="E157" s="510">
        <v>4.3226677740395827</v>
      </c>
      <c r="F157" s="744">
        <f>F155/F37*10</f>
        <v>4.7880920648839931</v>
      </c>
      <c r="G157" s="510">
        <f>G155/G37*10</f>
        <v>5.5525573396170955</v>
      </c>
      <c r="H157" s="510">
        <f t="shared" ref="H157" si="163">G157-F157</f>
        <v>0.76446527473310244</v>
      </c>
      <c r="I157" s="510">
        <v>5.016249717797459</v>
      </c>
      <c r="J157" s="510">
        <f>J155/J37*10</f>
        <v>5.4198533594472087</v>
      </c>
      <c r="K157" s="510">
        <f>K155/K37*10</f>
        <v>5.5019079637295887</v>
      </c>
      <c r="L157" s="510">
        <f t="shared" ref="L157" si="164">K157-J157</f>
        <v>8.2054604282379984E-2</v>
      </c>
      <c r="M157" s="510">
        <v>5.0518799317948355</v>
      </c>
      <c r="N157" s="510">
        <f t="shared" ref="N157:W157" si="165">N155/N37*10</f>
        <v>5.3841163386089894</v>
      </c>
      <c r="O157" s="510">
        <f t="shared" si="165"/>
        <v>5.561197669843474</v>
      </c>
      <c r="P157" s="510">
        <f t="shared" si="165"/>
        <v>5.5858167226447266</v>
      </c>
      <c r="Q157" s="510">
        <f t="shared" si="165"/>
        <v>5.5759194784998476</v>
      </c>
      <c r="R157" s="744">
        <f t="shared" si="165"/>
        <v>-3.4789670610247709</v>
      </c>
      <c r="S157" s="510">
        <f t="shared" si="165"/>
        <v>5.752349985030353</v>
      </c>
      <c r="T157" s="510">
        <f t="shared" si="165"/>
        <v>6.0399674842818722</v>
      </c>
      <c r="U157" s="510">
        <f t="shared" si="165"/>
        <v>6.2017679017684477</v>
      </c>
      <c r="V157" s="510">
        <f t="shared" si="165"/>
        <v>6.5034421644777449</v>
      </c>
      <c r="W157" s="510">
        <f t="shared" si="165"/>
        <v>6.8202001403225054</v>
      </c>
      <c r="X157" s="510"/>
    </row>
    <row r="158" spans="2:24" s="1" customFormat="1" ht="16">
      <c r="B158" s="686"/>
      <c r="C158" s="149"/>
      <c r="D158" s="687"/>
      <c r="E158" s="687"/>
      <c r="F158" s="687"/>
      <c r="G158" s="687"/>
      <c r="H158" s="687"/>
      <c r="I158" s="687"/>
      <c r="J158" s="687"/>
      <c r="K158" s="687"/>
      <c r="L158" s="687"/>
      <c r="M158" s="40"/>
      <c r="N158" s="40"/>
      <c r="O158" s="40"/>
      <c r="P158" s="40"/>
      <c r="Q158" s="40"/>
      <c r="R158" s="40"/>
      <c r="S158" s="4"/>
      <c r="T158" s="4"/>
      <c r="U158" s="4"/>
      <c r="V158" s="4"/>
      <c r="W158" s="4"/>
      <c r="X158" s="9"/>
    </row>
    <row r="159" spans="2:24">
      <c r="P159" s="52"/>
      <c r="S159" s="11"/>
      <c r="T159" s="11"/>
      <c r="U159" s="11"/>
      <c r="V159" s="11"/>
      <c r="W159" s="11"/>
    </row>
    <row r="160" spans="2:24">
      <c r="S160" s="11"/>
      <c r="T160" s="11"/>
      <c r="U160" s="11"/>
      <c r="V160" s="11"/>
      <c r="W160" s="11"/>
    </row>
    <row r="161" spans="2:23">
      <c r="S161" s="11"/>
      <c r="T161" s="11"/>
      <c r="U161" s="11"/>
      <c r="V161" s="11"/>
      <c r="W161" s="11"/>
    </row>
    <row r="162" spans="2:23">
      <c r="S162" s="11"/>
      <c r="T162" s="11"/>
      <c r="U162" s="11"/>
      <c r="V162" s="11"/>
      <c r="W162" s="11"/>
    </row>
    <row r="163" spans="2:23" ht="14.5" thickBot="1">
      <c r="B163" s="1474" t="s">
        <v>2172</v>
      </c>
      <c r="S163" s="11"/>
      <c r="T163" s="11"/>
      <c r="U163" s="11"/>
      <c r="V163" s="11"/>
      <c r="W163" s="11"/>
    </row>
    <row r="164" spans="2:23" ht="14.5" thickBot="1">
      <c r="B164" s="1220" t="s">
        <v>607</v>
      </c>
      <c r="C164" s="1231"/>
      <c r="D164" s="1296" t="s">
        <v>924</v>
      </c>
      <c r="E164" s="1296" t="s">
        <v>1512</v>
      </c>
      <c r="F164" s="1297" t="s">
        <v>1513</v>
      </c>
      <c r="G164" s="1298" t="s">
        <v>1514</v>
      </c>
      <c r="H164" s="1298" t="s">
        <v>1515</v>
      </c>
      <c r="I164" s="1298" t="s">
        <v>1516</v>
      </c>
      <c r="S164" s="11"/>
      <c r="T164" s="11"/>
      <c r="U164" s="11"/>
      <c r="V164" s="11"/>
      <c r="W164" s="11"/>
    </row>
    <row r="165" spans="2:23" ht="14.5" thickBot="1">
      <c r="B165" s="1222" t="s">
        <v>1511</v>
      </c>
      <c r="C165" s="1231"/>
      <c r="D165" s="1235" t="s">
        <v>1541</v>
      </c>
      <c r="E165" s="1235" t="s">
        <v>1541</v>
      </c>
      <c r="F165" s="1235" t="s">
        <v>1541</v>
      </c>
      <c r="G165" s="1235" t="s">
        <v>1541</v>
      </c>
      <c r="H165" s="1235" t="s">
        <v>1541</v>
      </c>
      <c r="I165" s="1235" t="s">
        <v>1541</v>
      </c>
      <c r="S165" s="11"/>
      <c r="T165" s="11"/>
      <c r="U165" s="11"/>
      <c r="V165" s="11"/>
      <c r="W165" s="11"/>
    </row>
    <row r="166" spans="2:23" ht="15.5">
      <c r="B166" s="1223"/>
      <c r="C166" s="1224"/>
      <c r="D166" s="1221"/>
      <c r="E166" s="1231"/>
      <c r="F166" s="1231"/>
      <c r="G166" s="1231"/>
      <c r="H166" s="44"/>
      <c r="I166" s="1"/>
      <c r="S166" s="11"/>
      <c r="T166" s="11"/>
      <c r="U166" s="11"/>
      <c r="V166" s="11"/>
      <c r="W166" s="11"/>
    </row>
    <row r="167" spans="2:23">
      <c r="B167" s="1225" t="s">
        <v>425</v>
      </c>
      <c r="C167" s="1236" t="s">
        <v>36</v>
      </c>
      <c r="D167" s="1231"/>
      <c r="E167" s="1237"/>
      <c r="F167" s="1238"/>
      <c r="G167" s="132"/>
      <c r="H167" s="40"/>
      <c r="I167" s="132"/>
      <c r="S167" s="11"/>
      <c r="T167" s="11"/>
      <c r="U167" s="11"/>
      <c r="V167" s="11"/>
      <c r="W167" s="11"/>
    </row>
    <row r="168" spans="2:23">
      <c r="B168" s="1225">
        <v>1</v>
      </c>
      <c r="C168" s="1236" t="s">
        <v>1517</v>
      </c>
      <c r="D168" s="1239">
        <f>$N$39</f>
        <v>2430</v>
      </c>
      <c r="E168" s="1239">
        <f>S40</f>
        <v>2415</v>
      </c>
      <c r="F168" s="1240">
        <f>$T$40</f>
        <v>2415</v>
      </c>
      <c r="G168" s="1241">
        <f>$U$40</f>
        <v>2415</v>
      </c>
      <c r="H168" s="1241">
        <f>$V$40</f>
        <v>2415</v>
      </c>
      <c r="I168" s="1241">
        <f>$W$40</f>
        <v>2415</v>
      </c>
      <c r="S168" s="11"/>
      <c r="T168" s="11"/>
      <c r="U168" s="11"/>
      <c r="V168" s="11"/>
      <c r="W168" s="11"/>
    </row>
    <row r="169" spans="2:23">
      <c r="B169" s="1225">
        <f>B168+1</f>
        <v>2</v>
      </c>
      <c r="C169" s="1236" t="s">
        <v>1518</v>
      </c>
      <c r="D169" s="1242">
        <f>P68+85</f>
        <v>3245</v>
      </c>
      <c r="E169" s="1242">
        <f>S68+85</f>
        <v>3208.1179839098054</v>
      </c>
      <c r="F169" s="1243">
        <f>T68+85</f>
        <v>3208.1179839098054</v>
      </c>
      <c r="G169" s="1243">
        <f>U68+85</f>
        <v>3218.0254270318615</v>
      </c>
      <c r="H169" s="1243">
        <f>V68+85</f>
        <v>3218.0254270318615</v>
      </c>
      <c r="I169" s="1243">
        <f>W68+85</f>
        <v>3218.0254270318615</v>
      </c>
      <c r="S169" s="11"/>
      <c r="T169" s="11"/>
      <c r="U169" s="11"/>
      <c r="V169" s="11"/>
      <c r="W169" s="11"/>
    </row>
    <row r="170" spans="2:23">
      <c r="B170" s="1225">
        <f t="shared" ref="B170:B176" si="166">B169+1</f>
        <v>3</v>
      </c>
      <c r="C170" s="1236" t="s">
        <v>1519</v>
      </c>
      <c r="D170" s="1244">
        <f t="shared" ref="D170:I170" si="167">D169-85</f>
        <v>3160</v>
      </c>
      <c r="E170" s="1244">
        <f t="shared" si="167"/>
        <v>3123.1179839098054</v>
      </c>
      <c r="F170" s="1245">
        <f t="shared" si="167"/>
        <v>3123.1179839098054</v>
      </c>
      <c r="G170" s="1246">
        <f t="shared" si="167"/>
        <v>3133.0254270318615</v>
      </c>
      <c r="H170" s="1246">
        <f t="shared" si="167"/>
        <v>3133.0254270318615</v>
      </c>
      <c r="I170" s="1246">
        <f t="shared" si="167"/>
        <v>3133.0254270318615</v>
      </c>
      <c r="S170" s="11"/>
      <c r="T170" s="11"/>
      <c r="U170" s="11"/>
      <c r="V170" s="11"/>
      <c r="W170" s="11"/>
    </row>
    <row r="171" spans="2:23">
      <c r="B171" s="1225">
        <f t="shared" si="166"/>
        <v>4</v>
      </c>
      <c r="C171" s="1236" t="s">
        <v>1520</v>
      </c>
      <c r="D171" s="1247">
        <v>7.4999999999999997E-3</v>
      </c>
      <c r="E171" s="1247">
        <v>7.4999999999999997E-3</v>
      </c>
      <c r="F171" s="1247">
        <v>7.4999999999999997E-3</v>
      </c>
      <c r="G171" s="1247">
        <v>7.4999999999999997E-3</v>
      </c>
      <c r="H171" s="1247">
        <v>7.4999999999999997E-3</v>
      </c>
      <c r="I171" s="1247">
        <v>7.4999999999999997E-3</v>
      </c>
      <c r="S171" s="11"/>
      <c r="T171" s="11"/>
      <c r="U171" s="11"/>
      <c r="V171" s="11"/>
      <c r="W171" s="11"/>
    </row>
    <row r="172" spans="2:23">
      <c r="B172" s="1225">
        <f t="shared" si="166"/>
        <v>5</v>
      </c>
      <c r="C172" s="1236" t="s">
        <v>2173</v>
      </c>
      <c r="D172" s="1248">
        <v>0.85</v>
      </c>
      <c r="E172" s="1248">
        <v>0.85</v>
      </c>
      <c r="F172" s="1248">
        <v>0.85</v>
      </c>
      <c r="G172" s="1248">
        <v>0.85</v>
      </c>
      <c r="H172" s="1248">
        <v>0.85</v>
      </c>
      <c r="I172" s="1248">
        <v>0.85</v>
      </c>
      <c r="S172" s="11"/>
      <c r="T172" s="11"/>
      <c r="U172" s="11"/>
      <c r="V172" s="11"/>
      <c r="W172" s="11"/>
    </row>
    <row r="173" spans="2:23" ht="37.5">
      <c r="B173" s="1225">
        <f t="shared" si="166"/>
        <v>6</v>
      </c>
      <c r="C173" s="1236" t="s">
        <v>1521</v>
      </c>
      <c r="D173" s="1249">
        <v>600</v>
      </c>
      <c r="E173" s="1249">
        <v>600</v>
      </c>
      <c r="F173" s="1249">
        <v>600</v>
      </c>
      <c r="G173" s="1249">
        <v>600</v>
      </c>
      <c r="H173" s="1249">
        <v>600</v>
      </c>
      <c r="I173" s="1249">
        <v>600</v>
      </c>
      <c r="S173" s="11"/>
      <c r="T173" s="11"/>
      <c r="U173" s="11"/>
      <c r="V173" s="11"/>
      <c r="W173" s="11"/>
    </row>
    <row r="174" spans="2:23">
      <c r="B174" s="1225">
        <f t="shared" si="166"/>
        <v>7</v>
      </c>
      <c r="C174" s="1236" t="s">
        <v>1522</v>
      </c>
      <c r="D174" s="1249">
        <f t="shared" ref="D174:I174" si="168">IF(D173&lt;=200,95%,73%)</f>
        <v>0.73</v>
      </c>
      <c r="E174" s="1249">
        <f t="shared" si="168"/>
        <v>0.73</v>
      </c>
      <c r="F174" s="1249">
        <f t="shared" si="168"/>
        <v>0.73</v>
      </c>
      <c r="G174" s="1249">
        <f t="shared" si="168"/>
        <v>0.73</v>
      </c>
      <c r="H174" s="1249">
        <f t="shared" si="168"/>
        <v>0.73</v>
      </c>
      <c r="I174" s="1249">
        <f t="shared" si="168"/>
        <v>0.73</v>
      </c>
      <c r="S174" s="11"/>
      <c r="T174" s="11"/>
      <c r="U174" s="11"/>
      <c r="V174" s="11"/>
      <c r="W174" s="11"/>
    </row>
    <row r="175" spans="2:23">
      <c r="B175" s="1225">
        <f t="shared" si="166"/>
        <v>8</v>
      </c>
      <c r="C175" s="1236" t="s">
        <v>1523</v>
      </c>
      <c r="D175" s="1249">
        <f t="shared" ref="D175:I175" si="169">IF(D174=73%,26.8,35.2)</f>
        <v>26.8</v>
      </c>
      <c r="E175" s="1249">
        <f t="shared" si="169"/>
        <v>26.8</v>
      </c>
      <c r="F175" s="1249">
        <f t="shared" si="169"/>
        <v>26.8</v>
      </c>
      <c r="G175" s="1249">
        <f t="shared" si="169"/>
        <v>26.8</v>
      </c>
      <c r="H175" s="1249">
        <f t="shared" si="169"/>
        <v>26.8</v>
      </c>
      <c r="I175" s="1249">
        <f t="shared" si="169"/>
        <v>26.8</v>
      </c>
      <c r="S175" s="11"/>
      <c r="T175" s="11"/>
      <c r="U175" s="11"/>
      <c r="V175" s="11"/>
      <c r="W175" s="11"/>
    </row>
    <row r="176" spans="2:23">
      <c r="B176" s="1225">
        <f t="shared" si="166"/>
        <v>9</v>
      </c>
      <c r="C176" s="1236" t="s">
        <v>1524</v>
      </c>
      <c r="D176" s="1248">
        <v>0.67</v>
      </c>
      <c r="E176" s="1248">
        <v>0.67</v>
      </c>
      <c r="F176" s="1248">
        <v>0.67</v>
      </c>
      <c r="G176" s="1248">
        <v>0.67</v>
      </c>
      <c r="H176" s="1248">
        <v>0.67</v>
      </c>
      <c r="I176" s="1248">
        <v>0.67</v>
      </c>
      <c r="S176" s="11"/>
      <c r="T176" s="11"/>
      <c r="U176" s="11"/>
      <c r="V176" s="11"/>
      <c r="W176" s="11"/>
    </row>
    <row r="177" spans="2:23">
      <c r="B177" s="1225">
        <f>B176+1</f>
        <v>10</v>
      </c>
      <c r="C177" s="1236" t="s">
        <v>1525</v>
      </c>
      <c r="D177" s="1250">
        <f t="shared" ref="D177:I177" si="170">D175*D176/D174</f>
        <v>24.597260273972609</v>
      </c>
      <c r="E177" s="1250">
        <f t="shared" si="170"/>
        <v>24.597260273972609</v>
      </c>
      <c r="F177" s="1250">
        <f t="shared" si="170"/>
        <v>24.597260273972609</v>
      </c>
      <c r="G177" s="1250">
        <f t="shared" si="170"/>
        <v>24.597260273972609</v>
      </c>
      <c r="H177" s="1250">
        <f t="shared" si="170"/>
        <v>24.597260273972609</v>
      </c>
      <c r="I177" s="1250">
        <f t="shared" si="170"/>
        <v>24.597260273972609</v>
      </c>
      <c r="S177" s="11"/>
      <c r="T177" s="11"/>
      <c r="U177" s="11"/>
      <c r="V177" s="11"/>
      <c r="W177" s="11"/>
    </row>
    <row r="178" spans="2:23" ht="25">
      <c r="B178" s="1225">
        <f>B177+1</f>
        <v>11</v>
      </c>
      <c r="C178" s="1236" t="s">
        <v>1526</v>
      </c>
      <c r="D178" s="1251">
        <f t="shared" ref="D178:I178" si="171">(D177*D168*D171/D170)*(85/D172)</f>
        <v>14.186236344719964</v>
      </c>
      <c r="E178" s="1251">
        <f t="shared" si="171"/>
        <v>14.265163180117479</v>
      </c>
      <c r="F178" s="1251">
        <f t="shared" si="171"/>
        <v>14.265163180117479</v>
      </c>
      <c r="G178" s="1252">
        <f t="shared" si="171"/>
        <v>14.220053015477749</v>
      </c>
      <c r="H178" s="1252">
        <f t="shared" si="171"/>
        <v>14.220053015477749</v>
      </c>
      <c r="I178" s="1252">
        <f t="shared" si="171"/>
        <v>14.220053015477749</v>
      </c>
      <c r="S178" s="11"/>
      <c r="T178" s="11"/>
      <c r="U178" s="11"/>
      <c r="V178" s="11"/>
      <c r="W178" s="11"/>
    </row>
    <row r="179" spans="2:23">
      <c r="B179" s="1226"/>
      <c r="C179" s="1226"/>
      <c r="D179" s="1253"/>
      <c r="E179" s="1253"/>
      <c r="F179" s="1238"/>
      <c r="G179" s="1238"/>
      <c r="H179" s="1238"/>
      <c r="I179" s="1238"/>
      <c r="S179" s="11"/>
      <c r="T179" s="11"/>
      <c r="U179" s="11"/>
      <c r="V179" s="11"/>
      <c r="W179" s="11"/>
    </row>
    <row r="180" spans="2:23">
      <c r="B180" s="1226"/>
      <c r="C180" s="1226"/>
      <c r="D180" s="1253"/>
      <c r="E180" s="1253"/>
      <c r="F180" s="1238"/>
      <c r="G180" s="1238"/>
      <c r="H180" s="1238"/>
      <c r="I180" s="1238"/>
      <c r="S180" s="11"/>
      <c r="T180" s="11"/>
      <c r="U180" s="11"/>
      <c r="V180" s="11"/>
      <c r="W180" s="11"/>
    </row>
    <row r="181" spans="2:23">
      <c r="B181" s="1225" t="s">
        <v>425</v>
      </c>
      <c r="C181" s="1236" t="s">
        <v>1527</v>
      </c>
      <c r="D181" s="1237"/>
      <c r="E181" s="1237"/>
      <c r="F181" s="1238"/>
      <c r="G181" s="1238"/>
      <c r="H181" s="1238"/>
      <c r="I181" s="1238"/>
      <c r="S181" s="11"/>
      <c r="T181" s="11"/>
      <c r="U181" s="11"/>
      <c r="V181" s="11"/>
      <c r="W181" s="11"/>
    </row>
    <row r="182" spans="2:23">
      <c r="B182" s="1225">
        <v>1</v>
      </c>
      <c r="C182" s="1236" t="s">
        <v>1528</v>
      </c>
      <c r="D182" s="1254">
        <f>$P$23*59/182*0</f>
        <v>0</v>
      </c>
      <c r="E182" s="1254">
        <f>S23*274/365</f>
        <v>1397.3358790529862</v>
      </c>
      <c r="F182" s="1255">
        <f>T23</f>
        <v>1861.41458341</v>
      </c>
      <c r="G182" s="1255">
        <f>U23</f>
        <v>1861.4942233804913</v>
      </c>
      <c r="H182" s="1255">
        <f>V23</f>
        <v>1861.4942233804913</v>
      </c>
      <c r="I182" s="1255">
        <f>W23</f>
        <v>1861.4942233804913</v>
      </c>
      <c r="S182" s="11"/>
      <c r="T182" s="11"/>
      <c r="U182" s="11"/>
      <c r="V182" s="11"/>
      <c r="W182" s="11"/>
    </row>
    <row r="183" spans="2:23">
      <c r="B183" s="1225">
        <f>B182+1</f>
        <v>2</v>
      </c>
      <c r="C183" s="1236" t="s">
        <v>1529</v>
      </c>
      <c r="D183" s="1256" t="s">
        <v>2196</v>
      </c>
      <c r="E183" s="1256" t="s">
        <v>2196</v>
      </c>
      <c r="F183" s="1256" t="s">
        <v>2196</v>
      </c>
      <c r="G183" s="1256" t="s">
        <v>2196</v>
      </c>
      <c r="H183" s="1256" t="s">
        <v>2196</v>
      </c>
      <c r="I183" s="1256" t="s">
        <v>2196</v>
      </c>
      <c r="S183" s="11"/>
      <c r="T183" s="11"/>
      <c r="U183" s="11"/>
      <c r="V183" s="11"/>
      <c r="W183" s="11"/>
    </row>
    <row r="184" spans="2:23" ht="25">
      <c r="B184" s="1225">
        <f t="shared" ref="B184:B187" si="172">B183+1</f>
        <v>3</v>
      </c>
      <c r="C184" s="1236" t="s">
        <v>1526</v>
      </c>
      <c r="D184" s="1250">
        <f>IF(D183="SBC",12*100%/D172,D178)</f>
        <v>14.117647058823529</v>
      </c>
      <c r="E184" s="1250">
        <f t="shared" ref="E184:I184" si="173">IF(E183="SBC",12*100%/E172,E178)</f>
        <v>14.117647058823529</v>
      </c>
      <c r="F184" s="1250">
        <f t="shared" si="173"/>
        <v>14.117647058823529</v>
      </c>
      <c r="G184" s="1250">
        <f t="shared" si="173"/>
        <v>14.117647058823529</v>
      </c>
      <c r="H184" s="1250">
        <f t="shared" si="173"/>
        <v>14.117647058823529</v>
      </c>
      <c r="I184" s="1250">
        <f t="shared" si="173"/>
        <v>14.117647058823529</v>
      </c>
      <c r="S184" s="11"/>
      <c r="T184" s="11"/>
      <c r="U184" s="11"/>
      <c r="V184" s="11"/>
      <c r="W184" s="11"/>
    </row>
    <row r="185" spans="2:23">
      <c r="B185" s="1225">
        <f t="shared" si="172"/>
        <v>4</v>
      </c>
      <c r="C185" s="1236" t="s">
        <v>1530</v>
      </c>
      <c r="D185" s="1244">
        <f t="shared" ref="D185" si="174">D182*D184</f>
        <v>0</v>
      </c>
      <c r="E185" s="1244">
        <f t="shared" ref="E185" si="175">E182*E184</f>
        <v>19727.09476310098</v>
      </c>
      <c r="F185" s="1244">
        <f>F182*F184</f>
        <v>26278.794118729409</v>
      </c>
      <c r="G185" s="1257">
        <f>G182*G184</f>
        <v>26279.918447724584</v>
      </c>
      <c r="H185" s="1257">
        <f>H182*H184</f>
        <v>26279.918447724584</v>
      </c>
      <c r="I185" s="1257">
        <f>I182*I184</f>
        <v>26279.918447724584</v>
      </c>
    </row>
    <row r="186" spans="2:23">
      <c r="B186" s="1225">
        <f t="shared" si="172"/>
        <v>5</v>
      </c>
      <c r="C186" s="1236" t="s">
        <v>1531</v>
      </c>
      <c r="D186" s="1299" t="str">
        <f t="shared" ref="D186:I186" si="176">IF(D183="SBC","44895.46","3228.75")</f>
        <v>44895.46</v>
      </c>
      <c r="E186" s="1256" t="str">
        <f t="shared" si="176"/>
        <v>44895.46</v>
      </c>
      <c r="F186" s="1256" t="str">
        <f t="shared" si="176"/>
        <v>44895.46</v>
      </c>
      <c r="G186" s="1256" t="str">
        <f t="shared" si="176"/>
        <v>44895.46</v>
      </c>
      <c r="H186" s="1256" t="str">
        <f t="shared" si="176"/>
        <v>44895.46</v>
      </c>
      <c r="I186" s="1256" t="str">
        <f t="shared" si="176"/>
        <v>44895.46</v>
      </c>
    </row>
    <row r="187" spans="2:23">
      <c r="B187" s="1225">
        <f t="shared" si="172"/>
        <v>6</v>
      </c>
      <c r="C187" s="1236" t="s">
        <v>1532</v>
      </c>
      <c r="D187" s="1251">
        <f t="shared" ref="D187:I187" si="177">D186*D185/10^7</f>
        <v>0</v>
      </c>
      <c r="E187" s="1251">
        <f t="shared" si="177"/>
        <v>88.565699385300945</v>
      </c>
      <c r="F187" s="1251">
        <f t="shared" si="177"/>
        <v>117.97985502056515</v>
      </c>
      <c r="G187" s="1252">
        <f t="shared" si="177"/>
        <v>117.98490274730811</v>
      </c>
      <c r="H187" s="1252">
        <f t="shared" si="177"/>
        <v>117.98490274730811</v>
      </c>
      <c r="I187" s="1252">
        <f t="shared" si="177"/>
        <v>117.98490274730811</v>
      </c>
    </row>
    <row r="188" spans="2:23">
      <c r="B188" s="1226"/>
      <c r="C188" s="1226"/>
      <c r="D188" s="1254"/>
      <c r="E188" s="1249"/>
      <c r="F188" s="1238"/>
      <c r="G188" s="1238"/>
      <c r="H188" s="1238"/>
      <c r="I188" s="1238"/>
    </row>
    <row r="189" spans="2:23">
      <c r="B189" s="1226"/>
      <c r="C189" s="1226"/>
      <c r="D189" s="1249"/>
      <c r="E189" s="1249"/>
      <c r="F189" s="1238"/>
      <c r="G189" s="1238"/>
      <c r="H189" s="1238"/>
      <c r="I189" s="1238"/>
    </row>
    <row r="190" spans="2:23" ht="25">
      <c r="B190" s="1225" t="s">
        <v>425</v>
      </c>
      <c r="C190" s="1225" t="s">
        <v>1533</v>
      </c>
      <c r="D190" s="1237"/>
      <c r="E190" s="1237"/>
      <c r="F190" s="1238"/>
      <c r="G190" s="1238"/>
      <c r="H190" s="1238"/>
      <c r="I190" s="1238"/>
    </row>
    <row r="191" spans="2:23">
      <c r="B191" s="1225">
        <v>1</v>
      </c>
      <c r="C191" s="1225" t="s">
        <v>1528</v>
      </c>
      <c r="D191" s="1244">
        <f t="shared" ref="D191:I191" si="178">D182</f>
        <v>0</v>
      </c>
      <c r="E191" s="1244">
        <f t="shared" si="178"/>
        <v>1397.3358790529862</v>
      </c>
      <c r="F191" s="1244">
        <f t="shared" si="178"/>
        <v>1861.41458341</v>
      </c>
      <c r="G191" s="1258">
        <f t="shared" si="178"/>
        <v>1861.4942233804913</v>
      </c>
      <c r="H191" s="1258">
        <f t="shared" si="178"/>
        <v>1861.4942233804913</v>
      </c>
      <c r="I191" s="1258">
        <f t="shared" si="178"/>
        <v>1861.4942233804913</v>
      </c>
    </row>
    <row r="192" spans="2:23">
      <c r="B192" s="1225">
        <f>B191+1</f>
        <v>2</v>
      </c>
      <c r="C192" s="1225" t="s">
        <v>1529</v>
      </c>
      <c r="D192" s="1256" t="s">
        <v>2197</v>
      </c>
      <c r="E192" s="1256" t="s">
        <v>2197</v>
      </c>
      <c r="F192" s="1256" t="s">
        <v>2197</v>
      </c>
      <c r="G192" s="1256" t="s">
        <v>2197</v>
      </c>
      <c r="H192" s="1256" t="s">
        <v>2197</v>
      </c>
      <c r="I192" s="1256" t="s">
        <v>2197</v>
      </c>
    </row>
    <row r="193" spans="2:9">
      <c r="B193" s="1225">
        <f t="shared" ref="B193:B196" si="179">B192+1</f>
        <v>3</v>
      </c>
      <c r="C193" s="1225" t="s">
        <v>1534</v>
      </c>
      <c r="D193" s="1244">
        <v>0.6</v>
      </c>
      <c r="E193" s="1244">
        <v>0.6</v>
      </c>
      <c r="F193" s="1244">
        <v>0.6</v>
      </c>
      <c r="G193" s="1244">
        <v>0.6</v>
      </c>
      <c r="H193" s="1244">
        <v>0.6</v>
      </c>
      <c r="I193" s="1244">
        <v>0.6</v>
      </c>
    </row>
    <row r="194" spans="2:9">
      <c r="B194" s="1225">
        <f t="shared" si="179"/>
        <v>4</v>
      </c>
      <c r="C194" s="1225" t="s">
        <v>1535</v>
      </c>
      <c r="D194" s="1244">
        <f t="shared" ref="D194" si="180">D191*D193</f>
        <v>0</v>
      </c>
      <c r="E194" s="1244">
        <f t="shared" ref="E194" si="181">E191*E193</f>
        <v>838.40152743179169</v>
      </c>
      <c r="F194" s="1244">
        <f>F191*F193</f>
        <v>1116.8487500459999</v>
      </c>
      <c r="G194" s="1257">
        <f>G191*G193</f>
        <v>1116.8965340282948</v>
      </c>
      <c r="H194" s="1257">
        <f>H191*H193</f>
        <v>1116.8965340282948</v>
      </c>
      <c r="I194" s="1257">
        <f>I191*I193</f>
        <v>1116.8965340282948</v>
      </c>
    </row>
    <row r="195" spans="2:9">
      <c r="B195" s="1225">
        <f t="shared" si="179"/>
        <v>5</v>
      </c>
      <c r="C195" s="1225" t="s">
        <v>1536</v>
      </c>
      <c r="D195" s="1249">
        <v>116.82</v>
      </c>
      <c r="E195" s="1249">
        <v>116.82</v>
      </c>
      <c r="F195" s="1249">
        <v>116.82</v>
      </c>
      <c r="G195" s="1249">
        <v>116.82</v>
      </c>
      <c r="H195" s="1249">
        <v>116.82</v>
      </c>
      <c r="I195" s="1249">
        <v>116.82</v>
      </c>
    </row>
    <row r="196" spans="2:9">
      <c r="B196" s="1225">
        <f t="shared" si="179"/>
        <v>6</v>
      </c>
      <c r="C196" s="1225" t="s">
        <v>1537</v>
      </c>
      <c r="D196" s="1244">
        <f t="shared" ref="D196:I196" si="182">D195*D194/10^7</f>
        <v>0</v>
      </c>
      <c r="E196" s="1244">
        <f t="shared" si="182"/>
        <v>9.7942066434581893E-3</v>
      </c>
      <c r="F196" s="1244">
        <f t="shared" si="182"/>
        <v>1.3047027098037369E-2</v>
      </c>
      <c r="G196" s="1257">
        <f t="shared" si="182"/>
        <v>1.304758531051854E-2</v>
      </c>
      <c r="H196" s="1257">
        <f t="shared" si="182"/>
        <v>1.304758531051854E-2</v>
      </c>
      <c r="I196" s="1257">
        <f t="shared" si="182"/>
        <v>1.304758531051854E-2</v>
      </c>
    </row>
    <row r="197" spans="2:9">
      <c r="B197" s="1"/>
      <c r="C197" s="1231"/>
      <c r="D197" s="1259"/>
      <c r="E197" s="1259"/>
      <c r="F197" s="1238"/>
      <c r="G197" s="1238"/>
      <c r="H197" s="1238"/>
      <c r="I197" s="1238"/>
    </row>
    <row r="198" spans="2:9" ht="14.5" thickBot="1">
      <c r="B198" s="40"/>
      <c r="C198" s="1227" t="s">
        <v>1538</v>
      </c>
      <c r="D198" s="1260">
        <f t="shared" ref="D198:I198" si="183">D187+D196</f>
        <v>0</v>
      </c>
      <c r="E198" s="1260">
        <f t="shared" si="183"/>
        <v>88.575493591944408</v>
      </c>
      <c r="F198" s="1260">
        <f t="shared" si="183"/>
        <v>117.99290204766319</v>
      </c>
      <c r="G198" s="1261">
        <f t="shared" si="183"/>
        <v>117.99795033261863</v>
      </c>
      <c r="H198" s="1261">
        <f t="shared" si="183"/>
        <v>117.99795033261863</v>
      </c>
      <c r="I198" s="1261">
        <f t="shared" si="183"/>
        <v>117.99795033261863</v>
      </c>
    </row>
    <row r="199" spans="2:9">
      <c r="B199" s="1"/>
      <c r="C199" s="1231"/>
      <c r="D199" s="1231"/>
      <c r="E199" s="1232"/>
      <c r="F199" s="1233"/>
      <c r="G199" s="1262"/>
      <c r="H199" s="1231"/>
      <c r="I199" s="1234"/>
    </row>
  </sheetData>
  <mergeCells count="14">
    <mergeCell ref="S6:W6"/>
    <mergeCell ref="N2:X2"/>
    <mergeCell ref="N3:X3"/>
    <mergeCell ref="N4:X4"/>
    <mergeCell ref="B6:B8"/>
    <mergeCell ref="C6:C8"/>
    <mergeCell ref="D6:D8"/>
    <mergeCell ref="X6:X8"/>
    <mergeCell ref="B2:L2"/>
    <mergeCell ref="B3:L3"/>
    <mergeCell ref="E6:H6"/>
    <mergeCell ref="I6:L6"/>
    <mergeCell ref="M6:R6"/>
    <mergeCell ref="B4:L4"/>
  </mergeCells>
  <phoneticPr fontId="20" type="noConversion"/>
  <dataValidations disablePrompts="1" count="1">
    <dataValidation type="list" allowBlank="1" showInputMessage="1" showErrorMessage="1" sqref="D173:I173" xr:uid="{00000000-0002-0000-0500-000000000000}">
      <formula1>$Y$3:$Y$5</formula1>
    </dataValidation>
  </dataValidations>
  <printOptions horizontalCentered="1" verticalCentered="1"/>
  <pageMargins left="0.19685039370078741" right="0.11811023622047245" top="3.937007874015748E-2" bottom="0" header="0.51181102362204722" footer="0.34"/>
  <pageSetup paperSize="9" scale="48" fitToHeight="0" orientation="landscape" r:id="rId1"/>
  <headerFooter alignWithMargins="0"/>
  <rowBreaks count="2" manualBreakCount="2">
    <brk id="67" max="16383" man="1"/>
    <brk id="125" max="16383" man="1"/>
  </rowBreaks>
  <colBreaks count="1" manualBreakCount="1">
    <brk id="1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2:U148"/>
  <sheetViews>
    <sheetView showGridLines="0" view="pageBreakPreview" zoomScale="60" zoomScaleNormal="75" workbookViewId="0">
      <pane xSplit="4" ySplit="9" topLeftCell="E88" activePane="bottomRight" state="frozen"/>
      <selection activeCell="I25" sqref="I25"/>
      <selection pane="topRight" activeCell="I25" sqref="I25"/>
      <selection pane="bottomLeft" activeCell="I25" sqref="I25"/>
      <selection pane="bottomRight" activeCell="G105" sqref="G105"/>
    </sheetView>
  </sheetViews>
  <sheetFormatPr defaultColWidth="9.36328125" defaultRowHeight="14"/>
  <cols>
    <col min="1" max="1" width="3.36328125" style="5" customWidth="1"/>
    <col min="2" max="2" width="8" style="5" customWidth="1"/>
    <col min="3" max="3" width="28.54296875" style="5" customWidth="1"/>
    <col min="4" max="6" width="15.6328125" style="5" customWidth="1"/>
    <col min="7" max="7" width="26" style="5" bestFit="1" customWidth="1"/>
    <col min="8" max="8" width="19.81640625" style="5" bestFit="1" customWidth="1"/>
    <col min="9" max="10" width="15.6328125" style="5" customWidth="1"/>
    <col min="11" max="11" width="16.36328125" style="5" customWidth="1"/>
    <col min="12" max="14" width="15.6328125" style="5" customWidth="1"/>
    <col min="15" max="15" width="25.08984375" style="5" bestFit="1" customWidth="1"/>
    <col min="16" max="21" width="15.6328125" style="5" customWidth="1"/>
    <col min="22" max="16384" width="9.36328125" style="5"/>
  </cols>
  <sheetData>
    <row r="2" spans="2:21">
      <c r="B2" s="1776" t="str">
        <f>Index!B2</f>
        <v xml:space="preserve">      Maharashtra State Power Generation Company Ltd.</v>
      </c>
      <c r="C2" s="1776"/>
      <c r="D2" s="1776"/>
      <c r="E2" s="1776"/>
      <c r="F2" s="1776"/>
      <c r="G2" s="1776"/>
      <c r="H2" s="1776"/>
      <c r="I2" s="1776"/>
      <c r="J2" s="1776"/>
      <c r="K2" s="1802" t="str">
        <f>B2</f>
        <v xml:space="preserve">      Maharashtra State Power Generation Company Ltd.</v>
      </c>
      <c r="L2" s="1802"/>
      <c r="M2" s="1802"/>
      <c r="N2" s="1802"/>
      <c r="O2" s="1802"/>
      <c r="P2" s="1802"/>
      <c r="Q2" s="1802"/>
      <c r="R2" s="1802"/>
      <c r="S2" s="1802"/>
      <c r="T2" s="1802"/>
      <c r="U2" s="1802"/>
    </row>
    <row r="3" spans="2:21">
      <c r="B3" s="1776" t="str">
        <f>Index!B3</f>
        <v>MYT Petition Formats for Parli 8</v>
      </c>
      <c r="C3" s="1776"/>
      <c r="D3" s="1776"/>
      <c r="E3" s="1776"/>
      <c r="F3" s="1776"/>
      <c r="G3" s="1776"/>
      <c r="H3" s="1776"/>
      <c r="I3" s="1776"/>
      <c r="J3" s="1776"/>
      <c r="K3" s="1802" t="str">
        <f>B3</f>
        <v>MYT Petition Formats for Parli 8</v>
      </c>
      <c r="L3" s="1802"/>
      <c r="M3" s="1802"/>
      <c r="N3" s="1802"/>
      <c r="O3" s="1802"/>
      <c r="P3" s="1802"/>
      <c r="Q3" s="1802"/>
      <c r="R3" s="1802"/>
      <c r="S3" s="1802"/>
      <c r="T3" s="1802"/>
      <c r="U3" s="1802"/>
    </row>
    <row r="4" spans="2:21">
      <c r="B4" s="1776" t="s">
        <v>383</v>
      </c>
      <c r="C4" s="1776"/>
      <c r="D4" s="1776"/>
      <c r="E4" s="1776"/>
      <c r="F4" s="1776"/>
      <c r="G4" s="1776"/>
      <c r="H4" s="1776"/>
      <c r="I4" s="1776"/>
      <c r="J4" s="1776"/>
      <c r="K4" s="1802" t="str">
        <f>B4</f>
        <v>Form 2.3: Fuel Cost Details for Thermal Generation</v>
      </c>
      <c r="L4" s="1802"/>
      <c r="M4" s="1802"/>
      <c r="N4" s="1802"/>
      <c r="O4" s="1802"/>
      <c r="P4" s="1802"/>
      <c r="Q4" s="1802"/>
      <c r="R4" s="1802"/>
      <c r="S4" s="1802"/>
      <c r="T4" s="1802"/>
      <c r="U4" s="1802"/>
    </row>
    <row r="5" spans="2:21">
      <c r="B5" s="191"/>
      <c r="C5" s="117"/>
      <c r="D5" s="117"/>
      <c r="E5" s="117"/>
      <c r="F5" s="117"/>
      <c r="G5" s="117"/>
      <c r="H5" s="117"/>
      <c r="I5" s="117"/>
      <c r="J5" s="117"/>
      <c r="K5" s="117"/>
      <c r="L5" s="117"/>
      <c r="M5" s="117"/>
      <c r="N5" s="117"/>
      <c r="O5" s="117"/>
      <c r="P5" s="117"/>
      <c r="Q5" s="117"/>
      <c r="R5" s="117"/>
      <c r="S5" s="117"/>
      <c r="T5" s="117"/>
      <c r="U5" s="117"/>
    </row>
    <row r="6" spans="2:21">
      <c r="B6" s="53"/>
      <c r="C6" s="17"/>
      <c r="D6" s="18"/>
      <c r="E6" s="18"/>
      <c r="F6" s="18"/>
      <c r="G6" s="18"/>
      <c r="H6" s="18"/>
      <c r="I6" s="18"/>
      <c r="J6" s="18"/>
      <c r="K6" s="18"/>
      <c r="L6" s="18"/>
      <c r="M6" s="18"/>
    </row>
    <row r="7" spans="2:21" s="35" customFormat="1" ht="15">
      <c r="B7" s="1804" t="s">
        <v>340</v>
      </c>
      <c r="C7" s="1806" t="s">
        <v>36</v>
      </c>
      <c r="D7" s="1806" t="s">
        <v>138</v>
      </c>
      <c r="E7" s="1772" t="s">
        <v>508</v>
      </c>
      <c r="F7" s="1773"/>
      <c r="G7" s="1774"/>
      <c r="H7" s="1772" t="s">
        <v>509</v>
      </c>
      <c r="I7" s="1773"/>
      <c r="J7" s="1774"/>
      <c r="K7" s="1772" t="s">
        <v>510</v>
      </c>
      <c r="L7" s="1773"/>
      <c r="M7" s="1773"/>
      <c r="N7" s="1773"/>
      <c r="O7" s="1774"/>
      <c r="P7" s="1775" t="s">
        <v>957</v>
      </c>
      <c r="Q7" s="1775"/>
      <c r="R7" s="1775"/>
      <c r="S7" s="1775"/>
      <c r="T7" s="1775"/>
      <c r="U7" s="1778" t="s">
        <v>26</v>
      </c>
    </row>
    <row r="8" spans="2:21" s="36" customFormat="1" ht="44.25" customHeight="1">
      <c r="B8" s="1804"/>
      <c r="C8" s="1806"/>
      <c r="D8" s="1806"/>
      <c r="E8" s="296" t="s">
        <v>914</v>
      </c>
      <c r="F8" s="297" t="s">
        <v>78</v>
      </c>
      <c r="G8" s="297" t="s">
        <v>451</v>
      </c>
      <c r="H8" s="749" t="s">
        <v>914</v>
      </c>
      <c r="I8" s="297" t="s">
        <v>78</v>
      </c>
      <c r="J8" s="297" t="s">
        <v>451</v>
      </c>
      <c r="K8" s="749" t="s">
        <v>914</v>
      </c>
      <c r="L8" s="297" t="s">
        <v>444</v>
      </c>
      <c r="M8" s="297" t="s">
        <v>448</v>
      </c>
      <c r="N8" s="297" t="s">
        <v>79</v>
      </c>
      <c r="O8" s="297" t="s">
        <v>452</v>
      </c>
      <c r="P8" s="709" t="s">
        <v>958</v>
      </c>
      <c r="Q8" s="709" t="s">
        <v>959</v>
      </c>
      <c r="R8" s="709" t="s">
        <v>960</v>
      </c>
      <c r="S8" s="709" t="s">
        <v>961</v>
      </c>
      <c r="T8" s="709" t="s">
        <v>962</v>
      </c>
      <c r="U8" s="1779"/>
    </row>
    <row r="9" spans="2:21" s="36" customFormat="1" ht="15">
      <c r="B9" s="1805"/>
      <c r="C9" s="1782"/>
      <c r="D9" s="1782"/>
      <c r="E9" s="297" t="s">
        <v>80</v>
      </c>
      <c r="F9" s="297" t="s">
        <v>81</v>
      </c>
      <c r="G9" s="297" t="s">
        <v>676</v>
      </c>
      <c r="H9" s="297" t="s">
        <v>391</v>
      </c>
      <c r="I9" s="297" t="s">
        <v>409</v>
      </c>
      <c r="J9" s="297" t="s">
        <v>456</v>
      </c>
      <c r="K9" s="297" t="s">
        <v>410</v>
      </c>
      <c r="L9" s="297" t="s">
        <v>411</v>
      </c>
      <c r="M9" s="297" t="s">
        <v>591</v>
      </c>
      <c r="N9" s="297" t="s">
        <v>677</v>
      </c>
      <c r="O9" s="297" t="s">
        <v>974</v>
      </c>
      <c r="P9" s="709" t="s">
        <v>21</v>
      </c>
      <c r="Q9" s="709" t="s">
        <v>21</v>
      </c>
      <c r="R9" s="709" t="s">
        <v>21</v>
      </c>
      <c r="S9" s="709" t="s">
        <v>21</v>
      </c>
      <c r="T9" s="709" t="s">
        <v>21</v>
      </c>
      <c r="U9" s="1807"/>
    </row>
    <row r="10" spans="2:21" s="36" customFormat="1" ht="15.5">
      <c r="B10" s="347" t="s">
        <v>171</v>
      </c>
      <c r="C10" s="348" t="s">
        <v>779</v>
      </c>
      <c r="D10" s="404"/>
      <c r="E10" s="404"/>
      <c r="F10" s="404"/>
      <c r="G10" s="404"/>
      <c r="H10" s="404"/>
      <c r="I10" s="404"/>
      <c r="J10" s="404"/>
      <c r="K10" s="394"/>
      <c r="L10" s="394"/>
      <c r="M10" s="394"/>
      <c r="N10" s="394"/>
      <c r="O10" s="394"/>
      <c r="P10" s="394"/>
      <c r="Q10" s="394"/>
      <c r="R10" s="394"/>
      <c r="S10" s="394"/>
      <c r="T10" s="394"/>
      <c r="U10" s="394"/>
    </row>
    <row r="11" spans="2:21" s="427" customFormat="1" ht="15.5">
      <c r="B11" s="425">
        <v>1</v>
      </c>
      <c r="C11" s="405" t="s">
        <v>139</v>
      </c>
      <c r="D11" s="471" t="s">
        <v>116</v>
      </c>
      <c r="E11" s="760">
        <f>F11</f>
        <v>3195.75</v>
      </c>
      <c r="F11" s="755">
        <v>3195.75</v>
      </c>
      <c r="G11" s="755">
        <f>F11-E11</f>
        <v>0</v>
      </c>
      <c r="H11" s="760">
        <f>I11</f>
        <v>3720.0316038564001</v>
      </c>
      <c r="I11" s="884">
        <v>3720.0316038564001</v>
      </c>
      <c r="J11" s="755">
        <f>I11-H11</f>
        <v>0</v>
      </c>
      <c r="K11" s="658"/>
      <c r="L11" s="1267">
        <v>3391.6290661731618</v>
      </c>
      <c r="M11" s="1267"/>
      <c r="N11" s="1268"/>
      <c r="O11" s="521">
        <f>N11-K11</f>
        <v>0</v>
      </c>
      <c r="P11" s="1229"/>
      <c r="Q11" s="1229"/>
      <c r="R11" s="1229"/>
      <c r="S11" s="1229"/>
      <c r="T11" s="1229"/>
      <c r="U11" s="426"/>
    </row>
    <row r="12" spans="2:21" s="427" customFormat="1" ht="15.5">
      <c r="B12" s="425">
        <f>B11+1</f>
        <v>2</v>
      </c>
      <c r="C12" s="406" t="s">
        <v>780</v>
      </c>
      <c r="D12" s="471" t="s">
        <v>116</v>
      </c>
      <c r="E12" s="760">
        <f t="shared" ref="E12:E22" si="0">F12</f>
        <v>1152.49</v>
      </c>
      <c r="F12" s="755">
        <v>1152.49</v>
      </c>
      <c r="G12" s="755">
        <f t="shared" ref="G12:G25" si="1">F12-E12</f>
        <v>0</v>
      </c>
      <c r="H12" s="760">
        <f t="shared" ref="H12:H22" si="2">I12</f>
        <v>1221</v>
      </c>
      <c r="I12" s="884">
        <v>1221</v>
      </c>
      <c r="J12" s="755">
        <f t="shared" ref="J12:J25" si="3">I12-H12</f>
        <v>0</v>
      </c>
      <c r="K12" s="658"/>
      <c r="L12" s="1267">
        <v>1186.0065554879945</v>
      </c>
      <c r="M12" s="1267"/>
      <c r="N12" s="585"/>
      <c r="O12" s="521">
        <f t="shared" ref="O12:O25" si="4">N12-K12</f>
        <v>0</v>
      </c>
      <c r="P12" s="1229"/>
      <c r="Q12" s="1229"/>
      <c r="R12" s="1229"/>
      <c r="S12" s="1229"/>
      <c r="T12" s="1229"/>
      <c r="U12" s="426"/>
    </row>
    <row r="13" spans="2:21" s="427" customFormat="1" ht="15.5">
      <c r="B13" s="425">
        <f t="shared" ref="B13:B26" si="5">B12+1</f>
        <v>3</v>
      </c>
      <c r="C13" s="406" t="s">
        <v>227</v>
      </c>
      <c r="D13" s="471" t="s">
        <v>116</v>
      </c>
      <c r="E13" s="760">
        <f t="shared" si="0"/>
        <v>0</v>
      </c>
      <c r="F13" s="755">
        <v>0</v>
      </c>
      <c r="G13" s="755">
        <f t="shared" si="1"/>
        <v>0</v>
      </c>
      <c r="H13" s="760">
        <f t="shared" si="2"/>
        <v>0</v>
      </c>
      <c r="I13" s="884">
        <v>0</v>
      </c>
      <c r="J13" s="755">
        <f t="shared" si="3"/>
        <v>0</v>
      </c>
      <c r="K13" s="658"/>
      <c r="L13" s="1267">
        <v>0</v>
      </c>
      <c r="M13" s="1267"/>
      <c r="N13" s="585"/>
      <c r="O13" s="521">
        <f t="shared" si="4"/>
        <v>0</v>
      </c>
      <c r="P13" s="1229"/>
      <c r="Q13" s="1229"/>
      <c r="R13" s="1229"/>
      <c r="S13" s="1229"/>
      <c r="T13" s="1229"/>
      <c r="U13" s="426"/>
    </row>
    <row r="14" spans="2:21" s="427" customFormat="1" ht="15.5">
      <c r="B14" s="425">
        <f t="shared" si="5"/>
        <v>4</v>
      </c>
      <c r="C14" s="406" t="s">
        <v>789</v>
      </c>
      <c r="D14" s="471" t="s">
        <v>116</v>
      </c>
      <c r="E14" s="760">
        <f t="shared" si="0"/>
        <v>0</v>
      </c>
      <c r="F14" s="755">
        <v>0</v>
      </c>
      <c r="G14" s="755">
        <f t="shared" si="1"/>
        <v>0</v>
      </c>
      <c r="H14" s="760">
        <f t="shared" si="2"/>
        <v>0</v>
      </c>
      <c r="I14" s="884">
        <v>0</v>
      </c>
      <c r="J14" s="755">
        <f t="shared" si="3"/>
        <v>0</v>
      </c>
      <c r="K14" s="658"/>
      <c r="L14" s="1267">
        <v>0</v>
      </c>
      <c r="M14" s="1267"/>
      <c r="N14" s="585"/>
      <c r="O14" s="755">
        <f t="shared" si="4"/>
        <v>0</v>
      </c>
      <c r="P14" s="1229"/>
      <c r="Q14" s="1229"/>
      <c r="R14" s="1229"/>
      <c r="S14" s="1229"/>
      <c r="T14" s="1229"/>
      <c r="U14" s="409"/>
    </row>
    <row r="15" spans="2:21" s="427" customFormat="1" ht="15.5">
      <c r="B15" s="425">
        <f t="shared" si="5"/>
        <v>5</v>
      </c>
      <c r="C15" s="406" t="s">
        <v>821</v>
      </c>
      <c r="D15" s="471" t="s">
        <v>116</v>
      </c>
      <c r="E15" s="760">
        <f t="shared" si="0"/>
        <v>201.61623000000003</v>
      </c>
      <c r="F15" s="755">
        <v>201.61623000000003</v>
      </c>
      <c r="G15" s="755">
        <f t="shared" si="1"/>
        <v>0</v>
      </c>
      <c r="H15" s="760">
        <f t="shared" si="2"/>
        <v>233.37467221245316</v>
      </c>
      <c r="I15" s="884">
        <v>233.37467221245316</v>
      </c>
      <c r="J15" s="755">
        <f t="shared" si="3"/>
        <v>0</v>
      </c>
      <c r="K15" s="658"/>
      <c r="L15" s="1267">
        <v>213.54753030380326</v>
      </c>
      <c r="M15" s="1267"/>
      <c r="N15" s="585"/>
      <c r="O15" s="755">
        <f t="shared" si="4"/>
        <v>0</v>
      </c>
      <c r="P15" s="1229"/>
      <c r="Q15" s="1229"/>
      <c r="R15" s="1229"/>
      <c r="S15" s="1229"/>
      <c r="T15" s="1229"/>
      <c r="U15" s="409"/>
    </row>
    <row r="16" spans="2:21" s="427" customFormat="1" ht="15.5">
      <c r="B16" s="425">
        <f t="shared" si="5"/>
        <v>6</v>
      </c>
      <c r="C16" s="406" t="s">
        <v>781</v>
      </c>
      <c r="D16" s="471" t="s">
        <v>116</v>
      </c>
      <c r="E16" s="760">
        <f t="shared" si="0"/>
        <v>0</v>
      </c>
      <c r="F16" s="755">
        <v>0</v>
      </c>
      <c r="G16" s="755">
        <f t="shared" si="1"/>
        <v>0</v>
      </c>
      <c r="H16" s="760">
        <f t="shared" si="2"/>
        <v>0</v>
      </c>
      <c r="I16" s="884">
        <v>0</v>
      </c>
      <c r="J16" s="755">
        <f t="shared" si="3"/>
        <v>0</v>
      </c>
      <c r="K16" s="658"/>
      <c r="L16" s="1267">
        <v>0</v>
      </c>
      <c r="M16" s="1267"/>
      <c r="N16" s="585"/>
      <c r="O16" s="755">
        <f t="shared" si="4"/>
        <v>0</v>
      </c>
      <c r="P16" s="1229"/>
      <c r="Q16" s="1229"/>
      <c r="R16" s="1229"/>
      <c r="S16" s="1229"/>
      <c r="T16" s="1229"/>
      <c r="U16" s="409"/>
    </row>
    <row r="17" spans="2:21" s="427" customFormat="1" ht="15.5">
      <c r="B17" s="425">
        <f t="shared" si="5"/>
        <v>7</v>
      </c>
      <c r="C17" s="406" t="s">
        <v>782</v>
      </c>
      <c r="D17" s="471" t="s">
        <v>116</v>
      </c>
      <c r="E17" s="760">
        <f t="shared" si="0"/>
        <v>447.40500000000003</v>
      </c>
      <c r="F17" s="755">
        <v>447.40500000000003</v>
      </c>
      <c r="G17" s="755">
        <f t="shared" si="1"/>
        <v>0</v>
      </c>
      <c r="H17" s="760">
        <f t="shared" si="2"/>
        <v>520.8044245398961</v>
      </c>
      <c r="I17" s="884">
        <v>520.8044245398961</v>
      </c>
      <c r="J17" s="755">
        <f t="shared" si="3"/>
        <v>0</v>
      </c>
      <c r="K17" s="658"/>
      <c r="L17" s="1267">
        <v>474.82806926424269</v>
      </c>
      <c r="M17" s="1267"/>
      <c r="N17" s="585"/>
      <c r="O17" s="755">
        <f t="shared" si="4"/>
        <v>0</v>
      </c>
      <c r="P17" s="1229"/>
      <c r="Q17" s="1229"/>
      <c r="R17" s="1229"/>
      <c r="S17" s="1229"/>
      <c r="T17" s="1229"/>
      <c r="U17" s="409"/>
    </row>
    <row r="18" spans="2:21" s="427" customFormat="1" ht="15.5">
      <c r="B18" s="425">
        <f t="shared" si="5"/>
        <v>8</v>
      </c>
      <c r="C18" s="406" t="s">
        <v>783</v>
      </c>
      <c r="D18" s="471" t="s">
        <v>116</v>
      </c>
      <c r="E18" s="760">
        <f t="shared" si="0"/>
        <v>123</v>
      </c>
      <c r="F18" s="755">
        <v>123</v>
      </c>
      <c r="G18" s="755">
        <f t="shared" si="1"/>
        <v>0</v>
      </c>
      <c r="H18" s="760">
        <f t="shared" si="2"/>
        <v>130</v>
      </c>
      <c r="I18" s="884">
        <v>130</v>
      </c>
      <c r="J18" s="755">
        <f t="shared" si="3"/>
        <v>0</v>
      </c>
      <c r="K18" s="658"/>
      <c r="L18" s="1267">
        <v>126.27424423705102</v>
      </c>
      <c r="M18" s="1267"/>
      <c r="N18" s="585"/>
      <c r="O18" s="755">
        <f t="shared" si="4"/>
        <v>0</v>
      </c>
      <c r="P18" s="1229"/>
      <c r="Q18" s="1229"/>
      <c r="R18" s="1229"/>
      <c r="S18" s="1229"/>
      <c r="T18" s="1229"/>
      <c r="U18" s="409"/>
    </row>
    <row r="19" spans="2:21" s="427" customFormat="1" ht="15.5">
      <c r="B19" s="425">
        <f t="shared" si="5"/>
        <v>9</v>
      </c>
      <c r="C19" s="406" t="s">
        <v>784</v>
      </c>
      <c r="D19" s="471" t="s">
        <v>116</v>
      </c>
      <c r="E19" s="760">
        <f t="shared" si="0"/>
        <v>400</v>
      </c>
      <c r="F19" s="755">
        <v>400</v>
      </c>
      <c r="G19" s="755">
        <f t="shared" si="1"/>
        <v>0</v>
      </c>
      <c r="H19" s="760">
        <f t="shared" si="2"/>
        <v>400</v>
      </c>
      <c r="I19" s="884">
        <v>400</v>
      </c>
      <c r="J19" s="755">
        <f t="shared" si="3"/>
        <v>0</v>
      </c>
      <c r="K19" s="658"/>
      <c r="L19" s="1267">
        <v>400</v>
      </c>
      <c r="M19" s="1267"/>
      <c r="N19" s="585"/>
      <c r="O19" s="755">
        <f t="shared" si="4"/>
        <v>0</v>
      </c>
      <c r="P19" s="1229"/>
      <c r="Q19" s="1229"/>
      <c r="R19" s="1229"/>
      <c r="S19" s="1229"/>
      <c r="T19" s="1229"/>
      <c r="U19" s="409"/>
    </row>
    <row r="20" spans="2:21" s="427" customFormat="1" ht="15.5">
      <c r="B20" s="425">
        <f t="shared" si="5"/>
        <v>10</v>
      </c>
      <c r="C20" s="406" t="s">
        <v>785</v>
      </c>
      <c r="D20" s="471" t="s">
        <v>116</v>
      </c>
      <c r="E20" s="760">
        <f t="shared" si="0"/>
        <v>123</v>
      </c>
      <c r="F20" s="755">
        <v>123</v>
      </c>
      <c r="G20" s="755">
        <f t="shared" si="1"/>
        <v>0</v>
      </c>
      <c r="H20" s="760">
        <f t="shared" si="2"/>
        <v>130</v>
      </c>
      <c r="I20" s="884">
        <v>130</v>
      </c>
      <c r="J20" s="755">
        <f t="shared" si="3"/>
        <v>0</v>
      </c>
      <c r="K20" s="658"/>
      <c r="L20" s="1267">
        <v>126.27424423705102</v>
      </c>
      <c r="M20" s="1267"/>
      <c r="N20" s="585"/>
      <c r="O20" s="755">
        <f t="shared" si="4"/>
        <v>0</v>
      </c>
      <c r="P20" s="1229"/>
      <c r="Q20" s="1229"/>
      <c r="R20" s="1229"/>
      <c r="S20" s="1229"/>
      <c r="T20" s="1229"/>
      <c r="U20" s="409"/>
    </row>
    <row r="21" spans="2:21" s="427" customFormat="1" ht="15.5">
      <c r="B21" s="425">
        <f t="shared" si="5"/>
        <v>11</v>
      </c>
      <c r="C21" s="406" t="s">
        <v>817</v>
      </c>
      <c r="D21" s="471" t="s">
        <v>116</v>
      </c>
      <c r="E21" s="760">
        <f t="shared" si="0"/>
        <v>143.1696</v>
      </c>
      <c r="F21" s="755">
        <v>143.1696</v>
      </c>
      <c r="G21" s="755">
        <f t="shared" si="1"/>
        <v>0</v>
      </c>
      <c r="H21" s="760">
        <f t="shared" si="2"/>
        <v>166.65741585276675</v>
      </c>
      <c r="I21" s="884">
        <v>166.65741585276675</v>
      </c>
      <c r="J21" s="755">
        <f t="shared" si="3"/>
        <v>0</v>
      </c>
      <c r="K21" s="658"/>
      <c r="L21" s="1267">
        <v>151.94498216455767</v>
      </c>
      <c r="M21" s="1267"/>
      <c r="N21" s="585"/>
      <c r="O21" s="755">
        <f t="shared" si="4"/>
        <v>0</v>
      </c>
      <c r="P21" s="1229"/>
      <c r="Q21" s="1229"/>
      <c r="R21" s="1229"/>
      <c r="S21" s="1229"/>
      <c r="T21" s="1229"/>
      <c r="U21" s="409"/>
    </row>
    <row r="22" spans="2:21" s="427" customFormat="1" ht="15.5">
      <c r="B22" s="425">
        <f t="shared" si="5"/>
        <v>12</v>
      </c>
      <c r="C22" s="406" t="s">
        <v>806</v>
      </c>
      <c r="D22" s="471" t="s">
        <v>116</v>
      </c>
      <c r="E22" s="760">
        <f t="shared" si="0"/>
        <v>35.428847330438742</v>
      </c>
      <c r="F22" s="1165">
        <v>35.428847330438742</v>
      </c>
      <c r="G22" s="1165">
        <f t="shared" si="1"/>
        <v>0</v>
      </c>
      <c r="H22" s="760">
        <f t="shared" si="2"/>
        <v>37.592706153069443</v>
      </c>
      <c r="I22" s="1165">
        <v>37.592706153069443</v>
      </c>
      <c r="J22" s="1165">
        <f t="shared" si="3"/>
        <v>0</v>
      </c>
      <c r="K22" s="658"/>
      <c r="L22" s="1301">
        <v>69.554511021643535</v>
      </c>
      <c r="M22" s="1301"/>
      <c r="N22" s="585"/>
      <c r="O22" s="1165">
        <f t="shared" si="4"/>
        <v>0</v>
      </c>
      <c r="P22" s="1301"/>
      <c r="Q22" s="1301"/>
      <c r="R22" s="1301"/>
      <c r="S22" s="1301"/>
      <c r="T22" s="1301"/>
      <c r="U22" s="409"/>
    </row>
    <row r="23" spans="2:21" s="427" customFormat="1" ht="45">
      <c r="B23" s="489">
        <f t="shared" si="5"/>
        <v>13</v>
      </c>
      <c r="C23" s="428" t="s">
        <v>704</v>
      </c>
      <c r="D23" s="471" t="s">
        <v>116</v>
      </c>
      <c r="E23" s="464">
        <f>SUM(E11:E22)</f>
        <v>5821.859677330438</v>
      </c>
      <c r="F23" s="464">
        <f>SUM(F11:F22)</f>
        <v>5821.859677330438</v>
      </c>
      <c r="G23" s="464">
        <f t="shared" si="1"/>
        <v>0</v>
      </c>
      <c r="H23" s="464">
        <f>SUM(H11:H22)</f>
        <v>6559.4608226145847</v>
      </c>
      <c r="I23" s="464">
        <f>SUM(I11:I22)</f>
        <v>6559.4608226145847</v>
      </c>
      <c r="J23" s="464">
        <f>SUM(J11:J22)</f>
        <v>0</v>
      </c>
      <c r="K23" s="1136"/>
      <c r="L23" s="1136">
        <f t="shared" ref="L23" si="6">SUM(L11:L22)</f>
        <v>6140.0592028895053</v>
      </c>
      <c r="M23" s="1136"/>
      <c r="N23" s="1269"/>
      <c r="O23" s="464">
        <f t="shared" ref="O23" si="7">SUM(O11:O22)</f>
        <v>0</v>
      </c>
      <c r="P23" s="1136"/>
      <c r="Q23" s="1136"/>
      <c r="R23" s="1136"/>
      <c r="S23" s="1136"/>
      <c r="T23" s="1136"/>
      <c r="U23" s="409"/>
    </row>
    <row r="24" spans="2:21" s="427" customFormat="1" ht="15.5">
      <c r="B24" s="425">
        <f t="shared" si="5"/>
        <v>14</v>
      </c>
      <c r="C24" s="429" t="s">
        <v>142</v>
      </c>
      <c r="D24" s="471" t="s">
        <v>98</v>
      </c>
      <c r="E24" s="463">
        <f>'F2.2'!F43</f>
        <v>8.0000000000000002E-3</v>
      </c>
      <c r="F24" s="463">
        <f>'F2.2'!$G$44</f>
        <v>4.8999999999999998E-3</v>
      </c>
      <c r="G24" s="463">
        <f t="shared" si="1"/>
        <v>-3.1000000000000003E-3</v>
      </c>
      <c r="H24" s="463">
        <f>'F2.2'!$J$43</f>
        <v>8.0000000000000002E-3</v>
      </c>
      <c r="I24" s="463">
        <f>'F2.2'!$K$44</f>
        <v>1.1000000000000001E-3</v>
      </c>
      <c r="J24" s="463">
        <f t="shared" si="3"/>
        <v>-6.8999999999999999E-3</v>
      </c>
      <c r="K24" s="463"/>
      <c r="L24" s="463">
        <f>'F2.2'!O44</f>
        <v>5.0535282221190027E-3</v>
      </c>
      <c r="M24" s="463"/>
      <c r="N24" s="1270"/>
      <c r="O24" s="463">
        <f t="shared" si="4"/>
        <v>0</v>
      </c>
      <c r="P24" s="463"/>
      <c r="Q24" s="463"/>
      <c r="R24" s="463"/>
      <c r="S24" s="463"/>
      <c r="T24" s="463"/>
      <c r="U24" s="410"/>
    </row>
    <row r="25" spans="2:21" s="427" customFormat="1" ht="15.5">
      <c r="B25" s="425">
        <f t="shared" si="5"/>
        <v>15</v>
      </c>
      <c r="C25" s="429" t="s">
        <v>684</v>
      </c>
      <c r="D25" s="471" t="s">
        <v>116</v>
      </c>
      <c r="E25" s="755"/>
      <c r="F25" s="761"/>
      <c r="G25" s="755">
        <f t="shared" si="1"/>
        <v>0</v>
      </c>
      <c r="H25" s="755"/>
      <c r="I25" s="755"/>
      <c r="J25" s="755">
        <f t="shared" si="3"/>
        <v>0</v>
      </c>
      <c r="K25" s="1267"/>
      <c r="L25" s="1267"/>
      <c r="M25" s="1267"/>
      <c r="N25" s="1267"/>
      <c r="O25" s="755">
        <f t="shared" si="4"/>
        <v>0</v>
      </c>
      <c r="P25" s="1229"/>
      <c r="Q25" s="1137"/>
      <c r="R25" s="1229"/>
      <c r="S25" s="1137"/>
      <c r="T25" s="1137"/>
      <c r="U25" s="410"/>
    </row>
    <row r="26" spans="2:21" s="427" customFormat="1" ht="45">
      <c r="B26" s="489">
        <f t="shared" si="5"/>
        <v>16</v>
      </c>
      <c r="C26" s="428" t="s">
        <v>705</v>
      </c>
      <c r="D26" s="430" t="s">
        <v>116</v>
      </c>
      <c r="E26" s="464">
        <f t="shared" ref="E26:J26" si="8">(E23-E22)/(1-E24)+E25+E22</f>
        <v>5868.5244420885028</v>
      </c>
      <c r="F26" s="464">
        <f>(F23-F22)/(1-F24)+F25+F22</f>
        <v>5850.352804721655</v>
      </c>
      <c r="G26" s="464">
        <f t="shared" si="8"/>
        <v>0</v>
      </c>
      <c r="H26" s="464">
        <f t="shared" si="8"/>
        <v>6612.0565332312099</v>
      </c>
      <c r="I26" s="464">
        <f t="shared" si="8"/>
        <v>6566.6427776932787</v>
      </c>
      <c r="J26" s="464">
        <f t="shared" si="8"/>
        <v>0</v>
      </c>
      <c r="K26" s="1136">
        <f>N26</f>
        <v>6404.2866835373779</v>
      </c>
      <c r="L26" s="1136">
        <f>(L23-L22)/(1-L24)+L25+L22</f>
        <v>6170.892486541481</v>
      </c>
      <c r="M26" s="1136">
        <v>6566.6427776932787</v>
      </c>
      <c r="N26" s="1136">
        <f>SUMPRODUCT(L26:M26,'F2.2'!O94:P94)/SUM('F2.2'!O94:P94)</f>
        <v>6404.2866835373779</v>
      </c>
      <c r="O26" s="743">
        <f>O23/(1-O24)+O25</f>
        <v>0</v>
      </c>
      <c r="P26" s="1136">
        <v>6709.5079051249859</v>
      </c>
      <c r="Q26" s="1136">
        <v>7044.9833003812355</v>
      </c>
      <c r="R26" s="1136">
        <v>7397.2324654002987</v>
      </c>
      <c r="S26" s="1136">
        <v>7767.0940886703138</v>
      </c>
      <c r="T26" s="1136">
        <v>8155.4487931038284</v>
      </c>
      <c r="U26" s="464"/>
    </row>
    <row r="27" spans="2:21" s="6" customFormat="1" ht="15.5">
      <c r="B27" s="412"/>
      <c r="C27" s="408"/>
      <c r="D27" s="411"/>
      <c r="E27" s="431"/>
      <c r="F27" s="431"/>
      <c r="G27" s="755"/>
      <c r="H27" s="431"/>
      <c r="I27" s="431"/>
      <c r="J27" s="755"/>
      <c r="K27" s="431"/>
      <c r="L27" s="431"/>
      <c r="M27" s="431"/>
      <c r="N27" s="1267"/>
      <c r="O27" s="755"/>
      <c r="P27" s="431"/>
      <c r="Q27" s="431"/>
      <c r="R27" s="431"/>
      <c r="S27" s="431"/>
      <c r="T27" s="431"/>
      <c r="U27" s="399"/>
    </row>
    <row r="28" spans="2:21" s="6" customFormat="1" ht="15">
      <c r="B28" s="350" t="s">
        <v>184</v>
      </c>
      <c r="C28" s="351" t="s">
        <v>786</v>
      </c>
      <c r="D28" s="411"/>
      <c r="E28" s="431"/>
      <c r="F28" s="431"/>
      <c r="G28" s="755"/>
      <c r="H28" s="431"/>
      <c r="I28" s="431"/>
      <c r="J28" s="755"/>
      <c r="K28" s="431"/>
      <c r="L28" s="431"/>
      <c r="M28" s="431"/>
      <c r="N28" s="1267"/>
      <c r="O28" s="755"/>
      <c r="P28" s="431"/>
      <c r="Q28" s="431"/>
      <c r="R28" s="431"/>
      <c r="S28" s="431"/>
      <c r="T28" s="431"/>
      <c r="U28" s="399"/>
    </row>
    <row r="29" spans="2:21" s="6" customFormat="1" ht="15.5">
      <c r="B29" s="352">
        <v>1</v>
      </c>
      <c r="C29" s="406" t="s">
        <v>787</v>
      </c>
      <c r="D29" s="411" t="s">
        <v>116</v>
      </c>
      <c r="E29" s="755">
        <f>F29</f>
        <v>0</v>
      </c>
      <c r="F29" s="755">
        <v>0</v>
      </c>
      <c r="G29" s="755">
        <f t="shared" ref="G29:G39" si="9">F29-E29</f>
        <v>0</v>
      </c>
      <c r="H29" s="755">
        <f>I29</f>
        <v>0</v>
      </c>
      <c r="I29" s="884">
        <v>0</v>
      </c>
      <c r="J29" s="755">
        <f t="shared" ref="J29:J39" si="10">I29-H29</f>
        <v>0</v>
      </c>
      <c r="K29" s="554">
        <f>N29</f>
        <v>0</v>
      </c>
      <c r="L29" s="1267">
        <v>0</v>
      </c>
      <c r="M29" s="1267"/>
      <c r="N29" s="1267"/>
      <c r="O29" s="755">
        <f t="shared" ref="O29:O38" si="11">N29-K29</f>
        <v>0</v>
      </c>
      <c r="P29" s="1229"/>
      <c r="Q29" s="1229"/>
      <c r="R29" s="1229"/>
      <c r="S29" s="1229"/>
      <c r="T29" s="1229"/>
      <c r="U29" s="399"/>
    </row>
    <row r="30" spans="2:21" s="6" customFormat="1" ht="15.5">
      <c r="B30" s="352">
        <v>2</v>
      </c>
      <c r="C30" s="406" t="s">
        <v>788</v>
      </c>
      <c r="D30" s="411" t="s">
        <v>116</v>
      </c>
      <c r="E30" s="755">
        <f t="shared" ref="E30:E38" si="12">F30</f>
        <v>0</v>
      </c>
      <c r="F30" s="755">
        <v>0</v>
      </c>
      <c r="G30" s="755">
        <f t="shared" si="9"/>
        <v>0</v>
      </c>
      <c r="H30" s="755">
        <f t="shared" ref="H30:H38" si="13">I30</f>
        <v>0</v>
      </c>
      <c r="I30" s="884">
        <v>0</v>
      </c>
      <c r="J30" s="755">
        <f t="shared" si="10"/>
        <v>0</v>
      </c>
      <c r="K30" s="554">
        <f t="shared" ref="K30:K38" si="14">N30</f>
        <v>0</v>
      </c>
      <c r="L30" s="1267">
        <v>0</v>
      </c>
      <c r="M30" s="1267"/>
      <c r="N30" s="1267"/>
      <c r="O30" s="755">
        <f t="shared" si="11"/>
        <v>0</v>
      </c>
      <c r="P30" s="1229"/>
      <c r="Q30" s="1229"/>
      <c r="R30" s="1229"/>
      <c r="S30" s="1229"/>
      <c r="T30" s="1229"/>
      <c r="U30" s="399"/>
    </row>
    <row r="31" spans="2:21" s="6" customFormat="1" ht="15.5">
      <c r="B31" s="352">
        <v>3</v>
      </c>
      <c r="C31" s="406" t="s">
        <v>227</v>
      </c>
      <c r="D31" s="411" t="s">
        <v>116</v>
      </c>
      <c r="E31" s="755">
        <f t="shared" si="12"/>
        <v>0</v>
      </c>
      <c r="F31" s="755">
        <v>0</v>
      </c>
      <c r="G31" s="755">
        <f t="shared" si="9"/>
        <v>0</v>
      </c>
      <c r="H31" s="755">
        <f t="shared" si="13"/>
        <v>0</v>
      </c>
      <c r="I31" s="884">
        <v>0</v>
      </c>
      <c r="J31" s="755">
        <f t="shared" si="10"/>
        <v>0</v>
      </c>
      <c r="K31" s="554">
        <f t="shared" si="14"/>
        <v>0</v>
      </c>
      <c r="L31" s="1267">
        <v>0</v>
      </c>
      <c r="M31" s="1267"/>
      <c r="N31" s="1267"/>
      <c r="O31" s="755">
        <f t="shared" si="11"/>
        <v>0</v>
      </c>
      <c r="P31" s="1229"/>
      <c r="Q31" s="1229"/>
      <c r="R31" s="1229"/>
      <c r="S31" s="1229"/>
      <c r="T31" s="1229"/>
      <c r="U31" s="399"/>
    </row>
    <row r="32" spans="2:21" s="6" customFormat="1" ht="15.5">
      <c r="B32" s="352">
        <v>4</v>
      </c>
      <c r="C32" s="406" t="s">
        <v>789</v>
      </c>
      <c r="D32" s="411" t="s">
        <v>116</v>
      </c>
      <c r="E32" s="755">
        <f t="shared" si="12"/>
        <v>0</v>
      </c>
      <c r="F32" s="755">
        <v>0</v>
      </c>
      <c r="G32" s="755">
        <f t="shared" si="9"/>
        <v>0</v>
      </c>
      <c r="H32" s="755">
        <f t="shared" si="13"/>
        <v>0</v>
      </c>
      <c r="I32" s="884">
        <v>0</v>
      </c>
      <c r="J32" s="755">
        <f t="shared" si="10"/>
        <v>0</v>
      </c>
      <c r="K32" s="554">
        <f t="shared" si="14"/>
        <v>0</v>
      </c>
      <c r="L32" s="1267">
        <v>0</v>
      </c>
      <c r="M32" s="1267"/>
      <c r="N32" s="1267"/>
      <c r="O32" s="755">
        <f t="shared" si="11"/>
        <v>0</v>
      </c>
      <c r="P32" s="1229"/>
      <c r="Q32" s="1229"/>
      <c r="R32" s="1229"/>
      <c r="S32" s="1229"/>
      <c r="T32" s="1229"/>
      <c r="U32" s="399"/>
    </row>
    <row r="33" spans="2:21" s="6" customFormat="1" ht="15.5">
      <c r="B33" s="352">
        <v>5</v>
      </c>
      <c r="C33" s="406" t="s">
        <v>790</v>
      </c>
      <c r="D33" s="411" t="s">
        <v>116</v>
      </c>
      <c r="E33" s="755">
        <f t="shared" si="12"/>
        <v>0</v>
      </c>
      <c r="F33" s="755">
        <v>0</v>
      </c>
      <c r="G33" s="755">
        <f t="shared" si="9"/>
        <v>0</v>
      </c>
      <c r="H33" s="755">
        <f t="shared" si="13"/>
        <v>0</v>
      </c>
      <c r="I33" s="884">
        <v>0</v>
      </c>
      <c r="J33" s="755">
        <f t="shared" si="10"/>
        <v>0</v>
      </c>
      <c r="K33" s="554">
        <f t="shared" si="14"/>
        <v>0</v>
      </c>
      <c r="L33" s="1267">
        <v>0</v>
      </c>
      <c r="M33" s="1267"/>
      <c r="N33" s="1267"/>
      <c r="O33" s="755">
        <f t="shared" si="11"/>
        <v>0</v>
      </c>
      <c r="P33" s="1229"/>
      <c r="Q33" s="1229"/>
      <c r="R33" s="1229"/>
      <c r="S33" s="1229"/>
      <c r="T33" s="1229"/>
      <c r="U33" s="399"/>
    </row>
    <row r="34" spans="2:21" s="6" customFormat="1" ht="15.5">
      <c r="B34" s="352">
        <v>6</v>
      </c>
      <c r="C34" s="406" t="s">
        <v>781</v>
      </c>
      <c r="D34" s="411" t="s">
        <v>116</v>
      </c>
      <c r="E34" s="755">
        <f t="shared" si="12"/>
        <v>0</v>
      </c>
      <c r="F34" s="755">
        <v>0</v>
      </c>
      <c r="G34" s="755">
        <f t="shared" si="9"/>
        <v>0</v>
      </c>
      <c r="H34" s="755">
        <f t="shared" si="13"/>
        <v>0</v>
      </c>
      <c r="I34" s="884">
        <v>0</v>
      </c>
      <c r="J34" s="755">
        <f t="shared" si="10"/>
        <v>0</v>
      </c>
      <c r="K34" s="554">
        <f t="shared" si="14"/>
        <v>0</v>
      </c>
      <c r="L34" s="1267">
        <v>0</v>
      </c>
      <c r="M34" s="1267"/>
      <c r="N34" s="1267"/>
      <c r="O34" s="755">
        <f t="shared" si="11"/>
        <v>0</v>
      </c>
      <c r="P34" s="1229"/>
      <c r="Q34" s="1229"/>
      <c r="R34" s="1229"/>
      <c r="S34" s="1229"/>
      <c r="T34" s="1229"/>
      <c r="U34" s="399"/>
    </row>
    <row r="35" spans="2:21" s="6" customFormat="1" ht="15.5">
      <c r="B35" s="352">
        <v>7</v>
      </c>
      <c r="C35" s="406" t="s">
        <v>782</v>
      </c>
      <c r="D35" s="411" t="s">
        <v>116</v>
      </c>
      <c r="E35" s="755">
        <f t="shared" si="12"/>
        <v>0</v>
      </c>
      <c r="F35" s="755">
        <v>0</v>
      </c>
      <c r="G35" s="755">
        <f t="shared" si="9"/>
        <v>0</v>
      </c>
      <c r="H35" s="755">
        <f t="shared" si="13"/>
        <v>0</v>
      </c>
      <c r="I35" s="884">
        <v>0</v>
      </c>
      <c r="J35" s="755">
        <f t="shared" si="10"/>
        <v>0</v>
      </c>
      <c r="K35" s="554">
        <f t="shared" si="14"/>
        <v>0</v>
      </c>
      <c r="L35" s="1267">
        <v>0</v>
      </c>
      <c r="M35" s="1267"/>
      <c r="N35" s="1267"/>
      <c r="O35" s="755">
        <f t="shared" si="11"/>
        <v>0</v>
      </c>
      <c r="P35" s="1229"/>
      <c r="Q35" s="1229"/>
      <c r="R35" s="1229"/>
      <c r="S35" s="1229"/>
      <c r="T35" s="1229"/>
      <c r="U35" s="399"/>
    </row>
    <row r="36" spans="2:21" s="6" customFormat="1" ht="15.5">
      <c r="B36" s="352">
        <v>8</v>
      </c>
      <c r="C36" s="406" t="s">
        <v>783</v>
      </c>
      <c r="D36" s="411" t="s">
        <v>116</v>
      </c>
      <c r="E36" s="755">
        <f t="shared" si="12"/>
        <v>0</v>
      </c>
      <c r="F36" s="755">
        <v>0</v>
      </c>
      <c r="G36" s="755">
        <f t="shared" si="9"/>
        <v>0</v>
      </c>
      <c r="H36" s="755">
        <f t="shared" si="13"/>
        <v>0</v>
      </c>
      <c r="I36" s="884">
        <v>0</v>
      </c>
      <c r="J36" s="755">
        <f t="shared" si="10"/>
        <v>0</v>
      </c>
      <c r="K36" s="554">
        <f t="shared" si="14"/>
        <v>0</v>
      </c>
      <c r="L36" s="1267">
        <v>0</v>
      </c>
      <c r="M36" s="1267"/>
      <c r="N36" s="1267"/>
      <c r="O36" s="755">
        <f t="shared" si="11"/>
        <v>0</v>
      </c>
      <c r="P36" s="1229"/>
      <c r="Q36" s="1229"/>
      <c r="R36" s="1229"/>
      <c r="S36" s="1229"/>
      <c r="T36" s="1229"/>
      <c r="U36" s="399"/>
    </row>
    <row r="37" spans="2:21" s="6" customFormat="1" ht="15.5">
      <c r="B37" s="352">
        <v>9</v>
      </c>
      <c r="C37" s="406" t="s">
        <v>209</v>
      </c>
      <c r="D37" s="411" t="s">
        <v>116</v>
      </c>
      <c r="E37" s="755">
        <f t="shared" si="12"/>
        <v>0</v>
      </c>
      <c r="F37" s="755">
        <v>0</v>
      </c>
      <c r="G37" s="755">
        <f t="shared" si="9"/>
        <v>0</v>
      </c>
      <c r="H37" s="755">
        <f t="shared" si="13"/>
        <v>0</v>
      </c>
      <c r="I37" s="884">
        <v>0</v>
      </c>
      <c r="J37" s="755">
        <f t="shared" si="10"/>
        <v>0</v>
      </c>
      <c r="K37" s="554">
        <f t="shared" si="14"/>
        <v>0</v>
      </c>
      <c r="L37" s="1267">
        <v>0</v>
      </c>
      <c r="M37" s="1267"/>
      <c r="N37" s="1267"/>
      <c r="O37" s="755">
        <f t="shared" si="11"/>
        <v>0</v>
      </c>
      <c r="P37" s="1229"/>
      <c r="Q37" s="1229"/>
      <c r="R37" s="1229"/>
      <c r="S37" s="1229"/>
      <c r="T37" s="1229"/>
      <c r="U37" s="399"/>
    </row>
    <row r="38" spans="2:21" s="6" customFormat="1" ht="15.5">
      <c r="B38" s="352">
        <v>10</v>
      </c>
      <c r="C38" s="406" t="s">
        <v>209</v>
      </c>
      <c r="D38" s="411" t="s">
        <v>116</v>
      </c>
      <c r="E38" s="755">
        <f t="shared" si="12"/>
        <v>0</v>
      </c>
      <c r="F38" s="755">
        <v>0</v>
      </c>
      <c r="G38" s="755">
        <f t="shared" si="9"/>
        <v>0</v>
      </c>
      <c r="H38" s="755">
        <f t="shared" si="13"/>
        <v>0</v>
      </c>
      <c r="I38" s="884">
        <v>0</v>
      </c>
      <c r="J38" s="755">
        <f t="shared" si="10"/>
        <v>0</v>
      </c>
      <c r="K38" s="554">
        <f t="shared" si="14"/>
        <v>0</v>
      </c>
      <c r="L38" s="1267">
        <v>0</v>
      </c>
      <c r="M38" s="1267"/>
      <c r="N38" s="1267"/>
      <c r="O38" s="755">
        <f t="shared" si="11"/>
        <v>0</v>
      </c>
      <c r="P38" s="1229"/>
      <c r="Q38" s="1229"/>
      <c r="R38" s="1229"/>
      <c r="S38" s="1229"/>
      <c r="T38" s="1229"/>
      <c r="U38" s="399"/>
    </row>
    <row r="39" spans="2:21" s="427" customFormat="1" ht="15.5">
      <c r="B39" s="425">
        <v>11</v>
      </c>
      <c r="C39" s="406" t="s">
        <v>806</v>
      </c>
      <c r="D39" s="430" t="s">
        <v>116</v>
      </c>
      <c r="E39" s="1165">
        <f>F39</f>
        <v>0</v>
      </c>
      <c r="F39" s="1165">
        <v>0</v>
      </c>
      <c r="G39" s="1165">
        <f t="shared" si="9"/>
        <v>0</v>
      </c>
      <c r="H39" s="1165">
        <f>I39</f>
        <v>0</v>
      </c>
      <c r="I39" s="1165">
        <v>0</v>
      </c>
      <c r="J39" s="1165">
        <f t="shared" si="10"/>
        <v>0</v>
      </c>
      <c r="K39" s="554"/>
      <c r="L39" s="1301">
        <v>0</v>
      </c>
      <c r="M39" s="1301"/>
      <c r="N39" s="1301"/>
      <c r="O39" s="1165"/>
      <c r="P39" s="1301"/>
      <c r="Q39" s="1301"/>
      <c r="R39" s="1301"/>
      <c r="S39" s="1301"/>
      <c r="T39" s="1301"/>
      <c r="U39" s="410"/>
    </row>
    <row r="40" spans="2:21" s="6" customFormat="1" ht="15">
      <c r="B40" s="350"/>
      <c r="C40" s="351" t="s">
        <v>791</v>
      </c>
      <c r="D40" s="411" t="s">
        <v>116</v>
      </c>
      <c r="E40" s="464">
        <f t="shared" ref="E40:J40" si="15">SUM(E29:E39)</f>
        <v>0</v>
      </c>
      <c r="F40" s="464">
        <f t="shared" si="15"/>
        <v>0</v>
      </c>
      <c r="G40" s="464">
        <f t="shared" si="15"/>
        <v>0</v>
      </c>
      <c r="H40" s="464">
        <f t="shared" si="15"/>
        <v>0</v>
      </c>
      <c r="I40" s="464">
        <f t="shared" si="15"/>
        <v>0</v>
      </c>
      <c r="J40" s="464">
        <f t="shared" si="15"/>
        <v>0</v>
      </c>
      <c r="K40" s="1136">
        <f>N40</f>
        <v>0</v>
      </c>
      <c r="L40" s="1136">
        <f>SUM(L29:L38)</f>
        <v>0</v>
      </c>
      <c r="M40" s="1136">
        <v>0</v>
      </c>
      <c r="N40" s="1136">
        <f>IFERROR(SUMPRODUCT(L40:M40,'F2.2'!O95:P95)/SUM('F2.2'!O95:P95),0)</f>
        <v>0</v>
      </c>
      <c r="O40" s="464">
        <f t="shared" ref="O40" si="16">SUM(O29:O38)</f>
        <v>0</v>
      </c>
      <c r="P40" s="1136">
        <v>0</v>
      </c>
      <c r="Q40" s="1136">
        <v>0</v>
      </c>
      <c r="R40" s="1136">
        <v>0</v>
      </c>
      <c r="S40" s="1136">
        <v>0</v>
      </c>
      <c r="T40" s="1136">
        <v>0</v>
      </c>
      <c r="U40" s="407">
        <f t="shared" ref="U40" si="17">SUM(U29:U38)</f>
        <v>0</v>
      </c>
    </row>
    <row r="41" spans="2:21" s="6" customFormat="1" ht="15.5">
      <c r="B41" s="412"/>
      <c r="C41" s="408"/>
      <c r="D41" s="411"/>
      <c r="E41" s="755"/>
      <c r="F41" s="755"/>
      <c r="G41" s="755"/>
      <c r="H41" s="755"/>
      <c r="I41" s="755"/>
      <c r="J41" s="755"/>
      <c r="K41" s="1267"/>
      <c r="L41" s="1267"/>
      <c r="M41" s="1267"/>
      <c r="N41" s="1267"/>
      <c r="O41" s="755"/>
      <c r="P41" s="1229"/>
      <c r="Q41" s="1229"/>
      <c r="R41" s="1229"/>
      <c r="S41" s="1229"/>
      <c r="T41" s="1229"/>
      <c r="U41" s="399"/>
    </row>
    <row r="42" spans="2:21" s="427" customFormat="1" ht="15">
      <c r="B42" s="489" t="s">
        <v>185</v>
      </c>
      <c r="C42" s="351" t="s">
        <v>881</v>
      </c>
      <c r="D42" s="430"/>
      <c r="E42" s="755"/>
      <c r="F42" s="755"/>
      <c r="G42" s="755"/>
      <c r="H42" s="755"/>
      <c r="I42" s="755"/>
      <c r="J42" s="755"/>
      <c r="K42" s="1267"/>
      <c r="L42" s="1267"/>
      <c r="M42" s="1267"/>
      <c r="N42" s="1267"/>
      <c r="O42" s="755"/>
      <c r="P42" s="1229"/>
      <c r="Q42" s="1229"/>
      <c r="R42" s="1229"/>
      <c r="S42" s="1229"/>
      <c r="T42" s="1229"/>
      <c r="U42" s="410"/>
    </row>
    <row r="43" spans="2:21" s="427" customFormat="1" ht="15.5">
      <c r="B43" s="489">
        <v>1</v>
      </c>
      <c r="C43" s="406" t="s">
        <v>787</v>
      </c>
      <c r="D43" s="430" t="s">
        <v>882</v>
      </c>
      <c r="E43" s="755">
        <f>F43</f>
        <v>0</v>
      </c>
      <c r="F43" s="755">
        <v>0</v>
      </c>
      <c r="G43" s="755">
        <f t="shared" ref="G43:G52" si="18">F43-E43</f>
        <v>0</v>
      </c>
      <c r="H43" s="755">
        <f>I43</f>
        <v>0</v>
      </c>
      <c r="I43" s="884">
        <v>0</v>
      </c>
      <c r="J43" s="755">
        <f t="shared" ref="J43:J53" si="19">I43-H43</f>
        <v>0</v>
      </c>
      <c r="K43" s="1267"/>
      <c r="L43" s="1267">
        <v>0</v>
      </c>
      <c r="M43" s="1267"/>
      <c r="N43" s="1267"/>
      <c r="O43" s="755">
        <f t="shared" ref="O43:O52" si="20">N43-K43</f>
        <v>0</v>
      </c>
      <c r="P43" s="1229"/>
      <c r="Q43" s="1229"/>
      <c r="R43" s="1229"/>
      <c r="S43" s="1229"/>
      <c r="T43" s="1229"/>
      <c r="U43" s="410"/>
    </row>
    <row r="44" spans="2:21" s="427" customFormat="1" ht="15.5">
      <c r="B44" s="489">
        <f>+B43+1</f>
        <v>2</v>
      </c>
      <c r="C44" s="406" t="s">
        <v>788</v>
      </c>
      <c r="D44" s="430" t="s">
        <v>882</v>
      </c>
      <c r="E44" s="755">
        <f t="shared" ref="E44:E52" si="21">F44</f>
        <v>0</v>
      </c>
      <c r="F44" s="755">
        <v>0</v>
      </c>
      <c r="G44" s="755">
        <f t="shared" si="18"/>
        <v>0</v>
      </c>
      <c r="H44" s="755">
        <f t="shared" ref="H44:H52" si="22">I44</f>
        <v>0</v>
      </c>
      <c r="I44" s="884">
        <v>0</v>
      </c>
      <c r="J44" s="755">
        <f t="shared" si="19"/>
        <v>0</v>
      </c>
      <c r="K44" s="1267"/>
      <c r="L44" s="1267">
        <v>0</v>
      </c>
      <c r="M44" s="1267"/>
      <c r="N44" s="1267"/>
      <c r="O44" s="755">
        <f t="shared" si="20"/>
        <v>0</v>
      </c>
      <c r="P44" s="1229"/>
      <c r="Q44" s="1229"/>
      <c r="R44" s="1229"/>
      <c r="S44" s="1229"/>
      <c r="T44" s="1229"/>
      <c r="U44" s="410"/>
    </row>
    <row r="45" spans="2:21" s="427" customFormat="1" ht="15.5">
      <c r="B45" s="489">
        <f t="shared" ref="B45:B53" si="23">+B44+1</f>
        <v>3</v>
      </c>
      <c r="C45" s="406" t="s">
        <v>227</v>
      </c>
      <c r="D45" s="430" t="s">
        <v>882</v>
      </c>
      <c r="E45" s="755">
        <f t="shared" si="21"/>
        <v>0</v>
      </c>
      <c r="F45" s="755">
        <v>0</v>
      </c>
      <c r="G45" s="755">
        <f t="shared" si="18"/>
        <v>0</v>
      </c>
      <c r="H45" s="755">
        <f t="shared" si="22"/>
        <v>0</v>
      </c>
      <c r="I45" s="884">
        <v>0</v>
      </c>
      <c r="J45" s="755">
        <f t="shared" si="19"/>
        <v>0</v>
      </c>
      <c r="K45" s="1267"/>
      <c r="L45" s="1267">
        <v>0</v>
      </c>
      <c r="M45" s="1267"/>
      <c r="N45" s="1267"/>
      <c r="O45" s="755">
        <f t="shared" si="20"/>
        <v>0</v>
      </c>
      <c r="P45" s="1229"/>
      <c r="Q45" s="1229"/>
      <c r="R45" s="1229"/>
      <c r="S45" s="1229"/>
      <c r="T45" s="1229"/>
      <c r="U45" s="410"/>
    </row>
    <row r="46" spans="2:21" s="427" customFormat="1" ht="15.5">
      <c r="B46" s="489">
        <f t="shared" si="23"/>
        <v>4</v>
      </c>
      <c r="C46" s="406" t="s">
        <v>789</v>
      </c>
      <c r="D46" s="430" t="s">
        <v>882</v>
      </c>
      <c r="E46" s="755">
        <f t="shared" si="21"/>
        <v>0</v>
      </c>
      <c r="F46" s="755">
        <v>0</v>
      </c>
      <c r="G46" s="755">
        <f t="shared" si="18"/>
        <v>0</v>
      </c>
      <c r="H46" s="755">
        <f t="shared" si="22"/>
        <v>0</v>
      </c>
      <c r="I46" s="884">
        <v>0</v>
      </c>
      <c r="J46" s="755">
        <f t="shared" si="19"/>
        <v>0</v>
      </c>
      <c r="K46" s="1267"/>
      <c r="L46" s="1267">
        <v>0</v>
      </c>
      <c r="M46" s="1267"/>
      <c r="N46" s="1267"/>
      <c r="O46" s="755">
        <f t="shared" si="20"/>
        <v>0</v>
      </c>
      <c r="P46" s="1229"/>
      <c r="Q46" s="1229"/>
      <c r="R46" s="1229"/>
      <c r="S46" s="1229"/>
      <c r="T46" s="1229"/>
      <c r="U46" s="410"/>
    </row>
    <row r="47" spans="2:21" s="427" customFormat="1" ht="15.5">
      <c r="B47" s="489">
        <f t="shared" si="23"/>
        <v>5</v>
      </c>
      <c r="C47" s="406" t="s">
        <v>790</v>
      </c>
      <c r="D47" s="430" t="s">
        <v>882</v>
      </c>
      <c r="E47" s="755">
        <f t="shared" si="21"/>
        <v>0</v>
      </c>
      <c r="F47" s="755">
        <v>0</v>
      </c>
      <c r="G47" s="755">
        <f t="shared" si="18"/>
        <v>0</v>
      </c>
      <c r="H47" s="755">
        <f t="shared" si="22"/>
        <v>0</v>
      </c>
      <c r="I47" s="884">
        <v>0</v>
      </c>
      <c r="J47" s="755">
        <f t="shared" si="19"/>
        <v>0</v>
      </c>
      <c r="K47" s="1267"/>
      <c r="L47" s="1267">
        <v>0</v>
      </c>
      <c r="M47" s="1267"/>
      <c r="N47" s="1267"/>
      <c r="O47" s="755">
        <f t="shared" si="20"/>
        <v>0</v>
      </c>
      <c r="P47" s="1229"/>
      <c r="Q47" s="1229"/>
      <c r="R47" s="1229"/>
      <c r="S47" s="1229"/>
      <c r="T47" s="1229"/>
      <c r="U47" s="410"/>
    </row>
    <row r="48" spans="2:21" s="427" customFormat="1" ht="15.5">
      <c r="B48" s="489">
        <f t="shared" si="23"/>
        <v>6</v>
      </c>
      <c r="C48" s="406" t="s">
        <v>781</v>
      </c>
      <c r="D48" s="430" t="s">
        <v>882</v>
      </c>
      <c r="E48" s="755">
        <f t="shared" si="21"/>
        <v>0</v>
      </c>
      <c r="F48" s="755">
        <v>0</v>
      </c>
      <c r="G48" s="755">
        <f t="shared" si="18"/>
        <v>0</v>
      </c>
      <c r="H48" s="755">
        <f t="shared" si="22"/>
        <v>0</v>
      </c>
      <c r="I48" s="884">
        <v>0</v>
      </c>
      <c r="J48" s="755">
        <f t="shared" si="19"/>
        <v>0</v>
      </c>
      <c r="K48" s="1267"/>
      <c r="L48" s="1267">
        <v>0</v>
      </c>
      <c r="M48" s="1267"/>
      <c r="N48" s="1267"/>
      <c r="O48" s="755">
        <f t="shared" si="20"/>
        <v>0</v>
      </c>
      <c r="P48" s="1229"/>
      <c r="Q48" s="1229"/>
      <c r="R48" s="1229"/>
      <c r="S48" s="1229"/>
      <c r="T48" s="1229"/>
      <c r="U48" s="410"/>
    </row>
    <row r="49" spans="2:21" s="427" customFormat="1" ht="15.5">
      <c r="B49" s="489">
        <f t="shared" si="23"/>
        <v>7</v>
      </c>
      <c r="C49" s="406" t="s">
        <v>782</v>
      </c>
      <c r="D49" s="430" t="s">
        <v>882</v>
      </c>
      <c r="E49" s="755">
        <f t="shared" si="21"/>
        <v>0</v>
      </c>
      <c r="F49" s="755">
        <v>0</v>
      </c>
      <c r="G49" s="755">
        <f t="shared" si="18"/>
        <v>0</v>
      </c>
      <c r="H49" s="755">
        <f t="shared" si="22"/>
        <v>0</v>
      </c>
      <c r="I49" s="884">
        <v>0</v>
      </c>
      <c r="J49" s="755">
        <f t="shared" si="19"/>
        <v>0</v>
      </c>
      <c r="K49" s="1267"/>
      <c r="L49" s="1267">
        <v>0</v>
      </c>
      <c r="M49" s="1267"/>
      <c r="N49" s="1267"/>
      <c r="O49" s="755">
        <f t="shared" si="20"/>
        <v>0</v>
      </c>
      <c r="P49" s="1229"/>
      <c r="Q49" s="1229"/>
      <c r="R49" s="1229"/>
      <c r="S49" s="1229"/>
      <c r="T49" s="1229"/>
      <c r="U49" s="410"/>
    </row>
    <row r="50" spans="2:21" s="427" customFormat="1" ht="15.5">
      <c r="B50" s="489">
        <f t="shared" si="23"/>
        <v>8</v>
      </c>
      <c r="C50" s="406" t="s">
        <v>783</v>
      </c>
      <c r="D50" s="430" t="s">
        <v>882</v>
      </c>
      <c r="E50" s="755">
        <f t="shared" si="21"/>
        <v>0</v>
      </c>
      <c r="F50" s="755">
        <v>0</v>
      </c>
      <c r="G50" s="755">
        <f t="shared" si="18"/>
        <v>0</v>
      </c>
      <c r="H50" s="755">
        <f t="shared" si="22"/>
        <v>0</v>
      </c>
      <c r="I50" s="884">
        <v>0</v>
      </c>
      <c r="J50" s="755">
        <f t="shared" si="19"/>
        <v>0</v>
      </c>
      <c r="K50" s="1267"/>
      <c r="L50" s="1267">
        <v>0</v>
      </c>
      <c r="M50" s="1267"/>
      <c r="N50" s="1267"/>
      <c r="O50" s="755">
        <f t="shared" si="20"/>
        <v>0</v>
      </c>
      <c r="P50" s="1229"/>
      <c r="Q50" s="1229"/>
      <c r="R50" s="1229"/>
      <c r="S50" s="1229"/>
      <c r="T50" s="1229"/>
      <c r="U50" s="410"/>
    </row>
    <row r="51" spans="2:21" s="427" customFormat="1" ht="15.5">
      <c r="B51" s="489">
        <f t="shared" si="23"/>
        <v>9</v>
      </c>
      <c r="C51" s="406" t="s">
        <v>883</v>
      </c>
      <c r="D51" s="430" t="s">
        <v>882</v>
      </c>
      <c r="E51" s="755">
        <f t="shared" si="21"/>
        <v>0</v>
      </c>
      <c r="F51" s="755">
        <v>0</v>
      </c>
      <c r="G51" s="755">
        <f t="shared" si="18"/>
        <v>0</v>
      </c>
      <c r="H51" s="755">
        <f t="shared" si="22"/>
        <v>0</v>
      </c>
      <c r="I51" s="884">
        <v>0</v>
      </c>
      <c r="J51" s="755">
        <f t="shared" si="19"/>
        <v>0</v>
      </c>
      <c r="K51" s="1267"/>
      <c r="L51" s="1267">
        <v>0</v>
      </c>
      <c r="M51" s="1267"/>
      <c r="N51" s="1267"/>
      <c r="O51" s="755">
        <f t="shared" si="20"/>
        <v>0</v>
      </c>
      <c r="P51" s="1229"/>
      <c r="Q51" s="1229"/>
      <c r="R51" s="1229"/>
      <c r="S51" s="1229"/>
      <c r="T51" s="1229"/>
      <c r="U51" s="410"/>
    </row>
    <row r="52" spans="2:21" s="427" customFormat="1" ht="15.5">
      <c r="B52" s="489">
        <f t="shared" si="23"/>
        <v>10</v>
      </c>
      <c r="C52" s="406" t="s">
        <v>209</v>
      </c>
      <c r="D52" s="430" t="s">
        <v>882</v>
      </c>
      <c r="E52" s="755">
        <f t="shared" si="21"/>
        <v>0</v>
      </c>
      <c r="F52" s="755">
        <v>0</v>
      </c>
      <c r="G52" s="755">
        <f t="shared" si="18"/>
        <v>0</v>
      </c>
      <c r="H52" s="755">
        <f t="shared" si="22"/>
        <v>0</v>
      </c>
      <c r="I52" s="884">
        <v>0</v>
      </c>
      <c r="J52" s="755">
        <f t="shared" si="19"/>
        <v>0</v>
      </c>
      <c r="K52" s="1267"/>
      <c r="L52" s="1267">
        <v>0</v>
      </c>
      <c r="M52" s="1267"/>
      <c r="N52" s="1267"/>
      <c r="O52" s="755">
        <f t="shared" si="20"/>
        <v>0</v>
      </c>
      <c r="P52" s="1229"/>
      <c r="Q52" s="1229"/>
      <c r="R52" s="1229"/>
      <c r="S52" s="1229"/>
      <c r="T52" s="1229"/>
      <c r="U52" s="410"/>
    </row>
    <row r="53" spans="2:21" s="427" customFormat="1" ht="15.5">
      <c r="B53" s="489">
        <f t="shared" si="23"/>
        <v>11</v>
      </c>
      <c r="C53" s="406" t="s">
        <v>806</v>
      </c>
      <c r="D53" s="430" t="s">
        <v>116</v>
      </c>
      <c r="E53" s="1165">
        <f>F53</f>
        <v>0</v>
      </c>
      <c r="F53" s="1165">
        <v>0</v>
      </c>
      <c r="G53" s="1165"/>
      <c r="H53" s="1165">
        <f>I53</f>
        <v>0</v>
      </c>
      <c r="I53" s="1165">
        <v>0</v>
      </c>
      <c r="J53" s="1165">
        <f t="shared" si="19"/>
        <v>0</v>
      </c>
      <c r="K53" s="1301"/>
      <c r="L53" s="1301">
        <v>0</v>
      </c>
      <c r="M53" s="1301"/>
      <c r="N53" s="1301"/>
      <c r="O53" s="1165"/>
      <c r="P53" s="1301"/>
      <c r="Q53" s="1301"/>
      <c r="R53" s="1301"/>
      <c r="S53" s="1301"/>
      <c r="T53" s="1301"/>
      <c r="U53" s="410"/>
    </row>
    <row r="54" spans="2:21" s="427" customFormat="1" ht="15">
      <c r="B54" s="489"/>
      <c r="C54" s="351" t="s">
        <v>884</v>
      </c>
      <c r="D54" s="430" t="s">
        <v>882</v>
      </c>
      <c r="E54" s="464">
        <f>SUM(E43:E53)</f>
        <v>0</v>
      </c>
      <c r="F54" s="464">
        <f>SUM(F43:F53)</f>
        <v>0</v>
      </c>
      <c r="G54" s="464">
        <f t="shared" ref="G54:O54" si="24">SUM(G43:G52)</f>
        <v>0</v>
      </c>
      <c r="H54" s="464">
        <f>SUM(H43:H53)</f>
        <v>0</v>
      </c>
      <c r="I54" s="464">
        <f>SUM(I43:I53)</f>
        <v>0</v>
      </c>
      <c r="J54" s="464">
        <f>SUM(J43:J53)</f>
        <v>0</v>
      </c>
      <c r="K54" s="1136">
        <f>N54</f>
        <v>0</v>
      </c>
      <c r="L54" s="1136">
        <f t="shared" ref="L54" si="25">SUM(L43:L52)</f>
        <v>0</v>
      </c>
      <c r="M54" s="1136">
        <v>0</v>
      </c>
      <c r="N54" s="1136">
        <f>IFERROR(SUMPRODUCT(L54:M54,'F2.2'!O96:P96)/SUM('F2.2'!O96:P96),0)</f>
        <v>0</v>
      </c>
      <c r="O54" s="464">
        <f t="shared" si="24"/>
        <v>0</v>
      </c>
      <c r="P54" s="1136">
        <v>0</v>
      </c>
      <c r="Q54" s="1136">
        <v>0</v>
      </c>
      <c r="R54" s="1136">
        <v>0</v>
      </c>
      <c r="S54" s="1136">
        <v>0</v>
      </c>
      <c r="T54" s="1136">
        <v>0</v>
      </c>
      <c r="U54" s="410"/>
    </row>
    <row r="55" spans="2:21" s="6" customFormat="1" ht="15.5">
      <c r="B55" s="412"/>
      <c r="C55" s="408"/>
      <c r="D55" s="411"/>
      <c r="E55" s="568"/>
      <c r="F55" s="568"/>
      <c r="G55" s="568"/>
      <c r="H55" s="568"/>
      <c r="I55" s="568"/>
      <c r="J55" s="568"/>
      <c r="K55" s="1138"/>
      <c r="L55" s="1138"/>
      <c r="M55" s="1138"/>
      <c r="N55" s="1138"/>
      <c r="O55" s="568"/>
      <c r="P55" s="1138"/>
      <c r="Q55" s="1138"/>
      <c r="R55" s="1138"/>
      <c r="S55" s="1138"/>
      <c r="T55" s="1138"/>
      <c r="U55" s="399"/>
    </row>
    <row r="56" spans="2:21" s="6" customFormat="1" ht="15">
      <c r="B56" s="1155" t="s">
        <v>797</v>
      </c>
      <c r="C56" s="1156" t="s">
        <v>1486</v>
      </c>
      <c r="D56" s="1157"/>
      <c r="E56" s="568"/>
      <c r="F56" s="568"/>
      <c r="G56" s="568"/>
      <c r="H56" s="568"/>
      <c r="I56" s="568"/>
      <c r="J56" s="568"/>
      <c r="K56" s="1138"/>
      <c r="L56" s="1138"/>
      <c r="M56" s="1138"/>
      <c r="N56" s="1138"/>
      <c r="O56" s="568"/>
      <c r="P56" s="1138"/>
      <c r="Q56" s="1138"/>
      <c r="R56" s="1138"/>
      <c r="S56" s="1138"/>
      <c r="T56" s="1138"/>
      <c r="U56" s="399"/>
    </row>
    <row r="57" spans="2:21" s="6" customFormat="1" ht="15.5">
      <c r="B57" s="1155">
        <v>1</v>
      </c>
      <c r="C57" s="1158" t="s">
        <v>787</v>
      </c>
      <c r="D57" s="1157" t="s">
        <v>882</v>
      </c>
      <c r="E57" s="568"/>
      <c r="F57" s="568"/>
      <c r="G57" s="568"/>
      <c r="H57" s="568"/>
      <c r="I57" s="568"/>
      <c r="J57" s="568"/>
      <c r="K57" s="1138"/>
      <c r="L57" s="1138"/>
      <c r="M57" s="1138"/>
      <c r="N57" s="1138"/>
      <c r="O57" s="568"/>
      <c r="P57" s="1138"/>
      <c r="Q57" s="1138"/>
      <c r="R57" s="1138"/>
      <c r="S57" s="1138"/>
      <c r="T57" s="1138"/>
      <c r="U57" s="399"/>
    </row>
    <row r="58" spans="2:21" s="6" customFormat="1" ht="15.5">
      <c r="B58" s="1155">
        <f>+B57+1</f>
        <v>2</v>
      </c>
      <c r="C58" s="1158" t="s">
        <v>788</v>
      </c>
      <c r="D58" s="1157" t="s">
        <v>882</v>
      </c>
      <c r="E58" s="568"/>
      <c r="F58" s="568"/>
      <c r="G58" s="568"/>
      <c r="H58" s="568"/>
      <c r="I58" s="568"/>
      <c r="J58" s="568"/>
      <c r="K58" s="1138"/>
      <c r="L58" s="1138"/>
      <c r="M58" s="1138"/>
      <c r="N58" s="1138"/>
      <c r="O58" s="568"/>
      <c r="P58" s="1138"/>
      <c r="Q58" s="1138"/>
      <c r="R58" s="1138"/>
      <c r="S58" s="1138"/>
      <c r="T58" s="1138"/>
      <c r="U58" s="399"/>
    </row>
    <row r="59" spans="2:21" s="6" customFormat="1" ht="15.5">
      <c r="B59" s="1155">
        <f t="shared" ref="B59:B67" si="26">+B58+1</f>
        <v>3</v>
      </c>
      <c r="C59" s="1158" t="s">
        <v>227</v>
      </c>
      <c r="D59" s="1157" t="s">
        <v>882</v>
      </c>
      <c r="E59" s="568"/>
      <c r="F59" s="568"/>
      <c r="G59" s="568"/>
      <c r="H59" s="568"/>
      <c r="I59" s="568"/>
      <c r="J59" s="568"/>
      <c r="K59" s="1138"/>
      <c r="L59" s="1138"/>
      <c r="M59" s="1138"/>
      <c r="N59" s="1138"/>
      <c r="O59" s="568"/>
      <c r="P59" s="1138"/>
      <c r="Q59" s="1138"/>
      <c r="R59" s="1138"/>
      <c r="S59" s="1138"/>
      <c r="T59" s="1138"/>
      <c r="U59" s="399"/>
    </row>
    <row r="60" spans="2:21" s="6" customFormat="1" ht="15.5">
      <c r="B60" s="1155">
        <f t="shared" si="26"/>
        <v>4</v>
      </c>
      <c r="C60" s="1158" t="s">
        <v>789</v>
      </c>
      <c r="D60" s="1157" t="s">
        <v>882</v>
      </c>
      <c r="E60" s="568"/>
      <c r="F60" s="568"/>
      <c r="G60" s="568"/>
      <c r="H60" s="568"/>
      <c r="I60" s="568"/>
      <c r="J60" s="568"/>
      <c r="K60" s="1138"/>
      <c r="L60" s="1138"/>
      <c r="M60" s="1138"/>
      <c r="N60" s="1138"/>
      <c r="O60" s="568"/>
      <c r="P60" s="1138"/>
      <c r="Q60" s="1138"/>
      <c r="R60" s="1138"/>
      <c r="S60" s="1138"/>
      <c r="T60" s="1138"/>
      <c r="U60" s="399"/>
    </row>
    <row r="61" spans="2:21" s="6" customFormat="1" ht="15.5">
      <c r="B61" s="1155">
        <f t="shared" si="26"/>
        <v>5</v>
      </c>
      <c r="C61" s="1158" t="s">
        <v>790</v>
      </c>
      <c r="D61" s="1157" t="s">
        <v>882</v>
      </c>
      <c r="E61" s="568"/>
      <c r="F61" s="568"/>
      <c r="G61" s="568"/>
      <c r="H61" s="568"/>
      <c r="I61" s="568"/>
      <c r="J61" s="568"/>
      <c r="K61" s="1138"/>
      <c r="L61" s="1138"/>
      <c r="M61" s="1138"/>
      <c r="N61" s="1138"/>
      <c r="O61" s="568"/>
      <c r="P61" s="1138"/>
      <c r="Q61" s="1138"/>
      <c r="R61" s="1138"/>
      <c r="S61" s="1138"/>
      <c r="T61" s="1138"/>
      <c r="U61" s="399"/>
    </row>
    <row r="62" spans="2:21" s="6" customFormat="1" ht="15.5">
      <c r="B62" s="1155">
        <f t="shared" si="26"/>
        <v>6</v>
      </c>
      <c r="C62" s="1158" t="s">
        <v>781</v>
      </c>
      <c r="D62" s="1157" t="s">
        <v>882</v>
      </c>
      <c r="E62" s="568"/>
      <c r="F62" s="568"/>
      <c r="G62" s="568"/>
      <c r="H62" s="568"/>
      <c r="I62" s="568"/>
      <c r="J62" s="568"/>
      <c r="K62" s="1138"/>
      <c r="L62" s="1138"/>
      <c r="M62" s="1138"/>
      <c r="N62" s="1138"/>
      <c r="O62" s="568"/>
      <c r="P62" s="1138"/>
      <c r="Q62" s="1138"/>
      <c r="R62" s="1138"/>
      <c r="S62" s="1138"/>
      <c r="T62" s="1138"/>
      <c r="U62" s="399"/>
    </row>
    <row r="63" spans="2:21" s="6" customFormat="1" ht="15.5">
      <c r="B63" s="1155">
        <f t="shared" si="26"/>
        <v>7</v>
      </c>
      <c r="C63" s="1158" t="s">
        <v>782</v>
      </c>
      <c r="D63" s="1157" t="s">
        <v>882</v>
      </c>
      <c r="E63" s="568"/>
      <c r="F63" s="568"/>
      <c r="G63" s="568"/>
      <c r="H63" s="568"/>
      <c r="I63" s="568"/>
      <c r="J63" s="568"/>
      <c r="K63" s="1138"/>
      <c r="L63" s="1138"/>
      <c r="M63" s="1138"/>
      <c r="N63" s="1138"/>
      <c r="O63" s="568"/>
      <c r="P63" s="1138"/>
      <c r="Q63" s="1138"/>
      <c r="R63" s="1138"/>
      <c r="S63" s="1138"/>
      <c r="T63" s="1138"/>
      <c r="U63" s="399"/>
    </row>
    <row r="64" spans="2:21" s="6" customFormat="1" ht="15.5">
      <c r="B64" s="1155">
        <f t="shared" si="26"/>
        <v>8</v>
      </c>
      <c r="C64" s="1158" t="s">
        <v>783</v>
      </c>
      <c r="D64" s="1157" t="s">
        <v>882</v>
      </c>
      <c r="E64" s="568"/>
      <c r="F64" s="568"/>
      <c r="G64" s="568"/>
      <c r="H64" s="568"/>
      <c r="I64" s="568"/>
      <c r="J64" s="568"/>
      <c r="K64" s="1138"/>
      <c r="L64" s="1138"/>
      <c r="M64" s="1138"/>
      <c r="N64" s="1138"/>
      <c r="O64" s="568"/>
      <c r="P64" s="1138"/>
      <c r="Q64" s="1138"/>
      <c r="R64" s="1138"/>
      <c r="S64" s="1138"/>
      <c r="T64" s="1138"/>
      <c r="U64" s="399"/>
    </row>
    <row r="65" spans="2:21" s="6" customFormat="1" ht="15.5">
      <c r="B65" s="1155">
        <f t="shared" si="26"/>
        <v>9</v>
      </c>
      <c r="C65" s="1158" t="s">
        <v>883</v>
      </c>
      <c r="D65" s="1157" t="s">
        <v>882</v>
      </c>
      <c r="E65" s="568"/>
      <c r="F65" s="568"/>
      <c r="G65" s="568"/>
      <c r="H65" s="568"/>
      <c r="I65" s="568"/>
      <c r="J65" s="568"/>
      <c r="K65" s="1138"/>
      <c r="L65" s="1138"/>
      <c r="M65" s="1138"/>
      <c r="N65" s="1138"/>
      <c r="O65" s="568"/>
      <c r="P65" s="1138"/>
      <c r="Q65" s="1138"/>
      <c r="R65" s="1138"/>
      <c r="S65" s="1138"/>
      <c r="T65" s="1138"/>
      <c r="U65" s="399"/>
    </row>
    <row r="66" spans="2:21" s="6" customFormat="1" ht="15.5">
      <c r="B66" s="1155">
        <f t="shared" si="26"/>
        <v>10</v>
      </c>
      <c r="C66" s="1158" t="s">
        <v>209</v>
      </c>
      <c r="D66" s="1157" t="s">
        <v>882</v>
      </c>
      <c r="E66" s="568"/>
      <c r="F66" s="568"/>
      <c r="G66" s="568"/>
      <c r="H66" s="568"/>
      <c r="I66" s="568"/>
      <c r="J66" s="568"/>
      <c r="K66" s="1138"/>
      <c r="L66" s="1138"/>
      <c r="M66" s="1138"/>
      <c r="N66" s="1138"/>
      <c r="O66" s="568"/>
      <c r="P66" s="1138"/>
      <c r="Q66" s="1138"/>
      <c r="R66" s="1138"/>
      <c r="S66" s="1138"/>
      <c r="T66" s="1138"/>
      <c r="U66" s="399"/>
    </row>
    <row r="67" spans="2:21" s="6" customFormat="1" ht="15.5">
      <c r="B67" s="1155">
        <f t="shared" si="26"/>
        <v>11</v>
      </c>
      <c r="C67" s="1158" t="s">
        <v>806</v>
      </c>
      <c r="D67" s="1157" t="s">
        <v>882</v>
      </c>
      <c r="E67" s="568"/>
      <c r="F67" s="568"/>
      <c r="G67" s="568"/>
      <c r="H67" s="568"/>
      <c r="I67" s="568"/>
      <c r="J67" s="568"/>
      <c r="K67" s="1138"/>
      <c r="L67" s="1138"/>
      <c r="M67" s="1138"/>
      <c r="N67" s="1138"/>
      <c r="O67" s="568"/>
      <c r="P67" s="1138"/>
      <c r="Q67" s="1138"/>
      <c r="R67" s="1138"/>
      <c r="S67" s="1138"/>
      <c r="T67" s="1138"/>
      <c r="U67" s="399"/>
    </row>
    <row r="68" spans="2:21" s="6" customFormat="1" ht="15">
      <c r="B68" s="1155"/>
      <c r="C68" s="1156" t="s">
        <v>1487</v>
      </c>
      <c r="D68" s="1157" t="s">
        <v>882</v>
      </c>
      <c r="E68" s="568"/>
      <c r="F68" s="568"/>
      <c r="G68" s="568"/>
      <c r="H68" s="568"/>
      <c r="I68" s="568"/>
      <c r="J68" s="568"/>
      <c r="K68" s="1138"/>
      <c r="L68" s="1138"/>
      <c r="M68" s="1138"/>
      <c r="N68" s="1138"/>
      <c r="O68" s="568"/>
      <c r="P68" s="1138">
        <v>5128.9895609703908</v>
      </c>
      <c r="Q68" s="1138">
        <v>5243.4395609703915</v>
      </c>
      <c r="R68" s="1138">
        <v>5363.6120609703912</v>
      </c>
      <c r="S68" s="1138">
        <v>5489.7931859703913</v>
      </c>
      <c r="T68" s="1138">
        <v>5622.2833672203915</v>
      </c>
      <c r="U68" s="399"/>
    </row>
    <row r="69" spans="2:21" s="6" customFormat="1" ht="15">
      <c r="B69" s="1155"/>
      <c r="C69" s="1156"/>
      <c r="D69" s="1157"/>
      <c r="E69" s="568"/>
      <c r="F69" s="568"/>
      <c r="G69" s="568"/>
      <c r="H69" s="568"/>
      <c r="I69" s="568"/>
      <c r="J69" s="568"/>
      <c r="K69" s="1138"/>
      <c r="L69" s="1138"/>
      <c r="M69" s="1138"/>
      <c r="N69" s="1138"/>
      <c r="O69" s="568"/>
      <c r="P69" s="1138"/>
      <c r="Q69" s="1138"/>
      <c r="R69" s="1138"/>
      <c r="S69" s="1138"/>
      <c r="T69" s="1138"/>
      <c r="U69" s="399"/>
    </row>
    <row r="70" spans="2:21" s="6" customFormat="1" ht="15">
      <c r="B70" s="1155" t="s">
        <v>885</v>
      </c>
      <c r="C70" s="1156" t="s">
        <v>1488</v>
      </c>
      <c r="D70" s="1157"/>
      <c r="E70" s="568"/>
      <c r="F70" s="568"/>
      <c r="G70" s="568"/>
      <c r="H70" s="568"/>
      <c r="I70" s="568"/>
      <c r="J70" s="568"/>
      <c r="K70" s="1138"/>
      <c r="L70" s="1138"/>
      <c r="M70" s="1138"/>
      <c r="N70" s="1138"/>
      <c r="O70" s="568"/>
      <c r="P70" s="1138"/>
      <c r="Q70" s="1138"/>
      <c r="R70" s="1138"/>
      <c r="S70" s="1138"/>
      <c r="T70" s="1138"/>
      <c r="U70" s="399"/>
    </row>
    <row r="71" spans="2:21" s="6" customFormat="1" ht="15.5">
      <c r="B71" s="1155">
        <v>1</v>
      </c>
      <c r="C71" s="1158" t="s">
        <v>787</v>
      </c>
      <c r="D71" s="1157" t="s">
        <v>882</v>
      </c>
      <c r="E71" s="568"/>
      <c r="F71" s="568"/>
      <c r="G71" s="568"/>
      <c r="H71" s="568"/>
      <c r="I71" s="568"/>
      <c r="J71" s="568"/>
      <c r="K71" s="1138"/>
      <c r="L71" s="1138"/>
      <c r="M71" s="1138"/>
      <c r="N71" s="1138"/>
      <c r="O71" s="568"/>
      <c r="P71" s="1138"/>
      <c r="Q71" s="1138"/>
      <c r="R71" s="1138"/>
      <c r="S71" s="1138"/>
      <c r="T71" s="1138"/>
      <c r="U71" s="399"/>
    </row>
    <row r="72" spans="2:21" s="6" customFormat="1" ht="15.5">
      <c r="B72" s="1155">
        <f>+B71+1</f>
        <v>2</v>
      </c>
      <c r="C72" s="1158" t="s">
        <v>788</v>
      </c>
      <c r="D72" s="1157" t="s">
        <v>882</v>
      </c>
      <c r="E72" s="568"/>
      <c r="F72" s="568"/>
      <c r="G72" s="568"/>
      <c r="H72" s="568"/>
      <c r="I72" s="568"/>
      <c r="J72" s="568"/>
      <c r="K72" s="1138"/>
      <c r="L72" s="1138"/>
      <c r="M72" s="1138"/>
      <c r="N72" s="1138"/>
      <c r="O72" s="568"/>
      <c r="P72" s="1138"/>
      <c r="Q72" s="1138"/>
      <c r="R72" s="1138"/>
      <c r="S72" s="1138"/>
      <c r="T72" s="1138"/>
      <c r="U72" s="399"/>
    </row>
    <row r="73" spans="2:21" s="6" customFormat="1" ht="15.5">
      <c r="B73" s="1155">
        <f t="shared" ref="B73:B81" si="27">+B72+1</f>
        <v>3</v>
      </c>
      <c r="C73" s="1158" t="s">
        <v>227</v>
      </c>
      <c r="D73" s="1157" t="s">
        <v>882</v>
      </c>
      <c r="E73" s="568"/>
      <c r="F73" s="568"/>
      <c r="G73" s="568"/>
      <c r="H73" s="568"/>
      <c r="I73" s="568"/>
      <c r="J73" s="568"/>
      <c r="K73" s="1138"/>
      <c r="L73" s="1138"/>
      <c r="M73" s="1138"/>
      <c r="N73" s="1138"/>
      <c r="O73" s="568"/>
      <c r="P73" s="1138"/>
      <c r="Q73" s="1138"/>
      <c r="R73" s="1138"/>
      <c r="S73" s="1138"/>
      <c r="T73" s="1138"/>
      <c r="U73" s="399"/>
    </row>
    <row r="74" spans="2:21" s="6" customFormat="1" ht="15.5">
      <c r="B74" s="1155">
        <f t="shared" si="27"/>
        <v>4</v>
      </c>
      <c r="C74" s="1158" t="s">
        <v>789</v>
      </c>
      <c r="D74" s="1157" t="s">
        <v>882</v>
      </c>
      <c r="E74" s="568"/>
      <c r="F74" s="568"/>
      <c r="G74" s="568"/>
      <c r="H74" s="568"/>
      <c r="I74" s="568"/>
      <c r="J74" s="568"/>
      <c r="K74" s="1138"/>
      <c r="L74" s="1138"/>
      <c r="M74" s="1138"/>
      <c r="N74" s="1138"/>
      <c r="O74" s="568"/>
      <c r="P74" s="1138"/>
      <c r="Q74" s="1138"/>
      <c r="R74" s="1138"/>
      <c r="S74" s="1138"/>
      <c r="T74" s="1138"/>
      <c r="U74" s="399"/>
    </row>
    <row r="75" spans="2:21" s="6" customFormat="1" ht="15.5">
      <c r="B75" s="1155">
        <f t="shared" si="27"/>
        <v>5</v>
      </c>
      <c r="C75" s="1158" t="s">
        <v>790</v>
      </c>
      <c r="D75" s="1157" t="s">
        <v>882</v>
      </c>
      <c r="E75" s="568"/>
      <c r="F75" s="568"/>
      <c r="G75" s="568"/>
      <c r="H75" s="568"/>
      <c r="I75" s="568"/>
      <c r="J75" s="568"/>
      <c r="K75" s="1138"/>
      <c r="L75" s="1138"/>
      <c r="M75" s="1138"/>
      <c r="N75" s="1138"/>
      <c r="O75" s="568"/>
      <c r="P75" s="1138"/>
      <c r="Q75" s="1138"/>
      <c r="R75" s="1138"/>
      <c r="S75" s="1138"/>
      <c r="T75" s="1138"/>
      <c r="U75" s="399"/>
    </row>
    <row r="76" spans="2:21" s="6" customFormat="1" ht="15.5">
      <c r="B76" s="1155">
        <f t="shared" si="27"/>
        <v>6</v>
      </c>
      <c r="C76" s="1158" t="s">
        <v>781</v>
      </c>
      <c r="D76" s="1157" t="s">
        <v>882</v>
      </c>
      <c r="E76" s="568"/>
      <c r="F76" s="568"/>
      <c r="G76" s="568"/>
      <c r="H76" s="568"/>
      <c r="I76" s="568"/>
      <c r="J76" s="568"/>
      <c r="K76" s="1138"/>
      <c r="L76" s="1138"/>
      <c r="M76" s="1138"/>
      <c r="N76" s="1138"/>
      <c r="O76" s="568"/>
      <c r="P76" s="1138"/>
      <c r="Q76" s="1138"/>
      <c r="R76" s="1138"/>
      <c r="S76" s="1138"/>
      <c r="T76" s="1138"/>
      <c r="U76" s="399"/>
    </row>
    <row r="77" spans="2:21" s="6" customFormat="1" ht="15.5">
      <c r="B77" s="1155">
        <f t="shared" si="27"/>
        <v>7</v>
      </c>
      <c r="C77" s="1158" t="s">
        <v>782</v>
      </c>
      <c r="D77" s="1157" t="s">
        <v>882</v>
      </c>
      <c r="E77" s="568"/>
      <c r="F77" s="568"/>
      <c r="G77" s="568"/>
      <c r="H77" s="568"/>
      <c r="I77" s="568"/>
      <c r="J77" s="568"/>
      <c r="K77" s="1138"/>
      <c r="L77" s="1138"/>
      <c r="M77" s="1138"/>
      <c r="N77" s="1138"/>
      <c r="O77" s="568"/>
      <c r="P77" s="1138"/>
      <c r="Q77" s="1138"/>
      <c r="R77" s="1138"/>
      <c r="S77" s="1138"/>
      <c r="T77" s="1138"/>
      <c r="U77" s="399"/>
    </row>
    <row r="78" spans="2:21" s="6" customFormat="1" ht="15.5">
      <c r="B78" s="1155">
        <f t="shared" si="27"/>
        <v>8</v>
      </c>
      <c r="C78" s="1158" t="s">
        <v>783</v>
      </c>
      <c r="D78" s="1157" t="s">
        <v>882</v>
      </c>
      <c r="E78" s="568"/>
      <c r="F78" s="568"/>
      <c r="G78" s="568"/>
      <c r="H78" s="568"/>
      <c r="I78" s="568"/>
      <c r="J78" s="568"/>
      <c r="K78" s="1138"/>
      <c r="L78" s="1138"/>
      <c r="M78" s="1138"/>
      <c r="N78" s="1138"/>
      <c r="O78" s="568"/>
      <c r="P78" s="1138"/>
      <c r="Q78" s="1138"/>
      <c r="R78" s="1138"/>
      <c r="S78" s="1138"/>
      <c r="T78" s="1138"/>
      <c r="U78" s="399"/>
    </row>
    <row r="79" spans="2:21" s="6" customFormat="1" ht="15.5">
      <c r="B79" s="1155">
        <f t="shared" si="27"/>
        <v>9</v>
      </c>
      <c r="C79" s="1158" t="s">
        <v>883</v>
      </c>
      <c r="D79" s="1157" t="s">
        <v>882</v>
      </c>
      <c r="E79" s="568"/>
      <c r="F79" s="568"/>
      <c r="G79" s="568"/>
      <c r="H79" s="568"/>
      <c r="I79" s="568"/>
      <c r="J79" s="568"/>
      <c r="K79" s="1138"/>
      <c r="L79" s="1138"/>
      <c r="M79" s="1138"/>
      <c r="N79" s="1138"/>
      <c r="O79" s="568"/>
      <c r="P79" s="1138"/>
      <c r="Q79" s="1138"/>
      <c r="R79" s="1138"/>
      <c r="S79" s="1138"/>
      <c r="T79" s="1138"/>
      <c r="U79" s="399"/>
    </row>
    <row r="80" spans="2:21" s="6" customFormat="1" ht="15.5">
      <c r="B80" s="1155">
        <f t="shared" si="27"/>
        <v>10</v>
      </c>
      <c r="C80" s="1158" t="s">
        <v>209</v>
      </c>
      <c r="D80" s="1157" t="s">
        <v>882</v>
      </c>
      <c r="E80" s="568"/>
      <c r="F80" s="568"/>
      <c r="G80" s="568"/>
      <c r="H80" s="568"/>
      <c r="I80" s="568"/>
      <c r="J80" s="568"/>
      <c r="K80" s="1138"/>
      <c r="L80" s="1138"/>
      <c r="M80" s="1138"/>
      <c r="N80" s="1138"/>
      <c r="O80" s="568"/>
      <c r="P80" s="1138"/>
      <c r="Q80" s="1138"/>
      <c r="R80" s="1138"/>
      <c r="S80" s="1138"/>
      <c r="T80" s="1138"/>
      <c r="U80" s="399"/>
    </row>
    <row r="81" spans="2:21" s="6" customFormat="1" ht="15.5">
      <c r="B81" s="1155">
        <f t="shared" si="27"/>
        <v>11</v>
      </c>
      <c r="C81" s="1158" t="s">
        <v>806</v>
      </c>
      <c r="D81" s="1157" t="s">
        <v>882</v>
      </c>
      <c r="E81" s="568"/>
      <c r="F81" s="568"/>
      <c r="G81" s="568"/>
      <c r="H81" s="568"/>
      <c r="I81" s="568"/>
      <c r="J81" s="568"/>
      <c r="K81" s="1138"/>
      <c r="L81" s="1138"/>
      <c r="M81" s="1138"/>
      <c r="N81" s="1138"/>
      <c r="O81" s="568"/>
      <c r="P81" s="1138"/>
      <c r="Q81" s="1138"/>
      <c r="R81" s="1138"/>
      <c r="S81" s="1138"/>
      <c r="T81" s="1138"/>
      <c r="U81" s="399"/>
    </row>
    <row r="82" spans="2:21" s="6" customFormat="1" ht="15">
      <c r="B82" s="1155"/>
      <c r="C82" s="1156" t="s">
        <v>1489</v>
      </c>
      <c r="D82" s="1157" t="s">
        <v>882</v>
      </c>
      <c r="E82" s="568"/>
      <c r="F82" s="568"/>
      <c r="G82" s="568"/>
      <c r="H82" s="568"/>
      <c r="I82" s="568"/>
      <c r="J82" s="568"/>
      <c r="K82" s="1138"/>
      <c r="L82" s="1138"/>
      <c r="M82" s="1138"/>
      <c r="N82" s="1138"/>
      <c r="O82" s="568"/>
      <c r="P82" s="1138">
        <v>0</v>
      </c>
      <c r="Q82" s="1138">
        <v>0</v>
      </c>
      <c r="R82" s="1138">
        <v>0</v>
      </c>
      <c r="S82" s="1138">
        <v>0</v>
      </c>
      <c r="T82" s="1138">
        <v>0</v>
      </c>
      <c r="U82" s="399"/>
    </row>
    <row r="83" spans="2:21" s="6" customFormat="1" ht="15.5">
      <c r="B83" s="412"/>
      <c r="C83" s="408"/>
      <c r="D83" s="411"/>
      <c r="E83" s="568"/>
      <c r="F83" s="568"/>
      <c r="G83" s="568"/>
      <c r="H83" s="568"/>
      <c r="I83" s="568"/>
      <c r="J83" s="568"/>
      <c r="K83" s="1138"/>
      <c r="L83" s="1138"/>
      <c r="M83" s="1138"/>
      <c r="N83" s="1138"/>
      <c r="O83" s="568"/>
      <c r="P83" s="1138"/>
      <c r="Q83" s="1138"/>
      <c r="R83" s="1138"/>
      <c r="S83" s="1138"/>
      <c r="T83" s="1138"/>
      <c r="U83" s="399"/>
    </row>
    <row r="84" spans="2:21" s="6" customFormat="1" ht="15">
      <c r="B84" s="350" t="s">
        <v>797</v>
      </c>
      <c r="C84" s="351" t="s">
        <v>792</v>
      </c>
      <c r="D84" s="413"/>
      <c r="E84" s="568"/>
      <c r="F84" s="568"/>
      <c r="G84" s="568"/>
      <c r="H84" s="568"/>
      <c r="I84" s="568"/>
      <c r="J84" s="568"/>
      <c r="K84" s="1138"/>
      <c r="L84" s="1138"/>
      <c r="M84" s="1138"/>
      <c r="N84" s="1138"/>
      <c r="O84" s="568"/>
      <c r="P84" s="1138"/>
      <c r="Q84" s="1138"/>
      <c r="R84" s="1138"/>
      <c r="S84" s="1138"/>
      <c r="T84" s="1138"/>
      <c r="U84" s="399"/>
    </row>
    <row r="85" spans="2:21" s="6" customFormat="1" ht="15.5">
      <c r="B85" s="352">
        <v>1</v>
      </c>
      <c r="C85" s="406" t="s">
        <v>139</v>
      </c>
      <c r="D85" s="413" t="s">
        <v>796</v>
      </c>
      <c r="E85" s="490">
        <f>F85</f>
        <v>52127.017848186508</v>
      </c>
      <c r="F85" s="490">
        <v>52127.017848186508</v>
      </c>
      <c r="G85" s="490">
        <f t="shared" ref="G85:G96" si="28">F85-E85</f>
        <v>0</v>
      </c>
      <c r="H85" s="490">
        <f>I85</f>
        <v>63267.069694760277</v>
      </c>
      <c r="I85" s="490">
        <v>63267.069694760277</v>
      </c>
      <c r="J85" s="490">
        <f t="shared" ref="J85:J96" si="29">I85-H85</f>
        <v>0</v>
      </c>
      <c r="K85" s="746"/>
      <c r="L85" s="1139">
        <v>59568.197673837734</v>
      </c>
      <c r="M85" s="1139"/>
      <c r="N85" s="1139"/>
      <c r="O85" s="490">
        <f t="shared" ref="O85:O96" si="30">N85-K85</f>
        <v>0</v>
      </c>
      <c r="P85" s="1139"/>
      <c r="Q85" s="1139"/>
      <c r="R85" s="1139"/>
      <c r="S85" s="1139"/>
      <c r="T85" s="1139"/>
      <c r="U85" s="399"/>
    </row>
    <row r="86" spans="2:21" s="6" customFormat="1" ht="15.5">
      <c r="B86" s="352">
        <v>2</v>
      </c>
      <c r="C86" s="406" t="s">
        <v>780</v>
      </c>
      <c r="D86" s="413" t="s">
        <v>796</v>
      </c>
      <c r="E86" s="490">
        <f t="shared" ref="E86:E96" si="31">F86</f>
        <v>0</v>
      </c>
      <c r="F86" s="490">
        <v>0</v>
      </c>
      <c r="G86" s="490">
        <f t="shared" si="28"/>
        <v>0</v>
      </c>
      <c r="H86" s="490">
        <f t="shared" ref="H86:H96" si="32">I86</f>
        <v>0</v>
      </c>
      <c r="I86" s="490">
        <v>0</v>
      </c>
      <c r="J86" s="490">
        <f t="shared" si="29"/>
        <v>0</v>
      </c>
      <c r="K86" s="746"/>
      <c r="L86" s="1139">
        <v>0</v>
      </c>
      <c r="M86" s="1139"/>
      <c r="N86" s="1139"/>
      <c r="O86" s="490">
        <f t="shared" si="30"/>
        <v>0</v>
      </c>
      <c r="P86" s="1139"/>
      <c r="Q86" s="1139"/>
      <c r="R86" s="1139"/>
      <c r="S86" s="1139"/>
      <c r="T86" s="1139"/>
      <c r="U86" s="399"/>
    </row>
    <row r="87" spans="2:21" s="427" customFormat="1" ht="15.5">
      <c r="B87" s="425">
        <v>3</v>
      </c>
      <c r="C87" s="406" t="s">
        <v>227</v>
      </c>
      <c r="D87" s="471" t="s">
        <v>796</v>
      </c>
      <c r="E87" s="490">
        <f t="shared" si="31"/>
        <v>0</v>
      </c>
      <c r="F87" s="490">
        <v>0</v>
      </c>
      <c r="G87" s="490">
        <f t="shared" si="28"/>
        <v>0</v>
      </c>
      <c r="H87" s="490">
        <f t="shared" si="32"/>
        <v>0</v>
      </c>
      <c r="I87" s="490">
        <v>0</v>
      </c>
      <c r="J87" s="490">
        <f t="shared" si="29"/>
        <v>0</v>
      </c>
      <c r="K87" s="746"/>
      <c r="L87" s="1139">
        <v>0</v>
      </c>
      <c r="M87" s="1139"/>
      <c r="N87" s="1139"/>
      <c r="O87" s="490">
        <f t="shared" si="30"/>
        <v>0</v>
      </c>
      <c r="P87" s="1139"/>
      <c r="Q87" s="1139"/>
      <c r="R87" s="1139"/>
      <c r="S87" s="1139"/>
      <c r="T87" s="1139"/>
      <c r="U87" s="410"/>
    </row>
    <row r="88" spans="2:21" s="427" customFormat="1" ht="15.5">
      <c r="B88" s="425">
        <v>4</v>
      </c>
      <c r="C88" s="406" t="s">
        <v>789</v>
      </c>
      <c r="D88" s="471" t="s">
        <v>796</v>
      </c>
      <c r="E88" s="490">
        <f t="shared" si="31"/>
        <v>0</v>
      </c>
      <c r="F88" s="490">
        <v>0</v>
      </c>
      <c r="G88" s="490">
        <f t="shared" si="28"/>
        <v>0</v>
      </c>
      <c r="H88" s="490">
        <f t="shared" si="32"/>
        <v>0</v>
      </c>
      <c r="I88" s="490">
        <v>0</v>
      </c>
      <c r="J88" s="490">
        <f t="shared" si="29"/>
        <v>0</v>
      </c>
      <c r="K88" s="746"/>
      <c r="L88" s="1139">
        <v>0</v>
      </c>
      <c r="M88" s="1139"/>
      <c r="N88" s="1139"/>
      <c r="O88" s="490">
        <f t="shared" si="30"/>
        <v>0</v>
      </c>
      <c r="P88" s="1139"/>
      <c r="Q88" s="1139"/>
      <c r="R88" s="1139"/>
      <c r="S88" s="1139"/>
      <c r="T88" s="1139"/>
      <c r="U88" s="410"/>
    </row>
    <row r="89" spans="2:21" s="6" customFormat="1" ht="15.5">
      <c r="B89" s="352">
        <v>5</v>
      </c>
      <c r="C89" s="406" t="s">
        <v>140</v>
      </c>
      <c r="D89" s="413" t="s">
        <v>796</v>
      </c>
      <c r="E89" s="490">
        <f t="shared" si="31"/>
        <v>9382.8632126735702</v>
      </c>
      <c r="F89" s="490">
        <v>9382.8632126735702</v>
      </c>
      <c r="G89" s="490">
        <f t="shared" si="28"/>
        <v>0</v>
      </c>
      <c r="H89" s="490">
        <f t="shared" si="32"/>
        <v>11388.07254505685</v>
      </c>
      <c r="I89" s="490">
        <v>11388.07254505685</v>
      </c>
      <c r="J89" s="490">
        <f t="shared" si="29"/>
        <v>0</v>
      </c>
      <c r="K89" s="746"/>
      <c r="L89" s="1139">
        <v>10722.275581290793</v>
      </c>
      <c r="M89" s="1139"/>
      <c r="N89" s="1139"/>
      <c r="O89" s="490">
        <f t="shared" si="30"/>
        <v>0</v>
      </c>
      <c r="P89" s="1139"/>
      <c r="Q89" s="1139"/>
      <c r="R89" s="1139"/>
      <c r="S89" s="1139"/>
      <c r="T89" s="1139"/>
      <c r="U89" s="399"/>
    </row>
    <row r="90" spans="2:21" s="6" customFormat="1" ht="15.5">
      <c r="B90" s="352">
        <v>6</v>
      </c>
      <c r="C90" s="406" t="s">
        <v>781</v>
      </c>
      <c r="D90" s="413" t="s">
        <v>796</v>
      </c>
      <c r="E90" s="490">
        <f t="shared" si="31"/>
        <v>0</v>
      </c>
      <c r="F90" s="490">
        <v>0</v>
      </c>
      <c r="G90" s="490">
        <f t="shared" si="28"/>
        <v>0</v>
      </c>
      <c r="H90" s="490">
        <f t="shared" si="32"/>
        <v>0</v>
      </c>
      <c r="I90" s="490">
        <v>0</v>
      </c>
      <c r="J90" s="490">
        <f t="shared" si="29"/>
        <v>0</v>
      </c>
      <c r="K90" s="746"/>
      <c r="L90" s="1139">
        <v>0</v>
      </c>
      <c r="M90" s="1139"/>
      <c r="N90" s="1139"/>
      <c r="O90" s="490">
        <f t="shared" si="30"/>
        <v>0</v>
      </c>
      <c r="P90" s="1139"/>
      <c r="Q90" s="1139"/>
      <c r="R90" s="1139"/>
      <c r="S90" s="1139"/>
      <c r="T90" s="1139"/>
      <c r="U90" s="399"/>
    </row>
    <row r="91" spans="2:21" s="6" customFormat="1" ht="15.5">
      <c r="B91" s="352">
        <v>7</v>
      </c>
      <c r="C91" s="406" t="s">
        <v>782</v>
      </c>
      <c r="D91" s="413" t="s">
        <v>796</v>
      </c>
      <c r="E91" s="490">
        <f t="shared" si="31"/>
        <v>0</v>
      </c>
      <c r="F91" s="490">
        <v>0</v>
      </c>
      <c r="G91" s="490">
        <f t="shared" si="28"/>
        <v>0</v>
      </c>
      <c r="H91" s="490">
        <f t="shared" si="32"/>
        <v>0</v>
      </c>
      <c r="I91" s="490">
        <v>0</v>
      </c>
      <c r="J91" s="490">
        <f t="shared" si="29"/>
        <v>0</v>
      </c>
      <c r="K91" s="746"/>
      <c r="L91" s="1139">
        <v>0</v>
      </c>
      <c r="M91" s="1139"/>
      <c r="N91" s="1139"/>
      <c r="O91" s="490">
        <f t="shared" si="30"/>
        <v>0</v>
      </c>
      <c r="P91" s="1139"/>
      <c r="Q91" s="1139"/>
      <c r="R91" s="1139"/>
      <c r="S91" s="1139"/>
      <c r="T91" s="1139"/>
      <c r="U91" s="399"/>
    </row>
    <row r="92" spans="2:21" s="6" customFormat="1" ht="15.5">
      <c r="B92" s="352">
        <v>8</v>
      </c>
      <c r="C92" s="406" t="s">
        <v>783</v>
      </c>
      <c r="D92" s="413" t="s">
        <v>796</v>
      </c>
      <c r="E92" s="490">
        <f t="shared" si="31"/>
        <v>0</v>
      </c>
      <c r="F92" s="490">
        <v>0</v>
      </c>
      <c r="G92" s="490">
        <f t="shared" si="28"/>
        <v>0</v>
      </c>
      <c r="H92" s="490">
        <f t="shared" si="32"/>
        <v>0</v>
      </c>
      <c r="I92" s="490">
        <v>0</v>
      </c>
      <c r="J92" s="490">
        <f t="shared" si="29"/>
        <v>0</v>
      </c>
      <c r="K92" s="746"/>
      <c r="L92" s="1139">
        <v>0</v>
      </c>
      <c r="M92" s="1139"/>
      <c r="N92" s="1139"/>
      <c r="O92" s="490">
        <f t="shared" si="30"/>
        <v>0</v>
      </c>
      <c r="P92" s="1139"/>
      <c r="Q92" s="1139"/>
      <c r="R92" s="1139"/>
      <c r="S92" s="1139"/>
      <c r="T92" s="1139"/>
      <c r="U92" s="399"/>
    </row>
    <row r="93" spans="2:21" s="6" customFormat="1" ht="15.5">
      <c r="B93" s="352">
        <v>9</v>
      </c>
      <c r="C93" s="406" t="s">
        <v>822</v>
      </c>
      <c r="D93" s="413" t="s">
        <v>796</v>
      </c>
      <c r="E93" s="490">
        <f t="shared" si="31"/>
        <v>0</v>
      </c>
      <c r="F93" s="490">
        <v>0</v>
      </c>
      <c r="G93" s="490">
        <f t="shared" si="28"/>
        <v>0</v>
      </c>
      <c r="H93" s="490">
        <f t="shared" si="32"/>
        <v>0</v>
      </c>
      <c r="I93" s="490">
        <v>0</v>
      </c>
      <c r="J93" s="490">
        <f t="shared" si="29"/>
        <v>0</v>
      </c>
      <c r="K93" s="746"/>
      <c r="L93" s="1139">
        <v>0</v>
      </c>
      <c r="M93" s="1139"/>
      <c r="N93" s="1139"/>
      <c r="O93" s="490">
        <f t="shared" si="30"/>
        <v>0</v>
      </c>
      <c r="P93" s="1139"/>
      <c r="Q93" s="1139"/>
      <c r="R93" s="1139"/>
      <c r="S93" s="1139"/>
      <c r="T93" s="1139"/>
      <c r="U93" s="399"/>
    </row>
    <row r="94" spans="2:21" s="427" customFormat="1" ht="15.5">
      <c r="B94" s="425">
        <v>10</v>
      </c>
      <c r="C94" s="456" t="s">
        <v>209</v>
      </c>
      <c r="D94" s="471" t="s">
        <v>796</v>
      </c>
      <c r="E94" s="490">
        <f t="shared" si="31"/>
        <v>0</v>
      </c>
      <c r="F94" s="490">
        <v>0</v>
      </c>
      <c r="G94" s="490">
        <f t="shared" si="28"/>
        <v>0</v>
      </c>
      <c r="H94" s="490">
        <f t="shared" si="32"/>
        <v>0</v>
      </c>
      <c r="I94" s="490">
        <v>0</v>
      </c>
      <c r="J94" s="490">
        <f t="shared" si="29"/>
        <v>0</v>
      </c>
      <c r="K94" s="746"/>
      <c r="L94" s="1139">
        <v>0</v>
      </c>
      <c r="M94" s="1139"/>
      <c r="N94" s="1139"/>
      <c r="O94" s="490">
        <f t="shared" si="30"/>
        <v>0</v>
      </c>
      <c r="P94" s="1139"/>
      <c r="Q94" s="1139"/>
      <c r="R94" s="1139"/>
      <c r="S94" s="1139"/>
      <c r="T94" s="1139"/>
      <c r="U94" s="410"/>
    </row>
    <row r="95" spans="2:21" s="6" customFormat="1" ht="15.5">
      <c r="B95" s="352">
        <v>11</v>
      </c>
      <c r="C95" s="406" t="s">
        <v>785</v>
      </c>
      <c r="D95" s="413" t="s">
        <v>796</v>
      </c>
      <c r="E95" s="490">
        <f t="shared" si="31"/>
        <v>0</v>
      </c>
      <c r="F95" s="490"/>
      <c r="G95" s="490">
        <f t="shared" si="28"/>
        <v>0</v>
      </c>
      <c r="H95" s="490">
        <f t="shared" si="32"/>
        <v>0</v>
      </c>
      <c r="I95" s="490"/>
      <c r="J95" s="490">
        <f t="shared" si="29"/>
        <v>0</v>
      </c>
      <c r="K95" s="746"/>
      <c r="L95" s="1139"/>
      <c r="M95" s="1267"/>
      <c r="N95" s="1139"/>
      <c r="O95" s="490">
        <f t="shared" si="30"/>
        <v>0</v>
      </c>
      <c r="P95" s="1139"/>
      <c r="Q95" s="1139"/>
      <c r="R95" s="1139"/>
      <c r="S95" s="1139"/>
      <c r="T95" s="1139"/>
      <c r="U95" s="399"/>
    </row>
    <row r="96" spans="2:21" s="6" customFormat="1" ht="15.5">
      <c r="B96" s="352">
        <v>12</v>
      </c>
      <c r="C96" s="406" t="s">
        <v>141</v>
      </c>
      <c r="D96" s="413" t="s">
        <v>796</v>
      </c>
      <c r="E96" s="490">
        <f t="shared" si="31"/>
        <v>0</v>
      </c>
      <c r="F96" s="490"/>
      <c r="G96" s="490">
        <f t="shared" si="28"/>
        <v>0</v>
      </c>
      <c r="H96" s="490">
        <f t="shared" si="32"/>
        <v>0</v>
      </c>
      <c r="I96" s="490"/>
      <c r="J96" s="490">
        <f t="shared" si="29"/>
        <v>0</v>
      </c>
      <c r="K96" s="746"/>
      <c r="L96" s="1139"/>
      <c r="M96" s="1267"/>
      <c r="N96" s="1139"/>
      <c r="O96" s="490">
        <f t="shared" si="30"/>
        <v>0</v>
      </c>
      <c r="P96" s="1139"/>
      <c r="Q96" s="1139"/>
      <c r="R96" s="1139"/>
      <c r="S96" s="1139"/>
      <c r="T96" s="1139"/>
      <c r="U96" s="399"/>
    </row>
    <row r="97" spans="2:21" s="6" customFormat="1" ht="15">
      <c r="B97" s="350"/>
      <c r="C97" s="351" t="s">
        <v>793</v>
      </c>
      <c r="D97" s="413" t="s">
        <v>796</v>
      </c>
      <c r="E97" s="491">
        <f t="shared" ref="E97:O97" si="33">SUM(E85:E96)</f>
        <v>61509.881060860076</v>
      </c>
      <c r="F97" s="491">
        <f t="shared" si="33"/>
        <v>61509.881060860076</v>
      </c>
      <c r="G97" s="491">
        <f t="shared" si="33"/>
        <v>0</v>
      </c>
      <c r="H97" s="491">
        <f t="shared" ref="H97" si="34">SUM(H85:H96)</f>
        <v>74655.142239817127</v>
      </c>
      <c r="I97" s="491">
        <f t="shared" si="33"/>
        <v>74655.142239817127</v>
      </c>
      <c r="J97" s="491">
        <f t="shared" si="33"/>
        <v>0</v>
      </c>
      <c r="K97" s="1140">
        <f>N97</f>
        <v>70979.689636145209</v>
      </c>
      <c r="L97" s="1140">
        <f t="shared" ref="L97" si="35">SUM(L85:L96)</f>
        <v>70290.473255128527</v>
      </c>
      <c r="M97" s="1140">
        <v>74655.142239817127</v>
      </c>
      <c r="N97" s="1140">
        <f>SUMPRODUCT(L97:M97,'F2.2'!O100:P100)/SUM('F2.2'!O100:P100)</f>
        <v>70979.689636145209</v>
      </c>
      <c r="O97" s="491">
        <f t="shared" si="33"/>
        <v>0</v>
      </c>
      <c r="P97" s="1140">
        <v>78387.899345104073</v>
      </c>
      <c r="Q97" s="1140">
        <v>82307.294312359285</v>
      </c>
      <c r="R97" s="1140">
        <v>86422.65902797725</v>
      </c>
      <c r="S97" s="1140">
        <v>90743.79197937611</v>
      </c>
      <c r="T97" s="1140">
        <v>95280.981578344916</v>
      </c>
      <c r="U97" s="407">
        <f t="shared" ref="U97" si="36">SUM(U85:U96)</f>
        <v>0</v>
      </c>
    </row>
    <row r="98" spans="2:21" s="6" customFormat="1" ht="15.5">
      <c r="B98" s="352"/>
      <c r="C98" s="406"/>
      <c r="D98" s="413"/>
      <c r="E98" s="490"/>
      <c r="F98" s="490"/>
      <c r="G98" s="490"/>
      <c r="H98" s="490"/>
      <c r="I98" s="490"/>
      <c r="J98" s="490"/>
      <c r="K98" s="1139"/>
      <c r="L98" s="1139"/>
      <c r="M98" s="1139"/>
      <c r="N98" s="1139"/>
      <c r="O98" s="490"/>
      <c r="P98" s="1139"/>
      <c r="Q98" s="1139"/>
      <c r="R98" s="1139"/>
      <c r="S98" s="1139"/>
      <c r="T98" s="1139"/>
      <c r="U98" s="399"/>
    </row>
    <row r="99" spans="2:21" s="6" customFormat="1" ht="15">
      <c r="B99" s="350" t="s">
        <v>885</v>
      </c>
      <c r="C99" s="351" t="s">
        <v>794</v>
      </c>
      <c r="D99" s="413"/>
      <c r="E99" s="490"/>
      <c r="F99" s="490"/>
      <c r="G99" s="490"/>
      <c r="H99" s="490"/>
      <c r="I99" s="490"/>
      <c r="J99" s="490"/>
      <c r="K99" s="1139"/>
      <c r="L99" s="1139"/>
      <c r="M99" s="1139"/>
      <c r="N99" s="1139"/>
      <c r="O99" s="490"/>
      <c r="P99" s="1139"/>
      <c r="Q99" s="1139"/>
      <c r="R99" s="1139"/>
      <c r="S99" s="1139"/>
      <c r="T99" s="1139"/>
      <c r="U99" s="399"/>
    </row>
    <row r="100" spans="2:21" s="11" customFormat="1" ht="15.5">
      <c r="B100" s="425">
        <v>1</v>
      </c>
      <c r="C100" s="406" t="s">
        <v>139</v>
      </c>
      <c r="D100" s="527" t="s">
        <v>796</v>
      </c>
      <c r="E100" s="490">
        <f t="shared" ref="E100:E111" si="37">F100</f>
        <v>47167.443291810043</v>
      </c>
      <c r="F100" s="490">
        <v>47167.443291810043</v>
      </c>
      <c r="G100" s="490">
        <f t="shared" ref="G100:G111" si="38">F100-E100</f>
        <v>0</v>
      </c>
      <c r="H100" s="490">
        <f t="shared" ref="H100:H111" si="39">I100</f>
        <v>58190.41677130109</v>
      </c>
      <c r="I100" s="490">
        <v>58190.41677130109</v>
      </c>
      <c r="J100" s="490">
        <f t="shared" ref="J100:J111" si="40">I100-H100</f>
        <v>0</v>
      </c>
      <c r="K100" s="1139"/>
      <c r="L100" s="1139">
        <v>45703.093764180696</v>
      </c>
      <c r="M100" s="1139"/>
      <c r="N100" s="1139"/>
      <c r="O100" s="490">
        <f t="shared" ref="O100:O111" si="41">N100-K100</f>
        <v>0</v>
      </c>
      <c r="P100" s="1139"/>
      <c r="Q100" s="1139"/>
      <c r="R100" s="1139"/>
      <c r="S100" s="1139"/>
      <c r="T100" s="1139"/>
      <c r="U100" s="528"/>
    </row>
    <row r="101" spans="2:21" s="11" customFormat="1" ht="15.5">
      <c r="B101" s="425">
        <v>2</v>
      </c>
      <c r="C101" s="406" t="s">
        <v>780</v>
      </c>
      <c r="D101" s="527" t="s">
        <v>796</v>
      </c>
      <c r="E101" s="490">
        <f t="shared" si="37"/>
        <v>0</v>
      </c>
      <c r="F101" s="490">
        <v>0</v>
      </c>
      <c r="G101" s="490">
        <f t="shared" si="38"/>
        <v>0</v>
      </c>
      <c r="H101" s="490">
        <f t="shared" si="39"/>
        <v>0</v>
      </c>
      <c r="I101" s="490">
        <v>0</v>
      </c>
      <c r="J101" s="490">
        <f t="shared" si="40"/>
        <v>0</v>
      </c>
      <c r="K101" s="1139"/>
      <c r="L101" s="1139">
        <v>0</v>
      </c>
      <c r="M101" s="1139"/>
      <c r="N101" s="1139"/>
      <c r="O101" s="490">
        <f t="shared" si="41"/>
        <v>0</v>
      </c>
      <c r="P101" s="1139"/>
      <c r="Q101" s="1139"/>
      <c r="R101" s="1139"/>
      <c r="S101" s="1139"/>
      <c r="T101" s="1139"/>
      <c r="U101" s="528"/>
    </row>
    <row r="102" spans="2:21" s="11" customFormat="1" ht="15.5">
      <c r="B102" s="425">
        <v>3</v>
      </c>
      <c r="C102" s="406" t="s">
        <v>227</v>
      </c>
      <c r="D102" s="527" t="s">
        <v>796</v>
      </c>
      <c r="E102" s="490">
        <f t="shared" si="37"/>
        <v>0</v>
      </c>
      <c r="F102" s="490">
        <v>0</v>
      </c>
      <c r="G102" s="490">
        <f t="shared" si="38"/>
        <v>0</v>
      </c>
      <c r="H102" s="490">
        <f t="shared" si="39"/>
        <v>0</v>
      </c>
      <c r="I102" s="490">
        <v>0</v>
      </c>
      <c r="J102" s="490">
        <f t="shared" si="40"/>
        <v>0</v>
      </c>
      <c r="K102" s="1139"/>
      <c r="L102" s="1139">
        <v>0</v>
      </c>
      <c r="M102" s="1139"/>
      <c r="N102" s="1139"/>
      <c r="O102" s="490">
        <f t="shared" si="41"/>
        <v>0</v>
      </c>
      <c r="P102" s="1139"/>
      <c r="Q102" s="1139"/>
      <c r="R102" s="1139"/>
      <c r="S102" s="1139"/>
      <c r="T102" s="1139"/>
      <c r="U102" s="528"/>
    </row>
    <row r="103" spans="2:21" s="11" customFormat="1" ht="15.5">
      <c r="B103" s="425">
        <v>4</v>
      </c>
      <c r="C103" s="406" t="s">
        <v>789</v>
      </c>
      <c r="D103" s="527" t="s">
        <v>796</v>
      </c>
      <c r="E103" s="490">
        <f t="shared" si="37"/>
        <v>0</v>
      </c>
      <c r="F103" s="490">
        <v>0</v>
      </c>
      <c r="G103" s="490">
        <f t="shared" si="38"/>
        <v>0</v>
      </c>
      <c r="H103" s="490">
        <f t="shared" si="39"/>
        <v>0</v>
      </c>
      <c r="I103" s="490">
        <v>0</v>
      </c>
      <c r="J103" s="490">
        <f t="shared" si="40"/>
        <v>0</v>
      </c>
      <c r="K103" s="1139"/>
      <c r="L103" s="1139">
        <v>0</v>
      </c>
      <c r="M103" s="1139"/>
      <c r="N103" s="1139"/>
      <c r="O103" s="490">
        <f t="shared" si="41"/>
        <v>0</v>
      </c>
      <c r="P103" s="1139"/>
      <c r="Q103" s="1139"/>
      <c r="R103" s="1139"/>
      <c r="S103" s="1139"/>
      <c r="T103" s="1139"/>
      <c r="U103" s="528"/>
    </row>
    <row r="104" spans="2:21" s="11" customFormat="1" ht="15.5">
      <c r="B104" s="425">
        <v>5</v>
      </c>
      <c r="C104" s="406" t="s">
        <v>821</v>
      </c>
      <c r="D104" s="527" t="s">
        <v>796</v>
      </c>
      <c r="E104" s="490">
        <f t="shared" si="37"/>
        <v>8427.0392666808311</v>
      </c>
      <c r="F104" s="490">
        <v>8427.0392666808311</v>
      </c>
      <c r="G104" s="490">
        <f t="shared" si="38"/>
        <v>0</v>
      </c>
      <c r="H104" s="490">
        <f t="shared" si="39"/>
        <v>10474.275018834196</v>
      </c>
      <c r="I104" s="490">
        <v>10474.275018834196</v>
      </c>
      <c r="J104" s="490">
        <f t="shared" si="40"/>
        <v>0</v>
      </c>
      <c r="K104" s="1139"/>
      <c r="L104" s="1139">
        <v>8226.5568775525244</v>
      </c>
      <c r="M104" s="1139"/>
      <c r="N104" s="1139"/>
      <c r="O104" s="490">
        <f t="shared" si="41"/>
        <v>0</v>
      </c>
      <c r="P104" s="1139"/>
      <c r="Q104" s="1139"/>
      <c r="R104" s="1139"/>
      <c r="S104" s="1139"/>
      <c r="T104" s="1139"/>
      <c r="U104" s="528"/>
    </row>
    <row r="105" spans="2:21" s="11" customFormat="1" ht="15.5">
      <c r="B105" s="425">
        <v>6</v>
      </c>
      <c r="C105" s="406" t="s">
        <v>823</v>
      </c>
      <c r="D105" s="527" t="s">
        <v>796</v>
      </c>
      <c r="E105" s="490">
        <f t="shared" si="37"/>
        <v>0</v>
      </c>
      <c r="F105" s="490">
        <v>0</v>
      </c>
      <c r="G105" s="490">
        <f t="shared" si="38"/>
        <v>0</v>
      </c>
      <c r="H105" s="490">
        <f t="shared" si="39"/>
        <v>0</v>
      </c>
      <c r="I105" s="490">
        <v>0</v>
      </c>
      <c r="J105" s="490">
        <f t="shared" si="40"/>
        <v>0</v>
      </c>
      <c r="K105" s="1139"/>
      <c r="L105" s="1139">
        <v>0</v>
      </c>
      <c r="M105" s="1139"/>
      <c r="N105" s="1139"/>
      <c r="O105" s="490">
        <f t="shared" si="41"/>
        <v>0</v>
      </c>
      <c r="P105" s="1139"/>
      <c r="Q105" s="1139"/>
      <c r="R105" s="1139"/>
      <c r="S105" s="1139"/>
      <c r="T105" s="1139"/>
      <c r="U105" s="528"/>
    </row>
    <row r="106" spans="2:21" s="11" customFormat="1" ht="15.5">
      <c r="B106" s="425">
        <v>7</v>
      </c>
      <c r="C106" s="406" t="s">
        <v>782</v>
      </c>
      <c r="D106" s="527" t="s">
        <v>796</v>
      </c>
      <c r="E106" s="490">
        <f t="shared" si="37"/>
        <v>0</v>
      </c>
      <c r="F106" s="490">
        <v>0</v>
      </c>
      <c r="G106" s="490">
        <f t="shared" si="38"/>
        <v>0</v>
      </c>
      <c r="H106" s="490">
        <f t="shared" si="39"/>
        <v>0</v>
      </c>
      <c r="I106" s="490">
        <v>0</v>
      </c>
      <c r="J106" s="490">
        <f t="shared" si="40"/>
        <v>0</v>
      </c>
      <c r="K106" s="1139"/>
      <c r="L106" s="1139">
        <v>0</v>
      </c>
      <c r="M106" s="1139"/>
      <c r="N106" s="1139"/>
      <c r="O106" s="490">
        <f t="shared" si="41"/>
        <v>0</v>
      </c>
      <c r="P106" s="1139"/>
      <c r="Q106" s="1139"/>
      <c r="R106" s="1139"/>
      <c r="S106" s="1139"/>
      <c r="T106" s="1139"/>
      <c r="U106" s="528"/>
    </row>
    <row r="107" spans="2:21" s="11" customFormat="1" ht="15.5">
      <c r="B107" s="425">
        <v>8</v>
      </c>
      <c r="C107" s="406" t="s">
        <v>783</v>
      </c>
      <c r="D107" s="527" t="s">
        <v>796</v>
      </c>
      <c r="E107" s="490">
        <f t="shared" si="37"/>
        <v>0</v>
      </c>
      <c r="F107" s="490">
        <v>0</v>
      </c>
      <c r="G107" s="490">
        <f t="shared" si="38"/>
        <v>0</v>
      </c>
      <c r="H107" s="490">
        <f t="shared" si="39"/>
        <v>0</v>
      </c>
      <c r="I107" s="490">
        <v>0</v>
      </c>
      <c r="J107" s="490">
        <f t="shared" si="40"/>
        <v>0</v>
      </c>
      <c r="K107" s="1139"/>
      <c r="L107" s="1139">
        <v>0</v>
      </c>
      <c r="M107" s="1139"/>
      <c r="N107" s="1139"/>
      <c r="O107" s="490">
        <f t="shared" si="41"/>
        <v>0</v>
      </c>
      <c r="P107" s="1139"/>
      <c r="Q107" s="1139"/>
      <c r="R107" s="1139"/>
      <c r="S107" s="1139"/>
      <c r="T107" s="1139"/>
      <c r="U107" s="528"/>
    </row>
    <row r="108" spans="2:21" s="11" customFormat="1" ht="15.5">
      <c r="B108" s="425">
        <v>9</v>
      </c>
      <c r="C108" s="406" t="s">
        <v>824</v>
      </c>
      <c r="D108" s="527" t="s">
        <v>796</v>
      </c>
      <c r="E108" s="490">
        <f t="shared" si="37"/>
        <v>0</v>
      </c>
      <c r="F108" s="490">
        <v>0</v>
      </c>
      <c r="G108" s="490">
        <f t="shared" si="38"/>
        <v>0</v>
      </c>
      <c r="H108" s="490">
        <f t="shared" si="39"/>
        <v>0</v>
      </c>
      <c r="I108" s="490">
        <v>0</v>
      </c>
      <c r="J108" s="490">
        <f t="shared" si="40"/>
        <v>0</v>
      </c>
      <c r="K108" s="1139"/>
      <c r="L108" s="1139">
        <v>0</v>
      </c>
      <c r="M108" s="1139"/>
      <c r="N108" s="1139"/>
      <c r="O108" s="490">
        <f t="shared" si="41"/>
        <v>0</v>
      </c>
      <c r="P108" s="1139"/>
      <c r="Q108" s="1139"/>
      <c r="R108" s="1139"/>
      <c r="S108" s="1139"/>
      <c r="T108" s="1139"/>
      <c r="U108" s="528"/>
    </row>
    <row r="109" spans="2:21" s="11" customFormat="1" ht="15.5">
      <c r="B109" s="425">
        <v>10</v>
      </c>
      <c r="C109" s="406" t="s">
        <v>209</v>
      </c>
      <c r="D109" s="527" t="s">
        <v>796</v>
      </c>
      <c r="E109" s="490">
        <f t="shared" si="37"/>
        <v>43.92</v>
      </c>
      <c r="F109" s="490">
        <v>43.92</v>
      </c>
      <c r="G109" s="490">
        <f t="shared" si="38"/>
        <v>0</v>
      </c>
      <c r="H109" s="490">
        <f t="shared" si="39"/>
        <v>43.92</v>
      </c>
      <c r="I109" s="490">
        <v>43.92</v>
      </c>
      <c r="J109" s="490">
        <f t="shared" si="40"/>
        <v>0</v>
      </c>
      <c r="K109" s="1139"/>
      <c r="L109" s="1139">
        <v>0</v>
      </c>
      <c r="M109" s="1139"/>
      <c r="N109" s="1139"/>
      <c r="O109" s="490">
        <f t="shared" si="41"/>
        <v>0</v>
      </c>
      <c r="P109" s="1139"/>
      <c r="Q109" s="1139"/>
      <c r="R109" s="1139"/>
      <c r="S109" s="1139"/>
      <c r="T109" s="1139"/>
      <c r="U109" s="528"/>
    </row>
    <row r="110" spans="2:21" s="11" customFormat="1" ht="15.5">
      <c r="B110" s="425">
        <v>11</v>
      </c>
      <c r="C110" s="406" t="s">
        <v>785</v>
      </c>
      <c r="D110" s="527" t="s">
        <v>796</v>
      </c>
      <c r="E110" s="490">
        <f t="shared" si="37"/>
        <v>0</v>
      </c>
      <c r="F110" s="490"/>
      <c r="G110" s="490">
        <f t="shared" si="38"/>
        <v>0</v>
      </c>
      <c r="H110" s="490">
        <f t="shared" si="39"/>
        <v>0</v>
      </c>
      <c r="I110" s="490"/>
      <c r="J110" s="490">
        <f t="shared" si="40"/>
        <v>0</v>
      </c>
      <c r="K110" s="1139"/>
      <c r="L110" s="1139"/>
      <c r="M110" s="1271"/>
      <c r="N110" s="1139"/>
      <c r="O110" s="490">
        <f t="shared" si="41"/>
        <v>0</v>
      </c>
      <c r="P110" s="1139"/>
      <c r="Q110" s="1139"/>
      <c r="R110" s="1139"/>
      <c r="S110" s="1139"/>
      <c r="T110" s="1139"/>
      <c r="U110" s="528"/>
    </row>
    <row r="111" spans="2:21" s="11" customFormat="1" ht="15.5">
      <c r="B111" s="425">
        <v>12</v>
      </c>
      <c r="C111" s="406" t="s">
        <v>141</v>
      </c>
      <c r="D111" s="527" t="s">
        <v>796</v>
      </c>
      <c r="E111" s="490">
        <f t="shared" si="37"/>
        <v>0</v>
      </c>
      <c r="F111" s="490"/>
      <c r="G111" s="490">
        <f t="shared" si="38"/>
        <v>0</v>
      </c>
      <c r="H111" s="490">
        <f t="shared" si="39"/>
        <v>0</v>
      </c>
      <c r="I111" s="490"/>
      <c r="J111" s="490">
        <f t="shared" si="40"/>
        <v>0</v>
      </c>
      <c r="K111" s="1139"/>
      <c r="L111" s="1139"/>
      <c r="M111" s="1271"/>
      <c r="N111" s="1271"/>
      <c r="O111" s="490">
        <f t="shared" si="41"/>
        <v>0</v>
      </c>
      <c r="P111" s="1139"/>
      <c r="Q111" s="1139"/>
      <c r="R111" s="1139"/>
      <c r="S111" s="1139"/>
      <c r="T111" s="1139"/>
      <c r="U111" s="528"/>
    </row>
    <row r="112" spans="2:21" s="6" customFormat="1" ht="15">
      <c r="B112" s="350"/>
      <c r="C112" s="351" t="s">
        <v>795</v>
      </c>
      <c r="D112" s="413" t="s">
        <v>796</v>
      </c>
      <c r="E112" s="491">
        <f>SUM(E100:E111)</f>
        <v>55638.402558490874</v>
      </c>
      <c r="F112" s="491">
        <f>SUM(F100:F111)</f>
        <v>55638.402558490874</v>
      </c>
      <c r="G112" s="491">
        <f t="shared" ref="G112:O112" si="42">SUM(G100:G111)</f>
        <v>0</v>
      </c>
      <c r="H112" s="491">
        <f>SUM(H100:H111)</f>
        <v>68708.611790135285</v>
      </c>
      <c r="I112" s="491">
        <f t="shared" si="42"/>
        <v>68708.611790135285</v>
      </c>
      <c r="J112" s="491">
        <f t="shared" si="42"/>
        <v>0</v>
      </c>
      <c r="K112" s="1140">
        <f>N112</f>
        <v>58764.5115568982</v>
      </c>
      <c r="L112" s="1140">
        <f t="shared" ref="L112" si="43">SUM(L100:L111)</f>
        <v>53929.65064173322</v>
      </c>
      <c r="M112" s="1140">
        <v>68708.611790135285</v>
      </c>
      <c r="N112" s="1272">
        <f>SUMPRODUCT(L112:M112,'F2.2'!O99:P99)/SUM('F2.2'!O99:P99)</f>
        <v>58764.5115568982</v>
      </c>
      <c r="O112" s="491">
        <f t="shared" si="42"/>
        <v>0</v>
      </c>
      <c r="P112" s="1140">
        <v>71960.787917596899</v>
      </c>
      <c r="Q112" s="1140">
        <v>75558.827313476751</v>
      </c>
      <c r="R112" s="1140">
        <v>79336.768679150598</v>
      </c>
      <c r="S112" s="1140">
        <v>83303.607113108126</v>
      </c>
      <c r="T112" s="1140">
        <v>87468.787468763534</v>
      </c>
      <c r="U112" s="407">
        <f t="shared" ref="U112" si="44">SUM(U100:U111)</f>
        <v>0</v>
      </c>
    </row>
    <row r="113" spans="2:21" s="6" customFormat="1" ht="15.5">
      <c r="B113" s="352"/>
      <c r="C113" s="351"/>
      <c r="D113" s="413"/>
      <c r="E113" s="490"/>
      <c r="F113" s="490"/>
      <c r="G113" s="490"/>
      <c r="H113" s="490"/>
      <c r="I113" s="490"/>
      <c r="J113" s="490"/>
      <c r="K113" s="1139"/>
      <c r="L113" s="1139"/>
      <c r="M113" s="1139"/>
      <c r="N113" s="1139"/>
      <c r="O113" s="490"/>
      <c r="P113" s="1139"/>
      <c r="Q113" s="1139"/>
      <c r="R113" s="1139"/>
      <c r="S113" s="1139"/>
      <c r="T113" s="1139"/>
      <c r="U113" s="407"/>
    </row>
    <row r="114" spans="2:21" s="427" customFormat="1" ht="15">
      <c r="B114" s="489" t="s">
        <v>891</v>
      </c>
      <c r="C114" s="351" t="s">
        <v>889</v>
      </c>
      <c r="D114" s="471"/>
      <c r="E114" s="490"/>
      <c r="F114" s="490"/>
      <c r="G114" s="490"/>
      <c r="H114" s="490"/>
      <c r="I114" s="490"/>
      <c r="J114" s="490"/>
      <c r="K114" s="1139"/>
      <c r="L114" s="1139"/>
      <c r="M114" s="1139"/>
      <c r="N114" s="1139"/>
      <c r="O114" s="490"/>
      <c r="P114" s="1139"/>
      <c r="Q114" s="1139"/>
      <c r="R114" s="1139"/>
      <c r="S114" s="1139"/>
      <c r="T114" s="1139"/>
      <c r="U114" s="409"/>
    </row>
    <row r="115" spans="2:21" s="427" customFormat="1" ht="15.5">
      <c r="B115" s="489">
        <v>1</v>
      </c>
      <c r="C115" s="406" t="s">
        <v>787</v>
      </c>
      <c r="D115" s="527" t="s">
        <v>796</v>
      </c>
      <c r="E115" s="490">
        <f t="shared" ref="E115:E124" si="45">F115</f>
        <v>0</v>
      </c>
      <c r="F115" s="490">
        <v>0</v>
      </c>
      <c r="G115" s="490">
        <f t="shared" ref="G115:G124" si="46">F115-E115</f>
        <v>0</v>
      </c>
      <c r="H115" s="490">
        <f t="shared" ref="H115:H124" si="47">I115</f>
        <v>0</v>
      </c>
      <c r="I115" s="490">
        <v>0</v>
      </c>
      <c r="J115" s="490">
        <f t="shared" ref="J115:J124" si="48">I115-H115</f>
        <v>0</v>
      </c>
      <c r="K115" s="1139">
        <f t="shared" ref="K115:K124" si="49">N115</f>
        <v>0</v>
      </c>
      <c r="L115" s="1139">
        <v>0</v>
      </c>
      <c r="M115" s="1139"/>
      <c r="N115" s="1273">
        <f>IFERROR(SUMPRODUCT(L115:M115,'F2.2'!$O$101:$P$101)/SUM('F2.2'!$O$101:$P$101),0)</f>
        <v>0</v>
      </c>
      <c r="O115" s="490">
        <f t="shared" ref="O115:O124" si="50">N115-K115</f>
        <v>0</v>
      </c>
      <c r="P115" s="1139"/>
      <c r="Q115" s="1139"/>
      <c r="R115" s="1139"/>
      <c r="S115" s="1139"/>
      <c r="T115" s="1139"/>
      <c r="U115" s="409"/>
    </row>
    <row r="116" spans="2:21" s="427" customFormat="1" ht="15.5">
      <c r="B116" s="489">
        <f>+B115+1</f>
        <v>2</v>
      </c>
      <c r="C116" s="406" t="s">
        <v>788</v>
      </c>
      <c r="D116" s="527" t="s">
        <v>796</v>
      </c>
      <c r="E116" s="490">
        <f t="shared" si="45"/>
        <v>0</v>
      </c>
      <c r="F116" s="490">
        <v>0</v>
      </c>
      <c r="G116" s="490">
        <f t="shared" si="46"/>
        <v>0</v>
      </c>
      <c r="H116" s="490">
        <f t="shared" si="47"/>
        <v>0</v>
      </c>
      <c r="I116" s="490">
        <v>0</v>
      </c>
      <c r="J116" s="490">
        <f t="shared" si="48"/>
        <v>0</v>
      </c>
      <c r="K116" s="1139">
        <f>N116</f>
        <v>0</v>
      </c>
      <c r="L116" s="1139">
        <v>0</v>
      </c>
      <c r="M116" s="1139"/>
      <c r="N116" s="1273">
        <f>IFERROR(SUMPRODUCT(L116:M116,'F2.2'!$O$101:$P$101)/SUM('F2.2'!$O$101:$P$101),0)</f>
        <v>0</v>
      </c>
      <c r="O116" s="490">
        <f t="shared" si="50"/>
        <v>0</v>
      </c>
      <c r="P116" s="1139"/>
      <c r="Q116" s="1139"/>
      <c r="R116" s="1139"/>
      <c r="S116" s="1139"/>
      <c r="T116" s="1139"/>
      <c r="U116" s="409"/>
    </row>
    <row r="117" spans="2:21" s="427" customFormat="1" ht="15.5">
      <c r="B117" s="489">
        <f t="shared" ref="B117:B124" si="51">+B116+1</f>
        <v>3</v>
      </c>
      <c r="C117" s="406" t="s">
        <v>227</v>
      </c>
      <c r="D117" s="527" t="s">
        <v>796</v>
      </c>
      <c r="E117" s="490">
        <f t="shared" si="45"/>
        <v>0</v>
      </c>
      <c r="F117" s="490">
        <v>0</v>
      </c>
      <c r="G117" s="490">
        <f t="shared" si="46"/>
        <v>0</v>
      </c>
      <c r="H117" s="490">
        <f t="shared" si="47"/>
        <v>0</v>
      </c>
      <c r="I117" s="490">
        <v>0</v>
      </c>
      <c r="J117" s="490">
        <f t="shared" si="48"/>
        <v>0</v>
      </c>
      <c r="K117" s="1139">
        <f t="shared" si="49"/>
        <v>0</v>
      </c>
      <c r="L117" s="1139">
        <v>0</v>
      </c>
      <c r="M117" s="1139"/>
      <c r="N117" s="1273">
        <f>IFERROR(SUMPRODUCT(L117:M117,'F2.2'!$O$101:$P$101)/SUM('F2.2'!$O$101:$P$101),0)</f>
        <v>0</v>
      </c>
      <c r="O117" s="490">
        <f t="shared" si="50"/>
        <v>0</v>
      </c>
      <c r="P117" s="1139"/>
      <c r="Q117" s="1139"/>
      <c r="R117" s="1139"/>
      <c r="S117" s="1139"/>
      <c r="T117" s="1139"/>
      <c r="U117" s="409"/>
    </row>
    <row r="118" spans="2:21" s="427" customFormat="1" ht="15.5">
      <c r="B118" s="489">
        <f t="shared" si="51"/>
        <v>4</v>
      </c>
      <c r="C118" s="406" t="s">
        <v>789</v>
      </c>
      <c r="D118" s="527" t="s">
        <v>796</v>
      </c>
      <c r="E118" s="490">
        <f t="shared" si="45"/>
        <v>0</v>
      </c>
      <c r="F118" s="490">
        <v>0</v>
      </c>
      <c r="G118" s="490">
        <f t="shared" si="46"/>
        <v>0</v>
      </c>
      <c r="H118" s="490">
        <f t="shared" si="47"/>
        <v>0</v>
      </c>
      <c r="I118" s="490">
        <v>0</v>
      </c>
      <c r="J118" s="490">
        <f t="shared" si="48"/>
        <v>0</v>
      </c>
      <c r="K118" s="1139">
        <f t="shared" si="49"/>
        <v>0</v>
      </c>
      <c r="L118" s="1139">
        <v>0</v>
      </c>
      <c r="M118" s="1139"/>
      <c r="N118" s="1273">
        <f>IFERROR(SUMPRODUCT(L118:M118,'F2.2'!$O$101:$P$101)/SUM('F2.2'!$O$101:$P$101),0)</f>
        <v>0</v>
      </c>
      <c r="O118" s="490">
        <f t="shared" si="50"/>
        <v>0</v>
      </c>
      <c r="P118" s="1139"/>
      <c r="Q118" s="1139"/>
      <c r="R118" s="1139"/>
      <c r="S118" s="1139"/>
      <c r="T118" s="1139"/>
      <c r="U118" s="409"/>
    </row>
    <row r="119" spans="2:21" s="427" customFormat="1" ht="15.5">
      <c r="B119" s="489">
        <f t="shared" si="51"/>
        <v>5</v>
      </c>
      <c r="C119" s="406" t="s">
        <v>790</v>
      </c>
      <c r="D119" s="527" t="s">
        <v>796</v>
      </c>
      <c r="E119" s="490">
        <f t="shared" si="45"/>
        <v>0</v>
      </c>
      <c r="F119" s="490">
        <v>0</v>
      </c>
      <c r="G119" s="490">
        <f t="shared" si="46"/>
        <v>0</v>
      </c>
      <c r="H119" s="490">
        <f t="shared" si="47"/>
        <v>0</v>
      </c>
      <c r="I119" s="490">
        <v>0</v>
      </c>
      <c r="J119" s="490">
        <f t="shared" si="48"/>
        <v>0</v>
      </c>
      <c r="K119" s="1139">
        <f t="shared" si="49"/>
        <v>0</v>
      </c>
      <c r="L119" s="1139">
        <v>0</v>
      </c>
      <c r="M119" s="1139"/>
      <c r="N119" s="1273">
        <f>IFERROR(SUMPRODUCT(L119:M119,'F2.2'!$O$101:$P$101)/SUM('F2.2'!$O$101:$P$101),0)</f>
        <v>0</v>
      </c>
      <c r="O119" s="490">
        <f t="shared" si="50"/>
        <v>0</v>
      </c>
      <c r="P119" s="1139"/>
      <c r="Q119" s="1139"/>
      <c r="R119" s="1139"/>
      <c r="S119" s="1139"/>
      <c r="T119" s="1139"/>
      <c r="U119" s="409"/>
    </row>
    <row r="120" spans="2:21" s="427" customFormat="1" ht="15.5">
      <c r="B120" s="489">
        <f t="shared" si="51"/>
        <v>6</v>
      </c>
      <c r="C120" s="406" t="s">
        <v>781</v>
      </c>
      <c r="D120" s="527" t="s">
        <v>796</v>
      </c>
      <c r="E120" s="490">
        <f t="shared" si="45"/>
        <v>0</v>
      </c>
      <c r="F120" s="490">
        <v>0</v>
      </c>
      <c r="G120" s="490">
        <f t="shared" si="46"/>
        <v>0</v>
      </c>
      <c r="H120" s="490">
        <f t="shared" si="47"/>
        <v>0</v>
      </c>
      <c r="I120" s="490">
        <v>0</v>
      </c>
      <c r="J120" s="490">
        <f t="shared" si="48"/>
        <v>0</v>
      </c>
      <c r="K120" s="1139">
        <f t="shared" si="49"/>
        <v>0</v>
      </c>
      <c r="L120" s="1139">
        <v>0</v>
      </c>
      <c r="M120" s="1139"/>
      <c r="N120" s="1273">
        <f>IFERROR(SUMPRODUCT(L120:M120,'F2.2'!$O$101:$P$101)/SUM('F2.2'!$O$101:$P$101),0)</f>
        <v>0</v>
      </c>
      <c r="O120" s="490">
        <f t="shared" si="50"/>
        <v>0</v>
      </c>
      <c r="P120" s="1139"/>
      <c r="Q120" s="1139"/>
      <c r="R120" s="1139"/>
      <c r="S120" s="1139"/>
      <c r="T120" s="1139"/>
      <c r="U120" s="409"/>
    </row>
    <row r="121" spans="2:21" s="427" customFormat="1" ht="15.5">
      <c r="B121" s="489">
        <f t="shared" si="51"/>
        <v>7</v>
      </c>
      <c r="C121" s="406" t="s">
        <v>782</v>
      </c>
      <c r="D121" s="527" t="s">
        <v>796</v>
      </c>
      <c r="E121" s="490">
        <f t="shared" si="45"/>
        <v>0</v>
      </c>
      <c r="F121" s="490">
        <v>0</v>
      </c>
      <c r="G121" s="490">
        <f t="shared" si="46"/>
        <v>0</v>
      </c>
      <c r="H121" s="490">
        <f t="shared" si="47"/>
        <v>0</v>
      </c>
      <c r="I121" s="490">
        <v>0</v>
      </c>
      <c r="J121" s="490">
        <f t="shared" si="48"/>
        <v>0</v>
      </c>
      <c r="K121" s="1139">
        <f t="shared" si="49"/>
        <v>0</v>
      </c>
      <c r="L121" s="1139">
        <v>0</v>
      </c>
      <c r="M121" s="1139"/>
      <c r="N121" s="1273">
        <f>IFERROR(SUMPRODUCT(L121:M121,'F2.2'!$O$101:$P$101)/SUM('F2.2'!$O$101:$P$101),0)</f>
        <v>0</v>
      </c>
      <c r="O121" s="490">
        <f t="shared" si="50"/>
        <v>0</v>
      </c>
      <c r="P121" s="1139"/>
      <c r="Q121" s="1139"/>
      <c r="R121" s="1139"/>
      <c r="S121" s="1139"/>
      <c r="T121" s="1139"/>
      <c r="U121" s="409"/>
    </row>
    <row r="122" spans="2:21" s="427" customFormat="1" ht="15.5">
      <c r="B122" s="489">
        <f t="shared" si="51"/>
        <v>8</v>
      </c>
      <c r="C122" s="406" t="s">
        <v>783</v>
      </c>
      <c r="D122" s="527" t="s">
        <v>796</v>
      </c>
      <c r="E122" s="490">
        <f t="shared" si="45"/>
        <v>0</v>
      </c>
      <c r="F122" s="490">
        <v>0</v>
      </c>
      <c r="G122" s="490">
        <f t="shared" si="46"/>
        <v>0</v>
      </c>
      <c r="H122" s="490">
        <f t="shared" si="47"/>
        <v>0</v>
      </c>
      <c r="I122" s="490">
        <v>0</v>
      </c>
      <c r="J122" s="490">
        <f t="shared" si="48"/>
        <v>0</v>
      </c>
      <c r="K122" s="1139">
        <f t="shared" si="49"/>
        <v>0</v>
      </c>
      <c r="L122" s="1139">
        <v>0</v>
      </c>
      <c r="M122" s="1139"/>
      <c r="N122" s="1273">
        <f>IFERROR(SUMPRODUCT(L122:M122,'F2.2'!$O$101:$P$101)/SUM('F2.2'!$O$101:$P$101),0)</f>
        <v>0</v>
      </c>
      <c r="O122" s="490">
        <f t="shared" si="50"/>
        <v>0</v>
      </c>
      <c r="P122" s="1139"/>
      <c r="Q122" s="1139"/>
      <c r="R122" s="1139"/>
      <c r="S122" s="1139"/>
      <c r="T122" s="1139"/>
      <c r="U122" s="409"/>
    </row>
    <row r="123" spans="2:21" s="427" customFormat="1" ht="15.5">
      <c r="B123" s="489">
        <f t="shared" si="51"/>
        <v>9</v>
      </c>
      <c r="C123" s="406" t="s">
        <v>209</v>
      </c>
      <c r="D123" s="527" t="s">
        <v>796</v>
      </c>
      <c r="E123" s="490">
        <f t="shared" si="45"/>
        <v>0</v>
      </c>
      <c r="F123" s="490">
        <v>0</v>
      </c>
      <c r="G123" s="490">
        <f t="shared" si="46"/>
        <v>0</v>
      </c>
      <c r="H123" s="490">
        <f t="shared" si="47"/>
        <v>0</v>
      </c>
      <c r="I123" s="490">
        <v>0</v>
      </c>
      <c r="J123" s="490">
        <f t="shared" si="48"/>
        <v>0</v>
      </c>
      <c r="K123" s="1139">
        <f t="shared" si="49"/>
        <v>0</v>
      </c>
      <c r="L123" s="1139">
        <v>0</v>
      </c>
      <c r="M123" s="1139"/>
      <c r="N123" s="1273">
        <f>IFERROR(SUMPRODUCT(L123:M123,'F2.2'!$O$101:$P$101)/SUM('F2.2'!$O$101:$P$101),0)</f>
        <v>0</v>
      </c>
      <c r="O123" s="490">
        <f t="shared" si="50"/>
        <v>0</v>
      </c>
      <c r="P123" s="1139"/>
      <c r="Q123" s="1139"/>
      <c r="R123" s="1139"/>
      <c r="S123" s="1139"/>
      <c r="T123" s="1139"/>
      <c r="U123" s="409"/>
    </row>
    <row r="124" spans="2:21" s="427" customFormat="1" ht="15.5">
      <c r="B124" s="489">
        <f t="shared" si="51"/>
        <v>10</v>
      </c>
      <c r="C124" s="406" t="s">
        <v>209</v>
      </c>
      <c r="D124" s="527" t="s">
        <v>796</v>
      </c>
      <c r="E124" s="490">
        <f t="shared" si="45"/>
        <v>0</v>
      </c>
      <c r="F124" s="490">
        <v>0</v>
      </c>
      <c r="G124" s="490">
        <f t="shared" si="46"/>
        <v>0</v>
      </c>
      <c r="H124" s="490">
        <f t="shared" si="47"/>
        <v>0</v>
      </c>
      <c r="I124" s="490">
        <v>0</v>
      </c>
      <c r="J124" s="490">
        <f t="shared" si="48"/>
        <v>0</v>
      </c>
      <c r="K124" s="1139">
        <f t="shared" si="49"/>
        <v>0</v>
      </c>
      <c r="L124" s="1139">
        <v>0</v>
      </c>
      <c r="M124" s="1139"/>
      <c r="N124" s="1273">
        <f>IFERROR(SUMPRODUCT(L124:M124,'F2.2'!$O$101:$P$101)/SUM('F2.2'!$O$101:$P$101),0)</f>
        <v>0</v>
      </c>
      <c r="O124" s="490">
        <f t="shared" si="50"/>
        <v>0</v>
      </c>
      <c r="P124" s="1139"/>
      <c r="Q124" s="1139"/>
      <c r="R124" s="1139"/>
      <c r="S124" s="1139"/>
      <c r="T124" s="1139"/>
      <c r="U124" s="409"/>
    </row>
    <row r="125" spans="2:21" s="427" customFormat="1" ht="15">
      <c r="B125" s="489"/>
      <c r="C125" s="351" t="s">
        <v>890</v>
      </c>
      <c r="D125" s="471" t="s">
        <v>796</v>
      </c>
      <c r="E125" s="491">
        <f>SUM(E115:E124)</f>
        <v>0</v>
      </c>
      <c r="F125" s="491">
        <f>SUM(F115:F124)</f>
        <v>0</v>
      </c>
      <c r="G125" s="491">
        <f t="shared" ref="G125:O125" si="52">SUM(G115:G124)</f>
        <v>0</v>
      </c>
      <c r="H125" s="491">
        <f>SUM(H115:H124)</f>
        <v>0</v>
      </c>
      <c r="I125" s="491">
        <f>SUM(I115:I124)</f>
        <v>0</v>
      </c>
      <c r="J125" s="491">
        <f t="shared" si="52"/>
        <v>0</v>
      </c>
      <c r="K125" s="1140">
        <f t="shared" si="52"/>
        <v>0</v>
      </c>
      <c r="L125" s="1140">
        <f t="shared" si="52"/>
        <v>0</v>
      </c>
      <c r="M125" s="1140">
        <v>0</v>
      </c>
      <c r="N125" s="1274">
        <f t="shared" si="52"/>
        <v>0</v>
      </c>
      <c r="O125" s="491">
        <f t="shared" si="52"/>
        <v>0</v>
      </c>
      <c r="P125" s="1140">
        <v>0</v>
      </c>
      <c r="Q125" s="1140">
        <v>0</v>
      </c>
      <c r="R125" s="1140">
        <v>0</v>
      </c>
      <c r="S125" s="1140">
        <v>0</v>
      </c>
      <c r="T125" s="1140">
        <v>0</v>
      </c>
      <c r="U125" s="409"/>
    </row>
    <row r="126" spans="2:21" s="427" customFormat="1" ht="15">
      <c r="B126" s="489"/>
      <c r="C126" s="351"/>
      <c r="D126" s="471"/>
      <c r="E126" s="490"/>
      <c r="F126" s="490"/>
      <c r="G126" s="490"/>
      <c r="H126" s="490"/>
      <c r="I126" s="490"/>
      <c r="J126" s="490"/>
      <c r="K126" s="1139"/>
      <c r="L126" s="1139"/>
      <c r="M126" s="1139"/>
      <c r="N126" s="1139"/>
      <c r="O126" s="490"/>
      <c r="P126" s="1139"/>
      <c r="Q126" s="1139"/>
      <c r="R126" s="1139"/>
      <c r="S126" s="1139"/>
      <c r="T126" s="1139"/>
      <c r="U126" s="409"/>
    </row>
    <row r="127" spans="2:21" s="427" customFormat="1" ht="15">
      <c r="B127" s="489" t="s">
        <v>892</v>
      </c>
      <c r="C127" s="351" t="s">
        <v>886</v>
      </c>
      <c r="D127" s="471"/>
      <c r="E127" s="490"/>
      <c r="F127" s="490"/>
      <c r="G127" s="490"/>
      <c r="H127" s="490"/>
      <c r="I127" s="490"/>
      <c r="J127" s="490"/>
      <c r="K127" s="1139"/>
      <c r="L127" s="1139"/>
      <c r="M127" s="1139"/>
      <c r="N127" s="1139"/>
      <c r="O127" s="490"/>
      <c r="P127" s="1139"/>
      <c r="Q127" s="1139"/>
      <c r="R127" s="1139"/>
      <c r="S127" s="1139"/>
      <c r="T127" s="1139"/>
      <c r="U127" s="409"/>
    </row>
    <row r="128" spans="2:21" s="427" customFormat="1" ht="15">
      <c r="B128" s="489">
        <v>1</v>
      </c>
      <c r="C128" s="351" t="s">
        <v>787</v>
      </c>
      <c r="D128" s="471" t="s">
        <v>796</v>
      </c>
      <c r="E128" s="490">
        <f t="shared" ref="E128:E137" si="53">F128</f>
        <v>52127.017848186508</v>
      </c>
      <c r="F128" s="490">
        <v>52127.017848186508</v>
      </c>
      <c r="G128" s="490">
        <f t="shared" ref="G128:G137" si="54">F128-E128</f>
        <v>0</v>
      </c>
      <c r="H128" s="490">
        <f t="shared" ref="H128:H137" si="55">I128</f>
        <v>0</v>
      </c>
      <c r="I128" s="490">
        <v>0</v>
      </c>
      <c r="J128" s="490">
        <f t="shared" ref="J128:J137" si="56">I128-H128</f>
        <v>0</v>
      </c>
      <c r="K128" s="1139">
        <f>N128</f>
        <v>0</v>
      </c>
      <c r="L128" s="1139">
        <v>0</v>
      </c>
      <c r="M128" s="1139"/>
      <c r="N128" s="1273">
        <f>IFERROR(SUMPRODUCT(L128:M128,'F2.2'!$O$102:$P$102)/SUM('F2.2'!$O$102:$P$102),0)</f>
        <v>0</v>
      </c>
      <c r="O128" s="490">
        <f t="shared" ref="O128:O137" si="57">N128-K128</f>
        <v>0</v>
      </c>
      <c r="P128" s="1139"/>
      <c r="Q128" s="1139"/>
      <c r="R128" s="1139"/>
      <c r="S128" s="1139"/>
      <c r="T128" s="1139"/>
      <c r="U128" s="409"/>
    </row>
    <row r="129" spans="2:21" s="427" customFormat="1" ht="15">
      <c r="B129" s="489">
        <f>1+B128</f>
        <v>2</v>
      </c>
      <c r="C129" s="351" t="s">
        <v>788</v>
      </c>
      <c r="D129" s="471" t="s">
        <v>796</v>
      </c>
      <c r="E129" s="490">
        <f t="shared" si="53"/>
        <v>0</v>
      </c>
      <c r="F129" s="490">
        <v>0</v>
      </c>
      <c r="G129" s="490">
        <f t="shared" si="54"/>
        <v>0</v>
      </c>
      <c r="H129" s="490">
        <f t="shared" si="55"/>
        <v>0</v>
      </c>
      <c r="I129" s="490">
        <v>0</v>
      </c>
      <c r="J129" s="490">
        <f t="shared" si="56"/>
        <v>0</v>
      </c>
      <c r="K129" s="1139">
        <f t="shared" ref="K129:K137" si="58">N129</f>
        <v>0</v>
      </c>
      <c r="L129" s="1139">
        <v>0</v>
      </c>
      <c r="M129" s="1139"/>
      <c r="N129" s="1273">
        <f>IFERROR(SUMPRODUCT(L129:M129,'F2.2'!$O$102:$P$102)/SUM('F2.2'!$O$102:$P$102),0)</f>
        <v>0</v>
      </c>
      <c r="O129" s="490">
        <f t="shared" si="57"/>
        <v>0</v>
      </c>
      <c r="P129" s="1139"/>
      <c r="Q129" s="1139"/>
      <c r="R129" s="1139"/>
      <c r="S129" s="1139"/>
      <c r="T129" s="1139"/>
      <c r="U129" s="409"/>
    </row>
    <row r="130" spans="2:21" s="427" customFormat="1" ht="15">
      <c r="B130" s="489">
        <f t="shared" ref="B130:B137" si="59">1+B129</f>
        <v>3</v>
      </c>
      <c r="C130" s="351" t="s">
        <v>227</v>
      </c>
      <c r="D130" s="471" t="s">
        <v>796</v>
      </c>
      <c r="E130" s="490">
        <f t="shared" si="53"/>
        <v>0</v>
      </c>
      <c r="F130" s="490">
        <v>0</v>
      </c>
      <c r="G130" s="490">
        <f t="shared" si="54"/>
        <v>0</v>
      </c>
      <c r="H130" s="490">
        <f t="shared" si="55"/>
        <v>0</v>
      </c>
      <c r="I130" s="490">
        <v>0</v>
      </c>
      <c r="J130" s="490">
        <f t="shared" si="56"/>
        <v>0</v>
      </c>
      <c r="K130" s="1139">
        <f t="shared" si="58"/>
        <v>0</v>
      </c>
      <c r="L130" s="1139">
        <v>0</v>
      </c>
      <c r="M130" s="1139"/>
      <c r="N130" s="1273">
        <f>IFERROR(SUMPRODUCT(L130:M130,'F2.2'!$O$102:$P$102)/SUM('F2.2'!$O$102:$P$102),0)</f>
        <v>0</v>
      </c>
      <c r="O130" s="490">
        <f t="shared" si="57"/>
        <v>0</v>
      </c>
      <c r="P130" s="1139"/>
      <c r="Q130" s="1139"/>
      <c r="R130" s="1139"/>
      <c r="S130" s="1139"/>
      <c r="T130" s="1139"/>
      <c r="U130" s="409"/>
    </row>
    <row r="131" spans="2:21" s="427" customFormat="1" ht="15">
      <c r="B131" s="489">
        <f t="shared" si="59"/>
        <v>4</v>
      </c>
      <c r="C131" s="351" t="s">
        <v>789</v>
      </c>
      <c r="D131" s="471" t="s">
        <v>796</v>
      </c>
      <c r="E131" s="490">
        <f t="shared" si="53"/>
        <v>0</v>
      </c>
      <c r="F131" s="490">
        <v>0</v>
      </c>
      <c r="G131" s="490">
        <f t="shared" si="54"/>
        <v>0</v>
      </c>
      <c r="H131" s="490">
        <f t="shared" si="55"/>
        <v>0</v>
      </c>
      <c r="I131" s="490">
        <v>0</v>
      </c>
      <c r="J131" s="490">
        <f t="shared" si="56"/>
        <v>0</v>
      </c>
      <c r="K131" s="1139">
        <f t="shared" si="58"/>
        <v>0</v>
      </c>
      <c r="L131" s="1139">
        <v>0</v>
      </c>
      <c r="M131" s="1139"/>
      <c r="N131" s="1273">
        <f>IFERROR(SUMPRODUCT(L131:M131,'F2.2'!$O$102:$P$102)/SUM('F2.2'!$O$102:$P$102),0)</f>
        <v>0</v>
      </c>
      <c r="O131" s="490">
        <f t="shared" si="57"/>
        <v>0</v>
      </c>
      <c r="P131" s="1139"/>
      <c r="Q131" s="1139"/>
      <c r="R131" s="1139"/>
      <c r="S131" s="1139"/>
      <c r="T131" s="1139"/>
      <c r="U131" s="409"/>
    </row>
    <row r="132" spans="2:21" s="427" customFormat="1" ht="15">
      <c r="B132" s="489">
        <f t="shared" si="59"/>
        <v>5</v>
      </c>
      <c r="C132" s="351" t="s">
        <v>821</v>
      </c>
      <c r="D132" s="471" t="s">
        <v>796</v>
      </c>
      <c r="E132" s="490">
        <f t="shared" si="53"/>
        <v>9382.8632126735702</v>
      </c>
      <c r="F132" s="490">
        <v>9382.8632126735702</v>
      </c>
      <c r="G132" s="490">
        <f t="shared" si="54"/>
        <v>0</v>
      </c>
      <c r="H132" s="490">
        <f t="shared" si="55"/>
        <v>0</v>
      </c>
      <c r="I132" s="490">
        <v>0</v>
      </c>
      <c r="J132" s="490">
        <f t="shared" si="56"/>
        <v>0</v>
      </c>
      <c r="K132" s="1139">
        <f t="shared" si="58"/>
        <v>0</v>
      </c>
      <c r="L132" s="1139">
        <v>0</v>
      </c>
      <c r="M132" s="1139"/>
      <c r="N132" s="1273">
        <f>IFERROR(SUMPRODUCT(L132:M132,'F2.2'!$O$102:$P$102)/SUM('F2.2'!$O$102:$P$102),0)</f>
        <v>0</v>
      </c>
      <c r="O132" s="490">
        <f t="shared" si="57"/>
        <v>0</v>
      </c>
      <c r="P132" s="1139"/>
      <c r="Q132" s="1139"/>
      <c r="R132" s="1139"/>
      <c r="S132" s="1139"/>
      <c r="T132" s="1139"/>
      <c r="U132" s="409"/>
    </row>
    <row r="133" spans="2:21" s="427" customFormat="1" ht="15">
      <c r="B133" s="489">
        <f t="shared" si="59"/>
        <v>6</v>
      </c>
      <c r="C133" s="351" t="s">
        <v>781</v>
      </c>
      <c r="D133" s="471" t="s">
        <v>796</v>
      </c>
      <c r="E133" s="490">
        <f t="shared" si="53"/>
        <v>0</v>
      </c>
      <c r="F133" s="490">
        <v>0</v>
      </c>
      <c r="G133" s="490">
        <f t="shared" si="54"/>
        <v>0</v>
      </c>
      <c r="H133" s="490">
        <f t="shared" si="55"/>
        <v>0</v>
      </c>
      <c r="I133" s="490">
        <v>0</v>
      </c>
      <c r="J133" s="490">
        <f t="shared" si="56"/>
        <v>0</v>
      </c>
      <c r="K133" s="1139">
        <f t="shared" si="58"/>
        <v>0</v>
      </c>
      <c r="L133" s="1139">
        <v>0</v>
      </c>
      <c r="M133" s="1139"/>
      <c r="N133" s="1273">
        <f>IFERROR(SUMPRODUCT(L133:M133,'F2.2'!$O$102:$P$102)/SUM('F2.2'!$O$102:$P$102),0)</f>
        <v>0</v>
      </c>
      <c r="O133" s="490">
        <f t="shared" si="57"/>
        <v>0</v>
      </c>
      <c r="P133" s="1139"/>
      <c r="Q133" s="1139"/>
      <c r="R133" s="1139"/>
      <c r="S133" s="1139"/>
      <c r="T133" s="1139"/>
      <c r="U133" s="409"/>
    </row>
    <row r="134" spans="2:21" s="427" customFormat="1" ht="15">
      <c r="B134" s="489">
        <f t="shared" si="59"/>
        <v>7</v>
      </c>
      <c r="C134" s="351" t="s">
        <v>782</v>
      </c>
      <c r="D134" s="471" t="s">
        <v>796</v>
      </c>
      <c r="E134" s="490">
        <f t="shared" si="53"/>
        <v>0</v>
      </c>
      <c r="F134" s="490">
        <v>0</v>
      </c>
      <c r="G134" s="490">
        <f t="shared" si="54"/>
        <v>0</v>
      </c>
      <c r="H134" s="490">
        <f t="shared" si="55"/>
        <v>0</v>
      </c>
      <c r="I134" s="490">
        <v>0</v>
      </c>
      <c r="J134" s="490">
        <f t="shared" si="56"/>
        <v>0</v>
      </c>
      <c r="K134" s="1139">
        <f t="shared" si="58"/>
        <v>0</v>
      </c>
      <c r="L134" s="1139">
        <v>0</v>
      </c>
      <c r="M134" s="1139"/>
      <c r="N134" s="1273">
        <f>IFERROR(SUMPRODUCT(L134:M134,'F2.2'!$O$102:$P$102)/SUM('F2.2'!$O$102:$P$102),0)</f>
        <v>0</v>
      </c>
      <c r="O134" s="490">
        <f t="shared" si="57"/>
        <v>0</v>
      </c>
      <c r="P134" s="1139"/>
      <c r="Q134" s="1139"/>
      <c r="R134" s="1139"/>
      <c r="S134" s="1139"/>
      <c r="T134" s="1139"/>
      <c r="U134" s="409"/>
    </row>
    <row r="135" spans="2:21" s="427" customFormat="1" ht="15">
      <c r="B135" s="489">
        <f t="shared" si="59"/>
        <v>8</v>
      </c>
      <c r="C135" s="351" t="s">
        <v>783</v>
      </c>
      <c r="D135" s="471" t="s">
        <v>796</v>
      </c>
      <c r="E135" s="490">
        <f t="shared" si="53"/>
        <v>0</v>
      </c>
      <c r="F135" s="490">
        <v>0</v>
      </c>
      <c r="G135" s="490">
        <f t="shared" si="54"/>
        <v>0</v>
      </c>
      <c r="H135" s="490">
        <f t="shared" si="55"/>
        <v>0</v>
      </c>
      <c r="I135" s="490">
        <v>0</v>
      </c>
      <c r="J135" s="490">
        <f t="shared" si="56"/>
        <v>0</v>
      </c>
      <c r="K135" s="1139">
        <f t="shared" si="58"/>
        <v>0</v>
      </c>
      <c r="L135" s="1139">
        <v>0</v>
      </c>
      <c r="M135" s="1139"/>
      <c r="N135" s="1273">
        <f>IFERROR(SUMPRODUCT(L135:M135,'F2.2'!$O$102:$P$102)/SUM('F2.2'!$O$102:$P$102),0)</f>
        <v>0</v>
      </c>
      <c r="O135" s="490">
        <f t="shared" si="57"/>
        <v>0</v>
      </c>
      <c r="P135" s="1139"/>
      <c r="Q135" s="1139"/>
      <c r="R135" s="1139"/>
      <c r="S135" s="1139"/>
      <c r="T135" s="1139"/>
      <c r="U135" s="409"/>
    </row>
    <row r="136" spans="2:21" s="427" customFormat="1" ht="15">
      <c r="B136" s="489">
        <f t="shared" si="59"/>
        <v>9</v>
      </c>
      <c r="C136" s="351" t="s">
        <v>887</v>
      </c>
      <c r="D136" s="471" t="s">
        <v>796</v>
      </c>
      <c r="E136" s="490">
        <f t="shared" si="53"/>
        <v>0</v>
      </c>
      <c r="F136" s="490">
        <v>0</v>
      </c>
      <c r="G136" s="490">
        <f t="shared" si="54"/>
        <v>0</v>
      </c>
      <c r="H136" s="490">
        <f t="shared" si="55"/>
        <v>0</v>
      </c>
      <c r="I136" s="490">
        <v>0</v>
      </c>
      <c r="J136" s="490">
        <f t="shared" si="56"/>
        <v>0</v>
      </c>
      <c r="K136" s="1139">
        <f t="shared" si="58"/>
        <v>0</v>
      </c>
      <c r="L136" s="1139">
        <v>0</v>
      </c>
      <c r="M136" s="1139"/>
      <c r="N136" s="1273">
        <f>IFERROR(SUMPRODUCT(L136:M136,'F2.2'!$O$102:$P$102)/SUM('F2.2'!$O$102:$P$102),0)</f>
        <v>0</v>
      </c>
      <c r="O136" s="490">
        <f t="shared" si="57"/>
        <v>0</v>
      </c>
      <c r="P136" s="1139"/>
      <c r="Q136" s="1139"/>
      <c r="R136" s="1139"/>
      <c r="S136" s="1139"/>
      <c r="T136" s="1139"/>
      <c r="U136" s="409"/>
    </row>
    <row r="137" spans="2:21" s="427" customFormat="1" ht="15">
      <c r="B137" s="489">
        <f t="shared" si="59"/>
        <v>10</v>
      </c>
      <c r="C137" s="351" t="s">
        <v>209</v>
      </c>
      <c r="D137" s="471" t="s">
        <v>796</v>
      </c>
      <c r="E137" s="490">
        <f t="shared" si="53"/>
        <v>0</v>
      </c>
      <c r="F137" s="490">
        <v>0</v>
      </c>
      <c r="G137" s="490">
        <f t="shared" si="54"/>
        <v>0</v>
      </c>
      <c r="H137" s="490">
        <f t="shared" si="55"/>
        <v>0</v>
      </c>
      <c r="I137" s="490">
        <v>0</v>
      </c>
      <c r="J137" s="490">
        <f t="shared" si="56"/>
        <v>0</v>
      </c>
      <c r="K137" s="1139">
        <f t="shared" si="58"/>
        <v>0</v>
      </c>
      <c r="L137" s="1139">
        <v>0</v>
      </c>
      <c r="M137" s="1139"/>
      <c r="N137" s="1273">
        <f>IFERROR(SUMPRODUCT(L137:M137,'F2.2'!$O$102:$P$102)/SUM('F2.2'!$O$102:$P$102),0)</f>
        <v>0</v>
      </c>
      <c r="O137" s="490">
        <f t="shared" si="57"/>
        <v>0</v>
      </c>
      <c r="P137" s="1139"/>
      <c r="Q137" s="1139"/>
      <c r="R137" s="1139"/>
      <c r="S137" s="1139"/>
      <c r="T137" s="1139"/>
      <c r="U137" s="409"/>
    </row>
    <row r="138" spans="2:21" s="427" customFormat="1" ht="15">
      <c r="B138" s="489"/>
      <c r="C138" s="351" t="s">
        <v>888</v>
      </c>
      <c r="D138" s="471" t="s">
        <v>796</v>
      </c>
      <c r="E138" s="490">
        <f>SUM(E128:E137)</f>
        <v>61509.881060860076</v>
      </c>
      <c r="F138" s="490">
        <f>SUM(F128:F137)</f>
        <v>61509.881060860076</v>
      </c>
      <c r="G138" s="490">
        <f t="shared" ref="G138" si="60">SUM(G128:G137)</f>
        <v>0</v>
      </c>
      <c r="H138" s="490">
        <f>SUM(H128:H137)</f>
        <v>0</v>
      </c>
      <c r="I138" s="490">
        <f>SUM(I128:I137)</f>
        <v>0</v>
      </c>
      <c r="J138" s="490">
        <f t="shared" ref="J138:L138" si="61">SUM(J128:J137)</f>
        <v>0</v>
      </c>
      <c r="K138" s="1139">
        <f t="shared" si="61"/>
        <v>0</v>
      </c>
      <c r="L138" s="1139">
        <f t="shared" si="61"/>
        <v>0</v>
      </c>
      <c r="M138" s="1139">
        <v>0</v>
      </c>
      <c r="N138" s="1139">
        <f t="shared" ref="N138" si="62">SUM(N128:N137)</f>
        <v>0</v>
      </c>
      <c r="O138" s="490">
        <f t="shared" ref="O138" si="63">SUM(O128:O137)</f>
        <v>0</v>
      </c>
      <c r="P138" s="1139">
        <v>0</v>
      </c>
      <c r="Q138" s="1139">
        <v>0</v>
      </c>
      <c r="R138" s="1139">
        <v>0</v>
      </c>
      <c r="S138" s="1139">
        <v>0</v>
      </c>
      <c r="T138" s="1139">
        <v>0</v>
      </c>
      <c r="U138" s="409"/>
    </row>
    <row r="139" spans="2:21" s="1" customFormat="1" ht="15.5">
      <c r="B139" s="414"/>
      <c r="C139" s="415"/>
      <c r="D139" s="415"/>
      <c r="E139" s="528"/>
      <c r="F139" s="528"/>
      <c r="G139" s="528"/>
      <c r="H139" s="528"/>
      <c r="I139" s="528"/>
      <c r="J139" s="528"/>
      <c r="K139" s="762"/>
      <c r="L139" s="762"/>
      <c r="M139" s="762"/>
      <c r="N139" s="410"/>
      <c r="O139" s="410"/>
      <c r="P139" s="410"/>
      <c r="Q139" s="410"/>
      <c r="R139" s="410"/>
      <c r="S139" s="410"/>
      <c r="T139" s="410"/>
      <c r="U139" s="399"/>
    </row>
    <row r="140" spans="2:21" s="2" customFormat="1">
      <c r="B140" s="149"/>
      <c r="C140" s="149"/>
      <c r="D140" s="349"/>
      <c r="E140" s="349"/>
      <c r="F140" s="349"/>
      <c r="G140" s="349"/>
      <c r="H140" s="349"/>
      <c r="I140" s="349"/>
      <c r="J140" s="349"/>
      <c r="K140" s="119"/>
      <c r="L140" s="119"/>
      <c r="M140" s="119"/>
      <c r="N140" s="4"/>
      <c r="O140" s="4"/>
      <c r="P140" s="4"/>
      <c r="Q140" s="4"/>
      <c r="R140" s="4"/>
      <c r="S140" s="4"/>
      <c r="T140" s="4"/>
      <c r="U140" s="4"/>
    </row>
    <row r="141" spans="2:21" s="2" customFormat="1" ht="18" customHeight="1">
      <c r="B141" s="42"/>
      <c r="C141" s="774"/>
      <c r="D141" s="774"/>
      <c r="E141" s="774"/>
      <c r="F141" s="774"/>
      <c r="G141" s="774"/>
      <c r="H141" s="774"/>
      <c r="I141" s="774"/>
      <c r="J141" s="774"/>
    </row>
    <row r="142" spans="2:21">
      <c r="B142" s="7"/>
      <c r="C142" s="7"/>
      <c r="D142" s="7"/>
      <c r="E142" s="7"/>
      <c r="F142" s="7"/>
      <c r="G142" s="7"/>
      <c r="H142" s="7"/>
      <c r="I142" s="7"/>
      <c r="J142" s="7"/>
      <c r="K142" s="7"/>
      <c r="L142" s="7"/>
      <c r="M142" s="7"/>
      <c r="N142" s="7"/>
      <c r="O142" s="7"/>
      <c r="P142" s="1"/>
      <c r="Q142" s="1"/>
      <c r="R142" s="1"/>
      <c r="S142" s="1"/>
      <c r="T142" s="1"/>
      <c r="U142" s="1"/>
    </row>
    <row r="143" spans="2:21">
      <c r="B143" s="7"/>
      <c r="C143" s="7"/>
      <c r="D143" s="7"/>
      <c r="E143" s="7"/>
      <c r="F143" s="7"/>
      <c r="G143" s="7"/>
      <c r="H143" s="7"/>
      <c r="I143" s="7"/>
      <c r="J143" s="7"/>
      <c r="K143" s="48"/>
      <c r="L143" s="11"/>
      <c r="M143" s="11"/>
      <c r="N143" s="7"/>
      <c r="O143" s="7"/>
      <c r="P143" s="1"/>
      <c r="Q143" s="1"/>
      <c r="R143" s="1"/>
      <c r="S143" s="1"/>
      <c r="T143" s="1"/>
      <c r="U143" s="1"/>
    </row>
    <row r="144" spans="2:21">
      <c r="B144" s="7"/>
      <c r="C144" s="7"/>
      <c r="D144" s="7"/>
      <c r="E144" s="7"/>
      <c r="F144" s="7"/>
      <c r="G144" s="7"/>
      <c r="H144" s="7"/>
      <c r="I144" s="7"/>
      <c r="J144" s="7"/>
      <c r="K144" s="55"/>
      <c r="L144" s="55"/>
      <c r="M144" s="55"/>
      <c r="N144" s="7"/>
      <c r="O144" s="7"/>
      <c r="P144" s="1"/>
      <c r="Q144" s="1"/>
      <c r="R144" s="1"/>
      <c r="S144" s="1"/>
      <c r="T144" s="1"/>
      <c r="U144" s="1"/>
    </row>
    <row r="145" spans="2:15">
      <c r="B145" s="7"/>
      <c r="C145" s="7"/>
      <c r="D145" s="7"/>
      <c r="E145" s="7"/>
      <c r="F145" s="7"/>
      <c r="G145" s="7"/>
      <c r="H145" s="7"/>
      <c r="I145" s="7"/>
      <c r="J145" s="7"/>
      <c r="K145" s="7"/>
      <c r="L145" s="7"/>
      <c r="M145" s="7"/>
      <c r="N145" s="7"/>
      <c r="O145" s="7"/>
    </row>
    <row r="146" spans="2:15">
      <c r="K146" s="7"/>
      <c r="L146" s="7"/>
      <c r="M146" s="7"/>
      <c r="N146" s="7"/>
      <c r="O146" s="7"/>
    </row>
    <row r="147" spans="2:15">
      <c r="K147" s="7"/>
      <c r="L147" s="7"/>
      <c r="M147" s="56"/>
      <c r="N147" s="7"/>
      <c r="O147" s="7"/>
    </row>
    <row r="148" spans="2:15">
      <c r="K148" s="7"/>
      <c r="L148" s="7"/>
      <c r="M148" s="7"/>
      <c r="N148" s="7"/>
      <c r="O148" s="7"/>
    </row>
  </sheetData>
  <mergeCells count="14">
    <mergeCell ref="P7:T7"/>
    <mergeCell ref="B4:J4"/>
    <mergeCell ref="K2:U2"/>
    <mergeCell ref="K3:U3"/>
    <mergeCell ref="K4:U4"/>
    <mergeCell ref="B7:B9"/>
    <mergeCell ref="C7:C9"/>
    <mergeCell ref="D7:D9"/>
    <mergeCell ref="K7:O7"/>
    <mergeCell ref="E7:G7"/>
    <mergeCell ref="H7:J7"/>
    <mergeCell ref="U7:U9"/>
    <mergeCell ref="B2:J2"/>
    <mergeCell ref="B3:J3"/>
  </mergeCells>
  <pageMargins left="0.19685039370078741" right="0.19685039370078741" top="0.19685039370078741" bottom="0.19685039370078741" header="0.31496062992125984" footer="0.31496062992125984"/>
  <pageSetup paperSize="9" scale="47" orientation="landscape" r:id="rId1"/>
  <headerFooter alignWithMargins="0"/>
  <rowBreaks count="1" manualBreakCount="1">
    <brk id="54" min="2" max="20" man="1"/>
  </rowBreaks>
  <colBreaks count="1" manualBreakCount="1">
    <brk id="10" max="14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B2:T87"/>
  <sheetViews>
    <sheetView showGridLines="0" topLeftCell="A49" zoomScale="53" zoomScaleNormal="75" workbookViewId="0">
      <selection activeCell="H79" sqref="H79"/>
    </sheetView>
  </sheetViews>
  <sheetFormatPr defaultColWidth="9.36328125" defaultRowHeight="14"/>
  <cols>
    <col min="1" max="1" width="3.36328125" style="5" customWidth="1"/>
    <col min="2" max="2" width="8.36328125" style="90" customWidth="1"/>
    <col min="3" max="3" width="67.90625" style="5" customWidth="1"/>
    <col min="4" max="4" width="9.08984375" style="5" bestFit="1" customWidth="1"/>
    <col min="5" max="5" width="15.81640625" style="5" bestFit="1" customWidth="1"/>
    <col min="6" max="6" width="32.6328125" style="5" bestFit="1" customWidth="1"/>
    <col min="7" max="7" width="15.81640625" style="5" bestFit="1" customWidth="1"/>
    <col min="8" max="8" width="15.54296875" style="5" bestFit="1" customWidth="1"/>
    <col min="9" max="9" width="15.90625" style="5" bestFit="1" customWidth="1"/>
    <col min="10" max="10" width="15.08984375" style="5" bestFit="1" customWidth="1"/>
    <col min="11" max="11" width="12.6328125" style="5" bestFit="1" customWidth="1"/>
    <col min="12" max="12" width="14.54296875" style="5" bestFit="1" customWidth="1"/>
    <col min="13" max="13" width="13.90625" style="5" bestFit="1" customWidth="1"/>
    <col min="14" max="14" width="14.36328125" style="5" bestFit="1" customWidth="1"/>
    <col min="15" max="15" width="18.6328125" style="5" customWidth="1"/>
    <col min="16" max="16384" width="9.36328125" style="5"/>
  </cols>
  <sheetData>
    <row r="2" spans="2:15">
      <c r="B2" s="1776" t="str">
        <f>Index!B2</f>
        <v xml:space="preserve">      Maharashtra State Power Generation Company Ltd.</v>
      </c>
      <c r="C2" s="1776"/>
      <c r="D2" s="1776"/>
      <c r="E2" s="1776"/>
      <c r="F2" s="1776"/>
      <c r="G2" s="117"/>
      <c r="H2" s="117"/>
      <c r="I2" s="117"/>
      <c r="J2" s="117"/>
      <c r="K2" s="117"/>
      <c r="L2" s="117"/>
      <c r="M2" s="117"/>
      <c r="N2" s="117"/>
      <c r="O2" s="117"/>
    </row>
    <row r="3" spans="2:15">
      <c r="B3" s="1776" t="str">
        <f>Index!B3</f>
        <v>MYT Petition Formats for Parli 8</v>
      </c>
      <c r="C3" s="1776"/>
      <c r="D3" s="1776"/>
      <c r="E3" s="1776"/>
      <c r="F3" s="1776"/>
      <c r="G3" s="117"/>
      <c r="H3" s="117"/>
      <c r="I3" s="117"/>
      <c r="J3" s="117"/>
      <c r="K3" s="117"/>
      <c r="L3" s="117"/>
      <c r="M3" s="117"/>
      <c r="N3" s="117"/>
      <c r="O3" s="117"/>
    </row>
    <row r="4" spans="2:15">
      <c r="B4" s="1777" t="s">
        <v>384</v>
      </c>
      <c r="C4" s="1777"/>
      <c r="D4" s="1777"/>
      <c r="E4" s="1777"/>
      <c r="F4" s="1777"/>
      <c r="G4" s="117"/>
      <c r="H4" s="117"/>
      <c r="I4" s="117"/>
      <c r="J4" s="117"/>
      <c r="K4" s="117"/>
      <c r="L4" s="117"/>
      <c r="M4" s="117"/>
      <c r="N4" s="117"/>
      <c r="O4" s="117"/>
    </row>
    <row r="5" spans="2:15">
      <c r="B5" s="156"/>
      <c r="C5" s="7"/>
      <c r="D5" s="18"/>
      <c r="E5" s="18"/>
      <c r="F5" s="18"/>
      <c r="G5" s="18"/>
      <c r="H5" s="18"/>
      <c r="I5" s="18"/>
    </row>
    <row r="6" spans="2:15">
      <c r="B6" s="155" t="s">
        <v>1004</v>
      </c>
      <c r="C6" s="7"/>
      <c r="D6" s="18"/>
      <c r="E6" s="18"/>
      <c r="F6" s="18"/>
      <c r="G6" s="18"/>
      <c r="H6" s="18"/>
      <c r="I6" s="18"/>
    </row>
    <row r="7" spans="2:15">
      <c r="B7" s="155"/>
      <c r="C7" s="17"/>
      <c r="D7" s="18"/>
      <c r="E7" s="18"/>
      <c r="F7" s="21" t="s">
        <v>10</v>
      </c>
      <c r="G7" s="21"/>
      <c r="H7" s="21"/>
      <c r="I7" s="18"/>
    </row>
    <row r="8" spans="2:15" s="35" customFormat="1">
      <c r="B8" s="1808" t="s">
        <v>340</v>
      </c>
      <c r="C8" s="1810" t="s">
        <v>36</v>
      </c>
      <c r="D8" s="1810" t="s">
        <v>144</v>
      </c>
      <c r="E8" s="1772" t="s">
        <v>508</v>
      </c>
      <c r="F8" s="1774"/>
      <c r="G8" s="1772" t="s">
        <v>509</v>
      </c>
      <c r="H8" s="1774"/>
      <c r="I8" s="1772" t="s">
        <v>510</v>
      </c>
      <c r="J8" s="1774"/>
      <c r="K8" s="57"/>
      <c r="L8" s="57"/>
      <c r="M8" s="57"/>
    </row>
    <row r="9" spans="2:15" s="35" customFormat="1" ht="33.65" customHeight="1">
      <c r="B9" s="1809"/>
      <c r="C9" s="1811"/>
      <c r="D9" s="1811"/>
      <c r="E9" s="633" t="s">
        <v>956</v>
      </c>
      <c r="F9" s="259" t="s">
        <v>813</v>
      </c>
      <c r="G9" s="698" t="s">
        <v>956</v>
      </c>
      <c r="H9" s="698" t="s">
        <v>813</v>
      </c>
      <c r="I9" s="698" t="s">
        <v>956</v>
      </c>
      <c r="J9" s="698" t="s">
        <v>813</v>
      </c>
      <c r="K9" s="57"/>
      <c r="L9" s="57"/>
      <c r="M9" s="57"/>
    </row>
    <row r="10" spans="2:15" s="432" customFormat="1">
      <c r="B10" s="431">
        <v>1</v>
      </c>
      <c r="C10" s="569" t="s">
        <v>453</v>
      </c>
      <c r="D10" s="473"/>
      <c r="E10" s="545">
        <f>'F2.2'!E12</f>
        <v>0.85</v>
      </c>
      <c r="F10" s="545">
        <f>'F2.2'!F12</f>
        <v>0.85</v>
      </c>
      <c r="G10" s="545">
        <f>'F2.2'!I12</f>
        <v>0.85</v>
      </c>
      <c r="H10" s="775">
        <f>'F2.2'!J12</f>
        <v>0.85</v>
      </c>
      <c r="I10" s="545">
        <f>'F2.2'!N12</f>
        <v>0.85</v>
      </c>
      <c r="J10" s="775">
        <f>'F2.2'!Q12</f>
        <v>0.85</v>
      </c>
      <c r="K10" s="57"/>
      <c r="L10" s="57"/>
      <c r="M10" s="57"/>
    </row>
    <row r="11" spans="2:15" s="432" customFormat="1">
      <c r="B11" s="431">
        <v>1.1000000000000001</v>
      </c>
      <c r="C11" s="573" t="s">
        <v>645</v>
      </c>
      <c r="D11" s="473"/>
      <c r="E11" s="513"/>
      <c r="F11" s="776"/>
      <c r="G11" s="513"/>
      <c r="H11" s="776"/>
      <c r="I11" s="513"/>
      <c r="J11" s="776"/>
      <c r="K11" s="57"/>
      <c r="L11" s="57"/>
      <c r="M11" s="57"/>
    </row>
    <row r="12" spans="2:15" s="6" customFormat="1">
      <c r="B12" s="431"/>
      <c r="C12" s="777" t="s">
        <v>646</v>
      </c>
      <c r="D12" s="473"/>
      <c r="E12" s="326"/>
      <c r="F12" s="326">
        <f>'F2.2'!F15</f>
        <v>0.52010999999999996</v>
      </c>
      <c r="G12" s="326"/>
      <c r="H12" s="326">
        <f>'F2.2'!J15</f>
        <v>0.77103999999999995</v>
      </c>
      <c r="I12" s="326"/>
      <c r="J12" s="326">
        <f>'F2.2'!N15</f>
        <v>0</v>
      </c>
      <c r="K12" s="57"/>
    </row>
    <row r="13" spans="2:15" s="6" customFormat="1">
      <c r="B13" s="431"/>
      <c r="C13" s="777" t="s">
        <v>647</v>
      </c>
      <c r="D13" s="473"/>
      <c r="E13" s="326"/>
      <c r="F13" s="326">
        <f>'F2.2'!F16</f>
        <v>0.52734999999999999</v>
      </c>
      <c r="G13" s="326"/>
      <c r="H13" s="326">
        <f>'F2.2'!J16</f>
        <v>0.78324000000000005</v>
      </c>
      <c r="I13" s="326"/>
      <c r="J13" s="326">
        <f>'F2.2'!N16</f>
        <v>0</v>
      </c>
      <c r="K13" s="57"/>
    </row>
    <row r="14" spans="2:15" s="6" customFormat="1">
      <c r="B14" s="431">
        <v>1.2</v>
      </c>
      <c r="C14" s="573" t="s">
        <v>648</v>
      </c>
      <c r="D14" s="473"/>
      <c r="E14" s="326"/>
      <c r="F14" s="326"/>
      <c r="G14" s="326"/>
      <c r="H14" s="326"/>
      <c r="I14" s="326"/>
      <c r="J14" s="326"/>
      <c r="K14" s="57"/>
    </row>
    <row r="15" spans="2:15" s="6" customFormat="1">
      <c r="B15" s="431"/>
      <c r="C15" s="777" t="s">
        <v>646</v>
      </c>
      <c r="D15" s="473"/>
      <c r="E15" s="326"/>
      <c r="F15" s="326">
        <f>'F2.2'!F18</f>
        <v>0.55755999999999994</v>
      </c>
      <c r="G15" s="326"/>
      <c r="H15" s="326">
        <f>'F2.2'!J18</f>
        <v>0.72750000000000004</v>
      </c>
      <c r="I15" s="326"/>
      <c r="J15" s="326">
        <f>'F2.2'!N18</f>
        <v>0</v>
      </c>
      <c r="K15" s="57"/>
    </row>
    <row r="16" spans="2:15" s="6" customFormat="1">
      <c r="B16" s="431"/>
      <c r="C16" s="777" t="s">
        <v>647</v>
      </c>
      <c r="D16" s="473"/>
      <c r="E16" s="326"/>
      <c r="F16" s="326">
        <f>'F2.2'!F19</f>
        <v>0.55656000000000005</v>
      </c>
      <c r="G16" s="326"/>
      <c r="H16" s="326">
        <f>'F2.2'!J19</f>
        <v>0.73072999999999999</v>
      </c>
      <c r="I16" s="326"/>
      <c r="J16" s="326">
        <f>'F2.2'!N19</f>
        <v>0</v>
      </c>
      <c r="K16" s="57"/>
    </row>
    <row r="17" spans="2:11" s="6" customFormat="1">
      <c r="B17" s="431">
        <v>2</v>
      </c>
      <c r="C17" s="569" t="s">
        <v>707</v>
      </c>
      <c r="D17" s="473"/>
      <c r="E17" s="326"/>
      <c r="F17" s="326"/>
      <c r="G17" s="326"/>
      <c r="H17" s="326"/>
      <c r="I17" s="326"/>
      <c r="J17" s="326"/>
      <c r="K17" s="57"/>
    </row>
    <row r="18" spans="2:11" s="6" customFormat="1">
      <c r="B18" s="431">
        <v>3</v>
      </c>
      <c r="C18" s="569" t="s">
        <v>738</v>
      </c>
      <c r="D18" s="473"/>
      <c r="E18" s="326"/>
      <c r="F18" s="326"/>
      <c r="G18" s="326"/>
      <c r="H18" s="326"/>
      <c r="I18" s="326"/>
      <c r="J18" s="326"/>
      <c r="K18" s="57"/>
    </row>
    <row r="19" spans="2:11" s="6" customFormat="1" ht="16">
      <c r="B19" s="431">
        <f>B18+1</f>
        <v>4</v>
      </c>
      <c r="C19" s="569" t="s">
        <v>329</v>
      </c>
      <c r="D19" s="1302">
        <v>30</v>
      </c>
      <c r="E19" s="326">
        <v>47.761168229587533</v>
      </c>
      <c r="F19" s="326">
        <f>SUM('F2.2'!$F$116:$F$118)/365*$D19</f>
        <v>40.255431984704678</v>
      </c>
      <c r="G19" s="504">
        <v>69.742395797790024</v>
      </c>
      <c r="H19" s="326">
        <f>SUM('F2.2'!$J$116:$J$118)/366*$D19</f>
        <v>51.895833662292205</v>
      </c>
      <c r="I19" s="504">
        <v>70.233962096748584</v>
      </c>
      <c r="J19" s="326">
        <f>SUM('F2.2'!$N$116:$N$118)/365*$D19</f>
        <v>63.716782449322707</v>
      </c>
      <c r="K19" s="57"/>
    </row>
    <row r="20" spans="2:11" s="6" customFormat="1" ht="16">
      <c r="B20" s="431">
        <f t="shared" ref="B20:B30" si="0">B19+1</f>
        <v>5</v>
      </c>
      <c r="C20" s="569" t="s">
        <v>332</v>
      </c>
      <c r="D20" s="1302">
        <v>30</v>
      </c>
      <c r="E20" s="326">
        <f>E19</f>
        <v>47.761168229587533</v>
      </c>
      <c r="F20" s="326">
        <f>SUM('F2.2'!$F$116:$F$118)/365*$D20</f>
        <v>40.255431984704678</v>
      </c>
      <c r="G20" s="504">
        <f>G19</f>
        <v>69.742395797790024</v>
      </c>
      <c r="H20" s="326">
        <f>SUM('F2.2'!$J$116:$J$118)/366*$D20</f>
        <v>51.895833662292205</v>
      </c>
      <c r="I20" s="504">
        <f>I19</f>
        <v>70.233962096748584</v>
      </c>
      <c r="J20" s="326">
        <f>SUM('F2.2'!$N$116:$N$118)/365*$D20</f>
        <v>63.716782449322707</v>
      </c>
      <c r="K20" s="57"/>
    </row>
    <row r="21" spans="2:11" s="6" customFormat="1" ht="16">
      <c r="B21" s="431">
        <f t="shared" si="0"/>
        <v>6</v>
      </c>
      <c r="C21" s="91" t="s">
        <v>330</v>
      </c>
      <c r="D21" s="1302"/>
      <c r="E21" s="326"/>
      <c r="F21" s="326"/>
      <c r="G21" s="504"/>
      <c r="H21" s="326"/>
      <c r="I21" s="504"/>
      <c r="J21" s="326"/>
      <c r="K21" s="57"/>
    </row>
    <row r="22" spans="2:11" s="6" customFormat="1" ht="16">
      <c r="B22" s="431">
        <f t="shared" si="0"/>
        <v>7</v>
      </c>
      <c r="C22" s="91" t="s">
        <v>331</v>
      </c>
      <c r="D22" s="1303">
        <v>2</v>
      </c>
      <c r="E22" s="326">
        <v>0.66273555345883983</v>
      </c>
      <c r="F22" s="326">
        <f>SUM('F2.2'!$F$121:$F$124)/12*$D22</f>
        <v>0.53162292562099334</v>
      </c>
      <c r="G22" s="504">
        <v>0.98127065724818296</v>
      </c>
      <c r="H22" s="326">
        <f>SUM('F2.2'!$J$121:$J$124)/12*$D22</f>
        <v>0.76431742854354223</v>
      </c>
      <c r="I22" s="504">
        <v>0.99326843372683216</v>
      </c>
      <c r="J22" s="326">
        <f>SUM('F2.2'!$N$121:$N$124)/12*$D22</f>
        <v>0.86180650023521033</v>
      </c>
      <c r="K22" s="57"/>
    </row>
    <row r="23" spans="2:11" s="6" customFormat="1" ht="16">
      <c r="B23" s="431">
        <f t="shared" si="0"/>
        <v>8</v>
      </c>
      <c r="C23" s="91" t="s">
        <v>145</v>
      </c>
      <c r="D23" s="4"/>
      <c r="E23" s="326"/>
      <c r="F23" s="326"/>
      <c r="G23" s="504"/>
      <c r="H23" s="326"/>
      <c r="I23" s="504"/>
      <c r="J23" s="326"/>
      <c r="K23" s="57"/>
    </row>
    <row r="24" spans="2:11" s="6" customFormat="1" ht="16">
      <c r="B24" s="431">
        <f t="shared" si="0"/>
        <v>9</v>
      </c>
      <c r="C24" s="91" t="s">
        <v>146</v>
      </c>
      <c r="D24" s="4"/>
      <c r="E24" s="326"/>
      <c r="F24" s="326"/>
      <c r="G24" s="504"/>
      <c r="H24" s="326"/>
      <c r="I24" s="504"/>
      <c r="J24" s="326"/>
      <c r="K24" s="57"/>
    </row>
    <row r="25" spans="2:11" s="6" customFormat="1" ht="16">
      <c r="B25" s="431">
        <f t="shared" si="0"/>
        <v>10</v>
      </c>
      <c r="C25" s="91" t="s">
        <v>147</v>
      </c>
      <c r="D25" s="4"/>
      <c r="E25" s="326"/>
      <c r="F25" s="326"/>
      <c r="G25" s="504"/>
      <c r="H25" s="326"/>
      <c r="I25" s="504"/>
      <c r="J25" s="326"/>
      <c r="K25" s="57"/>
    </row>
    <row r="26" spans="2:11" s="6" customFormat="1">
      <c r="B26" s="431">
        <f t="shared" si="0"/>
        <v>11</v>
      </c>
      <c r="C26" s="569" t="s">
        <v>172</v>
      </c>
      <c r="D26" s="1304">
        <v>1</v>
      </c>
      <c r="E26" s="326">
        <v>7.8705740314189399</v>
      </c>
      <c r="F26" s="326">
        <f>('F1'!$F$13+'F1'!$F$21)/12*$D26</f>
        <v>8.5964615267682802</v>
      </c>
      <c r="G26" s="504">
        <v>8.1128911696486128</v>
      </c>
      <c r="H26" s="326">
        <f>('F1'!$J$13+'F1'!$K$21)/12*$D26</f>
        <v>10.546341192755731</v>
      </c>
      <c r="I26" s="504">
        <v>8.3642234973980756</v>
      </c>
      <c r="J26" s="326">
        <f>('F1'!$N$13+'F1'!$Q$21)/12*$D26</f>
        <v>11.2897912058693</v>
      </c>
      <c r="K26" s="57"/>
    </row>
    <row r="27" spans="2:11" s="6" customFormat="1">
      <c r="B27" s="431">
        <f t="shared" si="0"/>
        <v>12</v>
      </c>
      <c r="C27" s="569" t="s">
        <v>1005</v>
      </c>
      <c r="D27" s="1305">
        <v>0.01</v>
      </c>
      <c r="E27" s="326">
        <v>18.678614291120283</v>
      </c>
      <c r="F27" s="326">
        <f>'F3.4'!$D$23*$D27</f>
        <v>18.71098918412028</v>
      </c>
      <c r="G27" s="504">
        <v>19.715166842120283</v>
      </c>
      <c r="H27" s="326">
        <f>'F3.4'!$E$23*$D27</f>
        <v>18.839062777390282</v>
      </c>
      <c r="I27" s="504">
        <v>19.79086684212028</v>
      </c>
      <c r="J27" s="326">
        <f>'F3.4'!$H$23*$D27</f>
        <v>19.62740031252028</v>
      </c>
      <c r="K27" s="57"/>
    </row>
    <row r="28" spans="2:11" s="6" customFormat="1">
      <c r="B28" s="431">
        <f t="shared" si="0"/>
        <v>13</v>
      </c>
      <c r="C28" s="569" t="s">
        <v>149</v>
      </c>
      <c r="D28" s="1306">
        <v>45</v>
      </c>
      <c r="E28" s="326">
        <v>118.38960778330149</v>
      </c>
      <c r="F28" s="326">
        <f>('F1'!$G$27-'F1'!$G$11+'F1'!$F$11-'F1'!$G$13+'F1'!$F$13)/365*D28</f>
        <v>108.69171756573671</v>
      </c>
      <c r="G28" s="504">
        <v>152.55414194699523</v>
      </c>
      <c r="H28" s="326">
        <f>('F1'!$K$27-'F1'!$K$11+'F1'!$J$11-'F1'!$K$13+'F1'!$J$13)/366*69</f>
        <v>200.97928154616628</v>
      </c>
      <c r="I28" s="504">
        <v>153.50970338044147</v>
      </c>
      <c r="J28" s="326">
        <f ca="1">('F1'!$Q$27-'F1'!$Q$11+'F1'!$N$11-'F1'!$Q$13+'F1'!$N$13)/365*75</f>
        <v>245.87539907790031</v>
      </c>
      <c r="K28" s="57"/>
    </row>
    <row r="29" spans="2:11" s="6" customFormat="1" ht="16">
      <c r="B29" s="431">
        <f t="shared" si="0"/>
        <v>14</v>
      </c>
      <c r="C29" s="569" t="s">
        <v>550</v>
      </c>
      <c r="D29" s="1306">
        <v>30</v>
      </c>
      <c r="E29" s="326">
        <v>0.27613981394118325</v>
      </c>
      <c r="F29" s="326">
        <f>SUM('F2.2'!$F$121:$F$124)/365*$D29</f>
        <v>0.26217020989528439</v>
      </c>
      <c r="G29" s="504">
        <v>0.40886277385340958</v>
      </c>
      <c r="H29" s="326">
        <f>SUM('F2.2'!$J$121:$J$124)/366*$D29</f>
        <v>0.37589381731649618</v>
      </c>
      <c r="I29" s="504">
        <v>0.41386184738618004</v>
      </c>
      <c r="J29" s="326">
        <f>SUM('F2.2'!$N$121:$N$124)/365*$D29</f>
        <v>0.42500046586941881</v>
      </c>
      <c r="K29" s="57"/>
    </row>
    <row r="30" spans="2:11" s="6" customFormat="1">
      <c r="B30" s="431">
        <f t="shared" si="0"/>
        <v>15</v>
      </c>
      <c r="C30" s="182" t="s">
        <v>150</v>
      </c>
      <c r="D30" s="3"/>
      <c r="E30" s="782">
        <f>SUM(E19:E28)-E29</f>
        <v>240.84772830453343</v>
      </c>
      <c r="F30" s="782">
        <f>SUM(F19:F28)-F29</f>
        <v>216.77948496176035</v>
      </c>
      <c r="G30" s="782">
        <f t="shared" ref="G30:J30" si="1">SUM(G19:G28)-G29</f>
        <v>320.43939943773893</v>
      </c>
      <c r="H30" s="782">
        <f t="shared" si="1"/>
        <v>334.54477645212376</v>
      </c>
      <c r="I30" s="782">
        <f t="shared" si="1"/>
        <v>322.71212449979765</v>
      </c>
      <c r="J30" s="782">
        <f t="shared" ca="1" si="1"/>
        <v>404.66296152930113</v>
      </c>
      <c r="K30" s="57"/>
    </row>
    <row r="31" spans="2:11" s="6" customFormat="1">
      <c r="B31" s="503"/>
      <c r="C31" s="574"/>
      <c r="D31" s="3"/>
      <c r="E31" s="326"/>
      <c r="F31" s="710"/>
      <c r="G31" s="326"/>
      <c r="H31" s="710"/>
      <c r="I31" s="326"/>
      <c r="J31" s="710"/>
      <c r="K31" s="57"/>
    </row>
    <row r="32" spans="2:11" s="6" customFormat="1">
      <c r="B32" s="431">
        <f>B30+1</f>
        <v>16</v>
      </c>
      <c r="C32" s="184" t="s">
        <v>377</v>
      </c>
      <c r="D32" s="3"/>
      <c r="E32" s="326"/>
      <c r="F32" s="326"/>
      <c r="G32" s="326"/>
      <c r="H32" s="326"/>
      <c r="I32" s="326"/>
      <c r="J32" s="326"/>
      <c r="K32" s="57"/>
    </row>
    <row r="33" spans="2:20">
      <c r="B33" s="431">
        <f t="shared" ref="B33:B35" si="2">B32+1</f>
        <v>17</v>
      </c>
      <c r="C33" s="569" t="s">
        <v>378</v>
      </c>
      <c r="D33" s="3"/>
      <c r="E33" s="840">
        <v>9.4500000000000001E-2</v>
      </c>
      <c r="F33" s="840">
        <v>9.2987671232876712E-2</v>
      </c>
      <c r="G33" s="870">
        <v>9.4500000000000001E-2</v>
      </c>
      <c r="H33" s="840">
        <v>0.10065163934426231</v>
      </c>
      <c r="I33" s="870">
        <v>9.4500000000000001E-2</v>
      </c>
      <c r="J33" s="840">
        <v>0.1045</v>
      </c>
      <c r="K33" s="57"/>
    </row>
    <row r="34" spans="2:20">
      <c r="B34" s="245">
        <f t="shared" si="2"/>
        <v>18</v>
      </c>
      <c r="C34" s="182" t="s">
        <v>86</v>
      </c>
      <c r="D34" s="3"/>
      <c r="E34" s="783">
        <f>E30*E33</f>
        <v>22.76011032477841</v>
      </c>
      <c r="F34" s="783">
        <f>F30*F33</f>
        <v>20.157819477656513</v>
      </c>
      <c r="G34" s="783">
        <f t="shared" ref="G34:J34" si="3">G30*G33</f>
        <v>30.281523246866328</v>
      </c>
      <c r="H34" s="783">
        <f>H30*H33</f>
        <v>33.672480183966023</v>
      </c>
      <c r="I34" s="783">
        <f t="shared" si="3"/>
        <v>30.496295765230879</v>
      </c>
      <c r="J34" s="783">
        <f t="shared" ca="1" si="3"/>
        <v>42.287279479811964</v>
      </c>
      <c r="K34" s="57"/>
    </row>
    <row r="35" spans="2:20">
      <c r="B35" s="245">
        <f t="shared" si="2"/>
        <v>19</v>
      </c>
      <c r="C35" s="182" t="s">
        <v>943</v>
      </c>
      <c r="D35" s="3"/>
      <c r="E35" s="784"/>
      <c r="F35" s="326">
        <v>38.636869183029766</v>
      </c>
      <c r="G35" s="784"/>
      <c r="H35" s="326">
        <v>61.016329775455574</v>
      </c>
      <c r="I35" s="784"/>
      <c r="J35" s="326"/>
      <c r="K35" s="57"/>
    </row>
    <row r="36" spans="2:20" s="1" customFormat="1">
      <c r="B36" s="219"/>
      <c r="C36" s="570"/>
      <c r="D36" s="7"/>
      <c r="E36" s="220"/>
      <c r="F36" s="220"/>
      <c r="G36" s="220"/>
      <c r="H36" s="220"/>
      <c r="I36" s="220"/>
      <c r="J36" s="220"/>
      <c r="K36" s="57"/>
      <c r="L36" s="57"/>
      <c r="M36" s="57"/>
      <c r="N36" s="57"/>
      <c r="O36" s="57"/>
      <c r="P36" s="57"/>
    </row>
    <row r="37" spans="2:20" s="1" customFormat="1" hidden="1">
      <c r="B37" s="179" t="s">
        <v>143</v>
      </c>
      <c r="C37" s="571"/>
      <c r="D37" s="7"/>
      <c r="E37" s="7"/>
      <c r="F37" s="7"/>
      <c r="G37" s="7"/>
      <c r="H37" s="7"/>
      <c r="I37" s="7"/>
      <c r="J37" s="7"/>
    </row>
    <row r="38" spans="2:20" s="1" customFormat="1" hidden="1">
      <c r="B38" s="96">
        <v>1</v>
      </c>
      <c r="C38" s="572" t="s">
        <v>152</v>
      </c>
      <c r="D38" s="48"/>
      <c r="E38" s="48"/>
      <c r="F38" s="11"/>
      <c r="G38" s="11"/>
      <c r="H38" s="11"/>
      <c r="I38" s="11"/>
      <c r="J38" s="7"/>
    </row>
    <row r="39" spans="2:20" s="1" customFormat="1" hidden="1">
      <c r="B39" s="96">
        <v>2</v>
      </c>
      <c r="C39" s="572" t="s">
        <v>153</v>
      </c>
      <c r="D39" s="48"/>
      <c r="E39" s="48"/>
      <c r="F39" s="11"/>
      <c r="G39" s="11"/>
      <c r="H39" s="11"/>
      <c r="I39" s="11"/>
      <c r="J39" s="7"/>
    </row>
    <row r="40" spans="2:20" s="1" customFormat="1" ht="18" hidden="1" customHeight="1">
      <c r="B40" s="96">
        <v>3</v>
      </c>
      <c r="C40" s="572" t="s">
        <v>154</v>
      </c>
      <c r="D40" s="42"/>
      <c r="E40" s="42"/>
      <c r="F40" s="42"/>
      <c r="G40" s="42"/>
      <c r="H40" s="42"/>
      <c r="I40" s="42"/>
      <c r="J40" s="7"/>
    </row>
    <row r="41" spans="2:20" hidden="1">
      <c r="B41" s="162">
        <v>4</v>
      </c>
      <c r="C41" s="571" t="s">
        <v>683</v>
      </c>
      <c r="D41" s="7"/>
      <c r="E41" s="7"/>
      <c r="F41" s="7"/>
      <c r="G41" s="7"/>
      <c r="H41" s="7"/>
      <c r="I41" s="7"/>
      <c r="J41" s="7"/>
    </row>
    <row r="42" spans="2:20" hidden="1">
      <c r="B42" s="162">
        <v>5</v>
      </c>
      <c r="C42" s="571" t="s">
        <v>454</v>
      </c>
      <c r="D42" s="7"/>
      <c r="E42" s="7"/>
      <c r="F42" s="7"/>
      <c r="G42" s="7"/>
      <c r="H42" s="7"/>
      <c r="I42" s="7"/>
      <c r="J42" s="7"/>
    </row>
    <row r="43" spans="2:20" hidden="1">
      <c r="B43" s="162"/>
      <c r="C43" s="571"/>
      <c r="D43" s="7"/>
      <c r="E43" s="7"/>
      <c r="F43" s="7"/>
      <c r="G43" s="7"/>
      <c r="H43" s="7"/>
      <c r="I43" s="7"/>
      <c r="J43" s="7"/>
    </row>
    <row r="44" spans="2:20" hidden="1">
      <c r="B44" s="162"/>
      <c r="C44" s="571"/>
      <c r="D44" s="7"/>
      <c r="E44" s="7"/>
      <c r="F44" s="7"/>
      <c r="G44" s="7"/>
      <c r="H44" s="7"/>
      <c r="I44" s="7"/>
      <c r="J44" s="7"/>
    </row>
    <row r="45" spans="2:20">
      <c r="B45" s="179" t="s">
        <v>997</v>
      </c>
      <c r="C45" s="571"/>
      <c r="D45" s="7"/>
      <c r="E45" s="354"/>
      <c r="F45" s="7"/>
      <c r="G45" s="7"/>
      <c r="H45" s="7"/>
      <c r="I45" s="7"/>
      <c r="J45" s="7"/>
    </row>
    <row r="46" spans="2:20" s="11" customFormat="1">
      <c r="B46" s="92"/>
      <c r="C46" s="785"/>
      <c r="I46" s="786" t="s">
        <v>10</v>
      </c>
    </row>
    <row r="47" spans="2:20" s="35" customFormat="1" ht="27.65" customHeight="1">
      <c r="B47" s="1804" t="s">
        <v>340</v>
      </c>
      <c r="C47" s="1806" t="s">
        <v>36</v>
      </c>
      <c r="D47" s="1806" t="s">
        <v>144</v>
      </c>
      <c r="E47" s="718" t="s">
        <v>958</v>
      </c>
      <c r="F47" s="718" t="s">
        <v>959</v>
      </c>
      <c r="G47" s="718" t="s">
        <v>960</v>
      </c>
      <c r="H47" s="718" t="s">
        <v>961</v>
      </c>
      <c r="I47" s="742" t="s">
        <v>962</v>
      </c>
      <c r="J47" s="57"/>
      <c r="K47" s="57"/>
      <c r="L47" s="57"/>
      <c r="M47" s="57"/>
      <c r="N47" s="57"/>
      <c r="S47" s="57"/>
      <c r="T47" s="57"/>
    </row>
    <row r="48" spans="2:20" s="36" customFormat="1" ht="37.75" customHeight="1">
      <c r="B48" s="1804"/>
      <c r="C48" s="1806"/>
      <c r="D48" s="1806"/>
      <c r="E48" s="698" t="s">
        <v>21</v>
      </c>
      <c r="F48" s="297" t="s">
        <v>21</v>
      </c>
      <c r="G48" s="698" t="s">
        <v>21</v>
      </c>
      <c r="H48" s="698" t="s">
        <v>21</v>
      </c>
      <c r="I48" s="698" t="s">
        <v>21</v>
      </c>
      <c r="J48" s="705"/>
      <c r="K48" s="705"/>
      <c r="L48" s="705"/>
      <c r="M48" s="705"/>
      <c r="N48" s="705"/>
    </row>
    <row r="49" spans="2:14" s="427" customFormat="1">
      <c r="B49" s="431">
        <v>1</v>
      </c>
      <c r="C49" s="569" t="s">
        <v>453</v>
      </c>
      <c r="D49" s="473"/>
      <c r="E49" s="526"/>
      <c r="F49" s="546"/>
      <c r="G49" s="526"/>
      <c r="H49" s="546"/>
      <c r="I49" s="526"/>
      <c r="J49" s="737"/>
      <c r="K49" s="738"/>
      <c r="L49" s="737"/>
      <c r="M49" s="738"/>
      <c r="N49" s="737"/>
    </row>
    <row r="50" spans="2:14" s="427" customFormat="1">
      <c r="B50" s="431">
        <v>1.1000000000000001</v>
      </c>
      <c r="C50" s="573" t="s">
        <v>645</v>
      </c>
      <c r="D50" s="473"/>
      <c r="E50" s="451"/>
      <c r="F50" s="451"/>
      <c r="G50" s="451"/>
      <c r="H50" s="451"/>
      <c r="I50" s="451"/>
      <c r="J50" s="711"/>
      <c r="K50" s="711"/>
      <c r="L50" s="711"/>
      <c r="M50" s="711"/>
      <c r="N50" s="711"/>
    </row>
    <row r="51" spans="2:14" s="427" customFormat="1">
      <c r="B51" s="431"/>
      <c r="C51" s="573" t="s">
        <v>646</v>
      </c>
      <c r="D51" s="473"/>
      <c r="E51" s="451"/>
      <c r="F51" s="451"/>
      <c r="G51" s="451"/>
      <c r="H51" s="451"/>
      <c r="I51" s="451"/>
      <c r="J51" s="711"/>
      <c r="K51" s="711"/>
      <c r="L51" s="711"/>
      <c r="M51" s="711"/>
      <c r="N51" s="711"/>
    </row>
    <row r="52" spans="2:14" s="427" customFormat="1">
      <c r="B52" s="431"/>
      <c r="C52" s="573" t="s">
        <v>647</v>
      </c>
      <c r="D52" s="473"/>
      <c r="E52" s="451"/>
      <c r="F52" s="451"/>
      <c r="G52" s="451"/>
      <c r="H52" s="451"/>
      <c r="I52" s="451"/>
      <c r="J52" s="711"/>
      <c r="K52" s="711"/>
      <c r="L52" s="711"/>
      <c r="M52" s="711"/>
      <c r="N52" s="711"/>
    </row>
    <row r="53" spans="2:14" s="427" customFormat="1">
      <c r="B53" s="431">
        <v>1.2</v>
      </c>
      <c r="C53" s="573" t="s">
        <v>648</v>
      </c>
      <c r="D53" s="473"/>
      <c r="E53" s="451"/>
      <c r="F53" s="451"/>
      <c r="G53" s="451"/>
      <c r="H53" s="451"/>
      <c r="I53" s="451"/>
      <c r="J53" s="711"/>
      <c r="K53" s="711"/>
      <c r="L53" s="711"/>
      <c r="M53" s="711"/>
      <c r="N53" s="711"/>
    </row>
    <row r="54" spans="2:14" s="427" customFormat="1">
      <c r="B54" s="431"/>
      <c r="C54" s="573" t="s">
        <v>646</v>
      </c>
      <c r="D54" s="473"/>
      <c r="E54" s="451"/>
      <c r="F54" s="451"/>
      <c r="G54" s="451"/>
      <c r="H54" s="451"/>
      <c r="I54" s="451"/>
      <c r="J54" s="711"/>
      <c r="K54" s="711"/>
      <c r="L54" s="711"/>
      <c r="M54" s="711"/>
      <c r="N54" s="711"/>
    </row>
    <row r="55" spans="2:14" s="427" customFormat="1">
      <c r="B55" s="431"/>
      <c r="C55" s="573" t="s">
        <v>647</v>
      </c>
      <c r="D55" s="473"/>
      <c r="E55" s="451"/>
      <c r="F55" s="451"/>
      <c r="G55" s="451"/>
      <c r="H55" s="451"/>
      <c r="I55" s="451"/>
      <c r="J55" s="711"/>
      <c r="K55" s="711"/>
      <c r="L55" s="711"/>
      <c r="M55" s="711"/>
      <c r="N55" s="711"/>
    </row>
    <row r="56" spans="2:14" s="427" customFormat="1">
      <c r="B56" s="431">
        <v>2</v>
      </c>
      <c r="C56" s="569" t="s">
        <v>707</v>
      </c>
      <c r="D56" s="473"/>
      <c r="E56" s="451"/>
      <c r="F56" s="451"/>
      <c r="G56" s="451"/>
      <c r="H56" s="451"/>
      <c r="I56" s="451"/>
      <c r="J56" s="711"/>
      <c r="K56" s="711"/>
      <c r="L56" s="711"/>
      <c r="M56" s="711"/>
      <c r="N56" s="711"/>
    </row>
    <row r="57" spans="2:14" s="427" customFormat="1">
      <c r="B57" s="431">
        <v>3</v>
      </c>
      <c r="C57" s="569" t="s">
        <v>738</v>
      </c>
      <c r="D57" s="473"/>
      <c r="E57" s="451"/>
      <c r="F57" s="451"/>
      <c r="G57" s="451"/>
      <c r="H57" s="451"/>
      <c r="I57" s="451"/>
      <c r="J57" s="711"/>
      <c r="K57" s="711"/>
      <c r="L57" s="711"/>
      <c r="M57" s="711"/>
      <c r="N57" s="711"/>
    </row>
    <row r="58" spans="2:14" s="427" customFormat="1" ht="16">
      <c r="B58" s="431">
        <v>3</v>
      </c>
      <c r="C58" s="569" t="s">
        <v>329</v>
      </c>
      <c r="D58" s="1302">
        <v>20</v>
      </c>
      <c r="E58" s="451">
        <f>SUM('F2.2'!S116:S118)/365*$D58</f>
        <v>52.814856541396864</v>
      </c>
      <c r="F58" s="451">
        <f>SUM('F2.2'!T116:T120)/365*$D58</f>
        <v>55.455599368466714</v>
      </c>
      <c r="G58" s="451">
        <f>SUM('F2.2'!U116:U120)/366*$D58</f>
        <v>56.776118264727565</v>
      </c>
      <c r="H58" s="451">
        <f>SUM('F2.2'!V116:V120)/365*$D58</f>
        <v>59.700444804178346</v>
      </c>
      <c r="I58" s="451">
        <f>SUM('F2.2'!W116:W120)/365*$D58</f>
        <v>62.607659111209983</v>
      </c>
      <c r="J58" s="711"/>
      <c r="K58" s="711"/>
      <c r="L58" s="711"/>
      <c r="M58" s="711"/>
      <c r="N58" s="711"/>
    </row>
    <row r="59" spans="2:14" s="427" customFormat="1" ht="16">
      <c r="B59" s="431">
        <f>B58+1</f>
        <v>4</v>
      </c>
      <c r="C59" s="569" t="s">
        <v>332</v>
      </c>
      <c r="D59" s="1302">
        <v>30</v>
      </c>
      <c r="E59" s="451">
        <f>SUM('F2.2'!S116:S118)/365*$D59</f>
        <v>79.222284812095296</v>
      </c>
      <c r="F59" s="451">
        <f>SUM('F2.2'!T116:T120)/365*$D59</f>
        <v>83.183399052700068</v>
      </c>
      <c r="G59" s="451">
        <f>SUM('F2.2'!U116:U120)/366*$D59</f>
        <v>85.16417739709135</v>
      </c>
      <c r="H59" s="451">
        <f>SUM('F2.2'!V116:V120)/365*$D59</f>
        <v>89.550667206267519</v>
      </c>
      <c r="I59" s="451">
        <f>SUM('F2.2'!W116:W120)/365*$D59</f>
        <v>93.911488666814975</v>
      </c>
      <c r="J59" s="711"/>
      <c r="K59" s="711"/>
      <c r="L59" s="711"/>
      <c r="M59" s="711"/>
      <c r="N59" s="711"/>
    </row>
    <row r="60" spans="2:14" s="427" customFormat="1" ht="16">
      <c r="B60" s="431">
        <f t="shared" ref="B60:B74" si="4">B59+1</f>
        <v>5</v>
      </c>
      <c r="C60" s="91" t="s">
        <v>330</v>
      </c>
      <c r="D60" s="1302"/>
      <c r="E60" s="451"/>
      <c r="F60" s="451"/>
      <c r="G60" s="451"/>
      <c r="H60" s="451"/>
      <c r="I60" s="451"/>
      <c r="J60" s="711"/>
      <c r="K60" s="711"/>
      <c r="L60" s="711"/>
      <c r="M60" s="711"/>
      <c r="N60" s="711"/>
    </row>
    <row r="61" spans="2:14" s="427" customFormat="1" ht="16">
      <c r="B61" s="431">
        <f t="shared" si="4"/>
        <v>6</v>
      </c>
      <c r="C61" s="91" t="s">
        <v>331</v>
      </c>
      <c r="D61" s="1303">
        <v>2</v>
      </c>
      <c r="E61" s="451">
        <f>SUM('F2.2'!S121:S124)/12*$D$61</f>
        <v>1.145259515069651</v>
      </c>
      <c r="F61" s="451">
        <f>SUM('F2.2'!T121:T124)/12*$D$61</f>
        <v>1.202522490823134</v>
      </c>
      <c r="G61" s="451">
        <f>SUM('F2.2'!U121:U124)/12*$D$61</f>
        <v>1.2710672145363933</v>
      </c>
      <c r="H61" s="451">
        <f>SUM('F2.2'!V121:V124)/12*$D$61</f>
        <v>1.334620575263213</v>
      </c>
      <c r="I61" s="451">
        <f>SUM('F2.2'!W121:W124)/12*$D$61</f>
        <v>1.4013516040263736</v>
      </c>
      <c r="J61" s="711"/>
      <c r="K61" s="711"/>
      <c r="L61" s="711"/>
      <c r="M61" s="711"/>
      <c r="N61" s="711"/>
    </row>
    <row r="62" spans="2:14" s="427" customFormat="1" ht="16">
      <c r="B62" s="431">
        <f t="shared" si="4"/>
        <v>7</v>
      </c>
      <c r="C62" s="91" t="s">
        <v>145</v>
      </c>
      <c r="D62" s="4"/>
      <c r="E62" s="451"/>
      <c r="F62" s="451"/>
      <c r="G62" s="451"/>
      <c r="H62" s="451"/>
      <c r="I62" s="451"/>
      <c r="J62" s="711"/>
      <c r="K62" s="711"/>
      <c r="L62" s="711"/>
      <c r="M62" s="711"/>
      <c r="N62" s="711"/>
    </row>
    <row r="63" spans="2:14" s="427" customFormat="1" ht="16">
      <c r="B63" s="431">
        <f t="shared" si="4"/>
        <v>8</v>
      </c>
      <c r="C63" s="91" t="s">
        <v>146</v>
      </c>
      <c r="D63" s="4"/>
      <c r="E63" s="451"/>
      <c r="F63" s="451"/>
      <c r="G63" s="451"/>
      <c r="H63" s="451"/>
      <c r="I63" s="451"/>
      <c r="J63" s="711"/>
      <c r="K63" s="711"/>
      <c r="L63" s="711"/>
      <c r="M63" s="711"/>
      <c r="N63" s="711"/>
    </row>
    <row r="64" spans="2:14" s="427" customFormat="1" ht="16">
      <c r="B64" s="431">
        <f t="shared" si="4"/>
        <v>9</v>
      </c>
      <c r="C64" s="91" t="s">
        <v>147</v>
      </c>
      <c r="D64" s="4"/>
      <c r="E64" s="451"/>
      <c r="F64" s="451"/>
      <c r="G64" s="451"/>
      <c r="H64" s="451"/>
      <c r="I64" s="451"/>
      <c r="J64" s="711"/>
      <c r="K64" s="711"/>
      <c r="L64" s="711"/>
      <c r="M64" s="711"/>
      <c r="N64" s="711"/>
    </row>
    <row r="65" spans="2:19" s="427" customFormat="1">
      <c r="B65" s="431">
        <f t="shared" si="4"/>
        <v>10</v>
      </c>
      <c r="C65" s="569" t="s">
        <v>172</v>
      </c>
      <c r="D65" s="1304">
        <v>1</v>
      </c>
      <c r="E65" s="451">
        <f>('F1'!S13+'F1'!S21)/12*$D$65</f>
        <v>13.722853393197807</v>
      </c>
      <c r="F65" s="451">
        <f>('F1'!T13+'F1'!T21)/12*$D$65</f>
        <v>14.128528635749584</v>
      </c>
      <c r="G65" s="451">
        <f>('F1'!U13+'F1'!U21)/12*$D$65</f>
        <v>14.552297713019072</v>
      </c>
      <c r="H65" s="451">
        <f>('F1'!V13+'F1'!V21)/12*$D$65</f>
        <v>14.994222801355242</v>
      </c>
      <c r="I65" s="451">
        <f>('F1'!W13+'F1'!W21)/12*$D$65</f>
        <v>15.454368785896937</v>
      </c>
      <c r="J65" s="711"/>
      <c r="K65" s="711"/>
      <c r="L65" s="711"/>
      <c r="M65" s="711"/>
      <c r="N65" s="711"/>
    </row>
    <row r="66" spans="2:19" s="427" customFormat="1">
      <c r="B66" s="431">
        <f t="shared" si="4"/>
        <v>11</v>
      </c>
      <c r="C66" s="569" t="s">
        <v>148</v>
      </c>
      <c r="D66" s="1305">
        <v>0.01</v>
      </c>
      <c r="E66" s="451">
        <f>'F3.4'!I23*$D$66</f>
        <v>19.798500312520279</v>
      </c>
      <c r="F66" s="451">
        <f>'F3.4'!J23*$D$66</f>
        <v>20.829433645853609</v>
      </c>
      <c r="G66" s="451">
        <f>'F3.4'!K23*$D$66</f>
        <v>21.337858645853618</v>
      </c>
      <c r="H66" s="451">
        <f>'F3.4'!L23*$D$66</f>
        <v>22.145558645853612</v>
      </c>
      <c r="I66" s="451">
        <f>'F3.4'!M23*$D$66</f>
        <v>22.224158645853613</v>
      </c>
      <c r="J66" s="711"/>
      <c r="K66" s="711"/>
      <c r="L66" s="711"/>
      <c r="M66" s="711"/>
      <c r="N66" s="711"/>
    </row>
    <row r="67" spans="2:19" s="427" customFormat="1">
      <c r="B67" s="431">
        <f t="shared" si="4"/>
        <v>12</v>
      </c>
      <c r="C67" s="569" t="s">
        <v>149</v>
      </c>
      <c r="D67" s="1306">
        <v>45</v>
      </c>
      <c r="E67" s="451">
        <f ca="1">'F1'!S27/365*$D$67</f>
        <v>186.01250231455177</v>
      </c>
      <c r="F67" s="451">
        <f ca="1">'F1'!T27/365*$D$67</f>
        <v>196.78369127743861</v>
      </c>
      <c r="G67" s="451">
        <f ca="1">'F1'!U27/366*$D$67</f>
        <v>200.32042663328357</v>
      </c>
      <c r="H67" s="451">
        <f ca="1">'F1'!V27/365*$D$67</f>
        <v>207.52987751882458</v>
      </c>
      <c r="I67" s="451">
        <f ca="1">'F1'!W27/365*$D$67</f>
        <v>213.80199929083938</v>
      </c>
      <c r="J67" s="711"/>
      <c r="K67" s="711"/>
      <c r="L67" s="711"/>
      <c r="M67" s="711"/>
      <c r="N67" s="711"/>
    </row>
    <row r="68" spans="2:19" s="427" customFormat="1" ht="16">
      <c r="B68" s="431">
        <f t="shared" si="4"/>
        <v>13</v>
      </c>
      <c r="C68" s="569" t="s">
        <v>550</v>
      </c>
      <c r="D68" s="1306">
        <v>30</v>
      </c>
      <c r="E68" s="326">
        <f>SUM('F2.2'!S121:S124)/365*$D$68</f>
        <v>0.56478551428092383</v>
      </c>
      <c r="F68" s="326">
        <f>SUM('F2.2'!T121:T124)/365*$D$68</f>
        <v>0.59302478999497021</v>
      </c>
      <c r="G68" s="326">
        <f>SUM('F2.2'!U121:U124)/366*$D$68</f>
        <v>0.62511502354248849</v>
      </c>
      <c r="H68" s="326">
        <f>SUM('F2.2'!V121:V124)/365*$D$68</f>
        <v>0.65816905081473509</v>
      </c>
      <c r="I68" s="326">
        <f>SUM('F2.2'!W121:W124)/365*$D$68</f>
        <v>0.6910775033554718</v>
      </c>
      <c r="J68" s="331"/>
      <c r="K68" s="331"/>
      <c r="L68" s="331"/>
      <c r="M68" s="331"/>
      <c r="N68" s="331"/>
      <c r="O68" s="57"/>
      <c r="P68" s="57"/>
      <c r="Q68" s="57"/>
      <c r="R68" s="57"/>
      <c r="S68" s="57"/>
    </row>
    <row r="69" spans="2:19" s="11" customFormat="1">
      <c r="B69" s="431">
        <f t="shared" si="4"/>
        <v>14</v>
      </c>
      <c r="C69" s="182" t="s">
        <v>150</v>
      </c>
      <c r="D69" s="3"/>
      <c r="E69" s="782">
        <f ca="1">SUM(E58:E67)-E68</f>
        <v>352.15147137455074</v>
      </c>
      <c r="F69" s="782">
        <f t="shared" ref="F69:I69" ca="1" si="5">SUM(F58:F67)-F68</f>
        <v>370.99014968103677</v>
      </c>
      <c r="G69" s="782">
        <f t="shared" ca="1" si="5"/>
        <v>378.79683084496907</v>
      </c>
      <c r="H69" s="782">
        <f t="shared" ca="1" si="5"/>
        <v>394.59722250092773</v>
      </c>
      <c r="I69" s="782">
        <f t="shared" ca="1" si="5"/>
        <v>408.70994860128576</v>
      </c>
      <c r="J69" s="739"/>
      <c r="K69" s="739"/>
      <c r="L69" s="739"/>
      <c r="M69" s="739"/>
      <c r="N69" s="739"/>
    </row>
    <row r="70" spans="2:19" s="11" customFormat="1">
      <c r="B70" s="503"/>
      <c r="C70" s="574"/>
      <c r="D70" s="3"/>
      <c r="E70" s="326"/>
      <c r="F70" s="326"/>
      <c r="G70" s="326"/>
      <c r="H70" s="326"/>
      <c r="I70" s="326"/>
      <c r="J70" s="711"/>
      <c r="K70" s="711"/>
      <c r="L70" s="711"/>
      <c r="M70" s="711"/>
      <c r="N70" s="711"/>
    </row>
    <row r="71" spans="2:19" s="11" customFormat="1">
      <c r="B71" s="431">
        <v>13</v>
      </c>
      <c r="C71" s="184" t="s">
        <v>377</v>
      </c>
      <c r="D71" s="3"/>
      <c r="E71" s="326"/>
      <c r="F71" s="326"/>
      <c r="G71" s="326"/>
      <c r="H71" s="326"/>
      <c r="I71" s="326"/>
      <c r="J71" s="711"/>
      <c r="K71" s="711"/>
      <c r="L71" s="711"/>
      <c r="M71" s="711"/>
      <c r="N71" s="711"/>
    </row>
    <row r="72" spans="2:19" s="2" customFormat="1">
      <c r="B72" s="431">
        <f t="shared" si="4"/>
        <v>14</v>
      </c>
      <c r="C72" s="569" t="s">
        <v>378</v>
      </c>
      <c r="D72" s="3"/>
      <c r="E72" s="1134">
        <v>0.1045</v>
      </c>
      <c r="F72" s="1134">
        <v>0.1045</v>
      </c>
      <c r="G72" s="1134">
        <v>0.1045</v>
      </c>
      <c r="H72" s="1134">
        <v>0.1045</v>
      </c>
      <c r="I72" s="1134">
        <v>0.1045</v>
      </c>
      <c r="J72" s="740"/>
      <c r="K72" s="741"/>
      <c r="L72" s="741"/>
      <c r="M72" s="741"/>
      <c r="N72" s="741"/>
    </row>
    <row r="73" spans="2:19" s="2" customFormat="1">
      <c r="B73" s="245">
        <f t="shared" si="4"/>
        <v>15</v>
      </c>
      <c r="C73" s="182" t="s">
        <v>86</v>
      </c>
      <c r="D73" s="3"/>
      <c r="E73" s="783">
        <f t="shared" ref="E73:I73" ca="1" si="6">E69*E72</f>
        <v>36.799828758640551</v>
      </c>
      <c r="F73" s="783">
        <f t="shared" ca="1" si="6"/>
        <v>38.768470641668344</v>
      </c>
      <c r="G73" s="783">
        <f t="shared" ca="1" si="6"/>
        <v>39.584268823299269</v>
      </c>
      <c r="H73" s="783">
        <f t="shared" ca="1" si="6"/>
        <v>41.235409751346943</v>
      </c>
      <c r="I73" s="783">
        <f t="shared" ca="1" si="6"/>
        <v>42.710189628834357</v>
      </c>
      <c r="J73" s="739"/>
      <c r="K73" s="739"/>
      <c r="L73" s="739"/>
      <c r="M73" s="739"/>
      <c r="N73" s="739"/>
    </row>
    <row r="74" spans="2:19" s="2" customFormat="1">
      <c r="B74" s="245">
        <f t="shared" si="4"/>
        <v>16</v>
      </c>
      <c r="C74" s="182" t="s">
        <v>943</v>
      </c>
      <c r="D74" s="3"/>
      <c r="E74" s="1135">
        <v>0</v>
      </c>
      <c r="F74" s="1135">
        <v>0</v>
      </c>
      <c r="G74" s="1135">
        <v>0</v>
      </c>
      <c r="H74" s="1135">
        <v>0</v>
      </c>
      <c r="I74" s="1135">
        <v>0</v>
      </c>
      <c r="J74" s="739"/>
      <c r="K74" s="739"/>
      <c r="L74" s="739"/>
      <c r="M74" s="739"/>
      <c r="N74" s="739"/>
    </row>
    <row r="75" spans="2:19" s="1" customFormat="1">
      <c r="B75" s="179"/>
      <c r="C75" s="7"/>
      <c r="D75" s="7"/>
      <c r="E75" s="7"/>
      <c r="F75" s="7"/>
      <c r="G75" s="7"/>
      <c r="H75" s="7"/>
      <c r="I75" s="7"/>
      <c r="J75" s="7"/>
    </row>
    <row r="76" spans="2:19" s="1" customFormat="1">
      <c r="B76" s="96"/>
      <c r="C76" s="1168" t="s">
        <v>1493</v>
      </c>
      <c r="D76" s="48"/>
      <c r="E76" s="48"/>
      <c r="F76" s="11"/>
      <c r="G76" s="11"/>
      <c r="H76" s="11"/>
      <c r="I76" s="11"/>
      <c r="J76" s="7"/>
    </row>
    <row r="77" spans="2:19" s="1" customFormat="1">
      <c r="B77" s="96"/>
      <c r="C77" s="1812" t="s">
        <v>36</v>
      </c>
      <c r="D77" s="1778" t="s">
        <v>921</v>
      </c>
      <c r="E77" s="1295" t="s">
        <v>510</v>
      </c>
      <c r="F77" s="1159" t="s">
        <v>958</v>
      </c>
      <c r="G77" s="1159" t="s">
        <v>959</v>
      </c>
      <c r="H77" s="1159" t="s">
        <v>960</v>
      </c>
      <c r="I77" s="1159" t="s">
        <v>961</v>
      </c>
      <c r="J77" s="1159" t="s">
        <v>962</v>
      </c>
    </row>
    <row r="78" spans="2:19" s="1" customFormat="1" ht="18" customHeight="1">
      <c r="B78" s="96"/>
      <c r="C78" s="1813"/>
      <c r="D78" s="1807"/>
      <c r="E78" s="1295" t="s">
        <v>21</v>
      </c>
      <c r="F78" s="1159" t="s">
        <v>21</v>
      </c>
      <c r="G78" s="1159" t="s">
        <v>21</v>
      </c>
      <c r="H78" s="1159" t="s">
        <v>21</v>
      </c>
      <c r="I78" s="1159" t="s">
        <v>21</v>
      </c>
      <c r="J78" s="1159" t="s">
        <v>21</v>
      </c>
    </row>
    <row r="79" spans="2:19">
      <c r="C79" s="1169" t="s">
        <v>1494</v>
      </c>
      <c r="D79" s="1170">
        <v>20</v>
      </c>
      <c r="E79" s="943">
        <f>'F2.2'!D198/365*$D79</f>
        <v>0</v>
      </c>
      <c r="F79" s="943">
        <f>'F2.2'!E198/365*$D79</f>
        <v>4.8534517036681866</v>
      </c>
      <c r="G79" s="943">
        <f>'F2.2'!F198/365*$D79</f>
        <v>6.4653644957623673</v>
      </c>
      <c r="H79" s="943">
        <f>'F2.2'!G198/366*$D79</f>
        <v>6.4479754280119472</v>
      </c>
      <c r="I79" s="943">
        <f>'F2.2'!H198/365*$D79</f>
        <v>6.4656411141160897</v>
      </c>
      <c r="J79" s="943">
        <f>'F2.2'!I198/365*$D79</f>
        <v>6.4656411141160897</v>
      </c>
    </row>
    <row r="80" spans="2:19">
      <c r="C80" s="1169" t="s">
        <v>1495</v>
      </c>
      <c r="D80" s="1170">
        <v>30</v>
      </c>
      <c r="E80" s="943">
        <f>'F2.2'!D198/365*$D80</f>
        <v>0</v>
      </c>
      <c r="F80" s="943">
        <f>'F2.2'!E198/365*$D80</f>
        <v>7.2801775555022799</v>
      </c>
      <c r="G80" s="943">
        <f>'F2.2'!F198/365*$D80</f>
        <v>9.69804674364355</v>
      </c>
      <c r="H80" s="943">
        <f>'F2.2'!G198/366*$D80</f>
        <v>9.6719631420179208</v>
      </c>
      <c r="I80" s="943">
        <f>'F2.2'!H198/365*$D80</f>
        <v>9.6984616711741349</v>
      </c>
      <c r="J80" s="943">
        <f>'F2.2'!I198/365*$D80</f>
        <v>9.6984616711741349</v>
      </c>
    </row>
    <row r="81" spans="3:10">
      <c r="C81" s="1169" t="s">
        <v>1496</v>
      </c>
      <c r="D81" s="1171">
        <v>1</v>
      </c>
      <c r="E81" s="943">
        <f>'F3'!D24/12*$D81</f>
        <v>0</v>
      </c>
      <c r="F81" s="943">
        <f>'F3'!E24/12*$D81</f>
        <v>0.17130000000000001</v>
      </c>
      <c r="G81" s="943">
        <f>'F3'!F24/12*$D81</f>
        <v>0.17871729</v>
      </c>
      <c r="H81" s="943">
        <f>'F3'!G24/12*$D81</f>
        <v>0.18645574865699999</v>
      </c>
      <c r="I81" s="943">
        <f>'F3'!H24/12*$D81</f>
        <v>0.19452928257384805</v>
      </c>
      <c r="J81" s="943">
        <f>'F3'!I24/12*$D81</f>
        <v>0.20295240050929567</v>
      </c>
    </row>
    <row r="82" spans="3:10">
      <c r="C82" s="1172" t="s">
        <v>1497</v>
      </c>
      <c r="D82" s="1173">
        <v>0.01</v>
      </c>
      <c r="E82" s="943">
        <f>'F3'!D23*$D82</f>
        <v>0</v>
      </c>
      <c r="F82" s="943">
        <f>'F3'!E23*$D82</f>
        <v>1.0278</v>
      </c>
      <c r="G82" s="943">
        <f>'F3'!F23*$D82</f>
        <v>1.0278</v>
      </c>
      <c r="H82" s="943">
        <f>'F3'!G23*$D82</f>
        <v>1.0278</v>
      </c>
      <c r="I82" s="943">
        <f>'F3'!H23*$D82</f>
        <v>1.0278</v>
      </c>
      <c r="J82" s="943">
        <f>'F3'!I23*$D82</f>
        <v>1.0278</v>
      </c>
    </row>
    <row r="83" spans="3:10" ht="14.5">
      <c r="C83" s="1174" t="s">
        <v>1498</v>
      </c>
      <c r="D83" s="1175"/>
      <c r="E83" s="1176">
        <f>SUM(E79:E82)</f>
        <v>0</v>
      </c>
      <c r="F83" s="1176">
        <f>SUM(F79:F82)</f>
        <v>13.332729259170467</v>
      </c>
      <c r="G83" s="1176">
        <f t="shared" ref="G83:J83" si="7">SUM(G79:G82)</f>
        <v>17.369928529405918</v>
      </c>
      <c r="H83" s="1176">
        <f t="shared" si="7"/>
        <v>17.334194318686865</v>
      </c>
      <c r="I83" s="1176">
        <f t="shared" si="7"/>
        <v>17.386432067864071</v>
      </c>
      <c r="J83" s="1176">
        <f t="shared" si="7"/>
        <v>17.394855185799521</v>
      </c>
    </row>
    <row r="84" spans="3:10" ht="14.5">
      <c r="C84" s="1177" t="s">
        <v>1499</v>
      </c>
      <c r="D84" s="1178" t="s">
        <v>98</v>
      </c>
      <c r="E84" s="1179">
        <f>J33</f>
        <v>0.1045</v>
      </c>
      <c r="F84" s="1179">
        <f>E72</f>
        <v>0.1045</v>
      </c>
      <c r="G84" s="1179">
        <f>F72</f>
        <v>0.1045</v>
      </c>
      <c r="H84" s="1179">
        <f>G72</f>
        <v>0.1045</v>
      </c>
      <c r="I84" s="1179">
        <f>H72</f>
        <v>0.1045</v>
      </c>
      <c r="J84" s="1179">
        <f>I72</f>
        <v>0.1045</v>
      </c>
    </row>
    <row r="85" spans="3:10" ht="14.5">
      <c r="C85" s="1177" t="s">
        <v>1492</v>
      </c>
      <c r="D85" s="1180"/>
      <c r="E85" s="1181">
        <f>E83*E84</f>
        <v>0</v>
      </c>
      <c r="F85" s="1181">
        <f>F83*F84</f>
        <v>1.3932702075833137</v>
      </c>
      <c r="G85" s="1181">
        <f t="shared" ref="G85:J85" si="8">G83*G84</f>
        <v>1.8151575313229185</v>
      </c>
      <c r="H85" s="1181">
        <f t="shared" si="8"/>
        <v>1.8114233063027774</v>
      </c>
      <c r="I85" s="1181">
        <f t="shared" si="8"/>
        <v>1.8168821510917954</v>
      </c>
      <c r="J85" s="1181">
        <f t="shared" si="8"/>
        <v>1.8177623669160499</v>
      </c>
    </row>
    <row r="86" spans="3:10">
      <c r="C86" s="9"/>
      <c r="D86" s="9"/>
      <c r="E86" s="9"/>
      <c r="F86" s="9"/>
      <c r="G86" s="9"/>
      <c r="H86" s="9"/>
      <c r="I86" s="9"/>
      <c r="J86" s="9"/>
    </row>
    <row r="87" spans="3:10">
      <c r="C87" s="9"/>
      <c r="D87" s="9"/>
      <c r="E87" s="9"/>
      <c r="F87" s="9"/>
      <c r="G87" s="9"/>
      <c r="H87" s="9"/>
      <c r="I87" s="9"/>
      <c r="J87" s="9"/>
    </row>
  </sheetData>
  <mergeCells count="14">
    <mergeCell ref="C77:C78"/>
    <mergeCell ref="D77:D78"/>
    <mergeCell ref="B47:B48"/>
    <mergeCell ref="C47:C48"/>
    <mergeCell ref="D47:D48"/>
    <mergeCell ref="G8:H8"/>
    <mergeCell ref="I8:J8"/>
    <mergeCell ref="B2:F2"/>
    <mergeCell ref="B3:F3"/>
    <mergeCell ref="B4:F4"/>
    <mergeCell ref="E8:F8"/>
    <mergeCell ref="B8:B9"/>
    <mergeCell ref="C8:C9"/>
    <mergeCell ref="D8:D9"/>
  </mergeCells>
  <pageMargins left="0.74803149606299213" right="0.74803149606299213" top="0.98425196850393704" bottom="0.98425196850393704" header="0.51181102362204722" footer="0.51181102362204722"/>
  <pageSetup paperSize="9" scale="52" fitToHeight="0" orientation="landscape" r:id="rId1"/>
  <headerFooter alignWithMargins="0"/>
  <rowBreaks count="1" manualBreakCount="1">
    <brk id="3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B2:T24"/>
  <sheetViews>
    <sheetView showGridLines="0" view="pageBreakPreview" zoomScale="80" zoomScaleNormal="75" zoomScaleSheetLayoutView="80" workbookViewId="0">
      <selection activeCell="C31" sqref="C31"/>
    </sheetView>
  </sheetViews>
  <sheetFormatPr defaultColWidth="9.36328125" defaultRowHeight="14"/>
  <cols>
    <col min="1" max="1" width="4.36328125" style="5" customWidth="1"/>
    <col min="2" max="2" width="6.36328125" style="5" customWidth="1"/>
    <col min="3" max="3" width="44.6328125" style="5" customWidth="1"/>
    <col min="4" max="4" width="6.36328125" style="50" bestFit="1" customWidth="1"/>
    <col min="5" max="5" width="7" style="50" bestFit="1" customWidth="1"/>
    <col min="6" max="7" width="15.6328125" style="50" customWidth="1"/>
    <col min="8" max="8" width="7" style="50" bestFit="1" customWidth="1"/>
    <col min="9" max="10" width="15.6328125" style="50" customWidth="1"/>
    <col min="11" max="11" width="7" style="5" bestFit="1" customWidth="1"/>
    <col min="12" max="14" width="15.6328125" style="5" customWidth="1"/>
    <col min="15" max="19" width="5.90625" style="5" bestFit="1" customWidth="1"/>
    <col min="20" max="20" width="9.54296875" style="5" bestFit="1" customWidth="1"/>
    <col min="21" max="16384" width="9.36328125" style="5"/>
  </cols>
  <sheetData>
    <row r="2" spans="2:20">
      <c r="B2" s="1776" t="str">
        <f>Index!B2</f>
        <v xml:space="preserve">      Maharashtra State Power Generation Company Ltd.</v>
      </c>
      <c r="C2" s="1776"/>
      <c r="D2" s="1776"/>
      <c r="E2" s="1776"/>
      <c r="F2" s="1776"/>
      <c r="G2" s="1776"/>
      <c r="H2" s="1776"/>
      <c r="I2" s="1776"/>
      <c r="J2" s="1776"/>
      <c r="K2" s="1802" t="str">
        <f>B2</f>
        <v xml:space="preserve">      Maharashtra State Power Generation Company Ltd.</v>
      </c>
      <c r="L2" s="1802"/>
      <c r="M2" s="1802"/>
      <c r="N2" s="1802"/>
      <c r="O2" s="1802"/>
      <c r="P2" s="1802"/>
      <c r="Q2" s="1802"/>
      <c r="R2" s="1802"/>
      <c r="S2" s="1802"/>
      <c r="T2" s="1802"/>
    </row>
    <row r="3" spans="2:20">
      <c r="B3" s="1776" t="str">
        <f>Index!B3</f>
        <v>MYT Petition Formats for Parli 8</v>
      </c>
      <c r="C3" s="1776"/>
      <c r="D3" s="1776"/>
      <c r="E3" s="1776"/>
      <c r="F3" s="1776"/>
      <c r="G3" s="1776"/>
      <c r="H3" s="1776"/>
      <c r="I3" s="1776"/>
      <c r="J3" s="1776"/>
      <c r="K3" s="1802" t="str">
        <f>B3</f>
        <v>MYT Petition Formats for Parli 8</v>
      </c>
      <c r="L3" s="1802"/>
      <c r="M3" s="1802"/>
      <c r="N3" s="1802"/>
      <c r="O3" s="1802"/>
      <c r="P3" s="1802"/>
      <c r="Q3" s="1802"/>
      <c r="R3" s="1802"/>
      <c r="S3" s="1802"/>
      <c r="T3" s="1802"/>
    </row>
    <row r="4" spans="2:20">
      <c r="B4" s="1776" t="s">
        <v>385</v>
      </c>
      <c r="C4" s="1776"/>
      <c r="D4" s="1776"/>
      <c r="E4" s="1776"/>
      <c r="F4" s="1776"/>
      <c r="G4" s="1776"/>
      <c r="H4" s="1776"/>
      <c r="I4" s="1776"/>
      <c r="J4" s="1776"/>
      <c r="K4" s="1802" t="str">
        <f>B4</f>
        <v>Form 2.5: Operational Parameters - Hydel Generation</v>
      </c>
      <c r="L4" s="1802"/>
      <c r="M4" s="1802"/>
      <c r="N4" s="1802"/>
      <c r="O4" s="1802"/>
      <c r="P4" s="1802"/>
      <c r="Q4" s="1802"/>
      <c r="R4" s="1802"/>
      <c r="S4" s="1802"/>
      <c r="T4" s="1802"/>
    </row>
    <row r="5" spans="2:20">
      <c r="B5" s="1776"/>
      <c r="C5" s="1814"/>
      <c r="D5" s="1814"/>
      <c r="E5" s="1814"/>
      <c r="F5" s="1814"/>
      <c r="G5" s="1814"/>
      <c r="H5" s="1814"/>
      <c r="I5" s="1814"/>
      <c r="J5" s="1814"/>
      <c r="K5" s="1814"/>
      <c r="L5" s="1814"/>
      <c r="M5" s="1814"/>
      <c r="N5" s="1814"/>
      <c r="O5" s="1814"/>
      <c r="P5" s="1814"/>
      <c r="Q5" s="1814"/>
      <c r="R5" s="1814"/>
      <c r="S5" s="1814"/>
      <c r="T5" s="1814"/>
    </row>
    <row r="6" spans="2:20">
      <c r="B6" s="134"/>
      <c r="C6" s="133"/>
      <c r="D6" s="133"/>
      <c r="E6" s="231"/>
      <c r="F6" s="231"/>
      <c r="G6" s="231"/>
      <c r="H6" s="292"/>
      <c r="I6" s="292"/>
      <c r="J6" s="292"/>
      <c r="K6" s="212"/>
      <c r="L6" s="133"/>
      <c r="M6" s="133"/>
      <c r="N6" s="133"/>
      <c r="O6" s="704"/>
      <c r="P6" s="704"/>
      <c r="Q6" s="704"/>
      <c r="R6" s="704"/>
      <c r="S6" s="704"/>
      <c r="T6" s="133"/>
    </row>
    <row r="7" spans="2:20" s="14" customFormat="1">
      <c r="B7" s="33"/>
      <c r="C7" s="8"/>
      <c r="D7" s="34"/>
      <c r="E7" s="34"/>
      <c r="F7" s="34"/>
      <c r="G7" s="34"/>
      <c r="H7" s="34"/>
      <c r="I7" s="34"/>
      <c r="J7" s="34"/>
      <c r="K7" s="16"/>
      <c r="L7" s="16"/>
      <c r="M7" s="16"/>
      <c r="N7" s="33"/>
      <c r="O7" s="33"/>
      <c r="P7" s="33"/>
      <c r="Q7" s="33"/>
      <c r="R7" s="33"/>
      <c r="S7" s="33"/>
      <c r="T7" s="16"/>
    </row>
    <row r="8" spans="2:20" s="35" customFormat="1" ht="13.75" customHeight="1">
      <c r="B8" s="1770" t="s">
        <v>340</v>
      </c>
      <c r="C8" s="1803" t="s">
        <v>36</v>
      </c>
      <c r="D8" s="1803" t="s">
        <v>93</v>
      </c>
      <c r="E8" s="1772" t="s">
        <v>508</v>
      </c>
      <c r="F8" s="1773"/>
      <c r="G8" s="1774"/>
      <c r="H8" s="1772" t="s">
        <v>509</v>
      </c>
      <c r="I8" s="1773"/>
      <c r="J8" s="1774"/>
      <c r="K8" s="1772" t="s">
        <v>510</v>
      </c>
      <c r="L8" s="1773"/>
      <c r="M8" s="1773"/>
      <c r="N8" s="1773"/>
      <c r="O8" s="1775" t="s">
        <v>957</v>
      </c>
      <c r="P8" s="1775"/>
      <c r="Q8" s="1775"/>
      <c r="R8" s="1775"/>
      <c r="S8" s="1775"/>
      <c r="T8" s="1770" t="s">
        <v>26</v>
      </c>
    </row>
    <row r="9" spans="2:20" s="36" customFormat="1" ht="30" customHeight="1">
      <c r="B9" s="1803"/>
      <c r="C9" s="1803"/>
      <c r="D9" s="1803"/>
      <c r="E9" s="376" t="s">
        <v>810</v>
      </c>
      <c r="F9" s="297" t="s">
        <v>78</v>
      </c>
      <c r="G9" s="297" t="s">
        <v>451</v>
      </c>
      <c r="H9" s="376" t="s">
        <v>963</v>
      </c>
      <c r="I9" s="297" t="s">
        <v>78</v>
      </c>
      <c r="J9" s="297" t="s">
        <v>451</v>
      </c>
      <c r="K9" s="376" t="s">
        <v>963</v>
      </c>
      <c r="L9" s="297" t="s">
        <v>444</v>
      </c>
      <c r="M9" s="297" t="s">
        <v>448</v>
      </c>
      <c r="N9" s="297" t="s">
        <v>79</v>
      </c>
      <c r="O9" s="709" t="s">
        <v>958</v>
      </c>
      <c r="P9" s="709" t="s">
        <v>959</v>
      </c>
      <c r="Q9" s="709" t="s">
        <v>960</v>
      </c>
      <c r="R9" s="709" t="s">
        <v>961</v>
      </c>
      <c r="S9" s="709" t="s">
        <v>962</v>
      </c>
      <c r="T9" s="1770"/>
    </row>
    <row r="10" spans="2:20" s="36" customFormat="1" ht="20" customHeight="1">
      <c r="B10" s="1805"/>
      <c r="C10" s="1805"/>
      <c r="D10" s="1805"/>
      <c r="E10" s="297" t="s">
        <v>80</v>
      </c>
      <c r="F10" s="297" t="s">
        <v>81</v>
      </c>
      <c r="G10" s="297" t="s">
        <v>676</v>
      </c>
      <c r="H10" s="297" t="s">
        <v>391</v>
      </c>
      <c r="I10" s="297" t="s">
        <v>409</v>
      </c>
      <c r="J10" s="297" t="s">
        <v>456</v>
      </c>
      <c r="K10" s="297" t="s">
        <v>655</v>
      </c>
      <c r="L10" s="297" t="s">
        <v>592</v>
      </c>
      <c r="M10" s="297" t="s">
        <v>593</v>
      </c>
      <c r="N10" s="297" t="s">
        <v>678</v>
      </c>
      <c r="O10" s="698" t="s">
        <v>21</v>
      </c>
      <c r="P10" s="698" t="s">
        <v>21</v>
      </c>
      <c r="Q10" s="698" t="s">
        <v>21</v>
      </c>
      <c r="R10" s="698" t="s">
        <v>21</v>
      </c>
      <c r="S10" s="698" t="s">
        <v>21</v>
      </c>
      <c r="T10" s="1771"/>
    </row>
    <row r="11" spans="2:20" s="36" customFormat="1" ht="42" customHeight="1">
      <c r="B11" s="39">
        <v>1</v>
      </c>
      <c r="C11" s="143" t="s">
        <v>94</v>
      </c>
      <c r="D11" s="144"/>
      <c r="E11" s="1815" t="s">
        <v>769</v>
      </c>
      <c r="F11" s="1816"/>
      <c r="G11" s="1816"/>
      <c r="H11" s="1816"/>
      <c r="I11" s="1816"/>
      <c r="J11" s="1816"/>
      <c r="K11" s="1816" t="str">
        <f>E11</f>
        <v>Not Applicable for Thermal Power Plant</v>
      </c>
      <c r="L11" s="1816"/>
      <c r="M11" s="1816"/>
      <c r="N11" s="1816"/>
      <c r="O11" s="1816"/>
      <c r="P11" s="1816"/>
      <c r="Q11" s="1816"/>
      <c r="R11" s="1816"/>
      <c r="S11" s="1816"/>
      <c r="T11" s="1821"/>
    </row>
    <row r="12" spans="2:20" s="36" customFormat="1">
      <c r="B12" s="145">
        <v>1.1000000000000001</v>
      </c>
      <c r="C12" s="147" t="s">
        <v>95</v>
      </c>
      <c r="D12" s="145" t="s">
        <v>96</v>
      </c>
      <c r="E12" s="1817"/>
      <c r="F12" s="1818"/>
      <c r="G12" s="1818"/>
      <c r="H12" s="1818"/>
      <c r="I12" s="1818"/>
      <c r="J12" s="1818"/>
      <c r="K12" s="1818"/>
      <c r="L12" s="1818"/>
      <c r="M12" s="1818"/>
      <c r="N12" s="1818"/>
      <c r="O12" s="1818"/>
      <c r="P12" s="1818"/>
      <c r="Q12" s="1818"/>
      <c r="R12" s="1818"/>
      <c r="S12" s="1818"/>
      <c r="T12" s="1822"/>
    </row>
    <row r="13" spans="2:20" s="36" customFormat="1">
      <c r="B13" s="145">
        <v>1.2</v>
      </c>
      <c r="C13" s="146" t="s">
        <v>155</v>
      </c>
      <c r="D13" s="145" t="s">
        <v>98</v>
      </c>
      <c r="E13" s="1817"/>
      <c r="F13" s="1818"/>
      <c r="G13" s="1818"/>
      <c r="H13" s="1818"/>
      <c r="I13" s="1818"/>
      <c r="J13" s="1818"/>
      <c r="K13" s="1818"/>
      <c r="L13" s="1818"/>
      <c r="M13" s="1818"/>
      <c r="N13" s="1818"/>
      <c r="O13" s="1818"/>
      <c r="P13" s="1818"/>
      <c r="Q13" s="1818"/>
      <c r="R13" s="1818"/>
      <c r="S13" s="1818"/>
      <c r="T13" s="1822"/>
    </row>
    <row r="14" spans="2:20" s="36" customFormat="1">
      <c r="B14" s="145">
        <v>1.3</v>
      </c>
      <c r="C14" s="146" t="s">
        <v>320</v>
      </c>
      <c r="D14" s="145" t="s">
        <v>98</v>
      </c>
      <c r="E14" s="1817"/>
      <c r="F14" s="1818"/>
      <c r="G14" s="1818"/>
      <c r="H14" s="1818"/>
      <c r="I14" s="1818"/>
      <c r="J14" s="1818"/>
      <c r="K14" s="1818"/>
      <c r="L14" s="1818"/>
      <c r="M14" s="1818"/>
      <c r="N14" s="1818"/>
      <c r="O14" s="1818"/>
      <c r="P14" s="1818"/>
      <c r="Q14" s="1818"/>
      <c r="R14" s="1818"/>
      <c r="S14" s="1818"/>
      <c r="T14" s="1822"/>
    </row>
    <row r="15" spans="2:20" s="36" customFormat="1">
      <c r="B15" s="145">
        <v>1.4</v>
      </c>
      <c r="C15" s="146" t="s">
        <v>156</v>
      </c>
      <c r="D15" s="145" t="s">
        <v>100</v>
      </c>
      <c r="E15" s="1817"/>
      <c r="F15" s="1818"/>
      <c r="G15" s="1818"/>
      <c r="H15" s="1818"/>
      <c r="I15" s="1818"/>
      <c r="J15" s="1818"/>
      <c r="K15" s="1818"/>
      <c r="L15" s="1818"/>
      <c r="M15" s="1818"/>
      <c r="N15" s="1818"/>
      <c r="O15" s="1818"/>
      <c r="P15" s="1818"/>
      <c r="Q15" s="1818"/>
      <c r="R15" s="1818"/>
      <c r="S15" s="1818"/>
      <c r="T15" s="1822"/>
    </row>
    <row r="16" spans="2:20" s="36" customFormat="1">
      <c r="B16" s="145">
        <v>1.5</v>
      </c>
      <c r="C16" s="152" t="s">
        <v>157</v>
      </c>
      <c r="D16" s="145" t="s">
        <v>100</v>
      </c>
      <c r="E16" s="1817"/>
      <c r="F16" s="1818"/>
      <c r="G16" s="1818"/>
      <c r="H16" s="1818"/>
      <c r="I16" s="1818"/>
      <c r="J16" s="1818"/>
      <c r="K16" s="1818"/>
      <c r="L16" s="1818"/>
      <c r="M16" s="1818"/>
      <c r="N16" s="1818"/>
      <c r="O16" s="1818"/>
      <c r="P16" s="1818"/>
      <c r="Q16" s="1818"/>
      <c r="R16" s="1818"/>
      <c r="S16" s="1818"/>
      <c r="T16" s="1822"/>
    </row>
    <row r="17" spans="2:20" s="36" customFormat="1">
      <c r="B17" s="145">
        <v>1.6</v>
      </c>
      <c r="C17" s="152" t="s">
        <v>158</v>
      </c>
      <c r="D17" s="145" t="s">
        <v>98</v>
      </c>
      <c r="E17" s="1817"/>
      <c r="F17" s="1818"/>
      <c r="G17" s="1818"/>
      <c r="H17" s="1818"/>
      <c r="I17" s="1818"/>
      <c r="J17" s="1818"/>
      <c r="K17" s="1818"/>
      <c r="L17" s="1818"/>
      <c r="M17" s="1818"/>
      <c r="N17" s="1818"/>
      <c r="O17" s="1818"/>
      <c r="P17" s="1818"/>
      <c r="Q17" s="1818"/>
      <c r="R17" s="1818"/>
      <c r="S17" s="1818"/>
      <c r="T17" s="1822"/>
    </row>
    <row r="18" spans="2:20" s="36" customFormat="1">
      <c r="B18" s="145">
        <v>1.7</v>
      </c>
      <c r="C18" s="153" t="s">
        <v>158</v>
      </c>
      <c r="D18" s="145" t="s">
        <v>100</v>
      </c>
      <c r="E18" s="1817"/>
      <c r="F18" s="1818"/>
      <c r="G18" s="1818"/>
      <c r="H18" s="1818"/>
      <c r="I18" s="1818"/>
      <c r="J18" s="1818"/>
      <c r="K18" s="1818"/>
      <c r="L18" s="1818"/>
      <c r="M18" s="1818"/>
      <c r="N18" s="1818"/>
      <c r="O18" s="1818"/>
      <c r="P18" s="1818"/>
      <c r="Q18" s="1818"/>
      <c r="R18" s="1818"/>
      <c r="S18" s="1818"/>
      <c r="T18" s="1822"/>
    </row>
    <row r="19" spans="2:20" s="36" customFormat="1">
      <c r="B19" s="95">
        <v>1.8</v>
      </c>
      <c r="C19" s="152" t="s">
        <v>101</v>
      </c>
      <c r="D19" s="145" t="s">
        <v>100</v>
      </c>
      <c r="E19" s="1819"/>
      <c r="F19" s="1820"/>
      <c r="G19" s="1820"/>
      <c r="H19" s="1820"/>
      <c r="I19" s="1820"/>
      <c r="J19" s="1820"/>
      <c r="K19" s="1820"/>
      <c r="L19" s="1820"/>
      <c r="M19" s="1820"/>
      <c r="N19" s="1820"/>
      <c r="O19" s="1820"/>
      <c r="P19" s="1820"/>
      <c r="Q19" s="1820"/>
      <c r="R19" s="1820"/>
      <c r="S19" s="1820"/>
      <c r="T19" s="1823"/>
    </row>
    <row r="20" spans="2:20" s="1" customFormat="1" ht="16">
      <c r="B20" s="41"/>
      <c r="C20" s="42"/>
      <c r="D20" s="43"/>
      <c r="E20" s="43"/>
      <c r="F20" s="43"/>
      <c r="G20" s="43"/>
      <c r="H20" s="43"/>
      <c r="I20" s="43"/>
      <c r="J20" s="43"/>
      <c r="K20" s="48"/>
      <c r="L20" s="48"/>
      <c r="M20" s="11"/>
      <c r="N20" s="11"/>
      <c r="O20" s="11"/>
      <c r="P20" s="11"/>
      <c r="Q20" s="11"/>
      <c r="R20" s="11"/>
      <c r="S20" s="11"/>
    </row>
    <row r="21" spans="2:20" s="1" customFormat="1" ht="16">
      <c r="B21" s="44"/>
      <c r="C21" s="45"/>
      <c r="D21" s="46"/>
      <c r="E21" s="46"/>
      <c r="F21" s="46"/>
      <c r="G21" s="46"/>
      <c r="H21" s="46"/>
      <c r="I21" s="46"/>
      <c r="J21" s="46"/>
      <c r="K21" s="45"/>
      <c r="L21" s="45"/>
      <c r="M21" s="45"/>
      <c r="N21" s="45"/>
      <c r="O21" s="45"/>
      <c r="P21" s="45"/>
      <c r="Q21" s="45"/>
      <c r="R21" s="45"/>
      <c r="S21" s="45"/>
    </row>
    <row r="22" spans="2:20" s="1" customFormat="1" ht="16">
      <c r="B22" s="163"/>
      <c r="C22" s="45"/>
      <c r="D22" s="46"/>
      <c r="E22" s="46"/>
      <c r="F22" s="46"/>
      <c r="G22" s="46"/>
      <c r="H22" s="46"/>
      <c r="I22" s="46"/>
      <c r="J22" s="46"/>
      <c r="K22" s="45"/>
      <c r="L22" s="45"/>
      <c r="M22" s="45"/>
      <c r="N22" s="45"/>
      <c r="O22" s="45"/>
      <c r="P22" s="45"/>
      <c r="Q22" s="45"/>
      <c r="R22" s="45"/>
      <c r="S22" s="45"/>
    </row>
    <row r="23" spans="2:20" s="1" customFormat="1">
      <c r="B23" s="7"/>
      <c r="C23" s="51"/>
      <c r="D23" s="49"/>
      <c r="E23" s="49"/>
      <c r="F23" s="49"/>
      <c r="G23" s="49"/>
      <c r="H23" s="49"/>
      <c r="I23" s="49"/>
      <c r="J23" s="49"/>
      <c r="K23" s="51"/>
      <c r="L23" s="51"/>
      <c r="M23" s="51"/>
      <c r="N23" s="51"/>
      <c r="O23" s="51"/>
      <c r="P23" s="51"/>
      <c r="Q23" s="51"/>
      <c r="R23" s="51"/>
      <c r="S23" s="51"/>
    </row>
    <row r="24" spans="2:20">
      <c r="M24" s="52"/>
    </row>
  </sheetData>
  <mergeCells count="17">
    <mergeCell ref="E11:J19"/>
    <mergeCell ref="K11:T19"/>
    <mergeCell ref="B3:J3"/>
    <mergeCell ref="B4:J4"/>
    <mergeCell ref="K2:T2"/>
    <mergeCell ref="K3:T3"/>
    <mergeCell ref="K4:T4"/>
    <mergeCell ref="B5:T5"/>
    <mergeCell ref="B8:B10"/>
    <mergeCell ref="C8:C10"/>
    <mergeCell ref="D8:D10"/>
    <mergeCell ref="K8:N8"/>
    <mergeCell ref="E8:G8"/>
    <mergeCell ref="H8:J8"/>
    <mergeCell ref="T8:T10"/>
    <mergeCell ref="B2:J2"/>
    <mergeCell ref="O8:S8"/>
  </mergeCells>
  <pageMargins left="0.6692913385826772" right="0.23622047244094491" top="0.98425196850393704" bottom="0.98425196850393704" header="0.51181102362204722" footer="0.51181102362204722"/>
  <pageSetup paperSize="9" scale="60" orientation="landscape" r:id="rId1"/>
  <headerFooter alignWithMargins="0"/>
  <colBreaks count="1" manualBreakCount="1">
    <brk id="10" max="1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33</vt:i4>
      </vt:variant>
    </vt:vector>
  </HeadingPairs>
  <TitlesOfParts>
    <vt:vector size="82" baseType="lpstr">
      <vt:lpstr>Index</vt:lpstr>
      <vt:lpstr>AFC Reduction and AEC loss</vt:lpstr>
      <vt:lpstr>F1</vt:lpstr>
      <vt:lpstr>F1.1</vt:lpstr>
      <vt:lpstr>F2.1</vt:lpstr>
      <vt:lpstr>F2.2</vt:lpstr>
      <vt:lpstr>F2.3</vt:lpstr>
      <vt:lpstr>F2.4</vt:lpstr>
      <vt:lpstr>F2.5</vt:lpstr>
      <vt:lpstr>F2.6</vt:lpstr>
      <vt:lpstr>F2.7</vt:lpstr>
      <vt:lpstr>F2.8</vt:lpstr>
      <vt:lpstr>F3</vt:lpstr>
      <vt:lpstr>F3.1</vt:lpstr>
      <vt:lpstr>F3.2</vt:lpstr>
      <vt:lpstr>F3.3</vt:lpstr>
      <vt:lpstr>F3.4</vt:lpstr>
      <vt:lpstr>F4</vt:lpstr>
      <vt:lpstr>F4.1</vt:lpstr>
      <vt:lpstr>F4.2</vt:lpstr>
      <vt:lpstr>F4.3</vt:lpstr>
      <vt:lpstr>F5 (T)</vt:lpstr>
      <vt:lpstr>F5</vt:lpstr>
      <vt:lpstr>F5.1 (N)</vt:lpstr>
      <vt:lpstr>F6</vt:lpstr>
      <vt:lpstr>F7</vt:lpstr>
      <vt:lpstr>F8</vt:lpstr>
      <vt:lpstr>F9</vt:lpstr>
      <vt:lpstr>F9.1</vt:lpstr>
      <vt:lpstr>F9.2</vt:lpstr>
      <vt:lpstr>F9.3</vt:lpstr>
      <vt:lpstr>F10</vt:lpstr>
      <vt:lpstr>F11</vt:lpstr>
      <vt:lpstr>F12</vt:lpstr>
      <vt:lpstr>F13</vt:lpstr>
      <vt:lpstr>F14.1</vt:lpstr>
      <vt:lpstr>F14.2</vt:lpstr>
      <vt:lpstr>F14.3</vt:lpstr>
      <vt:lpstr>F14.4</vt:lpstr>
      <vt:lpstr>F14.5</vt:lpstr>
      <vt:lpstr>F14.6</vt:lpstr>
      <vt:lpstr>F14.7</vt:lpstr>
      <vt:lpstr>F14.8</vt:lpstr>
      <vt:lpstr>F14.9</vt:lpstr>
      <vt:lpstr>F15</vt:lpstr>
      <vt:lpstr>F16</vt:lpstr>
      <vt:lpstr>F17</vt:lpstr>
      <vt:lpstr>F18</vt:lpstr>
      <vt:lpstr>F19</vt:lpstr>
      <vt:lpstr>'F1'!Print_Area</vt:lpstr>
      <vt:lpstr>F1.1!Print_Area</vt:lpstr>
      <vt:lpstr>'F10'!Print_Area</vt:lpstr>
      <vt:lpstr>'F11'!Print_Area</vt:lpstr>
      <vt:lpstr>F14.4!Print_Area</vt:lpstr>
      <vt:lpstr>F14.6!Print_Area</vt:lpstr>
      <vt:lpstr>'F17'!Print_Area</vt:lpstr>
      <vt:lpstr>'F18'!Print_Area</vt:lpstr>
      <vt:lpstr>F2.1!Print_Area</vt:lpstr>
      <vt:lpstr>F2.2!Print_Area</vt:lpstr>
      <vt:lpstr>F2.3!Print_Area</vt:lpstr>
      <vt:lpstr>F2.4!Print_Area</vt:lpstr>
      <vt:lpstr>F2.5!Print_Area</vt:lpstr>
      <vt:lpstr>F2.6!Print_Area</vt:lpstr>
      <vt:lpstr>F2.7!Print_Area</vt:lpstr>
      <vt:lpstr>F2.8!Print_Area</vt:lpstr>
      <vt:lpstr>'F3'!Print_Area</vt:lpstr>
      <vt:lpstr>F3.1!Print_Area</vt:lpstr>
      <vt:lpstr>F3.2!Print_Area</vt:lpstr>
      <vt:lpstr>F4.1!Print_Area</vt:lpstr>
      <vt:lpstr>F4.2!Print_Area</vt:lpstr>
      <vt:lpstr>F4.3!Print_Area</vt:lpstr>
      <vt:lpstr>'F5'!Print_Area</vt:lpstr>
      <vt:lpstr>'F5.1 (N)'!Print_Area</vt:lpstr>
      <vt:lpstr>'F6'!Print_Area</vt:lpstr>
      <vt:lpstr>'F7'!Print_Area</vt:lpstr>
      <vt:lpstr>'F9'!Print_Area</vt:lpstr>
      <vt:lpstr>Index!Print_Area</vt:lpstr>
      <vt:lpstr>F2.1!Print_Titles</vt:lpstr>
      <vt:lpstr>F2.2!Print_Titles</vt:lpstr>
      <vt:lpstr>F2.3!Print_Titles</vt:lpstr>
      <vt:lpstr>F2.4!Print_Titles</vt:lpstr>
      <vt:lpstr>F2.5!Print_Titles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Palaniappan M</dc:creator>
  <cp:lastModifiedBy>A.V. Patkare</cp:lastModifiedBy>
  <cp:lastPrinted>2024-07-30T09:22:22Z</cp:lastPrinted>
  <dcterms:created xsi:type="dcterms:W3CDTF">2004-07-28T05:30:50Z</dcterms:created>
  <dcterms:modified xsi:type="dcterms:W3CDTF">2024-12-06T05:42:01Z</dcterms:modified>
</cp:coreProperties>
</file>